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0.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3.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7.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8.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9.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2.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3.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4.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5.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6.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7.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9.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30.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1.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2.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3.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34.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35.xml" ContentType="application/vnd.openxmlformats-officedocument.drawing+xml"/>
  <Override PartName="/xl/drawings/drawing36.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03" codeName="{80610A8E-5010-04F8-B4C4-4C4527662162}"/>
  <workbookPr codeName="EstaPastaDeTrabalho" defaultThemeVersion="166925"/>
  <mc:AlternateContent xmlns:mc="http://schemas.openxmlformats.org/markup-compatibility/2006">
    <mc:Choice Requires="x15">
      <x15ac:absPath xmlns:x15ac="http://schemas.microsoft.com/office/spreadsheetml/2010/11/ac" url="\\Mac\Home\Library\CloudStorage\GoogleDrive-edugca@gmail.com\Meu Drive\Meus Projetos\xlMATRIX\"/>
    </mc:Choice>
  </mc:AlternateContent>
  <xr:revisionPtr revIDLastSave="0" documentId="13_ncr:1_{5D7EB511-C9B0-45C8-A42D-940D04410D85}" xr6:coauthVersionLast="47" xr6:coauthVersionMax="47" xr10:uidLastSave="{00000000-0000-0000-0000-000000000000}"/>
  <bookViews>
    <workbookView xWindow="-98" yWindow="-98" windowWidth="22245" windowHeight="13965" tabRatio="835" xr2:uid="{3E111190-26EA-484A-ABB9-DC63F2384BD9}"/>
  </bookViews>
  <sheets>
    <sheet name="Function List" sheetId="12" r:id="rId1"/>
    <sheet name="Main Functions" sheetId="1" r:id="rId2"/>
    <sheet name="Complex Functions" sheetId="170" r:id="rId3"/>
    <sheet name="OLS Functions" sheetId="2" r:id="rId4"/>
    <sheet name="STATIONARIZE" sheetId="47" r:id="rId5"/>
    <sheet name="ISSTATIONARY" sheetId="49" r:id="rId6"/>
    <sheet name="CHOWTEST" sheetId="116" r:id="rId7"/>
    <sheet name="IORDER" sheetId="57" r:id="rId8"/>
    <sheet name="ISCOINTEGRATED" sheetId="59" r:id="rId9"/>
    <sheet name="DFTABLE" sheetId="48" r:id="rId10"/>
    <sheet name="GRANGER" sheetId="37" r:id="rId11"/>
    <sheet name="ANOVA" sheetId="34" r:id="rId12"/>
    <sheet name="LAG" sheetId="35" r:id="rId13"/>
    <sheet name="LEAD" sheetId="36" r:id="rId14"/>
    <sheet name="HPFILTER" sheetId="31" r:id="rId15"/>
    <sheet name="HFILTER" sheetId="127" r:id="rId16"/>
    <sheet name="MHFILTER" sheetId="166" r:id="rId17"/>
    <sheet name="HENDFILTER" sheetId="137" r:id="rId18"/>
    <sheet name="HENDFILTER_WEIGHTS" sheetId="139" r:id="rId19"/>
    <sheet name="BKFILTER" sheetId="128" r:id="rId20"/>
    <sheet name="CFFILTER" sheetId="133" r:id="rId21"/>
    <sheet name="RWFILTER" sheetId="135" r:id="rId22"/>
    <sheet name="MAFILTER" sheetId="140" r:id="rId23"/>
    <sheet name="KFILTER" sheetId="132" r:id="rId24"/>
    <sheet name="KFILTER_UPDATE" sheetId="131" r:id="rId25"/>
    <sheet name="CIRCSHIFT" sheetId="129" r:id="rId26"/>
    <sheet name="SHIFT" sheetId="136" r:id="rId27"/>
    <sheet name="DIFF" sheetId="50" r:id="rId28"/>
    <sheet name="MOVAVG" sheetId="64" r:id="rId29"/>
    <sheet name="MOVSUM" sheetId="65" r:id="rId30"/>
    <sheet name="MOVPROD" sheetId="66" r:id="rId31"/>
    <sheet name="DETREND" sheetId="29" r:id="rId32"/>
    <sheet name="TSTREND" sheetId="63" r:id="rId33"/>
    <sheet name="SEASADJ" sheetId="25" r:id="rId34"/>
    <sheet name="SEASFACTOR" sheetId="62" r:id="rId35"/>
    <sheet name="DUMMYVAR" sheetId="26" r:id="rId36"/>
    <sheet name="ADDCONST" sheetId="27" r:id="rId37"/>
    <sheet name="ADDTREND" sheetId="28" r:id="rId38"/>
    <sheet name="HASCONST" sheetId="101" r:id="rId39"/>
    <sheet name="TSOPER" sheetId="60" r:id="rId40"/>
    <sheet name="APPLYCOLS" sheetId="61" r:id="rId41"/>
    <sheet name="APPLYROWS" sheetId="130" r:id="rId42"/>
    <sheet name="EYE" sheetId="3" r:id="rId43"/>
    <sheet name="ZEROS" sheetId="5" r:id="rId44"/>
    <sheet name="ONES" sheetId="8" r:id="rId45"/>
    <sheet name="DIAG" sheetId="4" r:id="rId46"/>
    <sheet name="TRIL" sheetId="6" r:id="rId47"/>
    <sheet name="TRIU" sheetId="7" r:id="rId48"/>
    <sheet name="VEC" sheetId="9" r:id="rId49"/>
    <sheet name="RESHAPE" sheetId="23" r:id="rId50"/>
    <sheet name="FLIPLR" sheetId="10" r:id="rId51"/>
    <sheet name="FLIPUD" sheetId="11" r:id="rId52"/>
    <sheet name="REPMAT" sheetId="13" r:id="rId53"/>
    <sheet name="NOZERO (FIND)" sheetId="14" r:id="rId54"/>
    <sheet name="BLKDIAG" sheetId="15" r:id="rId55"/>
    <sheet name="ALL" sheetId="17" r:id="rId56"/>
    <sheet name="ANY" sheetId="18" r:id="rId57"/>
    <sheet name="NNZ" sheetId="22" r:id="rId58"/>
    <sheet name="LINSPACE" sheetId="19" r:id="rId59"/>
    <sheet name="LENGTH" sheetId="20" r:id="rId60"/>
    <sheet name="DIM" sheetId="30" r:id="rId61"/>
    <sheet name="NUMEL" sheetId="44" r:id="rId62"/>
    <sheet name="RMMISSING" sheetId="24" r:id="rId63"/>
    <sheet name="ISOUTLIER" sheetId="56" r:id="rId64"/>
    <sheet name="RMOUTLIERS" sheetId="55" r:id="rId65"/>
    <sheet name="MULTIFILTER" sheetId="40" r:id="rId66"/>
    <sheet name="TEXTTOARRAY" sheetId="41" r:id="rId67"/>
    <sheet name="STARTSWITH" sheetId="67" r:id="rId68"/>
    <sheet name="ENDSWITH" sheetId="68" r:id="rId69"/>
    <sheet name="CONTAINS" sheetId="69" r:id="rId70"/>
    <sheet name="ISMEMBER" sheetId="70" r:id="rId71"/>
    <sheet name="COMPLEMENT" sheetId="21" r:id="rId72"/>
    <sheet name="SORTRANGE" sheetId="52" r:id="rId73"/>
    <sheet name="RANKRANGE" sheetId="107" r:id="rId74"/>
    <sheet name="ISUNIQUE" sheetId="53" r:id="rId75"/>
    <sheet name="AGGREGBYDATE" sheetId="71" r:id="rId76"/>
    <sheet name="MNORM" sheetId="76" r:id="rId77"/>
    <sheet name="EVALS" sheetId="78" r:id="rId78"/>
    <sheet name="SUBS" sheetId="99" r:id="rId79"/>
    <sheet name="FZERO" sheetId="77" r:id="rId80"/>
    <sheet name="CONTAGION_FORBESRIGOBON" sheetId="84" r:id="rId81"/>
    <sheet name="CONTAGION_COVOLATILITY" sheetId="79" r:id="rId82"/>
    <sheet name="CONTAGION_COKURTOSIS" sheetId="85" r:id="rId83"/>
    <sheet name="CONTAGION_COSKEWNESS" sheetId="87" r:id="rId84"/>
    <sheet name="CORRCOEF" sheetId="89" r:id="rId85"/>
    <sheet name="COV" sheetId="115" r:id="rId86"/>
    <sheet name="ISMULTICOLLINEAR" sheetId="88" r:id="rId87"/>
    <sheet name="VARINFLATIONFACTOR" sheetId="90" r:id="rId88"/>
    <sheet name="FACTORIZE_QR" sheetId="95" r:id="rId89"/>
    <sheet name="FACTORIZE_CHOL" sheetId="105" r:id="rId90"/>
    <sheet name="EIGENVALUES" sheetId="93" r:id="rId91"/>
    <sheet name="EIGENVECTORS" sheetId="97" r:id="rId92"/>
    <sheet name="LINSOLVE" sheetId="98" r:id="rId93"/>
    <sheet name="BOOTSTRP" sheetId="106" r:id="rId94"/>
    <sheet name="JACKKNIFE" sheetId="109" r:id="rId95"/>
    <sheet name="CORREL_DIFF_TEST" sheetId="110" r:id="rId96"/>
    <sheet name="PCA" sheetId="111" r:id="rId97"/>
    <sheet name="MAHAL" sheetId="114" r:id="rId98"/>
    <sheet name="FINANCE_VAR" sheetId="117" r:id="rId99"/>
    <sheet name="DRAWDOWN" sheetId="119" r:id="rId100"/>
    <sheet name="SPARSE" sheetId="121" r:id="rId101"/>
    <sheet name="FULL" sheetId="122" r:id="rId102"/>
    <sheet name="EVERY" sheetId="126" r:id="rId103"/>
    <sheet name="CONV" sheetId="141" r:id="rId104"/>
    <sheet name="COMBINATIONS" sheetId="168" r:id="rId105"/>
    <sheet name="SPARSEWISE" sheetId="144" r:id="rId106"/>
    <sheet name="SPARSEPLUS" sheetId="145" r:id="rId107"/>
    <sheet name="SPARSEMINUS" sheetId="147" r:id="rId108"/>
    <sheet name="SPARSEMULT" sheetId="152" r:id="rId109"/>
    <sheet name="SPARSEDIV" sheetId="161" r:id="rId110"/>
    <sheet name="SPARSEDOT" sheetId="148" r:id="rId111"/>
    <sheet name="SPARSEPOWER" sheetId="150" r:id="rId112"/>
    <sheet name="SPARSET" sheetId="125" r:id="rId113"/>
    <sheet name="SPARSEEYE" sheetId="153" r:id="rId114"/>
    <sheet name="SPARSEONES" sheetId="157" r:id="rId115"/>
    <sheet name="SPARSEZEROS" sheetId="156" r:id="rId116"/>
    <sheet name="SPARSEDIAG" sheetId="124" r:id="rId117"/>
    <sheet name="SPARSEVSTACK" sheetId="154" r:id="rId118"/>
    <sheet name="SPARSEHSTACK" sheetId="155" r:id="rId119"/>
    <sheet name="SPARSESLICE" sheetId="158" r:id="rId120"/>
    <sheet name="FLATTEN" sheetId="162" r:id="rId121"/>
    <sheet name="UNFLATTEN" sheetId="164" r:id="rId122"/>
  </sheets>
  <definedNames>
    <definedName name="_xleta.AND" hidden="1" xlm="1">#NAME?</definedName>
    <definedName name="_xleta.CHOOSECOLS" hidden="1" xlm="1">#NAME?</definedName>
    <definedName name="_xleta.COLUMNS" hidden="1" xlm="1">#NAME?</definedName>
    <definedName name="_xleta.DATE" hidden="1" xlm="1">#NAME?</definedName>
    <definedName name="_xleta.FILTER" hidden="1" xlm="1">#NAME?</definedName>
    <definedName name="_xleta.HSTACK" hidden="1" xlm="1">#NAME?</definedName>
    <definedName name="_xleta.IF" hidden="1" xlm="1">#NAME?</definedName>
    <definedName name="_xleta.IMAGINARY" hidden="1" xlm="1">#NAME?</definedName>
    <definedName name="_xleta.MOD" hidden="1" xlm="1">#NAME?</definedName>
    <definedName name="_xleta.N" hidden="1" xlm="1">#NAME?</definedName>
    <definedName name="_xleta.PRODUCT" hidden="1" xlm="1">#NAME?</definedName>
    <definedName name="_xleta.QUOTIENT" hidden="1" xlm="1">#NAME?</definedName>
    <definedName name="_xleta.ROUND" hidden="1" xlm="1">#NAME?</definedName>
    <definedName name="_xleta.ROWS" hidden="1" xlm="1">#NAME?</definedName>
    <definedName name="_xleta.SEQUENCE" hidden="1" xlm="1">#NAME?</definedName>
    <definedName name="_xleta.SIGN" hidden="1" xlm="1">#NAME?</definedName>
    <definedName name="_xleta.SUM" hidden="1" xlm="1">#NAME?</definedName>
    <definedName name="_xleta.T" hidden="1" xlm="1">#NAME?</definedName>
    <definedName name="_xleta.XMATCH" hidden="1" xlm="1">#NAME?</definedName>
    <definedName name="_xlop.a" hidden="1" xlm="1">#NAME?</definedName>
    <definedName name="_xlop.absolute" hidden="1" xlm="1">#NAME?</definedName>
    <definedName name="_xlop.addConstant" hidden="1" xlm="1">#NAME?</definedName>
    <definedName name="_xlop.addConstToX" hidden="1" xlm="1">#NAME?</definedName>
    <definedName name="_xlop.addTrendToX" hidden="1" xlm="1">#NAME?</definedName>
    <definedName name="_xlop.allLags" hidden="1" xlm="1">#NAME?</definedName>
    <definedName name="_xlop.allLeads" hidden="1" xlm="1">#NAME?</definedName>
    <definedName name="_xlop.ar" hidden="1" xlm="1">#NAME?</definedName>
    <definedName name="_xlop.asc" hidden="1" xlm="1">#NAME?</definedName>
    <definedName name="_xlop.asymmetric" hidden="1" xlm="1">#NAME?</definedName>
    <definedName name="_xlop.automatic" hidden="1" xlm="1">#NAME?</definedName>
    <definedName name="_xlop.B" hidden="1" xlm="1">#NAME?</definedName>
    <definedName name="_xlop.brwLambda" hidden="1" xlm="1">#NAME?</definedName>
    <definedName name="_xlop.case_sensitive" hidden="1" xlm="1">#NAME?</definedName>
    <definedName name="_xlop.centered" hidden="1" xlm="1">#NAME?</definedName>
    <definedName name="_xlop.coeff" hidden="1" xlm="1">#NAME?</definedName>
    <definedName name="_xlop.coeffs" hidden="1" xlm="1">#NAME?</definedName>
    <definedName name="_xlop.col_end" hidden="1" xlm="1">#NAME?</definedName>
    <definedName name="_xlop.col_start" hidden="1" xlm="1">#NAME?</definedName>
    <definedName name="_xlop.colChar" hidden="1" xlm="1">#NAME?</definedName>
    <definedName name="_xlop.columnOrder" hidden="1" xlm="1">#NAME?</definedName>
    <definedName name="_xlop.conditionalVaRparam" hidden="1" xlm="1">#NAME?</definedName>
    <definedName name="_xlop.confidenceInterval" hidden="1" xlm="1">#NAME?</definedName>
    <definedName name="_xlop.constant" hidden="1" xlm="1">#NAME?</definedName>
    <definedName name="_xlop.criterion" hidden="1" xlm="1">#NAME?</definedName>
    <definedName name="_xlop.criticalThreshold" hidden="1" xlm="1">#NAME?</definedName>
    <definedName name="_xlop.d" hidden="1" xlm="1">#NAME?</definedName>
    <definedName name="_xlop.default" hidden="1" xlm="1">#NAME?</definedName>
    <definedName name="_xlop.descending" hidden="1" xlm="1">#NAME?</definedName>
    <definedName name="_xlop.dim" hidden="1" xlm="1">#NAME?</definedName>
    <definedName name="_xlop.dimension" hidden="1" xlm="1">#NAME?</definedName>
    <definedName name="_xlop.direction" hidden="1" xlm="1">#NAME?</definedName>
    <definedName name="_xlop.distribution" hidden="1" xlm="1">#NAME?</definedName>
    <definedName name="_xlop.drift" hidden="1" xlm="1">#NAME?</definedName>
    <definedName name="_xlop.eigenMax" hidden="1" xlm="1">#NAME?</definedName>
    <definedName name="_xlop.eigenMin" hidden="1" xlm="1">#NAME?</definedName>
    <definedName name="_xlop.eigenStep" hidden="1" xlm="1">#NAME?</definedName>
    <definedName name="_xlop.endPointAsymmetric" hidden="1" xlm="1">#NAME?</definedName>
    <definedName name="_xlop.exclude" hidden="1" xlm="1">#NAME?</definedName>
    <definedName name="_xlop.expandFromWithin" hidden="1" xlm="1">#NAME?</definedName>
    <definedName name="_xlop.fill" hidden="1" xlm="1">#NAME?</definedName>
    <definedName name="_xlop.fillWithNA" hidden="1" xlm="1">#NAME?</definedName>
    <definedName name="_xlop.filterType" hidden="1" xlm="1">#NAME?</definedName>
    <definedName name="_xlop.frequency" hidden="1" xlm="1">#NAME?</definedName>
    <definedName name="_xlop.full" hidden="1" xlm="1">#NAME?</definedName>
    <definedName name="_xlop.hasHeader" hidden="1" xlm="1">#NAME?</definedName>
    <definedName name="_xlop.hasLabels" hidden="1" xlm="1">#NAME?</definedName>
    <definedName name="_xlop.header" hidden="1" xlm="1">#NAME?</definedName>
    <definedName name="_xlop.headerFirstRow" hidden="1" xlm="1">#NAME?</definedName>
    <definedName name="_xlop.headers" hidden="1" xlm="1">#NAME?</definedName>
    <definedName name="_xlop.i" hidden="1" xlm="1">#NAME?</definedName>
    <definedName name="_xlop.if_empty" hidden="1" xlm="1">#NAME?</definedName>
    <definedName name="_xlop.imaginaryMatrix" hidden="1" xlm="1">#NAME?</definedName>
    <definedName name="_xlop.includeConstant" hidden="1" xlm="1">#NAME?</definedName>
    <definedName name="_xlop.includeZeroLag" hidden="1" xlm="1">#NAME?</definedName>
    <definedName name="_xlop.initial_P" hidden="1" xlm="1">#NAME?</definedName>
    <definedName name="_xlop.initial_x" hidden="1" xlm="1">#NAME?</definedName>
    <definedName name="_xlop.isPopulation" hidden="1" xlm="1">#NAME?</definedName>
    <definedName name="_xlop.k" hidden="1" xlm="1">#NAME?</definedName>
    <definedName name="_xlop.lagLength" hidden="1" xlm="1">#NAME?</definedName>
    <definedName name="_xlop.lags" hidden="1" xlm="1">#NAME?</definedName>
    <definedName name="_xlop.lagsHAC" hidden="1" xlm="1">#NAME?</definedName>
    <definedName name="_xlop.lastCol" hidden="1" xlm="1">#NAME?</definedName>
    <definedName name="_xlop.lb" hidden="1" xlm="1">#NAME?</definedName>
    <definedName name="_xlop.leadLength" hidden="1" xlm="1">#NAME?</definedName>
    <definedName name="_xlop.lin_end" hidden="1" xlm="1">#NAME?</definedName>
    <definedName name="_xlop.lin_start" hidden="1" xlm="1">#NAME?</definedName>
    <definedName name="_xlop.lineChar" hidden="1" xlm="1">#NAME?</definedName>
    <definedName name="_xlop.list" hidden="1" xlm="1">#NAME?</definedName>
    <definedName name="_xlop.lowerBound" hidden="1" xlm="1">#NAME?</definedName>
    <definedName name="_xlop.lowerCutoff" hidden="1" xlm="1">#NAME?</definedName>
    <definedName name="_xlop.lowerL" hidden="1" xlm="1">#NAME?</definedName>
    <definedName name="_xlop.lowerLe" hidden="1" xlm="1">#NAME?</definedName>
    <definedName name="_xlop.lowerLea" hidden="1" xlm="1">#NAME?</definedName>
    <definedName name="_xlop.lowerLead" hidden="1" xlm="1">#NAME?</definedName>
    <definedName name="_xlop.m" hidden="1" xlm="1">#NAME?</definedName>
    <definedName name="_xlop.ma" hidden="1" xlm="1">#NAME?</definedName>
    <definedName name="_xlop.matrix_2" hidden="1" xlm="1">#NAME?</definedName>
    <definedName name="_xlop.matrix_3" hidden="1" xlm="1">#NAME?</definedName>
    <definedName name="_xlop.matrix_4" hidden="1" xlm="1">#NAME?</definedName>
    <definedName name="_xlop.matrix_5" hidden="1" xlm="1">#NAME?</definedName>
    <definedName name="_xlop.max_iter" hidden="1" xlm="1">#NAME?</definedName>
    <definedName name="_xlop.maxConditionIndex" hidden="1" xlm="1">#NAME?</definedName>
    <definedName name="_xlop.maxDiffs" hidden="1" xlm="1">#NAME?</definedName>
    <definedName name="_xlop.maxInflationVarFactor" hidden="1" xlm="1">#NAME?</definedName>
    <definedName name="_xlop.maxInteger" hidden="1" xlm="1">#NAME?</definedName>
    <definedName name="_xlop.method" hidden="1" xlm="1">#NAME?</definedName>
    <definedName name="_xlop.mineigenvalueCondition" hidden="1" xlm="1">#NAME?</definedName>
    <definedName name="_xlop.minInteger" hidden="1" xlm="1">#NAME?</definedName>
    <definedName name="_xlop.n" hidden="1" xlm="1">#NAME?</definedName>
    <definedName name="_xlop.nFactors" hidden="1" xlm="1">#NAME?</definedName>
    <definedName name="_xlop.nLags" hidden="1" xlm="1">#NAME?</definedName>
    <definedName name="_xlop.nLeads" hidden="1" xlm="1">#NAME?</definedName>
    <definedName name="_xlop.norm" hidden="1" xlm="1">#NAME?</definedName>
    <definedName name="_xlop.normalize" hidden="1" xlm="1">#NAME?</definedName>
    <definedName name="_xlop.normalized" hidden="1" xlm="1">#NAME?</definedName>
    <definedName name="_xlop.nPeriods" hidden="1" xlm="1">#NAME?</definedName>
    <definedName name="_xlop.nPower" hidden="1" xlm="1">#NAME?</definedName>
    <definedName name="_xlop.nSize" hidden="1" xlm="1">#NAME?</definedName>
    <definedName name="_xlop.nTerms" hidden="1" xlm="1">#NAME?</definedName>
    <definedName name="_xlop.numIter" hidden="1" xlm="1">#NAME?</definedName>
    <definedName name="_xlop.nWeights" hidden="1" xlm="1">#NAME?</definedName>
    <definedName name="_xlop.oldCoeffs" hidden="1" xlm="1">#NAME?</definedName>
    <definedName name="_xlop.oldResids" hidden="1" xlm="1">#NAME?</definedName>
    <definedName name="_xlop.onlyValues" hidden="1" xlm="1">#NAME?</definedName>
    <definedName name="_xlop.operation" hidden="1" xlm="1">#NAME?</definedName>
    <definedName name="_xlop.order" hidden="1" xlm="1">#NAME?</definedName>
    <definedName name="_xlop.originalMatrix" hidden="1" xlm="1">#NAME?</definedName>
    <definedName name="_xlop.p" hidden="1" xlm="1">#NAME?</definedName>
    <definedName name="_xlop.param1" hidden="1" xlm="1">#NAME?</definedName>
    <definedName name="_xlop.param2" hidden="1" xlm="1">#NAME?</definedName>
    <definedName name="_xlop.param3" hidden="1" xlm="1">#NAME?</definedName>
    <definedName name="_xlop.patch" hidden="1" xlm="1">#NAME?</definedName>
    <definedName name="_xlop.perm" hidden="1" xlm="1">#NAME?</definedName>
    <definedName name="_xlop.portfolioWeights" hidden="1" xlm="1">#NAME?</definedName>
    <definedName name="_xlop.position" hidden="1" xlm="1">#NAME?</definedName>
    <definedName name="_xlop.q" hidden="1" xlm="1">#NAME?</definedName>
    <definedName name="_xlop.radefault" hidden="1" xlm="1">#NAME?</definedName>
    <definedName name="_xlop.raidefault" hidden="1" xlm="1">#NAME?</definedName>
    <definedName name="_xlop.raisdefault" hidden="1" xlm="1">#NAME?</definedName>
    <definedName name="_xlop.raisedefault" hidden="1" xlm="1">#NAME?</definedName>
    <definedName name="_xlop.rankRows" hidden="1" xlm="1">#NAME?</definedName>
    <definedName name="_xlop.rdefault" hidden="1" xlm="1">#NAME?</definedName>
    <definedName name="_xlop.remove" hidden="1" xlm="1">#NAME?</definedName>
    <definedName name="_xlop.resid" hidden="1" xlm="1">#NAME?</definedName>
    <definedName name="_xlop.resids" hidden="1" xlm="1">#NAME?</definedName>
    <definedName name="_xlop.return" hidden="1" xlm="1">#NAME?</definedName>
    <definedName name="_xlop.return_type" hidden="1" xlm="1">#NAME?</definedName>
    <definedName name="_xlop.returnAllFactors" hidden="1" xlm="1">#NAME?</definedName>
    <definedName name="_xlop.returnCriterionValues" hidden="1" xlm="1">#NAME?</definedName>
    <definedName name="_xlop.returnCriticalStatus" hidden="1" xlm="1">#NAME?</definedName>
    <definedName name="_xlop.returnedObject" hidden="1" xlm="1">#NAME?</definedName>
    <definedName name="_xlop.returnInverse" hidden="1" xlm="1">#NAME?</definedName>
    <definedName name="_xlop.returnObject" hidden="1" xlm="1">#NAME?</definedName>
    <definedName name="_xlop.returnPValue" hidden="1" xlm="1">#NAME?</definedName>
    <definedName name="_xlop.returnRowAndCol" hidden="1" xlm="1">#NAME?</definedName>
    <definedName name="_xlop.returnTest" hidden="1" xlm="1">#NAME?</definedName>
    <definedName name="_xlop.returnType" hidden="1" xlm="1">#NAME?</definedName>
    <definedName name="_xlop.returnZstat" hidden="1" xlm="1">#NAME?</definedName>
    <definedName name="_xlop.robustStd" hidden="1" xlm="1">#NAME?</definedName>
    <definedName name="_xlop.robustType" hidden="1" xlm="1">#NAME?</definedName>
    <definedName name="_xlop.root" hidden="1" xlm="1">#NAME?</definedName>
    <definedName name="_xlop.rowsToCols" hidden="1" xlm="1">#NAME?</definedName>
    <definedName name="_xlop.sameLagsTogether" hidden="1" xlm="1">#NAME?</definedName>
    <definedName name="_xlop.sameLeadsTogether" hidden="1" xlm="1">#NAME?</definedName>
    <definedName name="_xlop.shape" hidden="1" xlm="1">#NAME?</definedName>
    <definedName name="_xlop.shiftCols" hidden="1" xlm="1">#NAME?</definedName>
    <definedName name="_xlop.shiftRows" hidden="1" xlm="1">#NAME?</definedName>
    <definedName name="_xlop.significance" hidden="1" xlm="1">#NAME?</definedName>
    <definedName name="_xlop.sortRows" hidden="1" xlm="1">#NAME?</definedName>
    <definedName name="_xlop.spacing" hidden="1" xlm="1">#NAME?</definedName>
    <definedName name="_xlop.standardize" hidden="1" xlm="1">#NAME?</definedName>
    <definedName name="_xlop.standardized" hidden="1" xlm="1">#NAME?</definedName>
    <definedName name="_xlop.start_num" hidden="1" xlm="1">#NAME?</definedName>
    <definedName name="_xlop.tolerance" hidden="1" xlm="1">#NAME?</definedName>
    <definedName name="_xlop.treatCharsAsText" hidden="1" xlm="1">#NAME?</definedName>
    <definedName name="_xlop.trend" hidden="1" xlm="1">#NAME?</definedName>
    <definedName name="_xlop.trendCycle" hidden="1" xlm="1">#NAME?</definedName>
    <definedName name="_xlop.type" hidden="1" xlm="1">#NAME?</definedName>
    <definedName name="_xlop.typeVaR" hidden="1" xlm="1">#NAME?</definedName>
    <definedName name="_xlop.ub" hidden="1" xlm="1">#NAME?</definedName>
    <definedName name="_xlop.uniqueRanksOnly" hidden="1" xlm="1">#NAME?</definedName>
    <definedName name="_xlop.upperBound" hidden="1" xlm="1">#NAME?</definedName>
    <definedName name="_xlop.upperCutoff" hidden="1" xlm="1">#NAME?</definedName>
    <definedName name="_xlop.upperL" hidden="1" xlm="1">#NAME?</definedName>
    <definedName name="_xlop.upperLe" hidden="1" xlm="1">#NAME?</definedName>
    <definedName name="_xlop.upperLea" hidden="1" xlm="1">#NAME?</definedName>
    <definedName name="_xlop.upperLead" hidden="1" xlm="1">#NAME?</definedName>
    <definedName name="_xlop.w" hidden="1" xlm="1">#NAME?</definedName>
    <definedName name="_xlop.windowLength" hidden="1" xlm="1">#NAME?</definedName>
    <definedName name="_xlop.withoutReplacement" hidden="1" xlm="1">#NAME?</definedName>
    <definedName name="_xlop.x" hidden="1" xlm="1">#NAME?</definedName>
    <definedName name="_xlop.x_0" hidden="1" xlm="1">#NAME?</definedName>
    <definedName name="_xlop.xMax" hidden="1" xlm="1">#NAME?</definedName>
    <definedName name="_xlop.xMin" hidden="1" xlm="1">#NAME?</definedName>
    <definedName name="_xlop.xStep" hidden="1" xlm="1">#NAME?</definedName>
    <definedName name="_xlop.θ₁" hidden="1" xlm="1">#NAME?</definedName>
    <definedName name="_xlop.σ²" hidden="1" xlm="1">#NAME?</definedName>
    <definedName name="_xlpm._" hidden="1" xlm="1">#NAME?</definedName>
    <definedName name="_xlpm.a" hidden="1" xlm="1">#NAME?</definedName>
    <definedName name="_xlpm.A_2" hidden="1" xlm="1">#NAME?</definedName>
    <definedName name="_xlpm.AA" hidden="1" xlm="1">#NAME?</definedName>
    <definedName name="_xlpm.AA_1" hidden="1" xlm="1">#NAME?</definedName>
    <definedName name="_xlpm.AA_2" hidden="1" xlm="1">#NAME?</definedName>
    <definedName name="_xlpm.AA_3" hidden="1" xlm="1">#NAME?</definedName>
    <definedName name="_xlpm.AAA_1" hidden="1" xlm="1">#NAME?</definedName>
    <definedName name="_xlpm.AAA_2" hidden="1" xlm="1">#NAME?</definedName>
    <definedName name="_xlpm.AAA_3" hidden="1" xlm="1">#NAME?</definedName>
    <definedName name="_xlpm.AABS" hidden="1" xlm="1">#NAME?</definedName>
    <definedName name="_xlpm.AAdrift" hidden="1" xlm="1">#NAME?</definedName>
    <definedName name="_xlpm.absolute" hidden="1" xlm="1">#NAME?</definedName>
    <definedName name="_xlpm.acc" hidden="1" xlm="1">#NAME?</definedName>
    <definedName name="_xlpm.accum" hidden="1" xlm="1">#NAME?</definedName>
    <definedName name="_xlpm.ACHATAR" hidden="1" xlm="1">#NAME?</definedName>
    <definedName name="_xlpm.Acol" hidden="1" xlm="1">#NAME?</definedName>
    <definedName name="_xlpm.actualValue" hidden="1" xlm="1">#NAME?</definedName>
    <definedName name="_xlpm.addConstant" hidden="1" xlm="1">#NAME?</definedName>
    <definedName name="_xlpm.addConstToX" hidden="1" xlm="1">#NAME?</definedName>
    <definedName name="_xlpm.addTrendToX" hidden="1" xlm="1">#NAME?</definedName>
    <definedName name="_xlpm.adjustedQ" hidden="1" xlm="1">#NAME?</definedName>
    <definedName name="_xlpm.adjustedR" hidden="1" xlm="1">#NAME?</definedName>
    <definedName name="_xlpm.afterN" hidden="1" xlm="1">#NAME?</definedName>
    <definedName name="_xlpm.afterRoot" hidden="1" xlm="1">#NAME?</definedName>
    <definedName name="_xlpm.afterRSS" hidden="1" xlm="1">#NAME?</definedName>
    <definedName name="_xlpm.AI" hidden="1" xlm="1">#NAME?</definedName>
    <definedName name="_xlpm.allLags" hidden="1" xlm="1">#NAME?</definedName>
    <definedName name="_xlpm.allLeads" hidden="1" xlm="1">#NAME?</definedName>
    <definedName name="_xlpm.ar" hidden="1" xlm="1">#NAME?</definedName>
    <definedName name="_xlpm.ar_lags" hidden="1" xlm="1">#NAME?</definedName>
    <definedName name="_xlpm.arCoeff" hidden="1" xlm="1">#NAME?</definedName>
    <definedName name="_xlpm.arLags" hidden="1" xlm="1">#NAME?</definedName>
    <definedName name="_xlpm.Arow" hidden="1" xlm="1">#NAME?</definedName>
    <definedName name="_xlpm.array" hidden="1" xlm="1">#NAME?</definedName>
    <definedName name="_xlpm.arraythunks" hidden="1" xlm="1">#NAME?</definedName>
    <definedName name="_xlpm.asc" hidden="1" xlm="1">#NAME?</definedName>
    <definedName name="_xlpm.asymmetric" hidden="1" xlm="1">#NAME?</definedName>
    <definedName name="_xlpm.asymmetricWeights" hidden="1" xlm="1">#NAME?</definedName>
    <definedName name="_xlpm.automatic" hidden="1" xlm="1">#NAME?</definedName>
    <definedName name="_xlpm.B" hidden="1" xlm="1">#NAME?</definedName>
    <definedName name="_xlpm.B_2" hidden="1" xlm="1">#NAME?</definedName>
    <definedName name="_xlpm.b2s2" hidden="1" xlm="1">#NAME?</definedName>
    <definedName name="_xlpm.base" hidden="1" xlm="1">#NAME?</definedName>
    <definedName name="_xlpm.baseMatrix" hidden="1" xlm="1">#NAME?</definedName>
    <definedName name="_xlpm.BB" hidden="1" xlm="1">#NAME?</definedName>
    <definedName name="_xlpm.bb_0" hidden="1" xlm="1">#NAME?</definedName>
    <definedName name="_xlpm.bb_1" hidden="1" xlm="1">#NAME?</definedName>
    <definedName name="_xlpm.bb_2" hidden="1" xlm="1">#NAME?</definedName>
    <definedName name="_xlpm.bb_3t" hidden="1" xlm="1">#NAME?</definedName>
    <definedName name="_xlpm.BBB_0" hidden="1" xlm="1">#NAME?</definedName>
    <definedName name="_xlpm.BBB_1" hidden="1" xlm="1">#NAME?</definedName>
    <definedName name="_xlpm.BBB_2" hidden="1" xlm="1">#NAME?</definedName>
    <definedName name="_xlpm.BBB_3" hidden="1" xlm="1">#NAME?</definedName>
    <definedName name="_xlpm.BBB_4" hidden="1" xlm="1">#NAME?</definedName>
    <definedName name="_xlpm.bbeta" hidden="1" xlm="1">#NAME?</definedName>
    <definedName name="_xlpm.beforeN" hidden="1" xlm="1">#NAME?</definedName>
    <definedName name="_xlpm.beforeRoot" hidden="1" xlm="1">#NAME?</definedName>
    <definedName name="_xlpm.beforeRSS" hidden="1" xlm="1">#NAME?</definedName>
    <definedName name="_xlpm.BI" hidden="1" xlm="1">#NAME?</definedName>
    <definedName name="_xlpm.bootfun" hidden="1" xlm="1">#NAME?</definedName>
    <definedName name="_xlpm.BR" hidden="1" xlm="1">#NAME?</definedName>
    <definedName name="_xlpm.brwLambda" hidden="1" xlm="1">#NAME?</definedName>
    <definedName name="_xlpm.Bvalues" hidden="1" xlm="1">#NAME?</definedName>
    <definedName name="_xlpm.c" hidden="1" xlm="1">#NAME?</definedName>
    <definedName name="_xlpm.calc_1" hidden="1" xlm="1">#NAME?</definedName>
    <definedName name="_xlpm.calc_2" hidden="1" xlm="1">#NAME?</definedName>
    <definedName name="_xlpm.candIter" hidden="1" xlm="1">#NAME?</definedName>
    <definedName name="_xlpm.candX" hidden="1" xlm="1">#NAME?</definedName>
    <definedName name="_xlpm.case_sensistive" hidden="1" xlm="1">#NAME?</definedName>
    <definedName name="_xlpm.case_sensitive" hidden="1" xlm="1">#NAME?</definedName>
    <definedName name="_xlpm.categories" hidden="1" xlm="1">#NAME?</definedName>
    <definedName name="_xlpm.cc" hidden="1" xlm="1">#NAME?</definedName>
    <definedName name="_xlpm.centered" hidden="1" xlm="1">#NAME?</definedName>
    <definedName name="_xlpm.check" hidden="1" xlm="1">#NAME?</definedName>
    <definedName name="_xlpm.chiSquared" hidden="1" xlm="1">#NAME?</definedName>
    <definedName name="_xlpm.chiSquared_1_2" hidden="1" xlm="1">#NAME?</definedName>
    <definedName name="_xlpm.chiSquared_1_3" hidden="1" xlm="1">#NAME?</definedName>
    <definedName name="_xlpm.chiSquared_2_1" hidden="1" xlm="1">#NAME?</definedName>
    <definedName name="_xlpm.chiSquared_3_1" hidden="1" xlm="1">#NAME?</definedName>
    <definedName name="_xlpm.coeff" hidden="1" xlm="1">#NAME?</definedName>
    <definedName name="_xlpm.coeffs" hidden="1" xlm="1">#NAME?</definedName>
    <definedName name="_xlpm.coKurCrisis_1_3" hidden="1" xlm="1">#NAME?</definedName>
    <definedName name="_xlpm.coKurCrisis_3_1" hidden="1" xlm="1">#NAME?</definedName>
    <definedName name="_xlpm.coKurNonCrisis_1_3" hidden="1" xlm="1">#NAME?</definedName>
    <definedName name="_xlpm.coKurNonCrisis_3_1" hidden="1" xlm="1">#NAME?</definedName>
    <definedName name="_xlpm.col" hidden="1" xlm="1">#NAME?</definedName>
    <definedName name="_xlpm.col_end" hidden="1" xlm="1">#NAME?</definedName>
    <definedName name="_xlpm.col_start" hidden="1" xlm="1">#NAME?</definedName>
    <definedName name="_xlpm.colA" hidden="1" xlm="1">#NAME?</definedName>
    <definedName name="_xlpm.colChar" hidden="1" xlm="1">#NAME?</definedName>
    <definedName name="_xlpm.colCol" hidden="1" xlm="1">#NAME?</definedName>
    <definedName name="_xlpm.colCrit" hidden="1" xlm="1">#NAME?</definedName>
    <definedName name="_xlpm.colEnd" hidden="1" xlm="1">#NAME?</definedName>
    <definedName name="_xlpm.colIdx" hidden="1" xlm="1">#NAME?</definedName>
    <definedName name="_xlpm.coll" hidden="1" xlm="1">#NAME?</definedName>
    <definedName name="_xlpm.colLabel" hidden="1" xlm="1">#NAME?</definedName>
    <definedName name="_xlpm.colMatrix" hidden="1" xlm="1">#NAME?</definedName>
    <definedName name="_xlpm.colNorm" hidden="1" xlm="1">#NAME?</definedName>
    <definedName name="_xlpm.colPivot" hidden="1" xlm="1">#NAME?</definedName>
    <definedName name="_xlpm.cols" hidden="1" xlm="1">#NAME?</definedName>
    <definedName name="_xlpm.ColsA" hidden="1" xlm="1">#NAME?</definedName>
    <definedName name="_xlpm.ColsB" hidden="1" xlm="1">#NAME?</definedName>
    <definedName name="_xlpm.colStart" hidden="1" xlm="1">#NAME?</definedName>
    <definedName name="_xlpm.columnOrder" hidden="1" xlm="1">#NAME?</definedName>
    <definedName name="_xlpm.colVals" hidden="1" xlm="1">#NAME?</definedName>
    <definedName name="_xlpm.combinedRSS" hidden="1" xlm="1">#NAME?</definedName>
    <definedName name="_xlpm.completeDates" hidden="1" xlm="1">#NAME?</definedName>
    <definedName name="_xlpm.component" hidden="1" xlm="1">#NAME?</definedName>
    <definedName name="_xlpm.conditionalVaRparam" hidden="1" xlm="1">#NAME?</definedName>
    <definedName name="_xlpm.conditionIndex" hidden="1" xlm="1">#NAME?</definedName>
    <definedName name="_xlpm.confidenceInterval" hidden="1" xlm="1">#NAME?</definedName>
    <definedName name="_xlpm.constant" hidden="1" xlm="1">#NAME?</definedName>
    <definedName name="_xlpm.constant_noTrend" hidden="1" xlm="1">#NAME?</definedName>
    <definedName name="_xlpm.constant_trend" hidden="1" xlm="1">#NAME?</definedName>
    <definedName name="_xlpm.cooksDist" hidden="1" xlm="1">#NAME?</definedName>
    <definedName name="_xlpm.corrcoef_matrix" hidden="1" xlm="1">#NAME?</definedName>
    <definedName name="_xlpm.corrCrisis" hidden="1" xlm="1">#NAME?</definedName>
    <definedName name="_xlpm.corrCrisisAdj" hidden="1" xlm="1">#NAME?</definedName>
    <definedName name="_xlpm.corrNonCrisis" hidden="1" xlm="1">#NAME?</definedName>
    <definedName name="_xlpm.coSkewCrisis_1_2" hidden="1" xlm="1">#NAME?</definedName>
    <definedName name="_xlpm.coSkewCrisis_2_1" hidden="1" xlm="1">#NAME?</definedName>
    <definedName name="_xlpm.coSkewNonCrisis_1_2" hidden="1" xlm="1">#NAME?</definedName>
    <definedName name="_xlpm.coSkewNonCrisis_2_1" hidden="1" xlm="1">#NAME?</definedName>
    <definedName name="_xlpm.covMatrix" hidden="1" xlm="1">#NAME?</definedName>
    <definedName name="_xlpm.covMatrixInv" hidden="1" xlm="1">#NAME?</definedName>
    <definedName name="_xlpm.coVolCrisis" hidden="1" xlm="1">#NAME?</definedName>
    <definedName name="_xlpm.coVolNonCrisis" hidden="1" xlm="1">#NAME?</definedName>
    <definedName name="_xlpm.covPortfolioReturns" hidden="1" xlm="1">#NAME?</definedName>
    <definedName name="_xlpm.covs" hidden="1" xlm="1">#NAME?</definedName>
    <definedName name="_xlpm.crit" hidden="1" xlm="1">#NAME?</definedName>
    <definedName name="_xlpm.criteriaDelim" hidden="1" xlm="1">#NAME?</definedName>
    <definedName name="_xlpm.criterion" hidden="1" xlm="1">#NAME?</definedName>
    <definedName name="_xlpm.critFunc" hidden="1" xlm="1">#NAME?</definedName>
    <definedName name="_xlpm.criticalThreshold" hidden="1" xlm="1">#NAME?</definedName>
    <definedName name="_xlpm.critValues" hidden="1" xlm="1">#NAME?</definedName>
    <definedName name="_xlpm.current_Q" hidden="1" xlm="1">#NAME?</definedName>
    <definedName name="_xlpm.current_R" hidden="1" xlm="1">#NAME?</definedName>
    <definedName name="_xlpm.currentCol" hidden="1" xlm="1">#NAME?</definedName>
    <definedName name="_xlpm.currentQ" hidden="1" xlm="1">#NAME?</definedName>
    <definedName name="_xlpm.currentR" hidden="1" xlm="1">#NAME?</definedName>
    <definedName name="_xlpm.cut_off" hidden="1" xlm="1">#NAME?</definedName>
    <definedName name="_xlpm.cy" hidden="1" xlm="1">#NAME?</definedName>
    <definedName name="_xlpm.cyc" hidden="1" xlm="1">#NAME?</definedName>
    <definedName name="_xlpm.cycl" hidden="1" xlm="1">#NAME?</definedName>
    <definedName name="_xlpm.cycle" hidden="1" xlm="1">#NAME?</definedName>
    <definedName name="_xlpm.d" hidden="1" xlm="1">#NAME?</definedName>
    <definedName name="_xlpm.d_restante" hidden="1" xlm="1">#NAME?</definedName>
    <definedName name="_xlpm.data" hidden="1" xlm="1">#NAME?</definedName>
    <definedName name="_xlpm.DataA" hidden="1" xlm="1">#NAME?</definedName>
    <definedName name="_xlpm.dataAll" hidden="1" xlm="1">#NAME?</definedName>
    <definedName name="_xlpm.dataAll2" hidden="1" xlm="1">#NAME?</definedName>
    <definedName name="_xlpm.DataB" hidden="1" xlm="1">#NAME?</definedName>
    <definedName name="_xlpm.DataC" hidden="1" xlm="1">#NAME?</definedName>
    <definedName name="_xlpm.DataD" hidden="1" xlm="1">#NAME?</definedName>
    <definedName name="_xlpm.dataFull" hidden="1" xlm="1">#NAME?</definedName>
    <definedName name="_xlpm.dataFull2" hidden="1" xlm="1">#NAME?</definedName>
    <definedName name="_xlpm.dataRestricted" hidden="1" xlm="1">#NAME?</definedName>
    <definedName name="_xlpm.dataRestrictedBeforeCleaning" hidden="1" xlm="1">#NAME?</definedName>
    <definedName name="_xlpm.datas" hidden="1" xlm="1">#NAME?</definedName>
    <definedName name="_xlpm.dataUnrestricted" hidden="1" xlm="1">#NAME?</definedName>
    <definedName name="_xlpm.dataUnrestrictedBeforeCleaning" hidden="1" xlm="1">#NAME?</definedName>
    <definedName name="_xlpm.dates" hidden="1" xlm="1">#NAME?</definedName>
    <definedName name="_xlpm.dd" hidden="1" xlm="1">#NAME?</definedName>
    <definedName name="_xlpm.decision" hidden="1" xlm="1">#NAME?</definedName>
    <definedName name="_xlpm.default" hidden="1" xlm="1">#NAME?</definedName>
    <definedName name="_xlpm.defaultA" hidden="1" xlm="1">#NAME?</definedName>
    <definedName name="_xlpm.defaultB" hidden="1" xlm="1">#NAME?</definedName>
    <definedName name="_xlpm.defRange" hidden="1" xlm="1">#NAME?</definedName>
    <definedName name="_xlpm.delim" hidden="1" xlm="1">#NAME?</definedName>
    <definedName name="_xlpm.delim1" hidden="1" xlm="1">#NAME?</definedName>
    <definedName name="_xlpm.delim2" hidden="1" xlm="1">#NAME?</definedName>
    <definedName name="_xlpm.delimLength" hidden="1" xlm="1">#NAME?</definedName>
    <definedName name="_xlpm.DES_ACHATAR" hidden="1" xlm="1">#NAME?</definedName>
    <definedName name="_xlpm.descending" hidden="1" xlm="1">#NAME?</definedName>
    <definedName name="_xlpm.df" hidden="1" xlm="1">#NAME?</definedName>
    <definedName name="_xlpm.DFbetween" hidden="1" xlm="1">#NAME?</definedName>
    <definedName name="_xlpm.DFtotal" hidden="1" xlm="1">#NAME?</definedName>
    <definedName name="_xlpm.DFwithin" hidden="1" xlm="1">#NAME?</definedName>
    <definedName name="_xlpm.diagSigns" hidden="1" xlm="1">#NAME?</definedName>
    <definedName name="_xlpm.diffValues_1" hidden="1" xlm="1">#NAME?</definedName>
    <definedName name="_xlpm.digits" hidden="1" xlm="1">#NAME?</definedName>
    <definedName name="_xlpm.dim" hidden="1" xlm="1">#NAME?</definedName>
    <definedName name="_xlpm.dimension" hidden="1" xlm="1">#NAME?</definedName>
    <definedName name="_xlpm.direction" hidden="1" xlm="1">#NAME?</definedName>
    <definedName name="_xlpm.distribution" hidden="1" xlm="1">#NAME?</definedName>
    <definedName name="_xlpm.dotProduct" hidden="1" xlm="1">#NAME?</definedName>
    <definedName name="_xlpm.drift" hidden="1" xlm="1">#NAME?</definedName>
    <definedName name="_xlpm.dropParam" hidden="1" xlm="1">#NAME?</definedName>
    <definedName name="_xlpm.dummies" hidden="1" xlm="1">#NAME?</definedName>
    <definedName name="_xlpm.durbinWatson" hidden="1" xlm="1">#NAME?</definedName>
    <definedName name="_xlpm.dw" hidden="1" xlm="1">#NAME?</definedName>
    <definedName name="_xlpm.E" hidden="1" xlm="1">#NAME?</definedName>
    <definedName name="_xlpm.ee" hidden="1" xlm="1">#NAME?</definedName>
    <definedName name="_xlpm.eigenMax" hidden="1" xlm="1">#NAME?</definedName>
    <definedName name="_xlpm.eigenMin" hidden="1" xlm="1">#NAME?</definedName>
    <definedName name="_xlpm.eigenStep" hidden="1" xlm="1">#NAME?</definedName>
    <definedName name="_xlpm.eigenvals_list" hidden="1" xlm="1">#NAME?</definedName>
    <definedName name="_xlpm.eigenValues" hidden="1" xlm="1">#NAME?</definedName>
    <definedName name="_xlpm.eigenVectors" hidden="1" xlm="1">#NAME?</definedName>
    <definedName name="_xlpm.eigMatrix" hidden="1" xlm="1">#NAME?</definedName>
    <definedName name="_xlpm.eigVals" hidden="1" xlm="1">#NAME?</definedName>
    <definedName name="_xlpm.eigVecs" hidden="1" xlm="1">#NAME?</definedName>
    <definedName name="_xlpm.eigVector" hidden="1" xlm="1">#NAME?</definedName>
    <definedName name="_xlpm.element" hidden="1" xlm="1">#NAME?</definedName>
    <definedName name="_xlpm.elementFound" hidden="1" xlm="1">#NAME?</definedName>
    <definedName name="_xlpm.elems" hidden="1" xlm="1">#NAME?</definedName>
    <definedName name="_xlpm.emptyLabel" hidden="1" xlm="1">#NAME?</definedName>
    <definedName name="_xlpm.endPointAsymmetric" hidden="1" xlm="1">#NAME?</definedName>
    <definedName name="_xlpm.estados" hidden="1" xlm="1">#NAME?</definedName>
    <definedName name="_xlpm.Evalues" hidden="1" xlm="1">#NAME?</definedName>
    <definedName name="_xlpm.evenWindow" hidden="1" xlm="1">#NAME?</definedName>
    <definedName name="_xlpm.exclude" hidden="1" xlm="1">#NAME?</definedName>
    <definedName name="_xlpm.excludeValue" hidden="1" xlm="1">#NAME?</definedName>
    <definedName name="_xlpm.EXPAND_THUNK_H" hidden="1" xlm="1">#NAME?</definedName>
    <definedName name="_xlpm.expandFromWithin" hidden="1" xlm="1">#NAME?</definedName>
    <definedName name="_xlpm.expression" hidden="1" xlm="1">#NAME?</definedName>
    <definedName name="_xlpm.F" hidden="1" xlm="1">#NAME?</definedName>
    <definedName name="_xlpm.f_1" hidden="1" xlm="1">#NAME?</definedName>
    <definedName name="_xlpm.f_undrift" hidden="1" xlm="1">#NAME?</definedName>
    <definedName name="_xlpm.factor" hidden="1" xlm="1">#NAME?</definedName>
    <definedName name="_xlpm.fcol" hidden="1" xlm="1">#NAME?</definedName>
    <definedName name="_xlpm.Fcrit" hidden="1" xlm="1">#NAME?</definedName>
    <definedName name="_xlpm.fcst" hidden="1" xlm="1">#NAME?</definedName>
    <definedName name="_xlpm.fill" hidden="1" xlm="1">#NAME?</definedName>
    <definedName name="_xlpm.filling" hidden="1" xlm="1">#NAME?</definedName>
    <definedName name="_xlpm.fillWithNA" hidden="1" xlm="1">#NAME?</definedName>
    <definedName name="_xlpm.filtAsymmCycle" hidden="1" xlm="1">#NAME?</definedName>
    <definedName name="_xlpm.filter" hidden="1" xlm="1">#NAME?</definedName>
    <definedName name="_xlpm.filtered" hidden="1" xlm="1">#NAME?</definedName>
    <definedName name="_xlpm.filteredOrdered" hidden="1" xlm="1">#NAME?</definedName>
    <definedName name="_xlpm.filterType" hidden="1" xlm="1">#NAME?</definedName>
    <definedName name="_xlpm.filtFixedCycle" hidden="1" xlm="1">#NAME?</definedName>
    <definedName name="_xlpm.filtSymmCycle" hidden="1" xlm="1">#NAME?</definedName>
    <definedName name="_xlpm.final" hidden="1" xlm="1">#NAME?</definedName>
    <definedName name="_xlpm.finalCol" hidden="1" xlm="1">#NAME?</definedName>
    <definedName name="_xlpm.finalQ" hidden="1" xlm="1">#NAME?</definedName>
    <definedName name="_xlpm.finalR" hidden="1" xlm="1">#NAME?</definedName>
    <definedName name="_xlpm.flat" hidden="1" xlm="1">#NAME?</definedName>
    <definedName name="_xlpm.flattenedMatrix" hidden="1" xlm="1">#NAME?</definedName>
    <definedName name="_xlpm.flin" hidden="1" xlm="1">#NAME?</definedName>
    <definedName name="_xlpm.format" hidden="1" xlm="1">#NAME?</definedName>
    <definedName name="_xlpm.frequency" hidden="1" xlm="1">#NAME?</definedName>
    <definedName name="_xlpm.Fstat" hidden="1" xlm="1">#NAME?</definedName>
    <definedName name="_xlpm.fStatPvalue" hidden="1" xlm="1">#NAME?</definedName>
    <definedName name="_xlpm.full" hidden="1" xlm="1">#NAME?</definedName>
    <definedName name="_xlpm.func" hidden="1" xlm="1">#NAME?</definedName>
    <definedName name="_xlpm.funcX" hidden="1" xlm="1">#NAME?</definedName>
    <definedName name="_xlpm.funcY" hidden="1" xlm="1">#NAME?</definedName>
    <definedName name="_xlpm.fx" hidden="1" xlm="1">#NAME?</definedName>
    <definedName name="_xlpm.g" hidden="1" xlm="1">#NAME?</definedName>
    <definedName name="_xlpm.GG" hidden="1" xlm="1">#NAME?</definedName>
    <definedName name="_xlpm.groupAverage" hidden="1" xlm="1">#NAME?</definedName>
    <definedName name="_xlpm.groupNames" hidden="1" xlm="1">#NAME?</definedName>
    <definedName name="_xlpm.groupSum" hidden="1" xlm="1">#NAME?</definedName>
    <definedName name="_xlpm.groupSumSqr" hidden="1" xlm="1">#NAME?</definedName>
    <definedName name="_xlpm.groupVar" hidden="1" xlm="1">#NAME?</definedName>
    <definedName name="_xlpm.groupVectors" hidden="1" xlm="1">#NAME?</definedName>
    <definedName name="_xlpm.h" hidden="1" xlm="1">#NAME?</definedName>
    <definedName name="_xlpm.hA" hidden="1" xlm="1">#NAME?</definedName>
    <definedName name="_xlpm.hAfilt" hidden="1" xlm="1">#NAME?</definedName>
    <definedName name="_xlpm.hasConst" hidden="1" xlm="1">#NAME?</definedName>
    <definedName name="_xlpm.hasHeader" hidden="1" xlm="1">#NAME?</definedName>
    <definedName name="_xlpm.hasLabels" hidden="1" xlm="1">#NAME?</definedName>
    <definedName name="_xlpm.hAvals" hidden="1" xlm="1">#NAME?</definedName>
    <definedName name="_xlpm.hB" hidden="1" xlm="1">#NAME?</definedName>
    <definedName name="_xlpm.hBfilt" hidden="1" xlm="1">#NAME?</definedName>
    <definedName name="_xlpm.hBshift" hidden="1" xlm="1">#NAME?</definedName>
    <definedName name="_xlpm.hBvals" hidden="1" xlm="1">#NAME?</definedName>
    <definedName name="_xlpm.hC" hidden="1" xlm="1">#NAME?</definedName>
    <definedName name="_xlpm.head" hidden="1" xlm="1">#NAME?</definedName>
    <definedName name="_xlpm.headA" hidden="1" xlm="1">#NAME?</definedName>
    <definedName name="_xlpm.headB" hidden="1" xlm="1">#NAME?</definedName>
    <definedName name="_xlpm.headC" hidden="1" xlm="1">#NAME?</definedName>
    <definedName name="_xlpm.header" hidden="1" xlm="1">#NAME?</definedName>
    <definedName name="_xlpm.headerFirstRow" hidden="1" xlm="1">#NAME?</definedName>
    <definedName name="_xlpm.headers" hidden="1" xlm="1">#NAME?</definedName>
    <definedName name="_xlpm.highFreq" hidden="1" xlm="1">#NAME?</definedName>
    <definedName name="_xlpm.hMatrix" hidden="1" xlm="1">#NAME?</definedName>
    <definedName name="_xlpm.hsVAR" hidden="1" xlm="1">#NAME?</definedName>
    <definedName name="_xlpm.hsVAR_BRW" hidden="1" xlm="1">#NAME?</definedName>
    <definedName name="_xlpm.i" hidden="1" xlm="1">#NAME?</definedName>
    <definedName name="_xlpm.iA" hidden="1" xlm="1">#NAME?</definedName>
    <definedName name="_xlpm.iB" hidden="1" xlm="1">#NAME?</definedName>
    <definedName name="_xlpm.ic" hidden="1" xlm="1">#NAME?</definedName>
    <definedName name="_xlpm.iD" hidden="1" xlm="1">#NAME?</definedName>
    <definedName name="_xlpm.ident" hidden="1" xlm="1">#NAME?</definedName>
    <definedName name="_xlpm.IDENTIDADE" hidden="1" xlm="1">#NAME?</definedName>
    <definedName name="_xlpm.identOut" hidden="1" xlm="1">#NAME?</definedName>
    <definedName name="_xlpm.idx" hidden="1" xlm="1">#NAME?</definedName>
    <definedName name="_xlpm.idxA" hidden="1" xlm="1">#NAME?</definedName>
    <definedName name="_xlpm.idxB" hidden="1" xlm="1">#NAME?</definedName>
    <definedName name="_xlpm.idxColLB" hidden="1" xlm="1">#NAME?</definedName>
    <definedName name="_xlpm.idxCols" hidden="1" xlm="1">#NAME?</definedName>
    <definedName name="_xlpm.idxColUB" hidden="1" xlm="1">#NAME?</definedName>
    <definedName name="_xlpm.idxLins" hidden="1" xlm="1">#NAME?</definedName>
    <definedName name="_xlpm.idxRowAndCol" hidden="1" xlm="1">#NAME?</definedName>
    <definedName name="_xlpm.idxRowLB" hidden="1" xlm="1">#NAME?</definedName>
    <definedName name="_xlpm.idxRows" hidden="1" xlm="1">#NAME?</definedName>
    <definedName name="_xlpm.idxRowUB" hidden="1" xlm="1">#NAME?</definedName>
    <definedName name="_xlpm.idxs" hidden="1" xlm="1">#NAME?</definedName>
    <definedName name="_xlpm.idxsCol" hidden="1" xlm="1">#NAME?</definedName>
    <definedName name="_xlpm.idxsLin" hidden="1" xlm="1">#NAME?</definedName>
    <definedName name="_xlpm.iE" hidden="1" xlm="1">#NAME?</definedName>
    <definedName name="_xlpm.if_empty" hidden="1" xlm="1">#NAME?</definedName>
    <definedName name="_xlpm.II" hidden="1" xlm="1">#NAME?</definedName>
    <definedName name="_xlpm.IM" hidden="1" xlm="1">#NAME?</definedName>
    <definedName name="_xlpm.imaginaryMatrix" hidden="1" xlm="1">#NAME?</definedName>
    <definedName name="_xlpm.imat" hidden="1" xlm="1">#NAME?</definedName>
    <definedName name="_xlpm.include" hidden="1" xlm="1">#NAME?</definedName>
    <definedName name="_xlpm.includeConstant" hidden="1" xlm="1">#NAME?</definedName>
    <definedName name="_xlpm.includeZeroLag" hidden="1" xlm="1">#NAME?</definedName>
    <definedName name="_xlpm.indexBreak" hidden="1" xlm="1">#NAME?</definedName>
    <definedName name="_xlpm.indices" hidden="1" xlm="1">#NAME?</definedName>
    <definedName name="_xlpm.inflationFactors" hidden="1" xlm="1">#NAME?</definedName>
    <definedName name="_xlpm.infoCritAkaike" hidden="1" xlm="1">#NAME?</definedName>
    <definedName name="_xlpm.infoCritHQ" hidden="1" xlm="1">#NAME?</definedName>
    <definedName name="_xlpm.infoCritSchwarz" hidden="1" xlm="1">#NAME?</definedName>
    <definedName name="_xlpm.init" hidden="1" xlm="1">#NAME?</definedName>
    <definedName name="_xlpm.initial_P" hidden="1" xlm="1">#NAME?</definedName>
    <definedName name="_xlpm.initial_x" hidden="1" xlm="1">#NAME?</definedName>
    <definedName name="_xlpm.inner_acc" hidden="1" xlm="1">#NAME?</definedName>
    <definedName name="_xlpm.inner_Q" hidden="1" xlm="1">#NAME?</definedName>
    <definedName name="_xlpm.inner_R" hidden="1" xlm="1">#NAME?</definedName>
    <definedName name="_xlpm.innerAcc" hidden="1" xlm="1">#NAME?</definedName>
    <definedName name="_xlpm.innerQ" hidden="1" xlm="1">#NAME?</definedName>
    <definedName name="_xlpm.innerR" hidden="1" xlm="1">#NAME?</definedName>
    <definedName name="_xlpm.iNorm" hidden="1" xlm="1">#NAME?</definedName>
    <definedName name="_xlpm.invB" hidden="1" xlm="1">#NAME?</definedName>
    <definedName name="_xlpm.isPopulation" hidden="1" xlm="1">#NAME?</definedName>
    <definedName name="_xlpm.isZeroCol" hidden="1" xlm="1">#NAME?</definedName>
    <definedName name="_xlpm.item" hidden="1" xlm="1">#NAME?</definedName>
    <definedName name="_xlpm.items" hidden="1" xlm="1">#NAME?</definedName>
    <definedName name="_xlpm.itemsMin" hidden="1" xlm="1">#NAME?</definedName>
    <definedName name="_xlpm.itemsPlus" hidden="1" xlm="1">#NAME?</definedName>
    <definedName name="_xlpm.iVar" hidden="1" xlm="1">#NAME?</definedName>
    <definedName name="_xlpm.j" hidden="1" xlm="1">#NAME?</definedName>
    <definedName name="_xlpm.j_2" hidden="1" xlm="1">#NAME?</definedName>
    <definedName name="_xlpm.jackfun" hidden="1" xlm="1">#NAME?</definedName>
    <definedName name="_xlpm.k" hidden="1" xlm="1">#NAME?</definedName>
    <definedName name="_xlpm.Kgain" hidden="1" xlm="1">#NAME?</definedName>
    <definedName name="_xlpm.kGainFiltered" hidden="1" xlm="1">#NAME?</definedName>
    <definedName name="_xlpm.KGanho" hidden="1" xlm="1">#NAME?</definedName>
    <definedName name="_xlpm.kRestricted" hidden="1" xlm="1">#NAME?</definedName>
    <definedName name="_xlpm.lag" hidden="1" xlm="1">#NAME?</definedName>
    <definedName name="_xlpm.lagLength" hidden="1" xlm="1">#NAME?</definedName>
    <definedName name="_xlpm.lags" hidden="1" xlm="1">#NAME?</definedName>
    <definedName name="_xlpm.lagsHAC" hidden="1" xlm="1">#NAME?</definedName>
    <definedName name="_xlpm.lagWindow" hidden="1" xlm="1">#NAME?</definedName>
    <definedName name="_xlpm.lambda" hidden="1" xlm="1">#NAME?</definedName>
    <definedName name="_xlpm.lastCol" hidden="1" xlm="1">#NAME?</definedName>
    <definedName name="_xlpm.lastRow" hidden="1" xlm="1">#NAME?</definedName>
    <definedName name="_xlpm.lb" hidden="1" xlm="1">#NAME?</definedName>
    <definedName name="_xlpm.leadLength" hidden="1" xlm="1">#NAME?</definedName>
    <definedName name="_xlpm.lev" hidden="1" xlm="1">#NAME?</definedName>
    <definedName name="_xlpm.leverage" hidden="1" xlm="1">#NAME?</definedName>
    <definedName name="_xlpm.levValues" hidden="1" xlm="1">#NAME?</definedName>
    <definedName name="_xlpm.lin" hidden="1" xlm="1">#NAME?</definedName>
    <definedName name="_xlpm.lin_end" hidden="1" xlm="1">#NAME?</definedName>
    <definedName name="_xlpm.lin_start" hidden="1" xlm="1">#NAME?</definedName>
    <definedName name="_xlpm.linCol" hidden="1" xlm="1">#NAME?</definedName>
    <definedName name="_xlpm.lineANOVA1" hidden="1" xlm="1">#NAME?</definedName>
    <definedName name="_xlpm.lineANOVA1lab" hidden="1" xlm="1">#NAME?</definedName>
    <definedName name="_xlpm.lineANOVA1res" hidden="1" xlm="1">#NAME?</definedName>
    <definedName name="_xlpm.lineANOVA2" hidden="1" xlm="1">#NAME?</definedName>
    <definedName name="_xlpm.lineANOVA2DF" hidden="1" xlm="1">#NAME?</definedName>
    <definedName name="_xlpm.lineANOVA2F" hidden="1" xlm="1">#NAME?</definedName>
    <definedName name="_xlpm.lineANOVA2Fcrit" hidden="1" xlm="1">#NAME?</definedName>
    <definedName name="_xlpm.lineANOVA2MS" hidden="1" xlm="1">#NAME?</definedName>
    <definedName name="_xlpm.lineANOVA2p" hidden="1" xlm="1">#NAME?</definedName>
    <definedName name="_xlpm.lineANOVA2SS" hidden="1" xlm="1">#NAME?</definedName>
    <definedName name="_xlpm.lineChar" hidden="1" xlm="1">#NAME?</definedName>
    <definedName name="_xlpm.linhas" hidden="1" xlm="1">#NAME?</definedName>
    <definedName name="_xlpm.linn" hidden="1" xlm="1">#NAME?</definedName>
    <definedName name="_xlpm.LinsA" hidden="1" xlm="1">#NAME?</definedName>
    <definedName name="_xlpm.LinsB" hidden="1" xlm="1">#NAME?</definedName>
    <definedName name="_xlpm.linVals" hidden="1" xlm="1">#NAME?</definedName>
    <definedName name="_xlpm.list" hidden="1" xlm="1">#NAME?</definedName>
    <definedName name="_xlpm.Ln_0" hidden="1" xlm="1">#NAME?</definedName>
    <definedName name="_xlpm.Ln_1" hidden="1" xlm="1">#NAME?</definedName>
    <definedName name="_xlpm.lo" hidden="1" xlm="1">#NAME?</definedName>
    <definedName name="_xlpm.logLik" hidden="1" xlm="1">#NAME?</definedName>
    <definedName name="_xlpm.low" hidden="1" xlm="1">#NAME?</definedName>
    <definedName name="_xlpm.lowe" hidden="1" xlm="1">#NAME?</definedName>
    <definedName name="_xlpm.lower" hidden="1" xlm="1">#NAME?</definedName>
    <definedName name="_xlpm.lowerB" hidden="1" xlm="1">#NAME?</definedName>
    <definedName name="_xlpm.lowerBo" hidden="1" xlm="1">#NAME?</definedName>
    <definedName name="_xlpm.lowerBou" hidden="1" xlm="1">#NAME?</definedName>
    <definedName name="_xlpm.lowerBoun" hidden="1" xlm="1">#NAME?</definedName>
    <definedName name="_xlpm.lowerBound" hidden="1" xlm="1">#NAME?</definedName>
    <definedName name="_xlpm.lowerCutoff" hidden="1" xlm="1">#NAME?</definedName>
    <definedName name="_xlpm.lowerL" hidden="1" xlm="1">#NAME?</definedName>
    <definedName name="_xlpm.lowerLe" hidden="1" xlm="1">#NAME?</definedName>
    <definedName name="_xlpm.lowerLea" hidden="1" xlm="1">#NAME?</definedName>
    <definedName name="_xlpm.lowerLead" hidden="1" xlm="1">#NAME?</definedName>
    <definedName name="_xlpm.lowerMatrix" hidden="1" xlm="1">#NAME?</definedName>
    <definedName name="_xlpm.lowFreq" hidden="1" xlm="1">#NAME?</definedName>
    <definedName name="_xlpm.m" hidden="1" xlm="1">#NAME?</definedName>
    <definedName name="_xlpm.m_1" hidden="1" xlm="1">#NAME?</definedName>
    <definedName name="_xlpm.m_2" hidden="1" xlm="1">#NAME?</definedName>
    <definedName name="_xlpm.m_3" hidden="1" xlm="1">#NAME?</definedName>
    <definedName name="_xlpm.mA" hidden="1" xlm="1">#NAME?</definedName>
    <definedName name="_xlpm.ma_lags" hidden="1" xlm="1">#NAME?</definedName>
    <definedName name="_xlpm.mad" hidden="1" xlm="1">#NAME?</definedName>
    <definedName name="_xlpm.mainTable" hidden="1" xlm="1">#NAME?</definedName>
    <definedName name="_xlpm.maLags" hidden="1" xlm="1">#NAME?</definedName>
    <definedName name="_xlpm.maLags2" hidden="1" xlm="1">#NAME?</definedName>
    <definedName name="_xlpm.mat" hidden="1" xlm="1">#NAME?</definedName>
    <definedName name="_xlpm.matrix" hidden="1" xlm="1">#NAME?</definedName>
    <definedName name="_xlpm.matrix_1" hidden="1" xlm="1">#NAME?</definedName>
    <definedName name="_xlpm.matrix_2" hidden="1" xlm="1">#NAME?</definedName>
    <definedName name="_xlpm.matrix_3" hidden="1" xlm="1">#NAME?</definedName>
    <definedName name="_xlpm.matrix_4" hidden="1" xlm="1">#NAME?</definedName>
    <definedName name="_xlpm.matrix_5" hidden="1" xlm="1">#NAME?</definedName>
    <definedName name="_xlpm.matrix_names" hidden="1" xlm="1">#NAME?</definedName>
    <definedName name="_xlpm.matrix0" hidden="1" xlm="1">#NAME?</definedName>
    <definedName name="_xlpm.matrix1" hidden="1" xlm="1">#NAME?</definedName>
    <definedName name="_xlpm.matrix2" hidden="1" xlm="1">#NAME?</definedName>
    <definedName name="_xlpm.matrixA" hidden="1" xlm="1">#NAME?</definedName>
    <definedName name="_xlpm.matrixB" hidden="1" xlm="1">#NAME?</definedName>
    <definedName name="_xlpm.matrixClass" hidden="1" xlm="1">#NAME?</definedName>
    <definedName name="_xlpm.matrixH" hidden="1" xlm="1">#NAME?</definedName>
    <definedName name="_xlpm.matrixHelper" hidden="1" xlm="1">#NAME?</definedName>
    <definedName name="_xlpm.matrixSample" hidden="1" xlm="1">#NAME?</definedName>
    <definedName name="_xlpm.matrixText" hidden="1" xlm="1">#NAME?</definedName>
    <definedName name="_xlpm.matrixV" hidden="1" xlm="1">#NAME?</definedName>
    <definedName name="_xlpm.max_eigenval" hidden="1" xlm="1">#NAME?</definedName>
    <definedName name="_xlpm.max_iter" hidden="1" xlm="1">#NAME?</definedName>
    <definedName name="_xlpm.maxColA" hidden="1" xlm="1">#NAME?</definedName>
    <definedName name="_xlpm.maxCols" hidden="1" xlm="1">#NAME?</definedName>
    <definedName name="_xlpm.maxConditionIndex" hidden="1" xlm="1">#NAME?</definedName>
    <definedName name="_xlpm.maxDiffs" hidden="1" xlm="1">#NAME?</definedName>
    <definedName name="_xlpm.maxInflationVarFactor" hidden="1" xlm="1">#NAME?</definedName>
    <definedName name="_xlpm.maxInteger" hidden="1" xlm="1">#NAME?</definedName>
    <definedName name="_xlpm.maxNorm" hidden="1" xlm="1">#NAME?</definedName>
    <definedName name="_xlpm.maxRows" hidden="1" xlm="1">#NAME?</definedName>
    <definedName name="_xlpm.maxValues" hidden="1" xlm="1">#NAME?</definedName>
    <definedName name="_xlpm.mB" hidden="1" xlm="1">#NAME?</definedName>
    <definedName name="_xlpm.mCols" hidden="1" xlm="1">#NAME?</definedName>
    <definedName name="_xlpm.meanCrisis_1" hidden="1" xlm="1">#NAME?</definedName>
    <definedName name="_xlpm.meanCrisis_2" hidden="1" xlm="1">#NAME?</definedName>
    <definedName name="_xlpm.meanDepVar" hidden="1" xlm="1">#NAME?</definedName>
    <definedName name="_xlpm.meanFilter" hidden="1" xlm="1">#NAME?</definedName>
    <definedName name="_xlpm.meanNonCrisis_1" hidden="1" xlm="1">#NAME?</definedName>
    <definedName name="_xlpm.meanNonCrisis_2" hidden="1" xlm="1">#NAME?</definedName>
    <definedName name="_xlpm.method" hidden="1" xlm="1">#NAME?</definedName>
    <definedName name="_xlpm.min_eigenval" hidden="1" xlm="1">#NAME?</definedName>
    <definedName name="_xlpm.minDim" hidden="1" xlm="1">#NAME?</definedName>
    <definedName name="_xlpm.mineigenvalueCondition" hidden="1" xlm="1">#NAME?</definedName>
    <definedName name="_xlpm.minInteger" hidden="1" xlm="1">#NAME?</definedName>
    <definedName name="_xlpm.miss_col_end" hidden="1" xlm="1">#NAME?</definedName>
    <definedName name="_xlpm.miss_col_start" hidden="1" xlm="1">#NAME?</definedName>
    <definedName name="_xlpm.miss_lin_end" hidden="1" xlm="1">#NAME?</definedName>
    <definedName name="_xlpm.miss_lin_start" hidden="1" xlm="1">#NAME?</definedName>
    <definedName name="_xlpm.mm" hidden="1" xlm="1">#NAME?</definedName>
    <definedName name="_xlpm.mse" hidden="1" xlm="1">#NAME?</definedName>
    <definedName name="_xlpm.mseq" hidden="1" xlm="1">#NAME?</definedName>
    <definedName name="_xlpm.MSres" hidden="1" xlm="1">#NAME?</definedName>
    <definedName name="_xlpm.MSresi" hidden="1" xlm="1">#NAME?</definedName>
    <definedName name="_xlpm.mu" hidden="1" xlm="1">#NAME?</definedName>
    <definedName name="_xlpm.MUL" hidden="1" xlm="1">#NAME?</definedName>
    <definedName name="_xlpm.MULT" hidden="1" xlm="1">#NAME?</definedName>
    <definedName name="_xlpm.mw" hidden="1" xlm="1">#NAME?</definedName>
    <definedName name="_xlpm.N" hidden="1" xlm="1">#NAME?</definedName>
    <definedName name="_xlpm.n_1" hidden="1" xlm="1">#NAME?</definedName>
    <definedName name="_xlpm.n_2" hidden="1" xlm="1">#NAME?</definedName>
    <definedName name="_xlpm.nA" hidden="1" xlm="1">#NAME?</definedName>
    <definedName name="_xlpm.nB" hidden="1" xlm="1">#NAME?</definedName>
    <definedName name="_xlpm.nboot" hidden="1" xlm="1">#NAME?</definedName>
    <definedName name="_xlpm.nCategories" hidden="1" xlm="1">#NAME?</definedName>
    <definedName name="_xlpm.nCols" hidden="1" xlm="1">#NAME?</definedName>
    <definedName name="_xlpm.nCrisis_1" hidden="1" xlm="1">#NAME?</definedName>
    <definedName name="_xlpm.nCrisis_2" hidden="1" xlm="1">#NAME?</definedName>
    <definedName name="_xlpm.nElements" hidden="1" xlm="1">#NAME?</definedName>
    <definedName name="_xlpm.nElems" hidden="1" xlm="1">#NAME?</definedName>
    <definedName name="_xlpm.new" hidden="1" xlm="1">#NAME?</definedName>
    <definedName name="_xlpm.newCoeffs" hidden="1" xlm="1">#NAME?</definedName>
    <definedName name="_xlpm.newCoeffs2" hidden="1" xlm="1">#NAME?</definedName>
    <definedName name="_xlpm.newCol" hidden="1" xlm="1">#NAME?</definedName>
    <definedName name="_xlpm.newCols" hidden="1" xlm="1">#NAME?</definedName>
    <definedName name="_xlpm.newHead" hidden="1" xlm="1">#NAME?</definedName>
    <definedName name="_xlpm.newMat" hidden="1" xlm="1">#NAME?</definedName>
    <definedName name="_xlpm.newMatrix" hidden="1" xlm="1">#NAME?</definedName>
    <definedName name="_xlpm.newMatrix1" hidden="1" xlm="1">#NAME?</definedName>
    <definedName name="_xlpm.newMatrix2" hidden="1" xlm="1">#NAME?</definedName>
    <definedName name="_xlpm.newMatrix3" hidden="1" xlm="1">#NAME?</definedName>
    <definedName name="_xlpm.newMatrix4" hidden="1" xlm="1">#NAME?</definedName>
    <definedName name="_xlpm.newMatrix5" hidden="1" xlm="1">#NAME?</definedName>
    <definedName name="_xlpm.newQ" hidden="1" xlm="1">#NAME?</definedName>
    <definedName name="_xlpm.newR" hidden="1" xlm="1">#NAME?</definedName>
    <definedName name="_xlpm.newResids" hidden="1" xlm="1">#NAME?</definedName>
    <definedName name="_xlpm.newResids2" hidden="1" xlm="1">#NAME?</definedName>
    <definedName name="_xlpm.newResidsFinal" hidden="1" xlm="1">#NAME?</definedName>
    <definedName name="_xlpm.newRows" hidden="1" xlm="1">#NAME?</definedName>
    <definedName name="_xlpm.newText" hidden="1" xlm="1">#NAME?</definedName>
    <definedName name="_xlpm.newVals" hidden="1" xlm="1">#NAME?</definedName>
    <definedName name="_xlpm.newX" hidden="1" xlm="1">#NAME?</definedName>
    <definedName name="_xlpm.nExp" hidden="1" xlm="1">#NAME?</definedName>
    <definedName name="_xlpm.nFactors" hidden="1" xlm="1">#NAME?</definedName>
    <definedName name="_xlpm.nfix" hidden="1" xlm="1">#NAME?</definedName>
    <definedName name="_xlpm.nGroups" hidden="1" xlm="1">#NAME?</definedName>
    <definedName name="_xlpm.nLags" hidden="1" xlm="1">#NAME?</definedName>
    <definedName name="_xlpm.nLeads" hidden="1" xlm="1">#NAME?</definedName>
    <definedName name="_xlpm.nLins" hidden="1" xlm="1">#NAME?</definedName>
    <definedName name="_xlpm.nn" hidden="1" xlm="1">#NAME?</definedName>
    <definedName name="_xlpm.nNonCrisis_1" hidden="1" xlm="1">#NAME?</definedName>
    <definedName name="_xlpm.nNonCrisis_2" hidden="1" xlm="1">#NAME?</definedName>
    <definedName name="_xlpm.nObs" hidden="1" xlm="1">#NAME?</definedName>
    <definedName name="_xlpm.noConstant_noTrend" hidden="1" xlm="1">#NAME?</definedName>
    <definedName name="_xlpm.nonExclusive" hidden="1" xlm="1">#NAME?</definedName>
    <definedName name="_xlpm.norm" hidden="1" xlm="1">#NAME?</definedName>
    <definedName name="_xlpm.norm_val" hidden="1" xlm="1">#NAME?</definedName>
    <definedName name="_xlpm.normalize" hidden="1" xlm="1">#NAME?</definedName>
    <definedName name="_xlpm.normalized" hidden="1" xlm="1">#NAME?</definedName>
    <definedName name="_xlpm.normEigVecs" hidden="1" xlm="1">#NAME?</definedName>
    <definedName name="_xlpm.norms" hidden="1" xlm="1">#NAME?</definedName>
    <definedName name="_xlpm.nout" hidden="1" xlm="1">#NAME?</definedName>
    <definedName name="_xlpm.nova_linha" hidden="1" xlm="1">#NAME?</definedName>
    <definedName name="_xlpm.novo_coeff" hidden="1" xlm="1">#NAME?</definedName>
    <definedName name="_xlpm.novo_resid" hidden="1" xlm="1">#NAME?</definedName>
    <definedName name="_xlpm.novo_θ₁" hidden="1" xlm="1">#NAME?</definedName>
    <definedName name="_xlpm.novo_σ²" hidden="1" xlm="1">#NAME?</definedName>
    <definedName name="_xlpm.nParams" hidden="1" xlm="1">#NAME?</definedName>
    <definedName name="_xlpm.nPeriods" hidden="1" xlm="1">#NAME?</definedName>
    <definedName name="_xlpm.nPower" hidden="1" xlm="1">#NAME?</definedName>
    <definedName name="_xlpm.nRows" hidden="1" xlm="1">#NAME?</definedName>
    <definedName name="_xlpm.nseq" hidden="1" xlm="1">#NAME?</definedName>
    <definedName name="_xlpm.nSize" hidden="1" xlm="1">#NAME?</definedName>
    <definedName name="_xlpm.nTerms" hidden="1" xlm="1">#NAME?</definedName>
    <definedName name="_xlpm.num_digits" hidden="1" xlm="1">#NAME?</definedName>
    <definedName name="_xlpm.NumCols" hidden="1" xlm="1">#NAME?</definedName>
    <definedName name="_xlpm.numIter" hidden="1" xlm="1">#NAME?</definedName>
    <definedName name="_xlpm.NumRows" hidden="1" xlm="1">#NAME?</definedName>
    <definedName name="_xlpm.nWeights" hidden="1" xlm="1">#NAME?</definedName>
    <definedName name="_xlpm.obs" hidden="1" xlm="1">#NAME?</definedName>
    <definedName name="_xlpm.old" hidden="1" xlm="1">#NAME?</definedName>
    <definedName name="_xlpm.oldChars" hidden="1" xlm="1">#NAME?</definedName>
    <definedName name="_xlpm.oldCoeffs" hidden="1" xlm="1">#NAME?</definedName>
    <definedName name="_xlpm.oldResids" hidden="1" xlm="1">#NAME?</definedName>
    <definedName name="_xlpm.onlyValues" hidden="1" xlm="1">#NAME?</definedName>
    <definedName name="_xlpm.oper" hidden="1" xlm="1">#NAME?</definedName>
    <definedName name="_xlpm.operacao" hidden="1" xlm="1">#NAME?</definedName>
    <definedName name="_xlpm.operation" hidden="1" xlm="1">#NAME?</definedName>
    <definedName name="_xlpm.order" hidden="1" xlm="1">#NAME?</definedName>
    <definedName name="_xlpm.orderA" hidden="1" xlm="1">#NAME?</definedName>
    <definedName name="_xlpm.orderB" hidden="1" xlm="1">#NAME?</definedName>
    <definedName name="_xlpm.orderC" hidden="1" xlm="1">#NAME?</definedName>
    <definedName name="_xlpm.orig" hidden="1" xlm="1">#NAME?</definedName>
    <definedName name="_xlpm.origCol" hidden="1" xlm="1">#NAME?</definedName>
    <definedName name="_xlpm.origin" hidden="1" xlm="1">#NAME?</definedName>
    <definedName name="_xlpm.originalMatrix" hidden="1" xlm="1">#NAME?</definedName>
    <definedName name="_xlpm.orthogonalCol" hidden="1" xlm="1">#NAME?</definedName>
    <definedName name="_xlpm.orthogonalNorm" hidden="1" xlm="1">#NAME?</definedName>
    <definedName name="_xlpm.orthogonalRandom" hidden="1" xlm="1">#NAME?</definedName>
    <definedName name="_xlpm.orthogonalRandomAttempt" hidden="1" xlm="1">#NAME?</definedName>
    <definedName name="_xlpm.orthogonalRandomNorm" hidden="1" xlm="1">#NAME?</definedName>
    <definedName name="_xlpm.orthogonalRandomNormAttempt" hidden="1" xlm="1">#NAME?</definedName>
    <definedName name="_xlpm.otherStats" hidden="1" xlm="1">#NAME?</definedName>
    <definedName name="_xlpm.out" hidden="1" xlm="1">#NAME?</definedName>
    <definedName name="_xlpm.p" hidden="1" xlm="1">#NAME?</definedName>
    <definedName name="_xlpm.P_" hidden="1" xlm="1">#NAME?</definedName>
    <definedName name="_xlpm.P_anterior" hidden="1" xlm="1">#NAME?</definedName>
    <definedName name="_xlpm.P_atualizado" hidden="1" xlm="1">#NAME?</definedName>
    <definedName name="_xlpm.P_predito" hidden="1" xlm="1">#NAME?</definedName>
    <definedName name="_xlpm.P0" hidden="1" xlm="1">#NAME?</definedName>
    <definedName name="_xlpm.param1" hidden="1" xlm="1">#NAME?</definedName>
    <definedName name="_xlpm.param2" hidden="1" xlm="1">#NAME?</definedName>
    <definedName name="_xlpm.param3" hidden="1" xlm="1">#NAME?</definedName>
    <definedName name="_xlpm.paramArrayPos" hidden="1" xlm="1">#NAME?</definedName>
    <definedName name="_xlpm.patch" hidden="1" xlm="1">#NAME?</definedName>
    <definedName name="_xlpm.patchLeft" hidden="1" xlm="1">#NAME?</definedName>
    <definedName name="_xlpm.patchLower" hidden="1" xlm="1">#NAME?</definedName>
    <definedName name="_xlpm.patchRight" hidden="1" xlm="1">#NAME?</definedName>
    <definedName name="_xlpm.patchUpper" hidden="1" xlm="1">#NAME?</definedName>
    <definedName name="_xlpm.pentad" hidden="1" xlm="1">#NAME?</definedName>
    <definedName name="_xlpm.pentad0" hidden="1" xlm="1">#NAME?</definedName>
    <definedName name="_xlpm.pentad1" hidden="1" xlm="1">#NAME?</definedName>
    <definedName name="_xlpm.pentad2" hidden="1" xlm="1">#NAME?</definedName>
    <definedName name="_xlpm.period" hidden="1" xlm="1">#NAME?</definedName>
    <definedName name="_xlpm.perm" hidden="1" xlm="1">#NAME?</definedName>
    <definedName name="_xlpm.PFIltered" hidden="1" xlm="1">#NAME?</definedName>
    <definedName name="_xlpm.PFiltrado" hidden="1" xlm="1">#NAME?</definedName>
    <definedName name="_xlpm.phi" hidden="1" xlm="1">#NAME?</definedName>
    <definedName name="_xlpm.pickedX" hidden="1" xlm="1">#NAME?</definedName>
    <definedName name="_xlpm.pivotCol" hidden="1" xlm="1">#NAME?</definedName>
    <definedName name="_xlpm.pivotIndex" hidden="1" xlm="1">#NAME?</definedName>
    <definedName name="_xlpm.Pmse" hidden="1" xlm="1">#NAME?</definedName>
    <definedName name="_xlpm.po" hidden="1" xlm="1">#NAME?</definedName>
    <definedName name="_xlpm.portfolioKurt" hidden="1" xlm="1">#NAME?</definedName>
    <definedName name="_xlpm.portfolioMean" hidden="1" xlm="1">#NAME?</definedName>
    <definedName name="_xlpm.portfolioMedian" hidden="1" xlm="1">#NAME?</definedName>
    <definedName name="_xlpm.portfolioPrices" hidden="1" xlm="1">#NAME?</definedName>
    <definedName name="_xlpm.portfolioReturns" hidden="1" xlm="1">#NAME?</definedName>
    <definedName name="_xlpm.portfolioSkew" hidden="1" xlm="1">#NAME?</definedName>
    <definedName name="_xlpm.portfolioStd" hidden="1" xlm="1">#NAME?</definedName>
    <definedName name="_xlpm.portfolioVar" hidden="1" xlm="1">#NAME?</definedName>
    <definedName name="_xlpm.portfolioWeights" hidden="1" xlm="1">#NAME?</definedName>
    <definedName name="_xlpm.posAll" hidden="1" xlm="1">#NAME?</definedName>
    <definedName name="_xlpm.posEnd" hidden="1" xlm="1">#NAME?</definedName>
    <definedName name="_xlpm.position" hidden="1" xlm="1">#NAME?</definedName>
    <definedName name="_xlpm.posMin" hidden="1" xlm="1">#NAME?</definedName>
    <definedName name="_xlpm.posPlus" hidden="1" xlm="1">#NAME?</definedName>
    <definedName name="_xlpm.posStart" hidden="1" xlm="1">#NAME?</definedName>
    <definedName name="_xlpm.pow" hidden="1" xlm="1">#NAME?</definedName>
    <definedName name="_xlpm.powe" hidden="1" xlm="1">#NAME?</definedName>
    <definedName name="_xlpm.power" hidden="1" xlm="1">#NAME?</definedName>
    <definedName name="_xlpm.PP" hidden="1" xlm="1">#NAME?</definedName>
    <definedName name="_xlpm.predicted" hidden="1" xlm="1">#NAME?</definedName>
    <definedName name="_xlpm.predictors" hidden="1" xlm="1">#NAME?</definedName>
    <definedName name="_xlpm.prematrix" hidden="1" xlm="1">#NAME?</definedName>
    <definedName name="_xlpm.processed" hidden="1" xlm="1">#NAME?</definedName>
    <definedName name="_xlpm.processedMatrix" hidden="1" xlm="1">#NAME?</definedName>
    <definedName name="_xlpm.proj" hidden="1" xlm="1">#NAME?</definedName>
    <definedName name="_xlpm.projection" hidden="1" xlm="1">#NAME?</definedName>
    <definedName name="_xlpm.proportionVar" hidden="1" xlm="1">#NAME?</definedName>
    <definedName name="_xlpm.pTest" hidden="1" xlm="1">#NAME?</definedName>
    <definedName name="_xlpm.pTest_1_3" hidden="1" xlm="1">#NAME?</definedName>
    <definedName name="_xlpm.pTest_3_1" hidden="1" xlm="1">#NAME?</definedName>
    <definedName name="_xlpm.pVal" hidden="1" xlm="1">#NAME?</definedName>
    <definedName name="_xlpm.pValue" hidden="1" xlm="1">#NAME?</definedName>
    <definedName name="_xlpm.pValueStat" hidden="1" xlm="1">#NAME?</definedName>
    <definedName name="_xlpm.Q" hidden="1" xlm="1">#NAME?</definedName>
    <definedName name="_xlpm.Q_adj" hidden="1" xlm="1">#NAME?</definedName>
    <definedName name="_xlpm.qCol" hidden="1" xlm="1">#NAME?</definedName>
    <definedName name="_xlpm.qColNorm" hidden="1" xlm="1">#NAME?</definedName>
    <definedName name="_xlpm.qi" hidden="1" xlm="1">#NAME?</definedName>
    <definedName name="_xlpm.Qiter" hidden="1" xlm="1">#NAME?</definedName>
    <definedName name="_xlpm.Qjter" hidden="1" xlm="1">#NAME?</definedName>
    <definedName name="_xlpm.QQ" hidden="1" xlm="1">#NAME?</definedName>
    <definedName name="_xlpm.QQQ" hidden="1" xlm="1">#NAME?</definedName>
    <definedName name="_xlpm.QR" hidden="1" xlm="1">#NAME?</definedName>
    <definedName name="_xlpm.Qs" hidden="1" xlm="1">#NAME?</definedName>
    <definedName name="_xlpm.r" hidden="1" xlm="1">#NAME?</definedName>
    <definedName name="_xlpm.R_0" hidden="1" xlm="1">#NAME?</definedName>
    <definedName name="_xlpm.R_adj" hidden="1" xlm="1">#NAME?</definedName>
    <definedName name="_xlpm.R_matrix" hidden="1" xlm="1">#NAME?</definedName>
    <definedName name="_xlpm.radefault" hidden="1" xlm="1">#NAME?</definedName>
    <definedName name="_xlpm.raidefault" hidden="1" xlm="1">#NAME?</definedName>
    <definedName name="_xlpm.raisdefault" hidden="1" xlm="1">#NAME?</definedName>
    <definedName name="_xlpm.raisedefault" hidden="1" xlm="1">#NAME?</definedName>
    <definedName name="_xlpm.randomSeed" hidden="1" xlm="1">#NAME?</definedName>
    <definedName name="_xlpm.randomVec" hidden="1" xlm="1">#NAME?</definedName>
    <definedName name="_xlpm.range" hidden="1" xlm="1">#NAME?</definedName>
    <definedName name="_xlpm.rankedReturn" hidden="1" xlm="1">#NAME?</definedName>
    <definedName name="_xlpm.rankedReturnCumm" hidden="1" xlm="1">#NAME?</definedName>
    <definedName name="_xlpm.rankRows" hidden="1" xlm="1">#NAME?</definedName>
    <definedName name="_xlpm.rdefault" hidden="1" xlm="1">#NAME?</definedName>
    <definedName name="_xlpm.RE" hidden="1" xlm="1">#NAME?</definedName>
    <definedName name="_xlpm.realMatrix" hidden="1" xlm="1">#NAME?</definedName>
    <definedName name="_xlpm.recency" hidden="1" xlm="1">#NAME?</definedName>
    <definedName name="_xlpm.ref" hidden="1" xlm="1">#NAME?</definedName>
    <definedName name="_xlpm.relPivot" hidden="1" xlm="1">#NAME?</definedName>
    <definedName name="_xlpm.remCols" hidden="1" xlm="1">#NAME?</definedName>
    <definedName name="_xlpm.remCount" hidden="1" xlm="1">#NAME?</definedName>
    <definedName name="_xlpm.remLins" hidden="1" xlm="1">#NAME?</definedName>
    <definedName name="_xlpm.remove" hidden="1" xlm="1">#NAME?</definedName>
    <definedName name="_xlpm.res" hidden="1" xlm="1">#NAME?</definedName>
    <definedName name="_xlpm.res_backcast" hidden="1" xlm="1">#NAME?</definedName>
    <definedName name="_xlpm.res_backward" hidden="1" xlm="1">#NAME?</definedName>
    <definedName name="_xlpm.res_forward" hidden="1" xlm="1">#NAME?</definedName>
    <definedName name="_xlpm.resAR" hidden="1" xlm="1">#NAME?</definedName>
    <definedName name="_xlpm.resid" hidden="1" xlm="1">#NAME?</definedName>
    <definedName name="_xlpm.resids" hidden="1" xlm="1">#NAME?</definedName>
    <definedName name="_xlpm.resíduo" hidden="1" xlm="1">#NAME?</definedName>
    <definedName name="_xlpm.resized" hidden="1" xlm="1">#NAME?</definedName>
    <definedName name="_xlpm.resMat" hidden="1" xlm="1">#NAME?</definedName>
    <definedName name="_xlpm.resMatrix" hidden="1" xlm="1">#NAME?</definedName>
    <definedName name="_xlpm.result" hidden="1" xlm="1">#NAME?</definedName>
    <definedName name="_xlpm.resultados" hidden="1" xlm="1">#NAME?</definedName>
    <definedName name="_xlpm.resultFinal" hidden="1" xlm="1">#NAME?</definedName>
    <definedName name="_xlpm.resultMatrix" hidden="1" xlm="1">#NAME?</definedName>
    <definedName name="_xlpm.resultMatrixHeaders" hidden="1" xlm="1">#NAME?</definedName>
    <definedName name="_xlpm.resultOrder" hidden="1" xlm="1">#NAME?</definedName>
    <definedName name="_xlpm.results" hidden="1" xlm="1">#NAME?</definedName>
    <definedName name="_xlpm.return" hidden="1" xlm="1">#NAME?</definedName>
    <definedName name="_xlpm.return_type" hidden="1" xlm="1">#NAME?</definedName>
    <definedName name="_xlpm.returnAllFactors" hidden="1" xlm="1">#NAME?</definedName>
    <definedName name="_xlpm.returnCriterionValues" hidden="1" xlm="1">#NAME?</definedName>
    <definedName name="_xlpm.returnCriticalStatus" hidden="1" xlm="1">#NAME?</definedName>
    <definedName name="_xlpm.returnedObject" hidden="1" xlm="1">#NAME?</definedName>
    <definedName name="_xlpm.returnInverse" hidden="1" xlm="1">#NAME?</definedName>
    <definedName name="_xlpm.returnObject" hidden="1" xlm="1">#NAME?</definedName>
    <definedName name="_xlpm.returnPValue" hidden="1" xlm="1">#NAME?</definedName>
    <definedName name="_xlpm.returnRowAndCol" hidden="1" xlm="1">#NAME?</definedName>
    <definedName name="_xlpm.returnTest" hidden="1" xlm="1">#NAME?</definedName>
    <definedName name="_xlpm.returnType" hidden="1" xlm="1">#NAME?</definedName>
    <definedName name="_xlpm.returnZstat" hidden="1" xlm="1">#NAME?</definedName>
    <definedName name="_xlpm.rFisher_1" hidden="1" xlm="1">#NAME?</definedName>
    <definedName name="_xlpm.rFisher_2" hidden="1" xlm="1">#NAME?</definedName>
    <definedName name="_xlpm.rho" hidden="1" xlm="1">#NAME?</definedName>
    <definedName name="_xlpm.rightSize" hidden="1" xlm="1">#NAME?</definedName>
    <definedName name="_xlpm.Riter" hidden="1" xlm="1">#NAME?</definedName>
    <definedName name="_xlpm.Rjter" hidden="1" xlm="1">#NAME?</definedName>
    <definedName name="_xlpm.robustStd" hidden="1" xlm="1">#NAME?</definedName>
    <definedName name="_xlpm.robustType" hidden="1" xlm="1">#NAME?</definedName>
    <definedName name="_xlpm.root" hidden="1" xlm="1">#NAME?</definedName>
    <definedName name="_xlpm.row" hidden="1" xlm="1">#NAME?</definedName>
    <definedName name="_xlpm.rowEnd" hidden="1" xlm="1">#NAME?</definedName>
    <definedName name="_xlpm.rowLabel" hidden="1" xlm="1">#NAME?</definedName>
    <definedName name="_xlpm.rowMatrix" hidden="1" xlm="1">#NAME?</definedName>
    <definedName name="_xlpm.rows" hidden="1" xlm="1">#NAME?</definedName>
    <definedName name="_xlpm.rowsA" hidden="1" xlm="1">#NAME?</definedName>
    <definedName name="_xlpm.rowsB" hidden="1" xlm="1">#NAME?</definedName>
    <definedName name="_xlpm.rowStart" hidden="1" xlm="1">#NAME?</definedName>
    <definedName name="_xlpm.rowsToCols" hidden="1" xlm="1">#NAME?</definedName>
    <definedName name="_xlpm.RR" hidden="1" xlm="1">#NAME?</definedName>
    <definedName name="_xlpm.RRR" hidden="1" xlm="1">#NAME?</definedName>
    <definedName name="_xlpm.Rs" hidden="1" xlm="1">#NAME?</definedName>
    <definedName name="_xlpm.rSquared" hidden="1" xlm="1">#NAME?</definedName>
    <definedName name="_xlpm.rSquaredAdj" hidden="1" xlm="1">#NAME?</definedName>
    <definedName name="_xlpm.s" hidden="1" xlm="1">#NAME?</definedName>
    <definedName name="_xlpm.sameLagsTogether" hidden="1" xlm="1">#NAME?</definedName>
    <definedName name="_xlpm.sameLeadsTogether" hidden="1" xlm="1">#NAME?</definedName>
    <definedName name="_xlpm.sameSize" hidden="1" xlm="1">#NAME?</definedName>
    <definedName name="_xlpm.sampleCrisis_1" hidden="1" xlm="1">#NAME?</definedName>
    <definedName name="_xlpm.sampleCrisis_2" hidden="1" xlm="1">#NAME?</definedName>
    <definedName name="_xlpm.sampleNonCrisis_1" hidden="1" xlm="1">#NAME?</definedName>
    <definedName name="_xlpm.sampleNonCrisis_2" hidden="1" xlm="1">#NAME?</definedName>
    <definedName name="_xlpm.scores" hidden="1" xlm="1">#NAME?</definedName>
    <definedName name="_xlpm.seFIT" hidden="1" xlm="1">#NAME?</definedName>
    <definedName name="_xlpm.sePRED" hidden="1" xlm="1">#NAME?</definedName>
    <definedName name="_xlpm.SeqCol" hidden="1" xlm="1">#NAME?</definedName>
    <definedName name="_xlpm.SeqRow" hidden="1" xlm="1">#NAME?</definedName>
    <definedName name="_xlpm.sequence" hidden="1" xlm="1">#NAME?</definedName>
    <definedName name="_xlpm.setUp" hidden="1" xlm="1">#NAME?</definedName>
    <definedName name="_xlpm.shape" hidden="1" xlm="1">#NAME?</definedName>
    <definedName name="_xlpm.shift" hidden="1" xlm="1">#NAME?</definedName>
    <definedName name="_xlpm.shiftCols" hidden="1" xlm="1">#NAME?</definedName>
    <definedName name="_xlpm.shiftColsAbs" hidden="1" xlm="1">#NAME?</definedName>
    <definedName name="_xlpm.shiftRows" hidden="1" xlm="1">#NAME?</definedName>
    <definedName name="_xlpm.shiftRowsAbs" hidden="1" xlm="1">#NAME?</definedName>
    <definedName name="_xlpm.SIGMA_N" hidden="1" xlm="1">#NAME?</definedName>
    <definedName name="_xlpm.SIGMA_R" hidden="1" xlm="1">#NAME?</definedName>
    <definedName name="_xlpm.signChgs" hidden="1" xlm="1">#NAME?</definedName>
    <definedName name="_xlpm.signDiag" hidden="1" xlm="1">#NAME?</definedName>
    <definedName name="_xlpm.significance" hidden="1" xlm="1">#NAME?</definedName>
    <definedName name="_xlpm.sortedValue" hidden="1" xlm="1">#NAME?</definedName>
    <definedName name="_xlpm.sortRows" hidden="1" xlm="1">#NAME?</definedName>
    <definedName name="_xlpm.spacing" hidden="1" xlm="1">#NAME?</definedName>
    <definedName name="_xlpm.SSbetween" hidden="1" xlm="1">#NAME?</definedName>
    <definedName name="_xlpm.SStotal" hidden="1" xlm="1">#NAME?</definedName>
    <definedName name="_xlpm.SSwithin" hidden="1" xlm="1">#NAME?</definedName>
    <definedName name="_xlpm.standardize" hidden="1" xlm="1">#NAME?</definedName>
    <definedName name="_xlpm.standardized" hidden="1" xlm="1">#NAME?</definedName>
    <definedName name="_xlpm.stars" hidden="1" xlm="1">#NAME?</definedName>
    <definedName name="_xlpm.start_num" hidden="1" xlm="1">#NAME?</definedName>
    <definedName name="_xlpm.states" hidden="1" xlm="1">#NAME?</definedName>
    <definedName name="_xlpm.std" hidden="1" xlm="1">#NAME?</definedName>
    <definedName name="_xlpm.stdevDepVar" hidden="1" xlm="1">#NAME?</definedName>
    <definedName name="_xlpm.stdevReg" hidden="1" xlm="1">#NAME?</definedName>
    <definedName name="_xlpm.stdFisher" hidden="1" xlm="1">#NAME?</definedName>
    <definedName name="_xlpm.stdLabel" hidden="1" xlm="1">#NAME?</definedName>
    <definedName name="_xlpm.step1" hidden="1" xlm="1">#NAME?</definedName>
    <definedName name="_xlpm.step2" hidden="1" xlm="1">#NAME?</definedName>
    <definedName name="_xlpm.step3" hidden="1" xlm="1">#NAME?</definedName>
    <definedName name="_xlpm.step4_0" hidden="1" xlm="1">#NAME?</definedName>
    <definedName name="_xlpm.step4_dates" hidden="1" xlm="1">#NAME?</definedName>
    <definedName name="_xlpm.step4_values" hidden="1" xlm="1">#NAME?</definedName>
    <definedName name="_xlpm.step5" hidden="1" xlm="1">#NAME?</definedName>
    <definedName name="_xlpm.step6" hidden="1" xlm="1">#NAME?</definedName>
    <definedName name="_xlpm.sumEnd" hidden="1" xlm="1">#NAME?</definedName>
    <definedName name="_xlpm.summary" hidden="1" xlm="1">#NAME?</definedName>
    <definedName name="_xlpm.sumResidual" hidden="1" xlm="1">#NAME?</definedName>
    <definedName name="_xlpm.sumSqRes" hidden="1" xlm="1">#NAME?</definedName>
    <definedName name="_xlpm.sumSquaredResidRes" hidden="1" xlm="1">#NAME?</definedName>
    <definedName name="_xlpm.sumSquaredResidUnr" hidden="1" xlm="1">#NAME?</definedName>
    <definedName name="_xlpm.swappedMatrix" hidden="1" xlm="1">#NAME?</definedName>
    <definedName name="_xlpm.symmetricWeights" hidden="1" xlm="1">#NAME?</definedName>
    <definedName name="_xlpm.t" hidden="1" xlm="1">#NAME?</definedName>
    <definedName name="_xlpm.tableIC" hidden="1" xlm="1">#NAME?</definedName>
    <definedName name="_xlpm.tB" hidden="1" xlm="1">#NAME?</definedName>
    <definedName name="_xlpm.tcrit" hidden="1" xlm="1">#NAME?</definedName>
    <definedName name="_xlpm.Temp" hidden="1" xlm="1">#NAME?</definedName>
    <definedName name="_xlpm.tempCol" hidden="1" xlm="1">#NAME?</definedName>
    <definedName name="_xlpm.testA" hidden="1" xlm="1">#NAME?</definedName>
    <definedName name="_xlpm.testB" hidden="1" xlm="1">#NAME?</definedName>
    <definedName name="_xlpm.testResult" hidden="1" xlm="1">#NAME?</definedName>
    <definedName name="_xlpm.testStat" hidden="1" xlm="1">#NAME?</definedName>
    <definedName name="_xlpm.text" hidden="1" xlm="1">#NAME?</definedName>
    <definedName name="_xlpm.THUNK" hidden="1" xlm="1">#NAME?</definedName>
    <definedName name="_xlpm.titleLabel" hidden="1" xlm="1">#NAME?</definedName>
    <definedName name="_xlpm.tolerance" hidden="1" xlm="1">#NAME?</definedName>
    <definedName name="_xlpm.tr" hidden="1" xlm="1">#NAME?</definedName>
    <definedName name="_xlpm.tre" hidden="1" xlm="1">#NAME?</definedName>
    <definedName name="_xlpm.treatCharsAsText" hidden="1" xlm="1">#NAME?</definedName>
    <definedName name="_xlpm.tren" hidden="1" xlm="1">#NAME?</definedName>
    <definedName name="_xlpm.trend" hidden="1" xlm="1">#NAME?</definedName>
    <definedName name="_xlpm.trendCentered" hidden="1" xlm="1">#NAME?</definedName>
    <definedName name="_xlpm.trendCycle" hidden="1" xlm="1">#NAME?</definedName>
    <definedName name="_xlpm.trendTrailing" hidden="1" xlm="1">#NAME?</definedName>
    <definedName name="_xlpm.tsquared" hidden="1" xlm="1">#NAME?</definedName>
    <definedName name="_xlpm.tstat" hidden="1" xlm="1">#NAME?</definedName>
    <definedName name="_xlpm.txt" hidden="1" xlm="1">#NAME?</definedName>
    <definedName name="_xlpm.txtVec" hidden="1" xlm="1">#NAME?</definedName>
    <definedName name="_xlpm.type" hidden="1" xlm="1">#NAME?</definedName>
    <definedName name="_xlpm.typeVaR" hidden="1" xlm="1">#NAME?</definedName>
    <definedName name="_xlpm.u" hidden="1" xlm="1">#NAME?</definedName>
    <definedName name="_xlpm.ub" hidden="1" xlm="1">#NAME?</definedName>
    <definedName name="_xlpm.uBound" hidden="1" xlm="1">#NAME?</definedName>
    <definedName name="_xlpm.uniqueCategories" hidden="1" xlm="1">#NAME?</definedName>
    <definedName name="_xlpm.uniqueRanksOnly" hidden="1" xlm="1">#NAME?</definedName>
    <definedName name="_xlpm.upBound" hidden="1" xlm="1">#NAME?</definedName>
    <definedName name="_xlpm.update" hidden="1" xlm="1">#NAME?</definedName>
    <definedName name="_xlpm.updated" hidden="1" xlm="1">#NAME?</definedName>
    <definedName name="_xlpm.updateFlat" hidden="1" xlm="1">#NAME?</definedName>
    <definedName name="_xlpm.uppBound" hidden="1" xlm="1">#NAME?</definedName>
    <definedName name="_xlpm.uppeBound" hidden="1" xlm="1">#NAME?</definedName>
    <definedName name="_xlpm.upperBound" hidden="1" xlm="1">#NAME?</definedName>
    <definedName name="_xlpm.upperCutoff" hidden="1" xlm="1">#NAME?</definedName>
    <definedName name="_xlpm.upperL" hidden="1" xlm="1">#NAME?</definedName>
    <definedName name="_xlpm.upperLe" hidden="1" xlm="1">#NAME?</definedName>
    <definedName name="_xlpm.upperLea" hidden="1" xlm="1">#NAME?</definedName>
    <definedName name="_xlpm.upperLead" hidden="1" xlm="1">#NAME?</definedName>
    <definedName name="_xlpm.useB" hidden="1" xlm="1">#NAME?</definedName>
    <definedName name="_xlpm.v" hidden="1" xlm="1">#NAME?</definedName>
    <definedName name="_xlpm.val" hidden="1" xlm="1">#NAME?</definedName>
    <definedName name="_xlpm.valores" hidden="1" xlm="1">#NAME?</definedName>
    <definedName name="_xlpm.vals" hidden="1" xlm="1">#NAME?</definedName>
    <definedName name="_xlpm.valsA" hidden="1" xlm="1">#NAME?</definedName>
    <definedName name="_xlpm.valsB" hidden="1" xlm="1">#NAME?</definedName>
    <definedName name="_xlpm.value" hidden="1" xlm="1">#NAME?</definedName>
    <definedName name="_xlpm.values" hidden="1" xlm="1">#NAME?</definedName>
    <definedName name="_xlpm.valuesA" hidden="1" xlm="1">#NAME?</definedName>
    <definedName name="_xlpm.valuesB" hidden="1" xlm="1">#NAME?</definedName>
    <definedName name="_xlpm.vcol" hidden="1" xlm="1">#NAME?</definedName>
    <definedName name="_xlpm.vcvVAR" hidden="1" xlm="1">#NAME?</definedName>
    <definedName name="_xlpm.vcvVARcond" hidden="1" xlm="1">#NAME?</definedName>
    <definedName name="_xlpm.vcvVaRcondSim" hidden="1" xlm="1">#NAME?</definedName>
    <definedName name="_xlpm.vcvVaRModified" hidden="1" xlm="1">#NAME?</definedName>
    <definedName name="_xlpm.vec" hidden="1" xlm="1">#NAME?</definedName>
    <definedName name="_xlpm.vecMatrix" hidden="1" xlm="1">#NAME?</definedName>
    <definedName name="_xlpm.volCrisis_1" hidden="1" xlm="1">#NAME?</definedName>
    <definedName name="_xlpm.volCrisis_2" hidden="1" xlm="1">#NAME?</definedName>
    <definedName name="_xlpm.volNonCrisis_1" hidden="1" xlm="1">#NAME?</definedName>
    <definedName name="_xlpm.volNonCrisis_2" hidden="1" xlm="1">#NAME?</definedName>
    <definedName name="_xlpm.vv" hidden="1" xlm="1">#NAME?</definedName>
    <definedName name="_xlpm.w" hidden="1" xlm="1">#NAME?</definedName>
    <definedName name="_xlpm.weightedPortfolioReturn" hidden="1" xlm="1">#NAME?</definedName>
    <definedName name="_xlpm.weightMatrix" hidden="1" xlm="1">#NAME?</definedName>
    <definedName name="_xlpm.weights" hidden="1" xlm="1">#NAME?</definedName>
    <definedName name="_xlpm.wFinal" hidden="1" xlm="1">#NAME?</definedName>
    <definedName name="_xlpm.window" hidden="1" xlm="1">#NAME?</definedName>
    <definedName name="_xlpm.windowLength" hidden="1" xlm="1">#NAME?</definedName>
    <definedName name="_xlpm.withoutReplacement" hidden="1" xlm="1">#NAME?</definedName>
    <definedName name="_xlpm.x" hidden="1" xlm="1">#NAME?</definedName>
    <definedName name="_xlpm.x_" hidden="1" xlm="1">#NAME?</definedName>
    <definedName name="_xlpm.x_0" hidden="1" xlm="1">#NAME?</definedName>
    <definedName name="_xlpm.X_1" hidden="1" xlm="1">#NAME?</definedName>
    <definedName name="_xlpm.X_2" hidden="1" xlm="1">#NAME?</definedName>
    <definedName name="_xlpm.x_anterior" hidden="1" xlm="1">#NAME?</definedName>
    <definedName name="_xlpm.x_atualizado" hidden="1" xlm="1">#NAME?</definedName>
    <definedName name="_xlpm.X_const" hidden="1" xlm="1">#NAME?</definedName>
    <definedName name="_xlpm.X_constTrend" hidden="1" xlm="1">#NAME?</definedName>
    <definedName name="_xlpm.X_noConst" hidden="1" xlm="1">#NAME?</definedName>
    <definedName name="_xlpm.x_predito" hidden="1" xlm="1">#NAME?</definedName>
    <definedName name="_xlpm.x_Sample_1" hidden="1" xlm="1">#NAME?</definedName>
    <definedName name="_xlpm.x_sample_2" hidden="1" xlm="1">#NAME?</definedName>
    <definedName name="_xlpm.x0" hidden="1" xlm="1">#NAME?</definedName>
    <definedName name="_xlpm.Xconst" hidden="1" xlm="1">#NAME?</definedName>
    <definedName name="_xlpm.Xconst2" hidden="1" xlm="1">#NAME?</definedName>
    <definedName name="_xlpm.xf" hidden="1" xlm="1">#NAME?</definedName>
    <definedName name="_xlpm.xFiltered" hidden="1" xlm="1">#NAME?</definedName>
    <definedName name="_xlpm.xFiltrado" hidden="1" xlm="1">#NAME?</definedName>
    <definedName name="_xlpm.xi" hidden="1" xlm="1">#NAME?</definedName>
    <definedName name="_xlpm.xi_1" hidden="1" xlm="1">#NAME?</definedName>
    <definedName name="_xlpm.xLabels" hidden="1" xlm="1">#NAME?</definedName>
    <definedName name="_xlpm.XLags" hidden="1" xlm="1">#NAME?</definedName>
    <definedName name="_xlpm.XLeads" hidden="1" xlm="1">#NAME?</definedName>
    <definedName name="_xlpm.xMax" hidden="1" xlm="1">#NAME?</definedName>
    <definedName name="_xlpm.xMin" hidden="1" xlm="1">#NAME?</definedName>
    <definedName name="_xlpm.xStep" hidden="1" xlm="1">#NAME?</definedName>
    <definedName name="_xlpm.Xtarget" hidden="1" xlm="1">#NAME?</definedName>
    <definedName name="_xlpm.Xtrend" hidden="1" xlm="1">#NAME?</definedName>
    <definedName name="_xlpm.XX" hidden="1" xlm="1">#NAME?</definedName>
    <definedName name="_xlpm.XY" hidden="1" xlm="1">#NAME?</definedName>
    <definedName name="_xlpm.y" hidden="1" xlm="1">#NAME?</definedName>
    <definedName name="_xlpm.y_diff" hidden="1" xlm="1">#NAME?</definedName>
    <definedName name="_xlpm.y_filtrado" hidden="1" xlm="1">#NAME?</definedName>
    <definedName name="_xlpm.y_sample_1" hidden="1" xlm="1">#NAME?</definedName>
    <definedName name="_xlpm.y_sample_2" hidden="1" xlm="1">#NAME?</definedName>
    <definedName name="_xlpm.y_vec" hidden="1" xlm="1">#NAME?</definedName>
    <definedName name="_xlpm.yDif" hidden="1" xlm="1">#NAME?</definedName>
    <definedName name="_xlpm.yDrift" hidden="1" xlm="1">#NAME?</definedName>
    <definedName name="_xlpm.yForecast" hidden="1" xlm="1">#NAME?</definedName>
    <definedName name="_xlpm.yi" hidden="1" xlm="1">#NAME?</definedName>
    <definedName name="_xlpm.yLabel" hidden="1" xlm="1">#NAME?</definedName>
    <definedName name="_xlpm.yLags" hidden="1" xlm="1">#NAME?</definedName>
    <definedName name="_xlpm.yLagsClean" hidden="1" xlm="1">#NAME?</definedName>
    <definedName name="_xlpm.yLast" hidden="1" xlm="1">#NAME?</definedName>
    <definedName name="_xlpm.zeroLine" hidden="1" xlm="1">#NAME?</definedName>
    <definedName name="_xlpm.zStat" hidden="1" xlm="1">#NAME?</definedName>
    <definedName name="_xlpm.θ₁" hidden="1" xlm="1">#NAME?</definedName>
    <definedName name="_xlpm.σ²" hidden="1" xlm="1">#NAME?</definedName>
    <definedName name="ADDCONST">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_xlfn.HSTACK( ONES(ROWS(_xlpm.matrix),1), SLICE(_xlpm.matrix,0,0,1,-1) ), IF(_xlpm.position=COLUMNS(_xlpm.matrix)+1, _xlfn.HSTACK(_xlpm.matrix, ONES(ROWS(_xlpm.matrix),1) ), _xlfn.HSTACK( SLICE(_xlpm.matrix,0,0,1,_xlpm.position-1), ONES(ROWS(_xlpm.matrix),1), SLICE(_xlpm.matrix,0,0,_xlpm.position,-1) ) ) ) ), IF(_xlpm.header=FALSE, _xlpm.values, SLICE(_xlpm.values,1,1,_xlpm.position,_xlpm.position,_xlpm.header) ) ) )</definedName>
    <definedName name="ADDTREND">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_xlfn.HSTACK( _xlfn.SEQUENCE(ROWS(_xlpm.matrix),1,IF(_xlpm.header=FALSE,1,0))^_xlpm.nPower, SLICE(_xlpm.matrix,0,0,1,-1) ), IF(_xlpm.position=COLUMNS(_xlpm.matrix)+1, _xlfn.HSTACK(_xlpm.matrix, _xlfn.SEQUENCE(ROWS(_xlpm.matrix),1,IF(_xlpm.header=FALSE,1,0))^_xlpm.nPower ), _xlfn.HSTACK( SLICE(_xlpm.matrix,0,0,1,_xlpm.position-1), _xlfn.SEQUENCE(ROWS(_xlpm.matrix),1,IF(_xlpm.header=FALSE,1,0))^_xlpm.nPower, SLICE(_xlpm.matrix,0,0,_xlpm.position,-1) ) ) ) ), IF(_xlpm.header=FALSE, _xlpm.values, SLICE(_xlpm.values,1,1,_xlpm.position,_xlpm.position,_xlpm.header) ) ) )</definedName>
    <definedName name="AGGREGBYDATE">_xlfn.LAMBDA(_xlpm.dates,_xlpm.values,_xlpm.highFreq,_xlpm.lowFreq,_xlop.method,_xlop.onlyValues,IF(_xlpm.highFreq &lt; _xlpm.lowFreq, "# Cannot disaggregate to lower frequencies", _xlfn.LET(_xlpm.method, IF(_xlfn.ISOMITTED(_xlpm.method), "avg", _xlpm.method), _xlpm.onlyValues, IF(_xlfn.ISOMITTED(_xlpm.onlyValues), FALSE, _xlpm.onlyValues), _xlpm.step1, _xlfn.MAP(_xlpm.dates, _xlfn.LAMBDA(_xlpm.x, FLOOR(DAYS360(DATE(YEAR(_xlpm.x), 1, 1), _xlpm.x), 30))), _xlpm.step2, _xlfn.MAP(_xlpm.step1, _xlfn.LAMBDA(_xlpm.x, MOD(_xlpm.x, 360 / _xlpm.lowFreq))), _xlpm.step3, _xlfn.SCAN(0, _xlpm.step2, _xlfn.LAMBDA(_xlpm.accum,_xlpm.x, IF(_xlpm.x &gt; _xlpm.accum, _xlpm.accum, _xlpm.accum + 1))), _xlpm.step4_0, DATE(YEAR(_xlpm.dates), (12 / _xlpm.lowFreq) * ROUNDUP(MONTH(_xlpm.dates) / (12 / _xlpm.lowFreq), 0) - (12 / _xlpm.lowFreq) + 1, 1), _xlpm.completeDates, _xlfn.SCAN(0, _xlpm.step4_0, _xlfn.LAMBDA(_xlpm.accum,_xlpm.x, SUM(1 * (_xlpm.step4_0 = _xlpm.x)) = _xlpm.highFreq / 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 (_xlpm.highFreq / _xlpm.lowFreq))),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definedName>
    <definedName name="ALL">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definedName>
    <definedName name="ANOVA">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_xlfn.HSTACK( VEC(_xlpm.groupNames), VEC(_xlpm.nObs), VEC(_xlpm.groupSum), VEC(_xlpm.groupAverage), VEC(_xlpm.groupVar), REPMAT("",_xlpm.nGroups,2) ), _xlpm.lineANOVA2, {"","","","","","","";"ANOVA","","","","","","";"Source of variation","SS","df","MS","F","P-value","F-crit"}, _xlpm.lineANOVA2SS, _xlfn.VSTACK( _xlpm.SSbetween, _xlpm.SSwithin, "", _xlpm.SStotal), _xlpm.lineANOVA2DF, _xlfn.VSTACK( _xlpm.DFbetween, _xlpm.DFwithin, "", _xlpm.DFtotal), _xlpm.lineANOVA2MS, _xlfn.VSTACK( _xlpm.SSbetween / _xlpm.DFbetween, _xlpm.SSwithin / _xlpm.DFwithin, "", "" ), _xlpm.lineANOVA2F, _xlfn.VSTACK( _xlpm.F, "", "", "" ), _xlpm.lineANOVA2p, _xlfn.VSTACK( _xlpm.pValue, "", "", "" ), _xlpm.lineANOVA2Fcrit, _xlfn.VSTACK( _xlpm.Fcrit, "", "", "" ), _xlfn.VSTACK( _xlpm.lineANOVA1, _xlpm.lineANOVA1lab, _xlpm.lineANOVA1res, _xlpm.lineANOVA2, _xlfn.HSTACK( {"Between groups";"Within groups";"";"Total"}, _xlpm.lineANOVA2SS, _xlpm.lineANOVA2DF, _xlpm.lineANOVA2MS, _xlpm.lineANOVA2F, _xlpm.lineANOVA2p, _xlpm.lineANOVA2Fcrit ) )))</definedName>
    <definedName name="ANY">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definedName>
    <definedName name="APPLYCOLS">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definedName>
    <definedName name="APPLYROWS">_xlfn.LAMBDA(_xlpm.array,_xlpm.func,_xlpm.paramArrayPos,_xlop.param1,_xlop.param2,_xlop.param3, _xlfn.LET( _xlpm.nParams, NOT(_xlfn.ISOMITTED(_xlpm.param1)) + NOT(_xlfn.ISOMITTED(_xlpm.param2)) + NOT(_xlfn.ISOMITTED(_xlpm.param3)), _xlpm.nLins, ROWS(_xlpm.array), _xlpm.linVals, INDEX(_xlpm.array,1,0), _xlpm.flin, _xlfn.SWITCH( _xlpm.nParams, 0, _xlpm.func(_xlpm.linVals), 1,  _xlfn.SWITCH( _xlpm.paramArrayPos, 1, _xlpm.func(_xlpm.linVals, _xlpm.param1), 2, _xlpm.func(_xlpm.param1, _xlpm.linVals)), 2,  _xlfn.SWITCH( _xlpm.paramArrayPos, 1, _xlpm.func(_xlpm.linVals, _xlpm.param1, _xlpm.param2), 2, _xlpm.func(_xlpm.param1, _xlpm.linVals, _xlpm.param2)), 3,  _xlfn.SWITCH( _xlpm.paramArrayPos, 1, _xlpm.func(_xlpm.linVals, _xlpm.param1, _xlpm.param2, _xlpm.param3), 2, _xlpm.func(_xlpm.param1, _xlpm.linVals, _xlpm.param2, _xlpm.param3), 3, _xlpm.func(_xlpm.param1, _xlpm.param2, _xlpm.linVals)) ), IF(_xlpm.nLins = 1, _xlpm.flin, _xlfn.VSTACK( _xlpm.flin, APPLYROWS(_xlfn.DROP(_xlpm.array,1,0), _xlpm.func, _xlpm.paramArrayPos, _xlpm.param1, _xlpm.param2, _xlpm.param3))) ))</definedName>
    <definedName name="AR_BACKCAST">_xlfn.LAMBDA(_xlpm.y,_xlop.nPeriods,_xlop.nLags,_xlop.includeConstant,_xlfn.LET(_xlpm.y, REVERSEROWS(VEC(_xlpm.y)), AR_FORECAST(_xlpm.y, _xlpm.nPeriods, _xlpm.nLags, _xlpm.includeConstant)))</definedName>
    <definedName name="AR_COEFF">_xlfn.LAMBDA(_xlpm.y,_xlop.nLags,_xlop.nLeads,_xlop.includeConstant,_xlfn.LET( _xlpm.y, VEC(_xlpm.y), _xlpm.N, ROWS(_xlpm.y), _xlpm.nLags, IF(OR(_xlfn.ISOMITTED(_xlpm.nLags), ISBLANK(_xlpm.nLags)), 1, _xlpm.nLags), _xlpm.nLeads, IF(OR(_xlfn.ISOMITTED(_xlpm.nLeads), ISBLANK(_xlpm.nLeads)), 0, _xlpm.nLeads), _xlpm.includeConstant, IF(OR(_xlfn.ISOMITTED(_xlpm.includeConstant), ISBLANK(_xlpm.includeConstant)), TRUE, _xlpm.includeConstant), _xlpm.XLags, IF(_xlpm.nLags=0, FALSE, LAG(_xlpm.y,_xlpm.nLags,TRUE,TRUE,FALSE,FALSE,TRUE)), _xlpm.XLeads, IF(_xlpm.nLeads=0, FALSE, LEAD(_xlpm.y,_xlpm.nLeads,TRUE,TRUE,FALSE,FALSE,TRUE)), _xlpm.x, IF(_xlpm.nLeads=0, _xlpm.XLags, IF(_xlpm.nLags=0, _xlpm.XLeads, _xlfn.HSTACK(_xlpm.XLags,_xlpm.XLeads))), _xlpm.Xconst, IF(_xlpm.includeConstant, ADDCONST(_xlpm.x), _xlpm.x), _xlpm.data, RMMISSING(_xlfn.HSTACK(_xlpm.y,_xlpm.Xconst),1), OLS_COEFF(_xlfn.TAKE(_xlpm.data,,1),_xlfn.DROP(_xlpm.data,,1)) ))</definedName>
    <definedName name="AR_FITTED">_xlfn.LAMBDA(_xlpm.y,_xlop.nLags,_xlop.nLeads,_xlop.includeConstant,_xlfn.LET(_xlpm.y, VEC(_xlpm.y), _xlpm.N, ROWS(_xlpm.y), _xlpm.nLags, IF(OR(_xlfn.ISOMITTED(_xlpm.nLags), ISBLANK(_xlpm.nLags)), 1, _xlpm.nLags), _xlpm.nLeads, IF(OR(_xlfn.ISOMITTED(_xlpm.nLeads), ISBLANK(_xlpm.nLeads)), 0, _xlpm.nLeads), _xlpm.includeConstant, IF(OR(_xlfn.ISOMITTED(_xlpm.includeConstant), ISBLANK(_xlpm.includeConstant)), TRUE, _xlpm.includeConstant), _xlpm.XLags, IF(_xlpm.nLags = 0, FALSE, LAG(_xlpm.y, _xlpm.nLags, TRUE, TRUE, FALSE, FALSE, TRUE)), _xlpm.XLeads, IF(_xlpm.nLeads = 0, FALSE, LEAD(_xlpm.y, _xlpm.nLeads, TRUE, TRUE, FALSE, FALSE, TRUE)), _xlpm.x, IF(_xlpm.nLeads = 0, _xlpm.XLags, IF(_xlpm.nLags = 0, _xlpm.XLeads, _xlfn.HSTACK(_xlpm.XLags, _xlpm.XLeads))), _xlpm.Xconst, IF(_xlpm.includeConstant, ADDCONST(_xlpm.x), _xlpm.x), _xlpm.data, RMMISSING(_xlfn.HSTACK(_xlpm.y, _xlpm.Xconst), 1), OLS_FITTED(_xlfn.TAKE(_xlpm.data, , 1), _xlfn.DROP(_xlpm.data, , 1))))</definedName>
    <definedName name="AR_FORECAST">_xlfn.LAMBDA(_xlpm.y,_xlop.nPeriods,_xlop.nLags,_xlop.includeConstant,_xlfn.LET( _xlpm.y, VEC(_xlpm.y), _xlpm.nPeriods, IF(OR(_xlfn.ISOMITTED(_xlpm.nPeriods), ISBLANK(_xlpm.nPeriods)), 1, _xlpm.nPeriods), _xlpm.nLags, IF(OR(_xlfn.ISOMITTED(_xlpm.nLags), ISBLANK(_xlpm.nLags)), 1, _xlpm.nLags), _xlpm.includeConstant, IF(OR(_xlfn.ISOMITTED(_xlpm.includeConstant), ISBLANK(_xlpm.includeConstant)), TRUE, _xlpm.includeConstant), _xlpm.arCoeff, AR_COEFF(_xlpm.y,_xlpm.nLags,0,_xlpm.includeConstant), _xlpm.yLast, _xlfn.TAKE(_xlpm.y,-_xlpm.nLags), _xlpm.yForecast, _xlfn.REDUCE(_xlpm.yLast, _xlfn.SEQUENCE(_xlpm.nPeriods), _xlfn.LAMBDA(_xlpm.accum,_xlpm.period, _xlfn.VSTACK(_xlpm.accum, _xlfn.LET( _xlpm.newX, TRANSPOSE(_xlfn.TAKE(_xlpm.accum,-_xlpm.nLags)), OLS_FITTED(1, IF(_xlpm.includeConstant, ADDCONST(_xlpm.newX), _xlpm.newX), _xlpm.arCoeff) )) )), _xlfn.DROP(_xlpm.yForecast,_xlpm.nLags) ))</definedName>
    <definedName name="BKFILTER">_xlfn.LAMBDA(_xlpm.values,_xlop.trendCycle,_xlop.lowerCutoff,_xlop.upperCutoff,_xlop.lagLength,_xlop.drift,_xlfn.LET(_xlpm.y,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_xlpm.drift, IF(OR(_xlfn.ISOMITTED(_xlpm.drift), ISBLANK(_xlpm.drift)), TRUE, _xlpm.drift),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_xlpm.AA, ZEROS(_xlpm.t, _xlpm.t), _xlpm.g, 1, _xlpm.cc, INDEX(_xlpm.g, 1), _xlpm.R_0, INDEX(_xlpm.BB, 1) * INDEX(_xlpm.cc, 1), _xlpm.r, _xlfn.SCAN(0, _xlfn.SEQUENCE(_xlpm.t), _xlfn.LAMBDA(_xlpm.accum,_xlpm.j, IF(_xlpm.j = 1, PI() * INDEX(_xlpm.BB, 1) * INDEX(_xlpm.cc, 1), _xlpm.accum - 2 * PI() * INDEX(_xlpm.BB, _xlpm.j - 1) * INDEX(_xlpm.cc, 1)))), _xlpm.bb_0, ZEROS(2 * _xlpm.nfix + 1, 1), _xlpm.bb_1, SLICE(_xlpm.bb_0, _xlpm.nfix + 1, 2 * _xlpm.nfix + 1, 1, 1, INDEX(_xlpm.BB, _xlfn.SEQUENCE(_xlpm.nfix + 1))), _xlpm.bb_2, SLICE(_xlpm.bb_1, 1, _xlpm.nfix, 1, 1, FLIPUD(INDEX(_xlpm.BB, _xlfn.SEQUENCE(_xlpm.nfix, 1, 2)))), _xlpm.bb_3t, TRANSPOSE(_xlpm.bb_2 - SUM(_xlpm.bb_2) / (2 * _xlpm.nfix + 1)), _xlpm.origin, _xlfn.EXPAND(REPMAT(_xlpm.bb_3t, _xlpm.t - 2 * _xlpm.nfix, 1), _xlpm.t - 2 * _xlpm.nfix, _xlpm.t, 0), _xlpm.rowMatrix, REPMAT(_xlfn.SEQUENCE(ROWS(_xlpm.origin)), 1, _xlpm.t), _xlpm.colMatrix, _xlfn.MAKEARRAY(ROWS(_xlpm.origin), COLUMNS(_xlpm.origin), _xlfn.LAMBDA(_xlpm.row,_xlpm.col, IF(_xlpm.row = _xlpm.col, 1, IF(_xlpm.row &gt; _xlpm.col, _xlpm.t, _xlpm.col - _xlpm.row + 1)))), _xlpm.AA_1, _xlfn.VSTACK(ZEROS(_xlpm.nfix, _xlpm.t), INDEX(_xlpm.origin, _xlpm.rowMatrix, _xlpm.colMatrix), ZEROS(_xlpm.nfix, _xlpm.t)), _xlpm.cycle, _xlfn.VSTACK(NA() * _xlfn.SEQUENCE(_xlpm.nfix), _xlfn.CHOOSEROWS(MMULT(_xlpm.AA_1, _xlpm.yDrift), _xlfn.SEQUENCE(_xlpm.t - 2 * _xlpm.nfix, 1, _xlpm.nfix + 1)), NA() * _xlfn.SEQUENCE(_xlpm.nfix)), _xlpm.final, IF(_xlpm.trendCycle = "t", _xlpm.y - _xlpm.cycle, IF(_xlpm.trendCycle = "c", _xlpm.cycle, "#trendCycle must be either ""t"" or ""c""")), _xlpm.final))</definedName>
    <definedName name="BLKDIAG">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definedName>
    <definedName name="BOOTSTRP">_xlfn.LAMBDA(_xlpm.nboot,_xlpm.bootfun,_xlpm.data, _xlfn.SCAN(0,_xlfn.SEQUENCE(_xlpm.nboot),_xlfn.LAMBDA(_xlpm.accum,_xlpm.x, _xlpm.bootfun( SAMPLE(_xlpm.data,ROWS(_xlpm.data),1,FALSE) ) )) )</definedName>
    <definedName name="CFFILTER">_xlfn.LAMBDA(_xlpm.values,_xlop.trendCycle,_xlop.lowerCutoff,_xlop.upperCutoff,_xlop.lagLength,_xlop.root,_xlop.drift,_xlop.filterType,_xlfn.LET(_xlpm.y,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_xlpm.root, IF(OR(_xlfn.ISOMITTED(_xlpm.root), ISBLANK(_xlpm.root)), TRUE, _xlpm.root), _xlpm.drift, IF(OR(_xlfn.ISOMITTED(_xlpm.drift), ISBLANK(_xlpm.drift)), TRUE, _xlpm.drift), _xlpm.filterType, IF(OR(_xlfn.ISOMITTED(_xlpm.filterType), ISBLANK(_xlpm.filterType)), "asymmetric", _xlpm.filterType),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_xlpm.zeroLine, ZEROS(1, _xlpm.t), _xlpm.g, 1, _xlpm.cc, INDEX(_xlpm.g, 1), _xlpm.R_0, INDEX(_xlpm.BB, 1) * INDEX(_xlpm.cc, 1), _xlpm.r, _xlfn.SCAN(0, _xlfn.SEQUENCE(_xlpm.t), _xlfn.LAMBDA(_xlpm.accum,_xlpm.j, IF(_xlpm.j = 1, PI() * INDEX(_xlpm.BB, 1) * INDEX(_xlpm.cc, 1), _xlpm.accum - 2 * PI() * INDEX(_xlpm.BB, _xlpm.j - 1) * INDEX(_xlpm.cc, 1)))), _xlpm.filtAsymmCycle, IF(_xlpm.filterType &lt;&gt; "asymmetric", NA(), _xlfn.LET(_xlpm.AA_1, _xlfn.REDUCE(0, _xlfn.SEQUENCE(_xlpm.t), _xlfn.LAMBDA(_xlpm.accum,_xlpm.i, _xlfn.LET(_xlpm.beforeRoot, IF(_xlpm.i = 1, TRANSPOSE(INDEX(_xlpm.BB, _xlfn.SEQUENCE(_xlpm.t - _xlpm.i + 1), 0)), _xlfn.HSTACK(ZEROS(1, _xlpm.i - 1), TRANSPOSE(INDEX(_xlpm.BB, _xlfn.SEQUENCE(_xlpm.t - _xlpm.i + 1), 0)))), _xlpm.afterRoot, IF(_xlpm.root = FALSE, _xlpm.beforeRoot, SLICE(_xlpm.beforeRoot, _xlpm.i, _xlpm.i, _xlpm.t, _xlpm.t, INDEX(_xlpm.r, _xlpm.t + 1 - _xlpm.i) / (2 * PI()))), IF(_xlpm.i = 1, _xlpm.afterRoot, _xlfn.VSTACK(_xlpm.accum, _xlpm.afterRoot))))), _xlpm.AA_2, SLICE(_xlpm.AA_1, 1, 1, 1, 1, INDEX(_xlpm.AA_1, _xlpm.t, _xlpm.t)), _xlpm.AA_3, _xlpm.AA_2 + FLIPUD(FLIPLR(TRIU(_xlpm.AA_2, 1))), _xlpm.cycle, _xlfn.CHOOSEROWS(MMULT(_xlpm.AA_3, _xlpm.yDrift), _xlfn.SEQUENCE(_xlpm.t, 1, 1)), _xlpm.cycle)), _xlpm.filtSymmCycle, IF(_xlpm.filterType &lt;&gt; "symmetric", NA(), _xlfn.LET(_xlpm.AA_1, _xlfn.REDUCE(_xlpm.zeroLine, _xlfn.SEQUENCE(ROUNDUP(_xlpm.t / 2, 0) - 2 + 1, 1, 2), _xlfn.LAMBDA(_xlpm.accum,_xlpm.i, _xlfn.LET(_xlpm.AAA_1, SLICE(_xlpm.zeroLine, 1, 1, _xlpm.i, _xlpm.i + _xlpm.i - 1, TRANSPOSE(INDEX(_xlpm.BB, _xlfn.SEQUENCE(_xlpm.i), 0))), _xlpm.AAA_2, IF(_xlpm.root = FALSE, _xlpm.AAA_1, SLICE(_xlpm.AAA_1, 1, 1, _xlpm.i + _xlpm.i - 1, _xlpm.i + _xlpm.i - 1, INDEX(_xlpm.r, _xlpm.i - 1 + 1) / (2 * PI()))), _xlpm.AAA_3, SLICE(_xlpm.AAA_2, 1, 1, 1, _xlpm.i - 1, FLIPLR(INDEX(_xlpm.AAA_2, 1, _xlfn.SEQUENCE(1, _xlpm.i + _xlpm.i - 1 - _xlpm.i - 1 + 1, _xlpm.i + 1)))), _xlfn.VSTACK(_xlpm.accum, _xlpm.AAA_3)))), _xlpm.AA_2, _xlfn.VSTACK(_xlpm.AA_1, ZEROS(_xlpm.t - (ROUNDUP(_xlpm.t / 2, 0) - 2 + 1) + 1, _xlpm.t)), _xlpm.AA_3, SLICE(_xlpm.AA_2, ROUNDUP(_xlpm.t / 2, 0) + 1, _xlpm.t, 0, 0, FLIPUD(FLIPLR(SLICE(_xlpm.AA_2, 1, ROUNDDOWN(_xlpm.t / 2, 0), 0, 0)))), _xlpm.cycle, MMULT(_xlpm.AA_3, _xlpm.yDrift), _xlpm.cycle)), _xlpm.filtFixedCycle, IF(_xlpm.filterType &lt;&gt; "fixed", NA(), _xlfn.LET(_xlpm.BBB_0, ZEROS(2 * _xlpm.nfix + 1, 1), _xlpm.BBB_1, SLICE(_xlpm.BBB_0, _xlpm.nfix + 1, 2 * _xlpm.nfix + 1, 0, 0, INDEX(_xlpm.BB, _xlfn.SEQUENCE(_xlpm.nfix + 1))), _xlpm.BBB_2, SLICE(_xlpm.BBB_1, 1, _xlpm.nfix, 0, 0, FLIPUD(INDEX(_xlpm.BB, _xlfn.SEQUENCE(_xlpm.nfix + 1 - 1, 1, 2)))), _xlpm.BBB_3, IF(_xlpm.root = FALSE, _xlpm.BBB_2, SLICE(_xlpm.BBB_2, 2 * _xlpm.nfix + 1, 2 * _xlpm.nfix + 1, 0, 0, INDEX(_xlpm.r, _xlpm.nfix + 1) / (2 * PI()))), _xlpm.BBB_4, IF(_xlpm.root = FALSE, _xlpm.BBB_3, SLICE(_xlpm.BBB_3, 1, 1, 0, 0, INDEX(_xlpm.r, _xlpm.nfix + 1) / (2 * PI()))), _xlpm.AA_1, _xlfn.REDUCE(ZEROS(_xlpm.nfix, _xlpm.t), _xlfn.SEQUENCE(_xlpm.t - _xlpm.nfix - _xlpm.nfix - 1 + 1, 1, _xlpm.nfix + 1), _xlfn.LAMBDA(_xlpm.accum,_xlpm.i, _xlfn.LET(_xlpm.AAA_1, SLICE(_xlpm.zeroLine, 1, 1, _xlpm.i - _xlpm.nfix, _xlpm.i + _xlpm.nfix, TRANSPOSE(_xlpm.BBB_4)), _xlfn.VSTACK(_xlpm.accum, _xlpm.AAA_1)))), _xlpm.AAdrift, IF(_xlpm.drift = FALSE, _xlpm.AA_1, ), _xlpm.cycle, _xlfn.VSTACK(NA() * _xlfn.SEQUENCE(_xlpm.nfix), _xlfn.CHOOSEROWS(MMULT(_xlpm.AA_1, _xlpm.yDrift), _xlfn.SEQUENCE(_xlpm.t - 2 * _xlpm.nfix, 1, _xlpm.nfix + 1)), NA() * _xlfn.SEQUENCE(_xlpm.nfix)), _xlpm.cycle)), _xlpm.cycle, _xlfn.SWITCH(_xlpm.filterType, "asymmetric", _xlpm.filtAsymmCycle, "symmetric", _xlpm.filtSymmCycle, "fixed", _xlpm.filtFixedCycle), _xlpm.final, IF(_xlpm.trendCycle = "t", _xlpm.y - _xlpm.cycle, IF(_xlpm.trendCycle = "c", _xlpm.cycle, "#trendCycle must be either ""t"" or ""c""")), _xlpm.final))</definedName>
    <definedName name="CHOWTEST">_xlfn.LAMBDA(_xlpm.y,_xlpm.x,_xlpm.indexBreak,_xlop.return,_xlop.significance, _xlfn.LET( _xlpm.indexBreak, IF(OR(_xlfn.ISOMITTED(_xlpm.indexBreak), ISBLANK(_xlpm.indexBreak)), 0, _xlpm.indexBreak), _xlpm.return, IF(OR(_xlfn.ISOMITTED(_xlpm.return), ISBLANK(_xlpm.return)), 1, _xlpm.return), _xlpm.significance, IF(OR(_xlfn.ISOMITTED(_xlpm.significance), ISBLANK(_xlpm.significance)), 5%, _xlpm.significance), _xlpm.k, COLUMNS(_xlpm.x), _xlpm.N, LENGTH(_xlpm.y), _xlpm.beforeN, _xlpm.indexBreak-1, _xlpm.afterN, (LENGTH(_xlpm.y)-_xlpm.indexBreak+1), _xlpm.combinedRSS, OLS_RSS(_xlpm.y,_xlpm.x), _xlpm.beforeRSS, OLS_RSS(_xlfn.TAKE(_xlpm.y,_xlpm.beforeN),_xlfn.TAKE(_xlpm.x,_xlpm.beforeN)), _xlpm.afterRSS, OLS_RSS(_xlfn.TAKE(_xlpm.y,-_xlpm.afterN),_xlfn.TAKE(_xlpm.x,-_xlpm.afterN)), _xlpm.testStat, ((_xlpm.combinedRSS - (_xlpm.beforeRSS + _xlpm.afterRSS))/_xlpm.k) / ((_xlpm.beforeRSS+_xlpm.afterRSS)/(_xlpm.beforeN + _xlpm.afterN - 2*_xlpm.k)), _xlpm.pValueStat, _xlfn.F.DIST.RT(_xlpm.testStat, _xlpm.k, _xlpm.beforeN + _xlpm.afterN - 2*_xlpm.k), _xlpm.decision, _xlpm.pValueStat &lt;= _xlpm.significance, _xlpm.summary, _xlfn.HSTACK(_xlpm.indexBreak, _xlpm.beforeN, _xlpm.afterN, _xlpm.beforeRSS, _xlpm.afterRSS, _xlpm.testStat, _xlpm.pValueStat), _xlpm.final, CHOOSE(_xlpm.return, _xlpm.decision, _xlpm.testStat, _xlpm.pValueStat, IF(_xlpm.indexBreak&lt;&gt;0, _xlpm.summary, _xlfn.LET(_xlpm.headers, _xlfn.HSTACK("Break Index","N Pre", "N Post", "RSS Pre", "RSS Post", "F-stat", "p-value"), _xlfn.VSTACK(_xlpm.headers, _xlfn.REDUCE(SLICE(_xlfn.EXPAND({""},_xlpm.N,7,""),,,1,1,_xlfn.SEQUENCE(_xlpm.N,1)),_xlfn.SEQUENCE(_xlpm.N,1), _xlfn.LAMBDA(_xlpm.accum,_xlpm.idx, IF(OR(_xlpm.idx &lt;= _xlpm.k, _xlpm.idx &gt; _xlpm.N-_xlpm.k), _xlpm.accum, SLICE(_xlpm.accum,_xlpm.idx,_xlpm.idx,,, CHOWTEST(_xlpm.y,_xlpm.x,_xlpm.idx,_xlpm.return,_xlpm.significance) )))) )))), _xlpm.final ))</definedName>
    <definedName name="CIRCSHIFT">_xlfn.LAMBDA(_xlpm.a,_xlpm.k,_xlop.dim, _xlfn.LET( _xlpm.N, ROWS(_xlpm.a), _xlpm.m, COLUMNS(_xlpm.a), _xlpm.dim, IF(OR(_xlfn.ISOMITTED(_xlpm.dim), ISBLANK(_xlpm.dim)), IF(_xlpm.N&gt;1, 1, 2), _xlpm.dim), _xlpm.t, IF(_xlpm.dim=1, _xlpm.N, _xlpm.m), _xlpm.shift, IF(_xlpm.dim=1, 1+MOD(INT(_xlpm.k)-1, _xlpm.N), 1+MOD(INT(_xlpm.k)-1, _xlpm.m)), _xlpm.indices, _xlfn.VSTACK(_xlfn.SEQUENCE(_xlpm.shift, 1, _xlpm.t-_xlpm.shift+1), _xlfn.SEQUENCE(_xlpm.t-_xlpm.shift,1)), _xlpm.final, IF(_xlpm.t=_xlpm.shift, _xlpm.a, IF(_xlpm.dim=1, _xlfn.CHOOSEROWS(_xlpm.a, _xlpm.indices), _xlfn.CHOOSECOLS(_xlpm.a, _xlpm.indices)) ), _xlpm.final ))</definedName>
    <definedName name="CMABS">_xlfn.LAMBDA(_xlpm.matrixA,_xlfn.LET(_xlpm.AABS, _xlfn.MAP(_xlpm.matrixA, _xlfn.LAMBDA(_xlpm.x, IMABS(_xlpm.x))), _xlpm.AABS))</definedName>
    <definedName name="CMARG">_xlfn.LAMBDA(_xlpm.matrixA,_xlfn.LET(_xlpm.AABS, _xlfn.MAP(_xlpm.matrixA, _xlfn.LAMBDA(_xlpm.x, IMARGUMENT(_xlpm.x))), _xlpm.AABS))</definedName>
    <definedName name="CMATRIX">_xlfn.LAMBDA(_xlpm.realMatrix,_xlop.imaginaryMatrix,_xlfn.LET(_xlpm.imaginaryMatrix, IF(OR(_xlfn.ISOMITTED(_xlpm.imaginaryMatrix), ISBLANK(_xlpm.imaginaryMatrix)), ZEROS(ROWS(_xlpm.realMatrix), COLUMNS(_xlpm.realMatrix)), _xlpm.imaginaryMatrix), _xlpm.result, _xlfn.MAKEARRAY(ROWS(_xlpm.realMatrix), COLUMNS(_xlpm.realMatrix), _xlfn.LAMBDA(_xlpm.x,_xlpm.y, COMPLEX(INDEX(_xlpm.realMatrix, _xlpm.x, _xlpm.y), INDEX(_xlpm.imaginaryMatrix, _xlpm.x, _xlpm.y)))), _xlpm.result))</definedName>
    <definedName name="CMCONJ">_xlfn.LAMBDA(_xlpm.matrixA,_xlfn.LET(_xlpm.AR, _xlfn.MAP(_xlpm.matrixA, _xlfn.LAMBDA(_xlpm.x, IMREAL(_xlpm.x))), _xlpm.AI, _xlfn.MAP(_xlpm.matrixA, _xlfn.LAMBDA(_xlpm.x, IMAGINARY(_xlpm.x))), COMPLEX(_xlpm.AR, -_xlpm.AI)))</definedName>
    <definedName name="CMCOS">_xlfn.LAMBDA(_xlpm.matrixA,_xlfn.LET(_xlpm.AABS, _xlfn.MAP(_xlpm.matrixA, _xlfn.LAMBDA(_xlpm.x, IMCOS(_xlpm.x))), _xlpm.AABS))</definedName>
    <definedName name="CMDIV">_xlfn.LAMBDA(_xlpm.matrixA,_xlpm.matrixB,_xlfn.LET(_xlpm.AR, _xlfn.MAP(_xlpm.matrixA, _xlfn.LAMBDA(_xlpm.x, IMREAL(_xlpm.x))), _xlpm.BR, _xlfn.MAP(_xlpm.matrixB, _xlfn.LAMBDA(_xlpm.x, IMREAL(_xlpm.x))), _xlpm.AI, _xlfn.MAP(_xlpm.matrixA, _xlfn.LAMBDA(_xlpm.x, IMAGINARY(_xlpm.x))), _xlpm.BI, _xlfn.MAP(_xlpm.matrixB, _xlfn.LAMBDA(_xlpm.x, IMAGINARY(_xlpm.x))), COMPLEX((_xlpm.AR * _xlpm.BR + _xlpm.AI * _xlpm.BI) / (_xlpm.BR ^ 2 + _xlpm.BI ^ 2), (_xlpm.AI * _xlpm.BR - _xlpm.AR * _xlpm.BI) / (_xlpm.BR ^ 2 + _xlpm.BI ^ 2))))</definedName>
    <definedName name="CMFORMAT">_xlfn.LAMBDA(_xlpm.matrixA,_xlpm.format,_xlfn.MAP(_xlpm.matrixA, _xlfn.LAMBDA(_xlpm.x, TEXT(IMREAL(_xlpm.x), _xlpm.format) &amp; "+" &amp; TEXT(IMAGINARY(_xlpm.x), _xlpm.format) &amp; "i")))</definedName>
    <definedName name="CMIMAGINARY">_xlfn.LAMBDA(_xlpm.matrixA,_xlfn.LET(_xlpm.AI, _xlfn.MAP(_xlpm.matrixA, _xlfn.LAMBDA(_xlpm.x, IMAGINARY(_xlpm.x))), _xlpm.AI))</definedName>
    <definedName name="CMINVERSE">_xlfn.LAMBDA(_xlpm.matrixA,_xlfn.LET(_xlpm.n, ROWS(_xlpm.matrixA), _xlpm.RE, CMREAL(_xlpm.matrixA), _xlpm.IM, CMIMAGINARY(_xlpm.matrixA), _xlpm.matrixB, _xlfn.VSTACK(_xlfn.HSTACK(_xlpm.RE, _xlpm.IM), _xlfn.HSTACK(-_xlpm.IM, _xlpm.RE)), _xlpm.invB, MINVERSE(_xlpm.matrixB), CMATRIX(SLICE(_xlpm.invB, 1, _xlpm.n, 1, _xlpm.n), SLICE(_xlpm.invB, 1, _xlpm.n, _xlpm.n + 1, ))))</definedName>
    <definedName name="CMMULT">_xlfn.LAMBDA(_xlpm.matrixA,_xlpm.matrixB,_xlfn.LET(_xlpm.AR, _xlfn.MAP(_xlpm.matrixA, _xlfn.LAMBDA(_xlpm.x, IMREAL(_xlpm.x))), _xlpm.BR, _xlfn.MAP(_xlpm.matrixB, _xlfn.LAMBDA(_xlpm.x, IMREAL(_xlpm.x))), _xlpm.AI, _xlfn.MAP(_xlpm.matrixA, _xlfn.LAMBDA(_xlpm.x, IMAGINARY(_xlpm.x))), _xlpm.BI, _xlfn.MAP(_xlpm.matrixB, _xlfn.LAMBDA(_xlpm.x, IMAGINARY(_xlpm.x))), COMPLEX(MMULT(_xlpm.AR, _xlpm.BR) - MMULT(_xlpm.AI, _xlpm.BI), MMULT(_xlpm.AR, _xlpm.BI) + MMULT(_xlpm.AI, _xlpm.BR))))</definedName>
    <definedName name="CMPOWER">_xlfn.LAMBDA(_xlpm.matrixA,_xlpm.power,_xlfn.LET(_xlpm.AABS, _xlfn.MAP(_xlpm.matrixA, _xlfn.LAMBDA(_xlpm.x, IMPOWER(_xlpm.x, _xlpm.power))), _xlpm.AABS))</definedName>
    <definedName name="CMPROD">_xlfn.LAMBDA(_xlpm.matrixA,_xlpm.matrixB,_xlfn.LET(_xlpm.AR, _xlfn.MAP(_xlpm.matrixA, _xlfn.LAMBDA(_xlpm.x, IMREAL(_xlpm.x))), _xlpm.BR, _xlfn.MAP(_xlpm.matrixB, _xlfn.LAMBDA(_xlpm.x, IMREAL(_xlpm.x))), _xlpm.AI, _xlfn.MAP(_xlpm.matrixA, _xlfn.LAMBDA(_xlpm.x, IMAGINARY(_xlpm.x))), _xlpm.BI, _xlfn.MAP(_xlpm.matrixB, _xlfn.LAMBDA(_xlpm.x, IMAGINARY(_xlpm.x))), COMPLEX(_xlpm.AR * _xlpm.BR - _xlpm.AI * _xlpm.BI, _xlpm.AR * _xlpm.BI + _xlpm.AI * _xlpm.BR)))</definedName>
    <definedName name="CMREAL">_xlfn.LAMBDA(_xlpm.matrixA,_xlfn.LET(_xlpm.AR, _xlfn.MAP(_xlpm.matrixA, _xlfn.LAMBDA(_xlpm.x, IMREAL(_xlpm.x))), _xlpm.AR))</definedName>
    <definedName name="CMROUND">_xlfn.LAMBDA(_xlpm.matrixA,_xlpm.num_digits,_xlfn.MAP(_xlpm.matrixA, _xlfn.LAMBDA(_xlpm.x, COMPLEX(ROUND(IMREAL(_xlpm.x), _xlpm.num_digits), ROUND(IMAGINARY(_xlpm.x), _xlpm.num_digits)))))</definedName>
    <definedName name="CMSIGN">_xlfn.LAMBDA(_xlpm.matrixA,_xlfn.LET(_xlpm.AABS, _xlfn.MAP(_xlpm.matrixA, _xlfn.LAMBDA(_xlpm.x, IMEXP(COMPLEX(0, IMARGUMENT(_xlpm.x))))), _xlpm.AABS))</definedName>
    <definedName name="CMSIN">_xlfn.LAMBDA(_xlpm.matrixA,_xlfn.LET(_xlpm.AABS, _xlfn.MAP(_xlpm.matrixA, _xlfn.LAMBDA(_xlpm.x, IMSIN(_xlpm.x))), _xlpm.AABS))</definedName>
    <definedName name="CMSUB">_xlfn.LAMBDA(_xlpm.matrixA,_xlpm.matrixB,_xlfn.LET(_xlpm.AR, _xlfn.MAP(_xlpm.matrixA, _xlfn.LAMBDA(_xlpm.x, IMREAL(_xlpm.x))), _xlpm.BR, _xlfn.MAP(_xlpm.matrixB, _xlfn.LAMBDA(_xlpm.x, IMREAL(_xlpm.x))), _xlpm.AI, _xlfn.MAP(_xlpm.matrixA, _xlfn.LAMBDA(_xlpm.x, IMAGINARY(_xlpm.x))), _xlpm.BI, _xlfn.MAP(_xlpm.matrixB, _xlfn.LAMBDA(_xlpm.x, IMAGINARY(_xlpm.x))), COMPLEX(_xlpm.AR - _xlpm.BR, _xlpm.AI - _xlpm.BI)))</definedName>
    <definedName name="CMSUM">_xlfn.LAMBDA(_xlpm.matrixA,_xlpm.matrixB,_xlfn.LET(_xlpm.AR, _xlfn.MAP(_xlpm.matrixA, _xlfn.LAMBDA(_xlpm.x, IMREAL(_xlpm.x))), _xlpm.BR, _xlfn.MAP(_xlpm.matrixB, _xlfn.LAMBDA(_xlpm.x, IMREAL(_xlpm.x))), _xlpm.AI, _xlfn.MAP(_xlpm.matrixA, _xlfn.LAMBDA(_xlpm.x, IMAGINARY(_xlpm.x))), _xlpm.BI, _xlfn.MAP(_xlpm.matrixB, _xlfn.LAMBDA(_xlpm.x, IMAGINARY(_xlpm.x))), COMPLEX(_xlpm.AR + _xlpm.BR, _xlpm.AI + _xlpm.BI)))</definedName>
    <definedName name="COMBINATIONS">_xlfn.LAMBDA(_xlpm.u,_xlpm.v,_xlfn.LET(_xlpm.m, ROWS(_xlpm.u), _xlpm.n, ROWS(_xlpm.v), _xlfn.HSTACK(REPMAT(_xlpm.u, _xlpm.n, 1, TRUE), REPMAT(_xlpm.v, _xlpm.m, 1))))</definedName>
    <definedName name="COMPLEMENT">_xlfn.LAMBDA(_xlpm.matrix,_xlop.minInteger,_xlop.maxInteger, _xlfn.LET( _xlpm.minInteger, IF( _xlfn.ISOMITTED(_xlpm.minInteger), MIN(_xlpm.matrix), _xlpm.minInteger ), _xlpm.maxInteger, IF( _xlfn.ISOMITTED(_xlpm.maxInteger), MAX(_xlpm.matrix), _xlpm.maxInteger ), IFERROR( _xlfn.UNIQUE(_xlfn.VSTACK(VEC(_xlpm.matrix), _xlfn.SEQUENCE(_xlpm.maxInteger-_xlpm.minInteger+1,1,_xlpm.minInteger)),FALSE,TRUE), NA()) ))</definedName>
    <definedName name="CONTAGION_COKURTOSI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_xlpm.coKurNonCrisis_1_3, AVERAGE((_xlpm.sampleNonCrisis_1 - _xlpm.meanNonCrisis_1) / _xlpm.volNonCrisis_1 * ((_xlpm.sampleNonCrisis_2 - _xlpm.meanNonCrisis_2) / _xlpm.volNonCrisis_2) ^ 3) - (3 * _xlpm.corrNonCrisis), _xlpm.coKurCrisis_1_3, AVERAGE((_xlpm.sampleCrisis_1 - _xlpm.meanCrisis_1) / _xlpm.volCrisis_1 * ((_xlpm.sampleCrisis_2 - _xlpm.meanCrisis_2) / _xlpm.volCrisis_2) ^ 3) - (3 * _xlpm.corrCrisisAdj), _xlpm.coKurNonCrisis_3_1, AVERAGE(((_xlpm.sampleNonCrisis_1 - _xlpm.meanNonCrisis_1) / _xlpm.volNonCrisis_1) ^ 3 * ((_xlpm.sampleNonCrisis_2 - _xlpm.meanNonCrisis_2) / _xlpm.volNonCrisis_2)) - (3 * _xlpm.corrNonCrisis), _xlpm.coKurCrisis_3_1, AVERAGE(((_xlpm.sampleCrisis_1 - _xlpm.meanCrisis_1) / _xlpm.volCrisis_1) ^ 3 * ((_xlpm.sampleCrisis_2 - _xlpm.meanCrisis_2) / _xlpm.volCrisis_2)) - (3 * _xlpm.corrCrisisAdj), _xlpm.chiSquared_1_3, ((_xlpm.coKurCrisis_1_3 - _xlpm.coKurNonCrisis_1_3) / SQRT((18 * _xlpm.corrCrisisAdj ^ 2 + 6) / _xlpm.nCrisis_1 + (18 * _xlpm.corrNonCrisis ^ 2 + 6) / _xlpm.nNonCrisis_1)) ^ 2, _xlpm.chiSquared_3_1, ((_xlpm.coKurCrisis_3_1 - _xlpm.coKurNonCrisis_3_1) / SQRT((18 * _xlpm.corrCrisisAdj ^ 2 + 6) / _xlpm.nCrisis_1 + (18 * _xlpm.corrNonCrisis ^ 2 + 6) / _xlpm.nNonCrisis_1)) ^ 2, _xlpm.pTest_1_3, _xlfn.CHISQ.DIST.RT(_xlpm.chiSquared_1_3, 1), _xlpm.pTest_3_1, _xlfn.CHISQ.DIST.RT(_xlpm.chiSquared_3_1, 1), IF(OR(_xlfn.ISOMITTED(_xlpm.returnInverse), _xlpm.returnInverse = FALSE), IF(OR(_xlfn.ISOMITTED(_xlpm.returnPValue), _xlpm.returnPValue = FALSE), _xlpm.chiSquared_1_3, _xlpm.pTest_1_3), IF(OR(_xlfn.ISOMITTED(_xlpm.returnPValue), _xlpm.returnPValue = FALSE), _xlpm.chiSquared_3_1, _xlpm.pTest_3_1))))</definedName>
    <definedName name="CONTAGION_COSKEWNESS">_xlfn.LAMBDA(_xlpm.sampleNonCrisis_1,_xlpm.sampleNonCrisis_2,_xlpm.sampleCrisis_1,_xlpm.sampleCrisis_2,_xlop.returnPValue,_xlop.returnInverse,_xlfn.LET(_xlpm.volNonCrisis_1,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_xlpm.coSkewNonCrisis_1_2, AVERAGE((_xlpm.sampleNonCrisis_1 - _xlpm.meanNonCrisis_1) / _xlpm.volNonCrisis_1 * ((_xlpm.sampleNonCrisis_2 - _xlpm.meanNonCrisis_2) / _xlpm.volNonCrisis_2) ^ 2), _xlpm.coSkewCrisis_1_2, AVERAGE((_xlpm.sampleCrisis_1 - _xlpm.meanCrisis_1) / _xlpm.volCrisis_1 * ((_xlpm.sampleCrisis_2 - _xlpm.meanCrisis_2) / _xlpm.volCrisis_2) ^ 2), _xlpm.coSkewNonCrisis_2_1, AVERAGE(((_xlpm.sampleNonCrisis_1 - _xlpm.meanNonCrisis_1) / _xlpm.volNonCrisis_1) ^ 2 * ((_xlpm.sampleNonCrisis_2 - _xlpm.meanNonCrisis_2) / _xlpm.volNonCrisis_2)), _xlpm.coSkewCrisis_2_1, AVERAGE(((_xlpm.sampleCrisis_1 - _xlpm.meanCrisis_1) / _xlpm.volCrisis_1) ^ 2 * ((_xlpm.sampleCrisis_2 - _xlpm.meanCrisis_2) / _xlpm.volCrisis_2)), _xlpm.chiSquared_1_2, ((_xlpm.coSkewCrisis_1_2 - _xlpm.coSkewNonCrisis_1_2) / SQRT((4 * _xlpm.corrCrisisAdj ^ 2 + 2) / _xlpm.nCrisis_1 + (4 * _xlpm.corrNonCrisis ^ 2 + 2) / _xlpm.nNonCrisis_1)) ^ 2, _xlpm.chiSquared_2_1, ((_xlpm.coSkewCrisis_2_1 - _xlpm.coSkewNonCrisis_2_1) / SQRT((4 * _xlpm.corrCrisisAdj ^ 2 + 2) / _xlpm.nCrisis_1 + (4 * _xlpm.corrNonCrisis ^ 2 + 2) / _xlpm.nNonCrisis_1)) ^ 2, _xlpm.pTest_1_3, _xlfn.CHISQ.DIST.RT(_xlpm.chiSquared_1_2, 1), _xlpm.pTest_3_1, _xlfn.CHISQ.DIST.RT(_xlpm.chiSquared_2_1, 1), IF(OR(_xlfn.ISOMITTED(_xlpm.returnInverse), _xlpm.returnInverse = FALSE), IF(OR(_xlfn.ISOMITTED(_xlpm.returnPValue), _xlpm.returnPValue = FALSE), _xlpm.chiSquared_1_2, _xlpm.pTest_1_3), IF(OR(_xlfn.ISOMITTED(_xlpm.returnPValue), _xlpm.returnPValue = FALSE), _xlpm.chiSquared_2_1, _xlpm.pTest_3_1))))</definedName>
    <definedName name="CONTAGION_COVOLATILITY">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definedName>
    <definedName name="CONTAGION_FORBESRIGOBON">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definedName>
    <definedName name="CONTAINS">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definedName>
    <definedName name="CONV">_xlfn.LAMBDA(_xlpm.u,_xlpm.v,_xlop.shape,_xlfn.LET(_xlpm.u, VEC(_xlpm.u), _xlpm.v, VEC(_xlpm.v), _xlpm.m, ROWS(_xlpm.u), _xlpm.N, ROWS(_xlpm.v), _xlpm.shape, IF(OR(_xlfn.ISOMITTED(_xlpm.shape), ISBLANK(_xlpm.shape)), "full", _xlpm.shape), _xlpm.prematrix, _xlpm.u * TRANSPOSE(_xlpm.v), _xlpm.matrix, _xlfn.EXPAND(_xlpm.prematrix, ROWS(_xlpm.prematrix), (MAX(COLUMNS(_xlpm.prematrix), ROWS(_xlpm.prematrix)) - 1) * 2, 0), _xlpm.THUNK, _xlfn.LAMBDA(_xlpm.x, _xlfn.LAMBDA(_xlpm.x)), _xlpm.EXPAND_THUNK_H, _xlfn.LAMBDA(_xlpm.arraythunks, IFERROR(_xlfn.DROP(_xlfn.REDUCE(0, _xlpm.arraythunks, _xlfn.LAMBDA(_xlpm.init,_xlpm.arraythunks, _xlfn.HSTACK(_xlpm.init, _xlpm.arraythunks()))), , 1), "")), _xlpm.out, TRANSPOSE(_xlfn.BYCOL(IFERROR(INDEX(_xlpm.matrix, _xlfn.SEQUENCE(ROWS(_xlpm.matrix)), _xlpm.EXPAND_THUNK_H(_xlfn.BYCOL(_xlfn.SEQUENCE(, COLUMNS(_xlpm.matrix)), _xlfn.LAMBDA(_xlpm.a, _xlpm.THUNK(FLIPUD(_xlfn.SEQUENCE(_xlfn.SINGLE(_xlpm.a), 1, 1, 1))))))), ""), _xlfn.LAMBDA(_xlpm.a, SUM(_xlpm.a)))), _xlpm.final, _xlfn.VSTACK(INDEX(_xlpm.out, _xlfn.SEQUENCE(ROWS(_xlpm.u) + ROWS(_xlpm.v) - 2)), _xlfn.TAKE(_xlpm.u, -1) * _xlfn.TAKE(_xlpm.v, -1)), _xlfn.SWITCH(_xlpm.shape, "full", _xlpm.final, "same", INDEX(_xlpm.final, _xlfn.SEQUENCE(_xlpm.m, 1, 2)), "valid", IFERROR(INDEX(_xlpm.final, _xlfn.SEQUENCE(MAX(_xlpm.m - MAX(0, _xlpm.N - 1)), 1, _xlpm.N)), NA()))))</definedName>
    <definedName name="CORRCOEF">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definedName>
    <definedName name="CORREL_DIFF_TEST">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efinedName>
    <definedName name="COV">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1,_xlfn.LAMBDA(_xlpm.p,MMULT(_xlpm.p,TRANSPOSE(_xlpm.p)) / (COLUMNS(_xlpm.p) - _xlfn.SWITCH(_xlpm.w, 0, 1, 1, 0)) )(_xlpm.a), 2,_xlfn.LAMBDA(_xlpm.p,MMULT(TRANSPOSE(_xlpm.p),_xlpm.p) / (ROWS(_xlpm.p) - _xlfn.SWITCH(_xlpm.w, 0, 1, 1, 0)) )(_xlpm.a), "# Dimension must be either 1 (rows) or 2 (columns)" ))))</definedName>
    <definedName name="DETREND">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definedName>
    <definedName name="DFTABLE">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definedName>
    <definedName name="DIAG">_xlfn.LAMBDA(_xlpm.matrix,_xlop.k,_xlfn.LET(_xlpm.k, IF(_xlfn.ISOMITTED(_xlpm.k), 0, _xlpm.k), IF(AND(ROWS(_xlpm.matrix) &gt; 1, COLUMNS(_xlpm.matrix) &gt; 1), _xlfn._xlws.FILTER(VEC(_xlpm.matrix), VEC(_xlfn.MAKEARRAY(ROWS(_xlpm.matrix), COLUMNS(_xlpm.matrix), _xlfn.LAMBDA(_xlpm.lin,_xlpm.col, _xlpm.col = (_xlpm.lin + _xlpm.k))))), IF(ROWS(_xlpm.matrix) = 1, _xlpm.matrix * _xlfn.MUNIT(COLUMNS(_xlpm.matrix)), IF(COLUMNS(_xlpm.matrix) = 1, _xlpm.matrix * _xlfn.MUNIT(ROWS(_xlpm.matrix)))))))</definedName>
    <definedName name="DIFF">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definedName>
    <definedName name="DIM">_xlfn.LAMBDA(_xlpm.matrix,_xlop.dim, _xlfn.LET(_xlpm.dim, IF(_xlfn.ISOMITTED(_xlpm.dim), 3, _xlpm.dim), CHOOSE(_xlpm.dim, ROWS(_xlpm.matrix), COLUMNS(_xlpm.matrix), _xlfn.VSTACK(ROWS(_xlpm.matrix),COLUMNS(_xlpm.matrix)))) )</definedName>
    <definedName name="DRAWDOWN">_xlfn.LAMBDA(_xlpm.values,_xlop.absolute, _xlfn.LET( _xlpm.absolute, IF(OR(_xlfn.ISOMITTED(_xlpm.absolute), ISBLANK(_xlpm.absolute)), FALSE, _xlpm.absolute), _xlpm.maxValues, _xlfn.SCAN(MIN(_xlpm.values), _xlpm.values, _xlfn.LAMBDA(_xlpm.accum,_xlpm.val, MAXA(_xlpm.accum, _xlpm.val))), IF(_xlpm.absolute, (_xlpm.values - _xlpm.maxValues), -(1 - _xlpm.values/_xlpm.maxValues)) ))</definedName>
    <definedName name="DUMMYVAR">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definedName>
    <definedName name="EIGENVALUES">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definedName>
    <definedName name="EIGENVECTORS">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definedName>
    <definedName name="ENDSWITH">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definedName>
    <definedName name="EVALS">_xlfn.LAMBDA(_xlpm.expression, EVALUATE(_xlpm.expression))</definedName>
    <definedName name="EVERY">_xlfn.LAMBDA(_xlpm.lb,_xlpm.ub,_xlop.spacing, _xlfn.LET(_xlpm.nLags, (_xlpm.ub-_xlpm.lb+1)/_xlpm.spacing, _xlpm.nElems, _xlpm.spacing, _xlfn.DROP(_xlfn.REDUCE(0,_xlfn.SEQUENCE(_xlpm.nElems,1,_xlpm.lb), _xlfn.LAMBDA(_xlpm.accum,_xlpm.val, _xlfn.VSTACK(_xlpm.accum, _xlfn.SEQUENCE(_xlpm.nLags, 1, _xlpm.val, _xlpm.nElems)))),1)))</definedName>
    <definedName name="EYE">_xlfn.LAMBDA(_xlpm.N,_xlop.m,_xlfn.LET(_xlpm.m, IF(_xlfn.ISOMITTED(_xlpm.m), _xlpm.N, _xlpm.m), IF(_xlpm.N = _xlpm.m, _xlfn.MUNIT(_xlpm.N), IF(_xlpm.N &lt; _xlpm.m, _xlfn.HSTACK(_xlfn.MUNIT(_xlpm.N), ZEROS(_xlpm.N, _xlpm.m - _xlpm.N)), _xlfn.TAKE(_xlfn.MUNIT(_xlpm.N), _xlpm.N, _xlpm.m)))))</definedName>
    <definedName name="FACTORIZE_CHOL">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definedName>
    <definedName name="FACTORIZE_QR">_xlfn.LAMBDA(_xlpm.matrix,_xlop.returnObject,_xlop.full,_xlfn.LET(_xlpm.returnObject, IF(OR(_xlfn.ISOMITTED(_xlpm.returnObject), ISBLANK(_xlpm.returnObject)), "QR", _xlpm.returnObject), _xlpm.full, IF(OR(_xlfn.ISOMITTED(_xlpm.full), ISBLANK(_xlpm.full)), TRUE, _xlpm.full), _xlpm.n, DIM(_xlpm.matrix, 1), _xlpm.m, DIM(_xlpm.matrix, 2), _xlpm.Q, EYE(_xlpm.n), _xlpm.R, _xlpm.matrix, _xlpm.II, EYE(_xlpm.n), _xlpm.matrixHelper, _xlfn.REDUCE(_xlfn.HSTACK(_xlpm.Q, _xlpm.R), _xlfn.SEQUENCE(_xlpm.n - 1), _xlfn.LAMBDA(_xlpm.accum,_xlpm.j, _xlfn.LET(_xlpm.QQ, SLICE(_xlpm.accum, , , 1, _xlpm.n), _xlpm.RR, SLICE(_xlpm.accum, , , _xlpm.n + 1, ), _xlpm.x, SLICE(_xlpm.RR, _xlpm.j, _xlpm.n, _xlpm.j, _xlpm.j), _xlpm.v, -SIGN(INDEX(_xlpm.x, 1, 1)) * MNORM(_xlpm.x, 2) * EYE(_xlpm.n - _xlpm.j + 1, 1) - _xlpm.x, _xlpm.QR, IF(MNORM(_xlpm.v, 2) &lt;= 0, _xlpm.accum, _xlfn.LET(_xlpm.vv, _xlpm.v / MNORM(_xlpm.v, 2), _xlpm.P, _xlpm.II, _xlpm.PP, SLICE(_xlpm.P, _xlpm.j, _xlpm.n, _xlpm.j, _xlpm.n, SLICE(_xlpm.P, _xlpm.j, _xlpm.n, _xlpm.j, _xlpm.n) - 2 * MMULT(_xlpm.vv, TRANSPOSE(_xlpm.vv))), _xlpm.RRR, MMULT(_xlpm.PP, _xlpm.RR), _xlpm.QQQ, MMULT(_xlpm.QQ, _xlpm.PP), _xlfn.HSTACK(_xlpm.QQQ, _xlpm.RRR))), _xlpm.QR))), _xlpm.final, _xlfn.LET(_xlpm.Q, _xlfn.TAKE(_xlpm.matrixHelper, , _xlpm.n), _xlpm.R, _xlfn.MAKEARRAY(ROWS(_xlpm.matrix), COLUMNS(_xlpm.matrix), _xlfn.LAMBDA(_xlpm.r,_xlpm.c, IF(AND(_xlpm.r &gt; 1, _xlpm.r &gt; _xlpm.c), 0, SUM(INDEX(_xlpm.matrix, , _xlpm.c) * INDEX(_xlpm.Q, , _xlpm.r))))), _xlpm.adjustedQ, MMULT(_xlpm.Q, DIAG(SIGN(DIAG(_xlpm.Q)))), _xlpm.adjustedR, MMULT(DIAG(SIGN(DIAG(_xlpm.Q))), _xlpm.R), _xlfn.SWITCH(_xlpm.returnObject, "QR", _xlfn.HSTACK(_xlpm.adjustedQ, _xlpm.adjustedR), "Q", _xlpm.adjustedQ, "R", _xlpm.adjustedR)), _xlpm.result, IF(_xlpm.full, _xlpm.final, _xlfn.SWITCH(_xlpm.returnObject, "QR", _xlfn.HSTACK(_xlfn.TAKE(_xlpm.final, _xlpm.n, MIN(_xlpm.n, _xlpm.m)), _xlfn.TAKE(_xlpm.final, MIN(_xlpm.n, _xlpm.m), MIN(_xlpm.n, _xlpm.m))), "Q", _xlfn.TAKE(_xlpm.final, _xlpm.n, MIN(_xlpm.n, _xlpm.m)), "R", _xlfn.TAKE(_xlpm.final, MIN(_xlpm.n, _xlpm.m), MIN(_xlpm.n, _xlpm.m)))), _xlpm.result))</definedName>
    <definedName name="FILLMISSING">_xlfn.LAMBDA(_xlpm.matrix,_xlpm.filling, _xlfn.MAP(_xlpm.matrix, _xlfn.LAMBDA(_xlpm.item, IF(OR(ISERROR(_xlpm.item), ISBLANK(_xlpm.item)),_xlpm.filling,_xlpm.item))) )</definedName>
    <definedName name="FINANCE_VAR">_xlfn.LAMBDA(_xlpm.portfolioPrices,_xlop.portfolioWeights,_xlop.confidenceInterval,_xlop.typeVaR,_xlop.distribution,_xlop.conditionalVaRparam,_xlop.brwLambda,_xlfn.LET(_xlpm.portfolioWeights, IF(OR(_xlfn.ISOMITTED(_xlpm.portfolioWeights), ISBLANK(_xlpm.portfolioWeights)), _xlfn.EXPAND(1, 1, COLUMNS(_xlpm.portfolioPrices), 1), _xlfn.TOROW(_xlpm.portfolioWeights)), _xlpm.typeVaR, IF(OR(_xlfn.ISOMITTED(_xlpm.typeVaR), ISBLANK(_xlpm.typeVaR)), "vcv", _xlpm.typeVaR), _xlpm.distribution, IF(OR(_xlfn.ISOMITTED(_xlpm.distribution), ISBLANK(_xlpm.distribution)), "normal", _xlpm.distribution), _xlpm.brwLambda, IF(OR(_xlfn.ISOMITTED(_xlpm.brwLambda), ISBLANK(_xlpm.brwLambda)), 0.99, _xlpm.brwLambda), _xlpm.conditionalVaRparam, IF(OR(_xlfn.ISOMITTED(_xlpm.conditionalVaRparam), ISBLANK(_xlpm.conditionalVaRparam)), 0, _xlpm.conditionalVaRparam), _xlpm.confidenceInterval, IF(OR(_xlfn.ISOMITTED(_xlpm.confidenceInterval), ISBLANK(_xlpm.confidenceInterval)), _xlfn.SWITCH(_xlpm.typeVaR, "vcvCondSteps", TRANSPOSE(_xlfn.DROP(LINSPACE(0.95, 1, _xlpm.conditionalVaRparam + 1), -1)), "vcvCondSim", _xlfn.RANDARRAY(_xlpm.conditionalVaRparam, 1, 0.95, 1, FALSE), 0.95), _xlfn.SWITCH(_xlpm.typeVaR, "vcvCondSteps", TRANSPOSE(_xlfn.DROP(LINSPACE(_xlpm.confidenceInterval, 1, _xlpm.conditionalVaRparam + 1), -1)), "vcvCondSim", _xlfn.RANDARRAY(_xlpm.conditionalVaRparam, 1, _xlpm.confidenceInterval, 1, FALSE), _xlfn.TOCOL(_xlpm.confidenceInterval))), _xlpm.portfolioReturns, (_xlfn.DROP(_xlpm.portfolioPrices, 1) / _xlfn.DROP(_xlpm.portfolioPrices, -1) - 1), _xlpm.weightedPortfolioReturn, _xlfn.BYROW(_xlpm.portfolioReturns * _xlpm.portfolioWeights, _xlfn.LAMBDA(_xlpm.row, SUM(_xlpm.row))) / SUM(_xlpm.portfolioWeights), _xlpm.covPortfolioReturns, COV(_xlpm.portfolioReturns), _xlpm.portfolioVar, MMULT(_xlpm.portfolioWeights, MMULT(_xlpm.covPortfolioReturns, TRANSPOSE(_xlpm.portfolioWeights))), _xlpm.portfolioStd, SQRT(_xlpm.portfolioVar), _xlpm.portfolioMean, AVERAGE(_xlpm.weightedPortfolioReturn), _xlpm.portfolioMedian, MEDIAN(_xlpm.weightedPortfolioReturn), _xlpm.portfolioSkew, SKEW(_xlpm.weightedPortfolioReturn), _xlpm.portfolioKurt, KURT(_xlpm.weightedPortfolioReturn), _xlpm.zStat, _xlfn.NORM.S.INV(1 - _xlpm.confidenceInterval), _xlpm.vcvVAR, _xlfn.SWITCH(_xlpm.distribution, "normal", _xlpm.portfolioMean + _xlpm.zStat * _xlpm.portfolioStd, "logistic", _xlpm.portfolioMean + (_xlpm.portfolioStd * SQRT(3) / PI()) * LN((1 - _xlpm.confidenceInterval) / _xlpm.confidenceInterval), "hypersecant", _xlpm.portfolioMean + 2 * _xlpm.portfolioStd / PI() * LN(TAN(PI() / 2 * (1 - _xlpm.confidenceInterval))), "laplace", _xlpm.portfolioMedian + AVERAGE(ABS(_xlpm.weightedPortfolioReturn - _xlpm.portfolioMean)) * LN(2 * (1 - _xlpm.confidenceInterval)), "cauchy", _xlpm.portfolioMedian + 1 / 2 * (_xlfn.PERCENTILE.EXC(_xlpm.weightedPortfolioReturn, 0.75) - _xlfn.PERCENTILE.EXC(_xlpm.weightedPortfolioReturn, 0.25)) * TAN(PI() * (1 - _xlpm.confidenceInterval) - PI() / 2), ), _xlpm.vcvVaRModified, IF(_xlpm.typeVaR &lt;&gt; "mcvc", FALSE, _xlpm.portfolioMean + (_xlpm.zStat + 1 / 6 * (_xlpm.zStat ^ 2 - 1) * _xlpm.portfolioSkew + 1 / 24 * (_xlpm.zStat ^ 3 - 3 * _xlpm.zStat) * _xlpm.portfolioKurt + 1 / 36 * (2 * _xlpm.zStat ^ 3 - 5 * _xlpm.zStat) * _xlpm.portfolioSkew ^ 2) * _xlpm.portfolioStd), _xlpm.vcvVaRcondSim, IF(_xlpm.typeVaR &lt;&gt; "vcvCondSim", FALSE, MIN(_xlpm.vcvVAR) * AVERAGE(1 * (_xlpm.vcvVAR &lt; _xlfn.RANDARRAY(ROWS(_xlpm.vcvVAR), 1, MIN(_xlpm.vcvVAR), 0)))), _xlpm.vcvVARcond, IF(_xlpm.typeVaR &lt;&gt; "vcvCond", FALSE, _xlpm.portfolioMean - _xlpm.portfolioStd * _xlfn.NORM.S.DIST((_xlpm.vcvVAR - _xlpm.portfolioMean) / _xlpm.portfolioStd, 0) / _xlfn.NORM.S.DIST((_xlpm.vcvVAR - _xlpm.portfolioMean) / _xlpm.portfolioStd, 1)), _xlpm.hsVAR, IF(_xlpm.typeVaR &lt;&gt; "hist", FALSE, _xlfn.PERCENTILE.EXC(_xlpm.weightedPortfolioReturn, 1 - _xlpm.confidenceInterval)), _xlpm.hsVAR_BRW, IF(_xlpm.typeVaR &lt;&gt; "histBRW", FALSE, _xlfn.LET(_xlpm.recency, _xlfn.SEQUENCE(ROWS(_xlpm.weightedPortfolioReturn), 1, ROWS(_xlpm.weightedPortfolioReturn) - 1, -1), _xlpm.rankedReturn, _xlfn._xlws.SORT(_xlfn.HSTACK(_xlpm.weightedPortfolioReturn, _xlpm.brwLambda ^ _xlpm.recency / SUM(_xlpm.brwLambda ^ _xlpm.recency)), 1, 1, FALSE), _xlpm.rankedReturnCumm, _xlfn.SCAN(0, INDEX(_xlpm.rankedReturn, 0, 2), _xlfn.LAMBDA(_xlpm.accum,_xlpm.x, _xlpm.accum + _xlpm.x)), INDEX(_xlpm.rankedReturn, MATCH(1 - _xlpm.confidenceInterval, _xlpm.rankedReturnCumm, 1), 1))), _xlpm.result, _xlfn.SWITCH(_xlpm.typeVaR, "vcv", _xlpm.vcvVAR, "vcvCondSteps", _xlpm.vcvVAR, "vcvCondSim", _xlpm.vcvVaRcondSim, "vcvCond", _xlpm.vcvVARcond, "mvcv", _xlpm.vcvVaRModified, "hist", _xlpm.hsVAR, "histBRW", _xlpm.hsVAR_BRW), _xlpm.resultFinal, _xlfn.BYROW(_xlpm.result, _xlfn.LAMBDA(_xlpm.row, AVERAGE(RMMISSING(_xlpm.row, 2)))), IF(_xlpm.distribution = "normal", _xlpm.resultFinal, IF(ISMEMBER(_xlpm.typeVaR, {"vcv";"vcvCondSteps";"vcvCondSim"}), _xlpm.resultFinal, "# " &amp; _xlpm.typeVaR &amp; " does not accept distribution argument"))))</definedName>
    <definedName name="FLATTEN">_xlfn.LAMBDA(_xlpm.matrix_names,_xlpm.matrix_1,_xlop.matrix_2,_xlop.matrix_3,_xlop.matrix_4,_xlop.matrix_5, _xlfn.LET(_xlpm.matrix_names, VEC(_xlpm.matrix_names), _xlpm.nElements, ROWS(_xlpm.matrix_names), _xlpm.matrix_1, IF(_xlpm.nElements &gt;= 1, _xlpm.matrix_1, NA()), _xlpm.matrix_2, IF(_xlpm.nElements &gt;= 2, _xlpm.matrix_2, NA()), _xlpm.matrix_3, IF(_xlpm.nElements &gt;= 3, _xlpm.matrix_3, NA()), _xlpm.matrix_4, IF(_xlpm.nElements &gt;= 4, _xlpm.matrix_4, NA()), _xlpm.matrix_5, IF(_xlpm.nElements &gt;= 5, _xlpm.matrix_5, NA()), _xlpm.rows, _xlfn.VSTACK(IFERROR(ROWS(_xlpm.matrix_1), 0), IFERROR(ROWS(_xlpm.matrix_2), 0), IFERROR(ROWS(_xlpm.matrix_3), 0), IFERROR(ROWS(_xlpm.matrix_4), 0), IFERROR(ROWS(_xlpm.matrix_5), 0)), _xlpm.cols, _xlfn.VSTACK(IFERROR(COLUMNS(_xlpm.matrix_1), 0), IFERROR(COLUMNS(_xlpm.matrix_2), 0), IFERROR(COLUMNS(_xlpm.matrix_3), 0), IFERROR(COLUMNS(_xlpm.matrix_4), 0), IFERROR(COLUMNS(_xlpm.matrix_5), 0)), _xlpm.header, _xlfn.VSTACK(_xlpm.nElements, _xlfn.HSTACK(_xlpm.matrix_names, _xlpm.rows, _xlpm.cols)), _xlfn.REDUCE(_xlpm.header, _xlfn.SEQUENCE(_xlpm.nElements), _xlfn.LAMBDA(_xlpm.accum,_xlpm.idx, _xlfn.VSTACK(_xlpm.accum, CHOOSE(_xlpm.idx, _xlpm.matrix_1, _xlpm.matrix_2, _xlpm.matrix_3, _xlpm.matrix_4, _xlpm.matrix_5))))))</definedName>
    <definedName name="FLIPLR">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definedName>
    <definedName name="FLIPUD">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definedName>
    <definedName name="FULL">_xlfn.LAMBDA(_xlpm.s, _xlfn.LET(_xlpm.n, INDEX(_xlpm.s, 1, 1), _xlpm.m, INDEX(_xlpm.s, 1, 2), _xlpm.default, INDEX(_xlpm.s, 1, 3), IF(OR(_xlpm.n = 0, _xlpm.m = 0), #NULL!, _xlfn.LET(_xlpm.s, _xlfn.DROP(_xlpm.s, 1, 0), _xlpm.idxsLin, INDEX(_xlpm.s, 0, 1), _xlpm.idxsCol, INDEX(_xlpm.s, 0, 2), _xlpm.baseMatrix, _xlfn.EXPAND(_xlpm.default, _xlpm.n, _xlpm.m, _xlpm.default), _xlpm.final, IF(ISERR(INDEX(_xlpm.s, 1, 1)), _xlpm.baseMatrix, _xlfn.REDUCE(_xlpm.baseMatrix, _xlfn.SEQUENCE(ROWS(_xlpm.s)), _xlfn.LAMBDA(_xlpm.accum,_xlpm.x, _xlfn.LET(_xlpm.lin, INDEX(_xlpm.idxsLin, _xlpm.x, 1), _xlpm.col, INDEX(_xlpm.idxsCol, _xlpm.x, 1), SLICE(_xlpm.accum, _xlpm.lin, _xlpm.lin, _xlpm.col, _xlpm.col, INDEX(_xlpm.s, _xlpm.x, 3)))))), _xlpm.final))))</definedName>
    <definedName name="FZERO">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definedName>
    <definedName name="GET">_xlfn.LAMBDA(_xlpm.matrix,_xlpm.position,_xlop.patch,_xlop.remove,_xlop.rowsToCols,_xlfn.LET(_xlpm.nRows, ROWS(_xlpm.matrix), _xlpm.nCols, COLUMNS(_xlpm.matrix), _xlpm.remove, IF(OR(_xlfn.ISOMITTED(_xlpm.remove), ISBLANK(_xlpm.remove)), FALSE, _xlpm.remove), _xlpm.rowsToCols, IF(OR(_xlfn.ISOMITTED(_xlpm.rowsToCols), ISBLANK(_xlpm.rowsToCols)), TRUE, _xlpm.rowsToCols), IF(_xlfn.ISOMITTED(_xlpm.patch), IF(_xlpm.remove = FALSE, IF(AND(_xlpm.nRows &gt; 1, _xlpm.nCols &gt; 1), INDEX(VEC(_xlpm.matrix, _xlpm.rowsToCols), _xlpm.position, 1), IF(_xlpm.nRows &gt; 1, INDEX(_xlpm.matrix, _xlpm.position, 1), INDEX(_xlpm.matrix, 1, _xlpm.position))), IF(AND(_xlpm.nRows &gt; 1, _xlpm.nCols &gt; 1), SLICE(VEC(_xlpm.matrix, _xlpm.rowsToCols), _xlpm.position, _xlpm.position, 1, 1, , TRUE), IF(_xlpm.nRows &gt; 1, SLICE(_xlpm.matrix, _xlpm.position, _xlpm.position, , , , TRUE), SLICE(_xlpm.matrix, , , _xlpm.position, _xlpm.position, , TRUE)))), IF(AND(_xlpm.nRows &gt; 1, _xlpm.nCols &gt; 1), SLICE(VEC(_xlpm.matrix, _xlpm.rowsToCols), _xlpm.position, _xlpm.position, 1, 1, _xlpm.patch), IF(_xlpm.nRows &gt; 1, SLICE(_xlpm.matrix, _xlpm.position, _xlpm.position, 1, 1, _xlpm.patch), SLICE(_xlpm.matrix, 1, 1, _xlpm.position, _xlpm.position, _xlpm.patch))))))</definedName>
    <definedName name="GRANGER">_xlfn.LAMBDA(_xlpm.predicted,_xlpm.predictors,_xlpm.nLags,_xlop.returnPValue, _xlfn.LET( _xlpm.returnPValue, IF( _xlfn.ISOMITTED(_xlpm.returnPValue), TRUE, FALSE), _xlpm.dataRestrictedBeforeCleaning, _xlfn.HSTACK(_xlpm.predicted, ADDCONST( LAG(_xlpm.predicted, _xlpm.nLags, TRUE, TRUE) ) ), _xlpm.dataUnrestrictedBeforeCleaning, _xlfn.HSTACK(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definedName>
    <definedName name="HASCONST">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definedName>
    <definedName name="HENDFILTER">_xlfn.LAMBDA(_xlpm.values,_xlop.trendCycle,_xlop.nTerms,_xlop.endPointAsymmetric,     _xlfn.LET(         _xlpm.y, VEC(_xlpm.values),         _xlpm.N, ROWS(_xlpm.y),         _xlpm.trendCycle, IF(OR(_xlfn.ISOMITTED(_xlpm.trendCycle), ISBLANK(_xlpm.trendCycle)), "t", LOWER(_xlpm.trendCycle)),         _xlpm.nTerms, IF(OR(_xlfn.ISOMITTED(_xlpm.nTerms), ISBLANK(_xlpm.nTerms)), 13, _xlpm.nTerms),         _xlpm.endPointAsymmetric, IF(             OR(_xlfn.ISOMITTED(_xlpm.endPointAsymmetric), ISBLANK(_xlpm.endPointAsymmetric)),             FALSE,             _xlpm.endPointAsymmetric         ),         _xlpm.weights, HENDFILTER_WEIGHTS(_xlpm.nTerms, FALSE),         _xlpm.trend, _xlfn.LET(             _xlpm.m, INT((_xlpm.nTerms - 1) / 2),             _xlfn.SCAN(                 0,                 _xlfn.SEQUENCE(_xlpm.N),                 _xlfn.LAMBDA(_xlpm.accum,_xlpm.i,                     IF(                         _xlpm.i &lt;= _xlpm.m,                         IF(                             _xlpm.endPointAsymmetric = FALSE,                             NA(),                             SUM(                                 INDEX(_xlpm.y, _xlfn.SEQUENCE(_xlpm.i + _xlpm.m)) *                                     FLIPUD(HENDFILTER_WEIGHTS(_xlpm.nTerms, TRUE, _xlpm.i + _xlpm.m))                             )                         ),                         IF(                             AND(_xlpm.i &gt; _xlpm.m, _xlpm.i &lt;= _xlpm.N - _xlpm.m),                             SUM(INDEX(_xlpm.y, _xlfn.SEQUENCE(_xlpm.i + _xlpm.m - _xlpm.i + _xlpm.m + 1, 1, _xlpm.i - _xlpm.m)) * _xlpm.weights),                             IF(                                 _xlpm.endPointAsymmetric = FALSE,                                 NA(),                                 SUM(                                     INDEX(_xlpm.y, _xlfn.SEQUENCE(_xlpm.N - _xlpm.i + _xlpm.m + 1, 1, _xlpm.i - _xlpm.m)) *                                         HENDFILTER_WEIGHTS(_xlpm.nTerms, TRUE, _xlpm.N - _xlpm.i + 1 + _xlpm.m)                                 )                             )                         )                     )                 )             )         ),         _xlpm.final, IF(             _xlpm.trendCycle = "t",             _xlpm.trend,             IF(_xlpm.trendCycle = "c", _xlpm.y - _xlpm.trend, "#trendCycle must be either ""t"" or ""c""")         ),         _xlpm.final     ) )</definedName>
    <definedName name="HENDFILTER_WEIGHTS">_xlfn.LAMBDA(_xlpm.nTerms,_xlop.asymmetric,_xlop.nWeights,_xlfn.LET(_xlpm.asymmetric, IF(OR(_xlfn.ISOMITTED(_xlpm.asymmetric), ISBLANK(_xlpm.asymmetric)), FALSE, _xlpm.asymmetric), _xlpm.nWeights, IF(OR(_xlfn.ISOMITTED(_xlpm.nWeights), ISBLANK(_xlpm.nWeights)), _xlpm.nTerms - 1, _xlpm.nWeights), _xlpm.symmetricWeights, _xlfn.LAMBDA(_xlpm.N, _xlfn.LET(_xlpm.m, INT((_xlpm.N - 1) / 2), _xlpm.m_1, (_xlpm.m + 1) * (_xlpm.m + 1), _xlpm.m_2, (_xlpm.m + 2) * (_xlpm.m + 2), _xlpm.m_3, (_xlpm.m + 3) * (_xlpm.m + 3), _xlpm.d, 8 * (_xlpm.m + 2) * (_xlpm.m_2 - 1) * (4 * _xlpm.m_2 - 1) * (4 * _xlpm.m_2 - 9) * (4 * _xlpm.m_2 - 25), _xlpm.wFinal, _xlfn.REDUCE(ZEROS(_xlpm.N, 1), _xlfn.SEQUENCE(_xlpm.m + 1, 1, 0), _xlfn.LAMBDA(_xlpm.accum,_xlpm.j, _xlfn.LET(_xlpm.j_2, _xlpm.j * _xlpm.j, _xlpm.v, (315 * (_xlpm.m_1 - _xlpm.j_2) * (_xlpm.m_2 - _xlpm.j_2) * (_xlpm.m_3 - _xlpm.j_2) * (3 * _xlpm.m_2 - 11 * _xlpm.j_2 - 16)) / _xlpm.d, _xlpm.w, SLICE(_xlpm.accum, _xlpm.m + 1 + _xlpm.j, _xlpm.m + 1 + _xlpm.j, 1, 1, _xlpm.v), IF(_xlpm.j &gt; 0, SLICE(_xlpm.w, _xlpm.m + 1 - _xlpm.j, _xlpm.m + 1 - _xlpm.j, 1, 1, _xlpm.v), _xlpm.w)))), _xlpm.wFinal)), _xlpm.asymmetricWeights, _xlfn.LAMBDA(_xlpm.N,_xlpm.mw,_xlpm.w, _xlfn.LET(_xlpm.sumResidual, SUM(INDEX(_xlpm.w, _xlfn.SEQUENCE(_xlpm.N - _xlpm.mw - 1 + 1, 1, _xlpm.mw + 1))), _xlpm.sumEnd, _xlfn.REDUCE(0, _xlfn.SEQUENCE(_xlpm.N - _xlpm.mw - 1 + 1, 1, _xlpm.mw + 1), _xlfn.LAMBDA(_xlpm.accum,_xlpm.i, _xlpm.accum + ((_xlpm.i) - ((_xlpm.mw + 1) / 2)) * INDEX(_xlpm.w, _xlpm.i))), _xlpm.ic, IF(AND(_xlpm.N &gt;= 13, _xlpm.N &lt; 15), 3.5, IF(_xlpm.N &gt;= 15, 4.5, 1)), _xlpm.b2s2, (4 / PI()) / (_xlpm.ic * _xlpm.ic), _xlpm.f_1, _xlpm.sumResidual / _xlpm.mw, _xlpm.u, _xlfn.SCAN(0, _xlfn.SEQUENCE(_xlpm.mw, 1, 1), _xlfn.LAMBDA(_xlpm.accum,_xlpm.r, _xlfn.LET(_xlpm.calc_1, (_xlpm.r - (_xlpm.mw + 1) / 2) * _xlpm.b2s2, _xlpm.calc_2, 1 + (_xlpm.mw * (_xlpm.mw - 1) * (_xlpm.mw + 1) / 12) * _xlpm.b2s2, INDEX(_xlpm.w, _xlpm.r) + _xlpm.f_1 + (_xlpm.calc_1 / _xlpm.calc_2) * _xlpm.sumEnd))), _xlpm.u)), _xlpm.w, _xlpm.symmetricWeights(_xlpm.nTerms), IF(_xlpm.asymmetric = FALSE, _xlpm.w, _xlpm.asymmetricWeights(_xlpm.nTerms, _xlpm.nWeights, _xlpm.w))))</definedName>
    <definedName name="HFILTER">_xlfn.LAMBDA(_xlpm.values,_xlop.trendCycle,_xlop.leadLength,_xlop.lagLength, _xlfn.LET( _xlpm.y, VEC(_xlpm.values), _xlpm.N, ROWS(_xlpm.y), _xlpm.trendCycle, IF( OR(_xlfn.ISOMITTED(_xlpm.trendCycle),ISBLANK(_xlpm.trendCycle)), "t", LOWER(_xlpm.trendCycle) ), _xlpm.leadLength, IF( OR(_xlfn.ISOMITTED(_xlpm.leadLength),ISBLANK(_xlpm.leadLength)), 8, _xlpm.leadLength ), _xlpm.lagLength, IF( OR(_xlfn.ISOMITTED(_xlpm.lagLength),ISBLANK(_xlpm.lagLength)), 4, _xlpm.lagLength ), _xlpm.yLags, _xlfn.HSTACK(_xlfn.DROP(_xlpm.y,_xlpm.leadLength), ONES(_xlpm.N-_xlpm.leadLength,1), _xlfn.DROP(_xlpm.y,-_xlpm.leadLength), LAG(_xlfn.DROP(_xlpm.y,-_xlpm.leadLength), _xlpm.lagLength-1,TRUE,TRUE,FALSE,FALSE,TRUE)), _xlpm.yLagsClean, RMMISSING(_xlpm.yLags), _xlpm.trend, _xlfn.VSTACK(NA()*_xlfn.SEQUENCE(_xlpm.leadLength+_xlpm.lagLength-1), OLS_FITTED(_xlfn.TAKE(_xlpm.yLagsClean,,1), _xlfn.DROP(_xlpm.yLagsClean,,1))), _xlpm.final, IF(_xlpm.trendCycle = "t", _xlpm.trend, IF(_xlpm.trendCycle = "c", _xlpm.y - _xlpm.trend, "#trendCycle must be either ""t"" or ""c""") ), _xlpm.final ))</definedName>
    <definedName name="HORZCAT" comment="Concatenate arrays horizontally">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definedName>
    <definedName name="HORZCAT_EX">_xlfn.LAMBDA(_xlpm.matrixA,_xlpm.matrixB,_xlpm.excludeValue, _xlfn.LET( _xlpm.testA, ALL(_xlpm.matrixA=_xlpm.excludeValue), _xlpm.testB, ALL(_xlpm.matrixB=_xlpm.excludeValue), _xlfn.IFS(AND(_xlpm.testA,_xlpm.testB), NA(), _xlpm.testA, _xlpm.matrixB, _xlpm.testB, _xlpm.matrixA, TRUE, _xlfn.HSTACK(_xlpm.matrixA,_xlpm.matrixB)) ))</definedName>
    <definedName name="HPFILTER">_xlfn.LAMBDA(_xlpm.values,_xlpm.lambda,_xlop.trendCycle,_xlop.filterType, _xlfn.LET( _xlpm.y, VEC(_xlpm.values), _xlpm.t, ROWS(_xlpm.y), _xlpm.trendCycle, IF( OR(_xlfn.ISOMITTED(_xlpm.trendCycle), ISBLANK(_xlpm.trendCycle)), "t", LOWER(_xlpm.trendCycle) ), _xlpm.filterType, IF( OR(_xlfn.ISOMITTED(_xlpm.filterType), ISBLANK(_xlpm.filterType)), 2, _xlpm.filterType ), IF(AND(_xlpm.filterType&lt;&gt;1, _xlpm.filterType&lt;&gt;2), "# filterType must be either 1 (one-sided) or 2 (two-sided).", IF(_xlpm.filterType = 2, _xlfn.LET( _xlpm.ident, EYE(_xlpm.t), _xlpm.pentad0, _xlfn.VSTACK( {1;5;6}, 6 * ONES(_xlpm.t - 6,1), {6;5;1} ), _xlpm.pentad1, _xlfn.VSTACK( {-2;-4}, -4 * ONES(_xlpm.t - 5,1), {-4;-2} ), _xlpm.pentad2, ONES(_xlpm.t-2,1),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_xlpm.y), _xlpm.final, IF(_xlpm.trendCycle = "t", _xlpm.trend, IF(_xlpm.trendCycle = "c", _xlpm.y - _xlpm.trend, "#trendCycle must be either ""t"" or ""c""")), IF(_xlpm.filterType=2, _xlpm.final, IF(_xlpm.t&lt;=7, _xlpm.final, _xlfn.VSTACK(HPFILTER(_xlfn.DROP(_xlpm.y,-1),_xlpm.lambda,_xlpm.trendCycle,_xlpm.filterType), _xlfn.TAKE(_xlpm.final,-1)))) ), _xlfn.LET( _xlpm.Q, 1/_xlpm.lambda, _xlpm.F, {2,-1;1,0}, _xlpm.h, {1,0}, _xlpm.QQ, _xlfn.EXPAND(_xlpm.Q,2,2,0), _xlpm.r, 1, _xlpm.x, _xlfn.VSTACK(2*INDEX(_xlpm.y,1)-INDEX(_xlpm.y,2), 3*INDEX(_xlpm.y,1)-2*INDEX(_xlpm.y,2)), _xlpm.p, {100000,0;0,100000}, _xlpm.filter, _xlfn.REDUCE(ZEROS(_xlpm.t,6),_xlfn.SEQUENCE(_xlpm.t), _xlfn.LAMBDA(_xlpm.accum,_xlpm.j, _xlfn.LET( _xlpm.flat, INDEX(_xlpm.accum,_xlpm.j-1), _xlpm.XX, IF(_xlpm.j=1, _xlpm.x, TRANSPOSE(_xlfn.TAKE(_xlpm.flat,1,2)) ), _xlpm.PP, IF(_xlpm.j=1, _xlpm.p, RESHAPE(_xlfn.TAKE(_xlpm.flat,1,-4),2,2) ), _xlpm.update, KFILTER_UPDATE(_xlpm.F,_xlpm.h,_xlpm.QQ,_xlpm.r,INDEX(_xlpm.y,_xlpm.j),_xlpm.XX,_xlpm.PP,"xP"), _xlpm.updateFlat, _xlfn.TOROW(_xlpm.update,0,TRUE), SLICE(_xlpm.accum, _xlpm.j, _xlpm.j, 1, 6, _xlpm.updateFlat) ))), _xlpm.trend, _xlfn.CHOOSECOLS(_xlpm.filter,2), _xlpm.final, IF(_xlpm.trendCycle = "t", _xlpm.trend, IF(_xlpm.trendCycle = "c", _xlpm.y - _xlpm.trend, "#trendCycle must be either ""t"" or ""c""")), _xlpm.final ))) ))</definedName>
    <definedName name="IORDER">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definedName>
    <definedName name="ISCOINTEGRATED">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definedName>
    <definedName name="ISEMPTY" comment="Test for empty values (cells or not)">_xlfn.LAMBDA(_xlpm.values, LEN(_xlpm.values)=0 )</definedName>
    <definedName name="ISMEMBER">_xlfn.LAMBDA(_xlpm.element,_xlpm.matrix,_xlop.start_num,_xlop.case_sensitive,_xlfn.LET(_xlpm.start_num, IF(_xlfn.ISOMITTED(_xlpm.start_num), 1, _xlpm.start_num), _xlpm.case_sensitive, IF(_xlfn.ISOMITTED(_xlpm.case_sensitive), FALSE, _xlpm.case_sensitive), _xlpm.matrix, _xlfn.DROP(VEC(_xlpm.matrix), _xlpm.start_num - 1, 0), _xlpm.elementFound, NOT(ISERROR(MATCH(_xlpm.element, _xlpm.matrix, 0))), IF(_xlpm.elementFound, CONTAINS(_xlpm.element, INDEX(_xlpm.matrix, MATCH(_xlpm.element, _xlpm.matrix, 0)), 1, _xlpm.case_sensitive), FALSE)))</definedName>
    <definedName name="ISMULTICOLLINEAR">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definedName>
    <definedName name="ISOUTLIER">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definedName>
    <definedName name="ISSTATIONARY">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_xlfn.HSTACK(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_xlfn.HSTACK( _xlpm.pickedX, LAG(_xlpm.diffValues_1, INDEX(_xlpm.idxRowAndCol,1,1) - 1,TRUE,TRUE) ), _xlpm.testResult, _xlfn.LET(_xlpm.matrix, RMMISSING(_xlfn.HSTACK(_xlpm.diffValues_1,_xlpm.x)),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RMMISSING(_xlfn.HSTACK(_xlpm.diffValues_1,_xlpm.x)), _xlpm.y, INDEX(_xlpm.matrix,0,1), _xlpm.x, SLICE(_xlpm.matrix,0,0,2,-1),SLICE(OLS_COEFF_TSTAT(_xlpm.y, _xlpm.x),-1,-1) &lt; DFTABLE(LENGTH(_xlpm.values), _xlpm.significance, _xlpm.constant, _xlpm.trend)), _xlpm.testResult ))))</definedName>
    <definedName name="ISUNIQUE">_xlfn.LAMBDA(_xlpm.value,_xlpm.matrix, SUM(1*(_xlpm.matrix=_xlpm.value)) = 1 )</definedName>
    <definedName name="JACKKNIFE">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efinedName>
    <definedName name="KFILTER">_xlfn.LAMBDA(_xlpm.y,_xlpm.F,_xlpm.H,_xlpm.Q,_xlpm.r,_xlop.x,_xlop.P,_xlop.return,     _xlfn.LET(         _xlpm.return, IF(OR(_xlfn.ISOMITTED(_xlpm.return), ISBLANK(_xlpm.return)), "ALL", _xlpm.return),         _xlpm.y, VEC(_xlpm.y),         _xlpm.t, ROWS(_xlpm.y),         _xlpm.k, ROWS(_xlpm.F),         _xlpm.x, IF(OR(_xlfn.ISOMITTED(_xlpm.x), ISBLANK(_xlpm.x)), ZEROS(_xlpm.k, 1), _xlpm.x),         _xlpm.P, IF(OR(_xlfn.ISOMITTED(_xlpm.P), ISBLANK(_xlpm.P)), 10000 * EYE(_xlpm.k), _xlpm.P),         _xlpm.filter, _xlfn.REDUCE(             ZEROS(_xlpm.t, _xlpm.k + _xlpm.k ^ 2 + _xlpm.k),             _xlfn.SEQUENCE(_xlpm.t),             _xlfn.LAMBDA(_xlpm.accum,_xlpm.j,                 _xlfn.LET(                     _xlpm.flat, INDEX(_xlpm.accum, _xlpm.j - 1),                     _xlpm.XX, IF(_xlpm.j = 1, _xlpm.x, TRANSPOSE(_xlfn.TAKE(_xlpm.flat, 1, _xlpm.k))),                     _xlpm.PP, IF(_xlpm.j = 1, _xlpm.P, RESHAPE(_xlfn.CHOOSECOLS(_xlpm.flat, _xlfn.SEQUENCE(1, _xlpm.k ^ 2, _xlpm.k + 1)), _xlpm.k, _xlpm.k)),                     _xlpm.update, KFILTER_UPDATE(_xlpm.F, _xlpm.H, _xlpm.Q, _xlpm.r, INDEX(_xlpm.y, _xlpm.j), _xlpm.XX, _xlpm.PP, "ALL"),                     _xlpm.updateFlat, _xlfn.TOROW(_xlpm.update, 0, TRUE),                     SLICE(_xlpm.accum, _xlpm.j, _xlpm.j, 1, _xlpm.k + _xlpm.k ^ 2 + _xlpm.k, _xlpm.updateFlat)                 )             )         ),         _xlfn.LET(             _xlpm.xFiltered, _xlfn.TAKE(_xlpm.filter, , _xlpm.k),             _xlpm.PFIltered, _xlfn.CHOOSECOLS(_xlpm.filter, _xlfn.SEQUENCE(1, _xlpm.k ^ 2, _xlpm.k + 1)),             _xlpm.kGainFiltered, _xlfn.CHOOSECOLS(_xlpm.filter, _xlfn.SEQUENCE(1, _xlpm.k, _xlpm.k + _xlpm.k ^ 2 + 1)),             _xlpm.final, _xlfn.SWITCH(                 _xlpm.return,                 "ALL", _xlfn.HSTACK(_xlpm.xFiltered, _xlpm.PFIltered, _xlpm.kGainFiltered),                 "xP", _xlfn.HSTACK(_xlpm.xFiltered, _xlpm.PFIltered),                 "x", _xlpm.xFiltered,                 "P", _xlpm.PFIltered,                 "Kgain", _xlpm.kGainFiltered,                 "# return must be either ALL, xP, x, P, or Kgain"             ),             _xlpm.final         )     ) )</definedName>
    <definedName name="KFILTER_UPDATE">_xlfn.LAMBDA(_xlpm.F,_xlpm.h,_xlpm.Q,_xlpm.r,_xlpm.obs,_xlop.x,_xlop.P,_xlop.return,     _xlfn.LET(         _xlpm.x, IF(OR(_xlfn.ISOMITTED(_xlpm.x), ISBLANK(_xlpm.x)), ZEROS(ROWS(_xlpm.F), 1), _xlpm.x),         _xlpm.P, IF(OR(_xlfn.ISOMITTED(_xlpm.P), ISBLANK(_xlpm.P)), 10000 * EYE(ROWS(_xlpm.F)), _xlpm.P),         _xlpm.return, IF(OR(_xlfn.ISOMITTED(_xlpm.return), ISBLANK(_xlpm.return)), "ALL", _xlpm.return),         _xlpm.s, MMULT(MMULT(_xlpm.h, _xlpm.P), TRANSPOSE(_xlpm.h)) + _xlpm.r,         _xlpm.k, MMULT(MMULT(_xlpm.F, _xlpm.P), TRANSPOSE(_xlpm.h)),         _xlpm.Kgain, _xlpm.k / _xlpm.s,         _xlpm.x_, MMULT(_xlpm.F, _xlpm.x) + MMULT(_xlpm.Kgain, (_xlpm.obs - MMULT(_xlpm.h, _xlpm.x))),         _xlpm.Temp, _xlpm.F - MMULT(_xlpm.Kgain, _xlpm.h),         _xlpm.P_, MMULT(MMULT(_xlpm.Temp, _xlpm.P), TRANSPOSE(_xlpm.Temp)),         _xlpm.Pmse, _xlpm.P_ + _xlpm.Q + MMULT(MMULT(_xlpm.Kgain, _xlpm.r), TRANSPOSE(_xlpm.Kgain)),         _xlpm.final, _xlfn.SWITCH(             _xlpm.return,             "ALL", _xlfn.HSTACK(_xlpm.x_, _xlpm.Pmse, _xlpm.Kgain),             "xP", _xlfn.HSTACK(_xlpm.x_, _xlpm.Pmse),             "x", _xlpm.x_,             "P", _xlpm.Pmse,             "Kgain", _xlpm.Kgain,             "# return must be either ALL, xP, x, P, or Kgain"         ),         _xlpm.final     ) )</definedName>
    <definedName name="LAG">_xlfn.LAMBDA(_xlpm.values,_xlop.nLags,_xlop.fillWithNA,_xlop.allLags,_xlop.descending,_xlop.headerFirstRow,_xlop.sameLagsTogether,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_xlpm.sameLagsTogether, IF(_xlfn.ISOMITTED(_xlpm.sameLagsTogether), TRUE, _xlpm.sameLagsTogether),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_xlfn.VSTACK( NA()*ONES(_xlpm.nLags,_xlpm.nCols), SLICE(_xlpm.values,1,-_xlpm.nLags-1) ), SLICE(_xlpm.values,1,-_xlpm.nLags-1) ), IF(_xlpm.fillWithNA, _xlfn.HSTACK( _xlfn.VSTACK( NA()*ONES(_xlpm.nLags,_xlpm.nCols), SLICE(_xlpm.values,1,-_xlpm.nLags-1) ), LAG(_xlpm.values,_xlpm.nLags-1,_xlpm.fillWithNA,_xlpm.allLags,TRUE) ), _xlfn.HSTACK(SLICE(_xlpm.values,1,-_xlpm.nLags-1), LAG(_xlpm.values,_xlpm.nLags-1,_xlpm.fillWithNA,_xlpm.allLags,TRUE) ) )), _xlpm.resultMatrixHeaders, IF(_xlpm.headerFirstRow,_xlfn.VSTACK(_xlpm.headers, _xlpm.resultMatrix), _xlpm.resultMatrix), _xlpm.resultOrder, IF(_xlpm.descending,_xlpm.resultMatrixHeaders,FLIPLR(_xlpm.resultMatrixHeaders, _xlpm.nCols)), IF(_xlpm.sameLagsTogether, _xlpm.resultOrder, _xlfn.CHOOSECOLS(_xlpm.resultOrder, EVERY(1,_xlpm.nLags*_xlpm.nCols,_xlpm.nCols))) ))</definedName>
    <definedName name="LEAD">_xlfn.LAMBDA(_xlpm.values,_xlop.nLeads,_xlop.fillWithNA,_xlop.allLeads,_xlop.descending,_xlop.headerFirstRow,_xlop.sameLeadsTogether,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_xlpm.sameLeadsTogether, IF(_xlfn.ISOMITTED(_xlpm.sameLeadsTogether), TRUE, _xlpm.sameLeadsTogether),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_xlfn.VSTACK( SLICE(_xlpm.values,_xlpm.nLeads+1,-1), NA()*ONES(_xlpm.nLeads,_xlpm.nCols) ), SLICE(_xlpm.values,_xlpm.nLeads+1,-1) ), IF(_xlpm.fillWithNA, _xlfn.HSTACK( _xlfn.VSTACK( SLICE(_xlpm.values,_xlpm.nLeads+1,-1), NA()*ONES(_xlpm.nLeads,_xlpm.nCols) ), LEAD(_xlpm.values,_xlpm.nLeads-1,_xlpm.fillWithNA,_xlpm.allLeads,TRUE) ), _xlfn.HSTACK( SLICE(_xlpm.values,_xlpm.nLeads+1,-1),  LEAD(_xlpm.values,_xlpm.nLeads-1,_xlpm.fillWithNA,_xlpm.allLeads,TRUE)  ) )), _xlpm.resultMatrixHeaders, IF(_xlpm.headerFirstRow,_xlfn.VSTACK(_xlpm.headers, _xlpm.resultMatrix), _xlpm.resultMatrix), _xlpm.resultOrder, IF(_xlpm.descending,_xlpm.resultMatrixHeaders,FLIPLR(_xlpm.resultMatrixHeaders,COLUMNS(_xlpm.values))), IF(_xlpm.sameLeadsTogether, _xlpm.resultOrder, _xlfn.CHOOSECOLS(_xlpm.resultOrder, EVERY(1,_xlpm.nLeads*_xlpm.nCols,_xlpm.nCols))) ))</definedName>
    <definedName name="LENGTH">_xlfn.LAMBDA(_xlpm.matrix, MAX(ROWS(_xlpm.matrix),COLUMNS(_xlpm.matrix)) )</definedName>
    <definedName name="LINSOLVE">_xlfn.LAMBDA(_xlpm.a,_xlpm.B, _xlfn.LET( _xlpm.QR, FACTORIZE_QR(_xlpm.a), _xlpm.Q, _xlfn.TAKE(_xlpm.QR,,ROWS(_xlpm.QR)), _xlpm.r, _xlfn.TAKE(_xlpm.QR,,-(COLUMNS(_xlpm.QR)-ROWS(_xlpm.QR))), MMULT(MINVERSE(_xlpm.r), MMULT(TRANSPOSE(_xlpm.Q),_xlpm.B)) ) )</definedName>
    <definedName name="LINSPACE">_xlfn.LAMBDA(_xlpm.lb,_xlpm.ub,_xlop.n, _xlfn.LET(_xlpm.N, IF(_xlfn.ISOMITTED(_xlpm.n),100,_xlpm.n), _xlpm.lb + (_xlfn.SEQUENCE(_xlpm.N)-1)*(_xlpm.ub - _xlpm.lb)/(_xlpm.N-1) ) )</definedName>
    <definedName name="M">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definedName>
    <definedName name="MAFILTER">_xlfn.LAMBDA(_xlpm.values,_xlop.trendCycle,_xlop.windowLength,_xlop.type,_xlop.centered, _xlfn.LET(_xlpm.y, VEC(_xlpm.values), _xlpm.trendCycle, IF(OR(_xlfn.ISOMITTED(_xlpm.trendCycle), ISBLANK(_xlpm.trendCycle)), "t", LOWER(_xlpm.trendCycle)), _xlpm.windowLength, IF(OR(_xlfn.ISOMITTED(_xlpm.windowLength), ISBLANK(_xlpm.windowLength)), 1, _xlpm.windowLength), _xlpm.centered, IF(OR(_xlfn.ISOMITTED(_xlpm.centered), ISBLANK(_xlpm.centered)), FALSE, _xlpm.centered), _xlpm.lagWindow, ROUNDDOWN(_xlpm.windowLength / 2, 0), _xlpm.evenWindow, ISEVEN(_xlpm.windowLength), _xlpm.trendTrailing, _xlfn.LAMBDA(_xlpm.values,_xlpm.window, IF(_xlpm.window = 1, _xlpm.values, _xlfn.MAKEARRAY(ROWS(_xlpm.values), COLUMNS(_xlpm.values), _xlfn.LAMBDA(_xlpm.row,_xlpm.col, IF(_xlpm.row &lt; _xlpm.window, NA(), AVERAGE(INDEX(_xlpm.values, _xlfn.SEQUENCE(_xlpm.window, 1, _xlpm.row - _xlpm.window + 1), _xlpm.col))))))), _xlpm.trendCentered, _xlfn.LAMBDA(_xlpm.values,_xlpm.window, IF(_xlpm.window = 1, _xlpm.values, _xlfn.MAKEARRAY(ROWS(_xlpm.values), COLUMNS(_xlpm.values), _xlfn.LAMBDA(_xlpm.row,_xlpm.col, IF(IF(_xlpm.evenWindow, _xlpm.row &lt; _xlpm.lagWindow, _xlpm.row &lt;= _xlpm.lagWindow), NA(), AVERAGE(INDEX(_xlpm.values, _xlfn.SEQUENCE(_xlpm.window, 1, _xlpm.row - _xlpm.lagWindow + 1 * _xlpm.evenWindow), _xlpm.col))))))), _xlpm.trend, IF(_xlpm.centered = FALSE, _xlpm.trendTrailing(_xlpm.y, _xlpm.windowLength), IF(_xlpm.evenWindow, _xlpm.trendTrailing(_xlpm.trendCentered(_xlpm.y, _xlpm.windowLength), 2), _xlpm.trendCentered(_xlpm.y, _xlpm.windowLength))), _xlpm.final, IF(_xlpm.trendCycle = "t", _xlpm.trend, IF(_xlpm.trendCycle = "c", _xlpm.y - _xlpm.trend, "#trendCycle must be either ""t"" or ""c""")), _xlpm.final))</definedName>
    <definedName name="MAHAL">_xlfn.LAMBDA(_xlpm.y,_xlpm.x,_xlfn.LET( _xlpm.centered, _xlpm.y-AVERAGE(_xlpm.x), _xlpm.covMatrixInv, MINVERSE(COV(_xlpm.x,,,0)), _xlpm.result, MMULT(MMULT(_xlpm.centered, _xlpm.covMatrixInv), TRANSPOSE(_xlpm.centered)), _xlpm.final, DIAG(_xlpm.result), _xlpm.final ))</definedName>
    <definedName name="MHFILTER">_xlfn.LAMBDA(_xlpm.values,_xlop.trendCycle,_xlop.lowerLead,_xlop.upperLead,_xlop.lagLength,_xlfn.LET(_xlpm.y, VEC(_xlpm.values), _xlpm.N, ROWS(_xlpm.y), _xlpm.trendCycle, IF(OR(_xlfn.ISOMITTED(_xlpm.trendCycle), ISBLANK(_xlpm.trendCycle)), "t", LOWER(_xlpm.trendCycle)), _xlpm.lagLength, IF(OR(_xlfn.ISOMITTED(_xlpm.lagLength), ISBLANK(_xlpm.lagLength)), 4, _xlpm.lagLength), _xlpm.lowerLead, IF(OR(_xlfn.ISOMITTED(_xlpm.lowerLead), ISBLANK(_xlpm.lowerLead)), _xlpm.lagLength, _xlpm.lowerLead), _xlpm.upperLead, IF(OR(_xlfn.ISOMITTED(_xlpm.upperLead), ISBLANK(_xlpm.upperLead)), 3 * _xlpm.lagLength, _xlpm.upperLead), _xlpm.cycle, _xlfn.BYROW(_xlfn.REDUCE(HFILTER(_xlpm.y, "C", _xlpm.lowerLead, _xlpm.lagLength), _xlfn.SEQUENCE(_xlpm.upperLead - _xlpm.lowerLead, 1, _xlpm.lowerLead + 1), _xlfn.LAMBDA(_xlpm.init,_xlpm.x, _xlfn.HSTACK(_xlpm.init, HFILTER(_xlpm.y, "C", _xlpm.x, _xlpm.lagLength)))), _xlfn.LAMBDA(_xlpm.x, AVERAGE(_xlpm.x))), _xlpm.final, IF(_xlpm.trendCycle = "t", _xlpm.y - _xlpm.cycle, IF(_xlpm.trendCycle = "c", _xlpm.cycle, "#trendCycle must be either ""t"" or ""c""")), _xlpm.final))</definedName>
    <definedName name="MNORM">_xlfn.LAMBDA(_xlpm.matrix,_xlop.norm,_xlfn.LET(_xlpm.norm, IF(_xlfn.ISOMITTED(_xlpm.norm), 1, _xlpm.norm), SUM(ABS(_xlpm.matrix) ^ _xlpm.norm) ^ (1 / _xlpm.norm)))</definedName>
    <definedName name="MOVAVG">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definedName>
    <definedName name="MOVPROD">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definedName>
    <definedName name="MOVSUM">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definedName>
    <definedName name="MULTIFILTER">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definedName>
    <definedName name="NNZ">_xlfn.LAMBDA(_xlpm.matrix, COUNTA(_xlpm.matrix) - SUM(IF(_xlpm.matrix=FALSE,1,0)) - SUM(IF(_xlpm.matrix=0,1,0)) )</definedName>
    <definedName name="NOZERO">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_xlfn.HSTACK( IF(MOD(_xlpm.idxs,ROWS(_xlpm.matrix))=0,ROWS(_xlpm.matrix),MOD(_xlpm.idxs,ROWS(_xlpm.matrix))), ROUNDUP(_xlpm.idxs/COLUMNS(_xlpm.matrix),0) ), _xlpm.idxs) )))))</definedName>
    <definedName name="NUMEL">_xlfn.LAMBDA(_xlpm.matrix, ROWS(_xlpm.matrix)*COLUMNS(_xlpm.matrix) )</definedName>
    <definedName name="OLS_AIC">_xlfn.LAMBDA(_xlpm.y,_xlpm.x,_xlop.coeff,_xlfn.LET(_xlpm.bbeta, IF(_xlfn.ISOMITTED(_xlpm.coeff), OLS_COEFF(_xlpm.y,_xlpm.x), VEC(_xlpm.coeff)), 2*DIM(_xlpm.x,2) - 2*OLS_LOGLIKELIHOOD(_xlpm.y,_xlpm.x,_xlpm.coeff)  ))</definedName>
    <definedName name="OLS_BIC">_xlfn.LAMBDA(_xlpm.y,_xlpm.x,_xlop.coeff,_xlfn.LET(_xlpm.bbeta, IF(_xlfn.ISOMITTED(_xlpm.coeff), OLS_COEFF(_xlpm.y,_xlpm.x), VEC(_xlpm.coeff)), DIM(_xlpm.x,2)*LN(LENGTH(_xlpm.y)) - 2*OLS_LOGLIKELIHOOD(_xlpm.y,_xlpm.x,_xlpm.coeff)  ))</definedName>
    <definedName name="OLS_COEFF">_xlfn.LAMBDA(_xlpm.y,_xlpm.x,_xlfn.LET( _xlpm.XX, MINVERSE(MMULT(TRANSPOSE(_xlpm.x),_xlpm.x)), _xlpm.XY, MMULT(TRANSPOSE(_xlpm.x),_xlpm.y), MMULT(_xlpm.XX,_xlpm.XY)))</definedName>
    <definedName name="OLS_COEFF_PVALUE">_xlfn.LAMBDA(_xlpm.y,_xlpm.x,_xlop.coeff,_xlfn.LET(_xlpm.bbeta, IF(_xlfn.ISOMITTED(_xlpm.coeff), OLS_COEFF(_xlpm.y,_xlpm.x), VEC(_xlpm.coeff)), _xlpm.tstat, _xlpm.bbeta / DIAG(SQRT(OLS_VARCOV(_xlpm.y,_xlpm.x,_xlpm.coeff))), _xlfn.T.DIST.2T(ABS(_xlpm.tstat), LENGTH(_xlpm.y) - DIM(_xlpm.x,2) )))</definedName>
    <definedName name="OLS_COEFF_PVALUE_HAC">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definedName>
    <definedName name="OLS_COEFF_PVALUE_HC">_xlfn.LAMBDA(_xlpm.y,_xlpm.x,_xlop.coeff,_xlop.type, _xlfn.LET( _xlpm.bbeta, IF(OR(_xlfn.ISOMITTED(_xlpm.coeff), ISBLANK(_xlpm.coeff)), OLS_COEFF(_xlpm.y,_xlpm.x), VEC(_xlpm.coeff)), _xlpm.tstat, _xlpm.bbeta / DIAG(SQRT(OLS_VARCOV_HAC(_xlpm.y,_xlpm.x,_xlpm.coeff,_xlpm.type))), _xlfn.T.DIST.2T(ABS(_xlpm.tstat), LENGTH(_xlpm.y) - DIM(_xlpm.x,2)) ))</definedName>
    <definedName name="OLS_COEFF_STDEV">_xlfn.LAMBDA(_xlpm.y,_xlpm.x,_xlop.coeff,_xlfn.LET(_xlpm.bbeta, IF(_xlfn.ISOMITTED(_xlpm.coeff), OLS_COEFF(_xlpm.y,_xlpm.x), VEC(_xlpm.coeff)), DIAG(SQRT(OLS_VARCOV(_xlpm.y,_xlpm.x,_xlpm.coeff))) ))</definedName>
    <definedName name="OLS_COEFF_STDEV_HAC">_xlfn.LAMBDA(_xlpm.y,_xlpm.x,_xlop.coeff,_xlop.type,_xlop.lags, _xlfn.LET( _xlpm.bbeta, IF(OR(_xlfn.ISOMITTED(_xlpm.coeff),ISBLANK(_xlpm.coeff)), OLS_COEFF(_xlpm.y,_xlpm.x), VEC(_xlpm.coeff)), DIAG(SQRT(OLS_VARCOV_HAC(_xlpm.y,_xlpm.x,_xlpm.coeff,_xlpm.type,_xlpm.lags))) ))</definedName>
    <definedName name="OLS_COEFF_STDEV_HC">_xlfn.LAMBDA(_xlpm.y,_xlpm.x,_xlop.coeff,_xlop.type, _xlfn.LET( _xlpm.bbeta, IF(OR(_xlfn.ISOMITTED(_xlpm.coeff),ISBLANK(_xlpm.coeff)), OLS_COEFF(_xlpm.y,_xlpm.x), VEC(_xlpm.coeff)), DIAG(SQRT(OLS_VARCOV_HAC(_xlpm.y,_xlpm.x,_xlpm.coeff,_xlpm.type))) ))</definedName>
    <definedName name="OLS_COEFF_TSTAT">_xlfn.LAMBDA(_xlpm.y,_xlpm.x,_xlop.coeff,_xlfn.LET(_xlpm.bbeta, IF(_xlfn.ISOMITTED(_xlpm.coeff), OLS_COEFF(_xlpm.y,_xlpm.x), VEC(_xlpm.coeff)), _xlpm.bbeta / DIAG(SQRT(OLS_VARCOV(_xlpm.y,_xlpm.x,_xlpm.coeff))) ))</definedName>
    <definedName name="OLS_COEFF_TSTAT_HAC">_xlfn.LAMBDA(_xlpm.y,_xlpm.x,_xlop.coeff,_xlop.type,_xlop.lags, _xlfn.LET( _xlpm.bbeta, IF(OR(_xlfn.ISOMITTED(_xlpm.coeff), ISBLANK(_xlpm.coeff)), OLS_COEFF(_xlpm.y,_xlpm.x), VEC(_xlpm.coeff)), _xlpm.bbeta / DIAG(SQRT(OLS_VARCOV_HAC(_xlpm.y,_xlpm.x,_xlpm.coeff,_xlpm.type,_xlpm.lags))) ))</definedName>
    <definedName name="OLS_COEFF_TSTAT_HC">_xlfn.LAMBDA(_xlpm.y,_xlpm.x,_xlop.coeff,_xlop.type, _xlfn.LET( _xlpm.bbeta, IF(OR(_xlfn.ISOMITTED(_xlpm.coeff), ISBLANK(_xlpm.coeff)), OLS_COEFF(_xlpm.y,_xlpm.x), VEC(_xlpm.coeff)), _xlpm.bbeta / DIAG(SQRT(OLS_VARCOV_HAC(_xlpm.y,_xlpm.x,_xlpm.coeff,_xlpm.type))) ))</definedName>
    <definedName name="OLS_CONF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_xlfn.HSTACK(_xlpm.fcst-_xlpm.tcrit*DIAG(_xlpm.seFIT), _xlpm.fcst,_xlpm.fcst+_xlpm.tcrit*DIAG(_xlpm.seFIT)) ))</definedName>
    <definedName name="OLS_COOKS_DISTANC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definedName>
    <definedName name="OLS_DURBINWATSON">_xlfn.LAMBDA(_xlpm.y,_xlpm.x,_xlop.coeff, _xlfn.LET( _xlpm.bbeta, IF(_xlfn.ISOMITTED(_xlpm.coeff), OLS_COEFF(_xlpm.y,_xlpm.x), VEC(_xlpm.coeff)), _xlpm.res, OLS_RESIDUALS(_xlpm.y,_xlpm.x,_xlpm.bbeta), _xlpm.dw, SUM((_xlfn.DROP(_xlpm.res,1) - _xlfn.DROP(_xlpm.res,-1))^2) / SUM(_xlpm.res^2), _xlpm.dw ))</definedName>
    <definedName name="OLS_ESS">_xlfn.LAMBDA(_xlpm.y,_xlpm.x,_xlop.coeff, _xlfn.LET( _xlpm.bbeta, IF(_xlfn.ISOMITTED(_xlpm.coeff), OLS_COEFF(_xlpm.y,_xlpm.x), VEC(_xlpm.coeff)), _xlpm.hasConst, HASCONST(_xlpm.x,1,FALSE), IF(_xlpm.hasConst, _xlfn.VAR.P(OLS_FITTED(_xlpm.y,_xlpm.x,_xlpm.bbeta))*LENGTH(_xlpm.y), SUM(OLS_FITTED(_xlpm.y,_xlpm.x,_xlpm.bbeta)^2)) ))</definedName>
    <definedName name="OLS_FITTED">_xlfn.LAMBDA(_xlpm.y,_xlpm.x,_xlop.coeff,_xlfn.LET(_xlpm.bbeta, IF(_xlfn.ISOMITTED(_xlpm.coeff), OLS_COEFF(_xlpm.y,_xlpm.x), VEC(_xlpm.coeff)), MMULT(_xlpm.x,_xlpm.bbeta)))</definedName>
    <definedName name="OLS_FSTAT">_xlfn.LAMBDA(_xlpm.y,_xlpm.x,_xlop.coeff, _xlfn.LET( _xlpm.bbeta, IF(_xlfn.ISOMITTED(_xlpm.coeff), OLS_COEFF(_xlpm.y,_xlpm.x), VEC(_xlpm.coeff)), _xlpm.kRestricted, IF(HASCONST(_xlpm.x,1,FALSE), 1, 0), (OLS_R2(_xlpm.y,_xlpm.x,_xlpm.coeff)/(DIM(_xlpm.x,2)-_xlpm.kRestricted))/((1-OLS_R2(_xlpm.y,_xlpm.x,_xlpm.coeff))/(LENGTH(_xlpm.y)-DIM(_xlpm.x,2))) ))</definedName>
    <definedName name="OLS_FSTAT_PVALUE">_xlfn.LAMBDA(_xlpm.y,_xlpm.x,_xlop.coeff, _xlfn.LET( _xlpm.bbeta, IF(_xlfn.ISOMITTED(_xlpm.coeff), OLS_COEFF(_xlpm.y,_xlpm.x), VEC(_xlpm.coeff)), _xlpm.kRestricted, IF(HASCONST(_xlpm.x,1,FALSE), 1, 0), _xlfn.F.DIST.RT(OLS_FSTAT(_xlpm.y,_xlpm.x,_xlpm.bbeta),DIM(_xlpm.x,2)-_xlpm.kRestricted,LENGTH(_xlpm.y)-DIM(_xlpm.x,2)) ))</definedName>
    <definedName name="OLS_HQC">_xlfn.LAMBDA(_xlpm.y,_xlpm.x,_xlop.coeff,_xlfn.LET(_xlpm.bbeta, IF(_xlfn.ISOMITTED(_xlpm.coeff), OLS_COEFF(_xlpm.y,_xlpm.x), VEC(_xlpm.coeff)), 2*DIM(_xlpm.x,2)*LN(LN(LENGTH(_xlpm.y))) - 2*OLS_LOGLIKELIHOOD(_xlpm.y,_xlpm.x,_xlpm.coeff)  ))</definedName>
    <definedName name="OLS_LEVERAGE">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definedName>
    <definedName name="OLS_LOGLIKELIHOOD">_xlfn.LAMBDA(_xlpm.y,_xlpm.x,_xlop.coeff, _xlfn.LET( _xlpm.bbeta, IF(_xlfn.ISOMITTED(_xlpm.coeff), OLS_COEFF(_xlpm.y,_xlpm.x), VEC(_xlpm.coeff)), _xlpm.resid, OLS_RESIDUALS(_xlpm.y,_xlpm.x,_xlpm.bbeta), -LENGTH(_xlpm.y)/2*(1 + LN(2*PI()) - LN(LENGTH(_xlpm.y))) -LENGTH(_xlpm.y)/2*LN(SUMSQ(_xlpm.resid)) ))</definedName>
    <definedName name="OLS_OPTIMAL_LAG">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_xlfn.HSTACK(_xlpm.y, _xlpm.X_1, LAG(_xlpm.y,_xlpm.nLags,TRUE,TRUE,FALSE)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definedName>
    <definedName name="OLS_PRED_INTERVAL">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_xlfn.HSTACK(_xlpm.fcst-_xlpm.tcrit*DIAG(_xlpm.sePRED), _xlpm.fcst,_xlpm.fcst+_xlpm.tcrit*DIAG(_xlpm.sePRED)) ))</definedName>
    <definedName name="OLS_R2">_xlfn.LAMBDA(_xlpm.y,_xlpm.x,_xlop.coeff,_xlfn.LET(_xlpm.bbeta, IF(_xlfn.ISOMITTED(_xlpm.coeff), OLS_COEFF(_xlpm.y,_xlpm.x), VEC(_xlpm.coeff)), OLS_ESS(_xlpm.y,_xlpm.x,_xlpm.bbeta)/(OLS_ESS(_xlpm.y,_xlpm.x,_xlpm.bbeta) + OLS_RSS(_xlpm.y,_xlpm.x,_xlpm.bbeta))  ))</definedName>
    <definedName name="OLS_R2_ADJUSTED">_xlfn.LAMBDA(_xlpm.y,_xlpm.x,_xlop.coeff,_xlfn.LET(_xlpm.bbeta, IF(_xlfn.ISOMITTED(_xlpm.coeff), OLS_COEFF(_xlpm.y,_xlpm.x), VEC(_xlpm.coeff)), 1 - (1-OLS_R2(_xlpm.y,_xlpm.x,_xlpm.coeff))*(LENGTH(_xlpm.y)-1)/(LENGTH(_xlpm.y)-DIM(_xlpm.x,2)) ))</definedName>
    <definedName name="OLS_RESIDUALS">_xlfn.LAMBDA(_xlpm.y,_xlpm.x,_xlop.coeff,_xlfn.LET(_xlpm.bbeta, IF(_xlfn.ISOMITTED(_xlpm.coeff), OLS_COEFF(_xlpm.y,_xlpm.x), VEC(_xlpm.coeff)), _xlpm.y - MMULT(_xlpm.x,_xlpm.bbeta)))</definedName>
    <definedName name="OLS_RESIDUALS_AR">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definedName>
    <definedName name="OLS_RESIDUALS_PARTIAL">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definedName>
    <definedName name="OLS_RESIDUALS_STD">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definedName>
    <definedName name="OLS_RSS">_xlfn.LAMBDA(_xlpm.y,_xlpm.x,_xlop.coeff, _xlfn.LET( _xlpm.bbeta, IF(_xlfn.ISOMITTED(_xlpm.coeff), OLS_COEFF(_xlpm.y,_xlpm.x), VEC(_xlpm.coeff)), SUM(OLS_RESIDUALS(_xlpm.y,_xlpm.x,_xlpm.bbeta)^2) ))</definedName>
    <definedName name="OLS_STDEV">_xlfn.LAMBDA(_xlpm.y,_xlpm.x,_xlop.coeff,_xlfn.LET(_xlpm.bbeta, IF(_xlfn.ISOMITTED(_xlpm.coeff), OLS_COEFF(_xlpm.y,_xlpm.x), VEC(_xlpm.coeff)), SQRT(SUMSQ(OLS_RESIDUALS(_xlpm.y,_xlpm.x,_xlpm.bbeta))/(LENGTH(_xlpm.y)-DIM(_xlpm.x,2)))  ))</definedName>
    <definedName name="OLS_SUMMARY">_xlfn.LAMBDA(_xlpm.y,_xlpm.x,_xlop.hasLabels,_xlop.addConstToX,_xlop.addTrendToX,_xlop.robustStd,_xlop.robustType,_xlop.lagsHAC,_xlfn.LET(_xlpm.hasLabels, IF(OR(_xlfn.ISOMITTED(_xlpm.hasLabels), ISBLANK(_xlpm.hasLabels)), FALSE, _xlpm.hasLabels), _xlpm.addConstToX, IF(OR(_xlfn.ISOMITTED(_xlpm.addConstToX), ISBLANK(_xlpm.addConstToX)), FALSE, _xlpm.addConstToX), _xlpm.addTrendToX, IF(OR(_xlfn.ISOMITTED(_xlpm.addTrendToX), ISBLANK(_xlpm.addTrendToX)), FALSE, _xlpm.addTrendToX), _xlpm.robustStd, IF(OR(_xlfn.ISOMITTED(_xlpm.robustStd), ISBLANK(_xlpm.robustStd)), FALSE, _xlpm.robustStd), _xlpm.robustType, IF(OR(_xlfn.ISOMITTED(_xlpm.robustType), ISBLANK(_xlpm.robustType)), _xlfn.SWITCH(_xlpm.robustStd, FALSE, "", "HAC", "Bartlett", "HC", "HC0"), _xlpm.robustType), _xlpm.lagsHAC, IF(OR(_xlfn.ISOMITTED(_xlpm.lagsHAC), ISBLANK(_xlpm.lagsHAC)), ROUNDDOWN(4 * (LENGTH(_xlpm.y) / 100) ^ (2 / 9), 0), _xlpm.lagsHAC), _xlpm.Xtrend, IF(1 * _xlpm.addTrendToX &gt; 0, ADDTREND(_xlpm.x, 1, 1, IF(_xlpm.hasLabels, "trend", FALSE)), _xlpm.x), _xlpm.Xconst, IF(_xlpm.addConstToX, ADDCONST(_xlpm.Xtrend, 1, IF(_xlpm.hasLabels, "const", FALSE)), _xlpm.Xtrend), _xlpm.yLabel, IF(_xlpm.hasLabels, _xlfn.TAKE(_xlpm.y, 1), "Y"), _xlpm.xLabels, IF(_xlpm.hasLabels, VEC(_xlfn.TAKE(_xlpm.Xconst, 1)), VERTCAT_EX(VERTCAT_EX(IF(_xlpm.addConstToX = TRUE, "const", "ex"), IF(_xlpm.addTrendToX * 1 &gt; 0, "trend", "ex"), "ex"), "X" &amp; _xlfn.SEQUENCE(COLUMNS(_xlpm.x)), "ex")), _xlpm.y, IF(_xlpm.hasLabels, _xlfn.DROP(_xlpm.y, 1), _xlpm.y), _xlpm.x, IF(_xlpm.hasLabels, _xlfn.DROP(_xlpm.Xconst, 1), _xlpm.Xconst), _xlpm.bbeta, OLS_COEFF(_xlpm.y, _xlpm.x), _xlpm.std, IF(_xlpm.robustStd = FALSE, OLS_COEFF_STDEV(_xlpm.y, _xlpm.x, _xlpm.bbeta), _xlfn.SWITCH(_xlpm.robustStd, "HAC", OLS_COEFF_STDEV_HAC(_xlpm.y, _xlpm.x, _xlpm.bbeta, _xlpm.robustType, _xlpm.lagsHAC), "HC", OLS_COEFF_STDEV_HC(_xlpm.y, _xlpm.x, _xlpm.bbeta, _xlpm.robustType))), _xlpm.tstat, IF(_xlpm.robustStd = FALSE, OLS_COEFF_TSTAT(_xlpm.y, _xlpm.x, _xlpm.bbeta), _xlfn.SWITCH(_xlpm.robustStd, "HAC", OLS_COEFF_TSTAT_HAC(_xlpm.y, _xlpm.x, _xlpm.bbeta, _xlpm.robustType, _xlpm.lagsHAC), "HC", OLS_COEFF_TSTAT_HC(_xlpm.y, _xlpm.x, _xlpm.bbeta, _xlpm.robustType))), _xlpm.pValue, IF(_xlpm.robustStd = FALSE, OLS_COEFF_PVALUE(_xlpm.y, _xlpm.x, _xlpm.bbeta), _xlfn.SWITCH(_xlpm.robustStd, "HAC", OLS_COEFF_PVALUE_HAC(_xlpm.y, _xlpm.x, _xlpm.bbeta, _xlpm.robustType, _xlpm.lagsHAC), "HC", OLS_COEFF_PVALUE_HC(_xlpm.y, _xlpm.x, _xlpm.bbeta, _xlpm.robustType))), _xlpm.stars, _xlfn.MAKEARRAY(ROWS(_xlpm.pValue), 1, _xlfn.LAMBDA(_xlpm.row,_xlpm.col, _xlfn.LET(_xlpm.val, INDEX(_xlpm.pValue, _xlpm.row), _xlfn.IFS(_xlpm.val &lt;= 0.01, "***", _xlpm.val &lt;= 0.05, "**", _xlpm.val &lt;= 0.1, "*", _xlpm.val &gt; 0.1, "")))), _xlpm.meanDepVar, AVERAGE(_xlpm.y), _xlpm.stdevDepVar, _xlfn.STDEV.S(_xlpm.y), _xlpm.sumSqRes, OLS_RSS(_xlpm.y, _xlpm.x, _xlpm.bbeta), _xlpm.stdevReg, OLS_STDEV(_xlpm.y, _xlpm.x, _xlpm.bbeta), _xlpm.rSquared, OLS_R2(_xlpm.y, _xlpm.x, _xlpm.bbeta), _xlpm.rSquaredAdj, OLS_R2_ADJUSTED(_xlpm.y, _xlpm.x, _xlpm.bbeta), _xlpm.Fstat, OLS_FSTAT(_xlpm.y, _xlpm.x, _xlpm.bbeta), _xlpm.fStatPvalue, OLS_FSTAT_PVALUE(_xlpm.y, _xlpm.x, _xlpm.bbeta), _xlpm.logLik, OLS_LOGLIKELIHOOD(_xlpm.y, _xlpm.x, _xlpm.bbeta), _xlpm.infoCritAkaike, OLS_AIC(_xlpm.y, _xlpm.x, _xlpm.bbeta), _xlpm.infoCritSchwarz, OLS_BIC(_xlpm.y, _xlpm.x, _xlpm.bbeta), _xlpm.infoCritHQ, OLS_HQC(_xlpm.y, _xlpm.x, _xlpm.bbeta), _xlpm.resAR, OLS_RESIDUALS_AR(_xlpm.y, _xlpm.x, _xlpm.bbeta, 1), _xlpm.durbinWatson, OLS_DURBINWATSON(_xlpm.y, _xlpm.x, _xlpm.bbeta), _xlpm.titleLabel, _xlfn.EXPAND("Regression summary: " &amp; _xlpm.yLabel, 1, 6, ""), _xlpm.stdLabel, _xlfn.EXPAND("Standard errors: " &amp; _xlfn.SWITCH(_xlpm.robustStd, FALSE, "Ordinary", "HAC", "HAC; bandwith " &amp; _xlpm.lagsHAC &amp; ", Kernel " &amp; _xlpm.robustType, "HC", "HC of type " &amp; _xlpm.robustType), 1, 6, ""), _xlpm.colLabel, _xlfn.HSTACK("", "coefficient", "standard error", "t-stat", "p-value", ""), _xlpm.rowLabel, _xlpm.xLabels, _xlpm.emptyLabel, _xlfn.EXPAND("", 1, 6, ""),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 7, 1, ""), _xlfn.VSTACK("Std of dependent var.", "Std of regression", "R-squared adjusted", "P-value(F)", "Akaike criterion", "Hannan-quinn criterion", "Durbin-Watson"), _xlfn.VSTACK(_xlpm.stdevDepVar, _xlpm.stdevReg, _xlpm.rSquaredAdj, _xlpm.fStatPvalue, _xlpm.infoCritAkaike, _xlpm.infoCritHQ, _xlpm.durbinWatson), _xlfn.EXPAND("", 7, 1, "")), IFERROR(_xlfn.VSTACK(_xlpm.mainTable, _xlpm.emptyLabel, _xlpm.otherStats), "# Error: check inputs")))</definedName>
    <definedName name="OLS_TSS">_xlfn.LAMBDA(_xlpm.y,_xlpm.x,_xlop.coeff,_xlfn.LET(_xlpm.bbeta, IF(_xlfn.ISOMITTED(_xlpm.coeff), OLS_COEFF(_xlpm.y,_xlpm.x), VEC(_xlpm.coeff)), OLS_ESS(_xlpm.y,_xlpm.x,_xlpm.bbeta) + OLS_RSS(_xlpm.y,_xlpm.x,_xlpm.bbeta)  ))</definedName>
    <definedName name="OLS_VARCOV">_xlfn.LAMBDA(_xlpm.y,_xlpm.x,_xlop.coeff,_xlfn.LET(_xlpm.bbeta, IF(_xlfn.ISOMITTED(_xlpm.coeff), OLS_COEFF(_xlpm.y,_xlpm.x), VEC(_xlpm.coeff)),_xlpm.XX,MINVERSE(MMULT(TRANSPOSE(_xlpm.x),_xlpm.x)), ( SUM(OLS_RESIDUALS(_xlpm.y,_xlpm.x,_xlpm.bbeta)^2) / (ROWS(_xlpm.x) - COLUMNS(_xlpm.x) ) ) *_xlpm.XX))</definedName>
    <definedName name="OLS_VARCOV_HAC">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definedName>
    <definedName name="OLS_VARCOV_HC">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definedName>
    <definedName name="ONES">_xlfn.LAMBDA(_xlpm.N,_xlop.m, _xlfn.LET(_xlpm.m, IF(OR(_xlfn.ISOMITTED(_xlpm.m),ISBLANK(_xlpm.m)),_xlpm.N,_xlpm.m), _xlfn.EXPAND(1, _xlpm.N, _xlpm.m, 1)) )</definedName>
    <definedName name="PCA">_xlfn.LAMBDA(_xlpm.matrix,_xlop.returnObject,_xlop.nFactors,_xlop.standardize,_xlop.isPopulation,_xlop.numIter,_xlfn.LET(_xlpm.returnObject,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IF(_xlpm.standardize = FALSE, _xlpm.matrix, _xlfn.MAKEARRAY(ROWS(_xlpm.matrix), COLUMNS(_xlpm.matrix), _xlfn.LAMBDA(_xlpm.row,_xlpm.col, (INDEX(_xlpm.matrix, _xlpm.row, _xlpm.col) - AVERAGE(INDEX(_xlpm.matrix, 0, _xlpm.col))) / IF(_xlpm.isPopulation = FALSE, _xlfn.STDEV.S(INDEX(_xlpm.matrix, 0, _xlpm.col)), _xlfn.STDEV.P(INDEX(_xlpm.matrix, 0, _xlpm.col)))))), _xlpm.covs, _xlfn.MAKEARRAY(COLUMNS(_xlpm.standardized), COLUMNS(_xlpm.standardized), _xlfn.LAMBDA(_xlpm.row,_xlpm.col, IF(_xlpm.isPopulation = FALSE, _xlfn.COVARIANCE.S(INDEX(_xlpm.standardized, 0, _xlpm.row), INDEX(_xlpm.standardized, 0, _xlpm.col)), _xlfn.COVARIANCE.P(INDEX(_xlpm.standardized, 0, _xlpm.row), INDEX(_xlpm.standardized, 0, _xlpm.col))))), _xlpm.eigenValues, EIGENVALUES(_xlpm.covs, _xlpm.numIter, -1), _xlpm.proportionVar, 100 * _xlpm.eigenValues / SUM(_xlpm.eigenValues), _xlpm.eigenVectors, EIGENVECTORS(_xlpm.covs, _xlpm.numIter, TRUE, -1), _xlpm.mu, TRANSPOSE(_xlfn.BYCOL(_xlpm.matrix, _xlfn.LAMBDA(_xlpm.col, AVERAGE(_xlpm.col)))), _xlpm.scores, MMULT(_xlpm.standardized - IF(_xlpm.standardize, 0, TRANSPOSE(_xlpm.mu)), _xlfn.CHOOSECOLS(_xlpm.eigenVectors, _xlfn.SEQUENCE(_xlpm.nFactors))), _xlpm.tsquared, _xlfn.MAKEARRAY(ROWS(_xlpm.matrix), 1, _xlfn.LAMBDA(_xlpm.row,_xlpm.col, SUMPRODUCT(INDEX(_xlpm.scores, _xlpm.row) ^ 2, 1 / TRANSPOSE(_xlpm.eigenValues)))), _xlpm.final, CHOOSE(_xlpm.returnObject, _xlfn.TAKE(_xlpm.eigenVectors, , _xlpm.nFactors), _xlpm.scores, _xlfn.TAKE(_xlpm.eigenValues, _xlpm.nFactors), _xlpm.tsquared, _xlfn.TAKE(_xlpm.proportionVar, _xlpm.nFactors), _xlpm.mu), _xlpm.final))</definedName>
    <definedName name="RANKRANGE">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definedName>
    <definedName name="REPLACEALL">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definedName>
    <definedName name="REPMAT" comment="Repeat copies of array">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definedName>
    <definedName name="RESHAPE">_xlfn.LAMBDA(_xlpm.matrix,_xlpm.N,_xlpm.m,_xlop.rowsToCols, _xlfn.LET( _xlpm.rowsToCols, IF(_xlfn.ISOMITTED(_xlpm.rowsToCols),FALSE,_xlpm.rowsToCols), _xlpm.vecMatrix, VEC( IF(_xlpm.rowsToCols, _xlpm.matrix, TRANSPOSE(_xlpm.matrix)) ), IF( _xlpm.N+1 &lt;= ROWS(_xlpm.vecMatrix), _xlfn.HSTACK( SLICE( _xlpm.vecMatrix, 1, _xlpm.N ), RESHAPE( SLICE( _xlpm.vecMatrix, _xlpm.N+1, ROWS(_xlpm.vecMatrix)  ), _xlpm.N,  _xlpm.m, TRUE) ), _xlpm.vecMatrix ) ))</definedName>
    <definedName name="REVERSECOLS" comment="Reverse the columns of a matrix">_xlfn.LAMBDA(_xlpm.matrix,_xlfn.LET(_xlpm.matrix2,TRANSPOSE(_xlpm.matrix),TRANSPOSE(_xlfn.SORTBY(_xlpm.matrix2,_xlfn.SEQUENCE(ROWS(_xlpm.matrix2),1),-1))))</definedName>
    <definedName name="REVERSEROWS" comment="Reverse the lines of a matrix">_xlfn.LAMBDA(_xlpm.matrix, _xlfn.SORTBY(_xlpm.matrix, _xlfn.SEQUENCE(ROWS(_xlpm.matrix),1),-1) )</definedName>
    <definedName name="RMMISSING">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definedName>
    <definedName name="RMOUTLIERS">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definedName>
    <definedName name="RWFILTER">_xlfn.LAMBDA(_xlpm.values,_xlop.trendCycle,_xlop.lowerCutoff,_xlop.upperCutoff,_xlop.root,_xlop.drift, _xlfn.LET( _xlpm.trendCycle, IF(OR(_xlfn.ISOMITTED(_xlpm.trendCycle), ISBLANK(_xlpm.trendCycle)), "t", LOWER(_xlpm.trendCycle)), _xlpm.root, IF(OR(_xlfn.ISOMITTED(_xlpm.root), ISBLANK(_xlpm.root)), TRUE, _xlpm.root), _xlpm.drift, IF(OR(_xlfn.ISOMITTED(_xlpm.drift), ISBLANK(_xlpm.drift)), TRUE, _xlpm.drift), CFFILTER(_xlpm.values, _xlpm.trendCycle, _xlpm.lowerCutoff, _xlpm.upperCutoff, -1, _xlpm.root, _xlpm.drift, "asymmetric") ))</definedName>
    <definedName name="SAMPLE" comment="Extract a sample of lines from a matrix">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definedName>
    <definedName name="SEASADJ">_xlfn.LAMBDA(_xlpm.dates,_xlpm.values, _xlfn.LET(_xlpm.dummies, DUMMYVAR( MONTH(_xlpm.dates), FALSE),  AVERAGE(_xlpm.values) + OLS_RESIDUALS(_xlpm.values, _xlpm.dummies  ) ) )</definedName>
    <definedName name="SEASFACTOR">_xlfn.LAMBDA(_xlpm.dates,_xlpm.values, _xlfn.LET(_xlpm.dummies, DUMMYVAR( MONTH(_xlpm.dates), FALSE),  SEASADJ(_xlpm.dates, _xlpm.values) - _xlpm.values ) )</definedName>
    <definedName name="SHIFT">_xlfn.LAMBDA(_xlpm.a,_xlop.shiftRows,_xlop.shiftCols,_xlop.fill, _xlfn.LET(_xlpm.fill, IF(OR(_xlfn.ISOMITTED(_xlpm.fill), ISBLANK(_xlpm.fill)), 0, _xlpm.fill), _xlpm.shiftRows, IF(OR(_xlfn.ISOMITTED(_xlpm.shiftRows), ISBLANK(_xlpm.shiftRows)), 0, _xlpm.shiftRows), _xlpm.shiftCols, IF(OR(_xlfn.ISOMITTED(_xlpm.shiftCols), ISBLANK(_xlpm.shiftCols)), 0, _xlpm.shiftCols), _xlpm.shiftRowsAbs, ABS(_xlpm.shiftRows), _xlpm.shiftColsAbs, ABS(_xlpm.shiftCols), _xlpm.N, ROWS(_xlpm.a), _xlpm.m, COLUMNS(_xlpm.a), _xlpm.Arow, IF(_xlpm.shiftRows = 0, _xlpm.a, IF(_xlpm.shiftRows &gt; 0, _xlfn.VSTACK(_xlfn.EXPAND(_xlpm.fill, _xlpm.shiftRowsAbs, _xlpm.m, _xlpm.fill), _xlpm.a), _xlfn.VSTACK(_xlpm.a, _xlfn.EXPAND(_xlpm.fill, _xlpm.shiftRowsAbs, _xlpm.m, _xlpm.fill)))), _xlpm.Acol, IF(_xlpm.shiftCols = 0, _xlpm.Arow, IF(_xlpm.shiftCols &gt; 0, _xlfn.HSTACK(_xlfn.EXPAND(_xlpm.fill, _xlpm.N + _xlpm.shiftRowsAbs, _xlpm.shiftColsAbs, _xlpm.fill), _xlpm.Arow), _xlfn.HSTACK(_xlpm.Arow, _xlfn.EXPAND(_xlpm.fill, _xlpm.N + _xlpm.shiftRowsAbs, _xlpm.shiftColsAbs, _xlpm.fill)))), _xlfn.TAKE(_xlpm.Acol, IF(_xlpm.shiftRows &gt;= 0, _xlpm.N, -_xlpm.N), IF(_xlpm.shiftCols &gt;= 0, _xlpm.m, -_xlpm.m))))</definedName>
    <definedName name="SLICE" comment="Slice a matrix">_xlfn.LAMBDA(_xlpm.matrix,_xlop.lin_start,_xlop.lin_end,_xlop.col_start,_xlop.col_end,_xlop.patch,_xlop.remove,_xlfn.LET(_xlpm.nLins, ROWS(_xlpm.matrix), _xlpm.nCols, COLUMNS(_xlpm.matrix), _xlpm.miss_lin_start, OR(_xlfn.ISOMITTED(_xlpm.lin_start), ISBLANK(_xlpm.lin_start), _xlpm.lin_start = 0), _xlpm.miss_lin_end, OR(_xlfn.ISOMITTED(_xlpm.lin_end), ISBLANK(_xlpm.lin_end), _xlpm.lin_end = 0), _xlpm.miss_col_start, OR(_xlfn.ISOMITTED(_xlpm.col_start), ISBLANK(_xlpm.col_start), _xlpm.col_start = 0), _xlpm.miss_col_end, OR(_xlfn.ISOMITTED(_xlpm.col_end), ISBLANK(_xlpm.col_end), _xlpm.col_end = 0), _xlpm.lin_start, IF(_xlpm.miss_lin_start, 1, IF(ISTEXT(_xlpm.lin_start), MATCH(_xlpm.lin_start, INDEX(_xlpm.matrix, 0, 1), 0), _xlpm.lin_start)), _xlpm.lin_end, IF(_xlpm.miss_lin_end, _xlpm.nLins, IF(ISTEXT(_xlpm.lin_end), MATCH(_xlpm.lin_end, INDEX(_xlpm.matrix, 0, 1), 0), _xlpm.lin_end)), _xlpm.col_start, IF(_xlpm.miss_col_start, 1, IF(ISTEXT(_xlpm.col_start), MATCH(_xlpm.col_start, INDEX(_xlpm.matrix, 1, 0), 0), _xlpm.col_start)), _xlpm.col_end, IF(_xlpm.miss_col_end,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IF(AND(_xlpm.miss_lin_start, _xlpm.miss_lin_end), _xlfn.SEQUENCE(_xlpm.nLins), COMPLEMENT(_xlpm.idxLins, 1, _xlpm.nLins)), _xlpm.remCols, IF(AND(_xlpm.miss_col_start, _xlpm.miss_col_end), _xlfn.SEQUENCE(1, _xlpm.nCols),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definedName>
    <definedName name="SORTRANGE">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definedName>
    <definedName name="SPARSE">_xlfn.LAMBDA(_xlop.a,_xlop.default,     _xlfn.LET(         _xlpm.default, IF(OR(_xlfn.ISOMITTED(_xlpm.default), ISBLANK(_xlpm.default)), 0, _xlpm.default),         IF(             OR(_xlfn.ISOMITTED(_xlpm.a), ISBLANK(_xlpm.a)),             _xlfn.HSTACK({0,0}, _xlpm.default),             _xlfn.LET(                 _xlpm.elems, VEC(_xlpm.a),                 _xlpm.linCol, REPMAT(_xlfn.SEQUENCE(ROWS(_xlpm.a), 1), COLUMNS(_xlpm.a), 1, FALSE),                 _xlpm.colCol, REPMAT(_xlfn.SEQUENCE(COLUMNS(_xlpm.a), 1), ROWS(_xlpm.a), 1, TRUE),                 _xlpm.final, _xlfn.HSTACK(_xlpm.linCol, _xlpm.colCol, _xlpm.elems),                 _xlpm.filtered, _xlfn._xlws.FILTER(_xlpm.final, _xlpm.elems &lt;&gt; _xlpm.default),                 _xlpm.head, _xlfn.EXPAND(TRANSPOSE(DIM(_xlpm.a)), 1, 3, _xlpm.default),                 IF(ISERR(INDEX(_xlpm.filtered, 1, 1)), _xlpm.head, _xlfn.VSTACK(_xlpm.head, _xlpm.filtered))             )         )     ) )</definedName>
    <definedName name="SPARSEDIAG">_xlfn.LAMBDA(_xlpm.matrix,_xlop.k, _xlfn.LET(_xlpm.k, IF(OR(_xlfn.ISOMITTED(_xlpm.k), ISBLANK(_xlpm.k)), 0, _xlpm.k), _xlpm.N, INDEX(_xlpm.matrix, 1, 1), _xlpm.m, INDEX(_xlpm.matrix, 1, 2), _xlpm.default, INDEX(_xlpm.matrix, 1, 3), _xlpm.head, _xlfn.TAKE(_xlpm.matrix, 1), _xlpm.s, _xlfn.DROP(_xlpm.matrix, 1, 0), _xlpm.idxsLin, INDEX(_xlpm.s, 0, 1), _xlpm.idxsCol, INDEX(_xlpm.s, 0, 2), _xlpm.final, _xlfn._xlws.FILTER(_xlpm.s, _xlpm.idxsLin = (_xlpm.idxsCol - _xlpm.k), NA()), IF(ISERROR(INDEX(_xlpm.final, 1, 1)), _xlfn.HSTACK(0, 0, _xlpm.default), _xlfn.VSTACK(_xlpm.head, _xlpm.final))))</definedName>
    <definedName name="SPARSEDIV">_xlfn.LAMBDA(_xlpm.A,_xlpm.B,_xlop.default,     _xlfn.LET(         _xlpm.A, IF(             AND(ROWS(_xlpm.A) = 1, COLUMNS(_xlpm.A) = 1),             SPARSE(_xlpm.A * ONES(INDEX(_xlpm.B, 1, 1), INDEX(_xlpm.B, 1, 2)), INDEX(_xlpm.B, 1, 3)),             _xlpm.A         ),         _xlpm.B, IF(             AND(ROWS(_xlpm.B) = 1, COLUMNS(_xlpm.B) = 1),             SPARSE(1 / _xlpm.B * ONES(INDEX(_xlpm.A, 1, 1), INDEX(_xlpm.A, 1, 2)), INDEX(_xlpm.A, 1, 3)),             SLICE(_xlpm.B, 2, ROWS(_xlpm.B), 3, 3, 1 / SLICE(_xlpm.B, 2, ROWS(_xlpm.B), 3, 3))         ),         IF(             AND(                 NNZ(_xlpm.B) &lt; ROWS(_xlpm.B) * COLUMNS(_xlpm.B),                 ROWS(_xlpm.B) &lt; 1 + INDEX(_xlpm.B, 1, 1) * INDEX(_xlpm.B, 1, 2)             ),             #DIV/0!,             SPARSEWISE(_xlpm.A, _xlpm.B, _xleta.PRODUCT, _xlpm.default)         )     ) )</definedName>
    <definedName name="SPARSEDOT">_xlfn.LAMBDA(_xlpm.A,_xlpm.B,_xlop.default, _xlfn.LET(_xlpm.A, IF(AND(ROWS(_xlpm.A) = 1, COLUMNS(_xlpm.A) = 1), SPARSE(_xlpm.A * ONES(INDEX(_xlpm.B, 1, 1), INDEX(_xlpm.B, 1, 2)), INDEX(_xlpm.B, 1, 3)), _xlpm.A), _xlpm.B, IF(AND(ROWS(_xlpm.B) = 1, COLUMNS(_xlpm.B) = 1), SPARSE(_xlpm.B * ONES(INDEX(_xlpm.A, 1, 1), INDEX(_xlpm.A, 1, 2)), INDEX(_xlpm.A, 1, 3)), _xlpm.B), SPARSEWISE(_xlpm.A, _xlpm.B, _xleta.PRODUCT, _xlpm.default)))</definedName>
    <definedName name="SPARSEEYE">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_xlfn.HSTACK(_xlfn.SEQUENCE(_xlpm.nLins),_xlfn.SEQUENCE(_xlpm.nLins),ONES(_xlpm.nLins,1)), NA()), _xlpm.final, IF(ISERROR(INDEX(_xlpm.A,1,1)), _xlpm.head, _xlfn.VSTACK(_xlpm.head, _xlpm.A)), _xlpm.final ))</definedName>
    <definedName name="SPARSEHSTACK">_xlfn.LAMBDA(_xlpm.A,_xlpm.B,_xlop.default,     _xlfn.LET(         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_xlfn.HSTACK(MAX(_xlpm.nA, _xlpm.nB), _xlpm.mA + _xlpm.mB, _xlpm.default),         _xlpm.hA, _xlfn.DROP(_xlpm.A, 1),         _xlpm.hB, _xlfn.DROP(_xlpm.B, 1),         _xlpm.hBshift, _xlfn.HSTACK(             _xlfn.CHOOSECOLS(_xlpm.hB, 1),             _xlfn.CHOOSECOLS(_xlpm.hB, 2) + _xlpm.mA,             _xlfn.CHOOSECOLS(_xlpm.hB, 3)         ),         _xlfn.VSTACK(_xlpm.headC, _xlpm.hA, _xlpm.hBshift)     ) )</definedName>
    <definedName name="SPARSEMINUS">_xlfn.LAMBDA(_xlpm.A,_xlpm.B,_xlop.default,     _xlfn.LET(         _xlpm.A, IF(             AND(ROWS(_xlpm.A) = 1, COLUMNS(_xlpm.A) = 1),             SPARSE(_xlpm.A * ONES(INDEX(_xlpm.B, 1, 1), INDEX(_xlpm.B, 1, 2)), INDEX(_xlpm.B, 1, 3)),             _xlpm.A         ),         _xlpm.B, IF(             AND(ROWS(_xlpm.B) = 1, COLUMNS(_xlpm.B) = 1),             SPARSE(_xlpm.B * ONES(INDEX(_xlpm.A, 1, 1), INDEX(_xlpm.A, 1, 2)), INDEX(_xlpm.A, 1, 3)),             _xlpm.B         ),         _xlpm.Bvalues, -_xlfn.DROP(INDEX(_xlpm.B, 0, 3), 1),         _xlpm.B_2, _xlfn.HSTACK(_xlfn.TAKE(_xlpm.B, , 2), _xlfn.VSTACK(INDEX(_xlpm.B, 1, 3), _xlpm.Bvalues)),         SPARSEWISE(_xlpm.A, _xlpm.B_2, _xleta.SUM, _xlpm.default)     ) )</definedName>
    <definedName name="SPARSEMULT">_xlfn.LAMBDA(_xlpm.A,_xlpm.B,_xlop.default,     _xlfn.LET(         _xlpm.default, IF(OR(_xlfn.ISOMITTED(_xlpm.default), ISBLANK(_xlpm.default)), INDEX(_xlpm.A, 1, 3), _xlpm.default),         _xlpm.A, IF(_xlpm.default = INDEX(_xlpm.A, 1, 3), _xlpm.A, SPARSE(_xludf.FULL(_xlpm.A), _xlpm.default)),         _xlpm.B, IF(_xlpm.default = INDEX(_xlpm.B, 1, 3), _xlpm.B, SPARSE(_xludf.FULL(_xlpm.B), _xlpm.default)),         _xlpm.rightSize, SUM(1 * (INDEX(_xlpm.A, 1, 2) = INDEX(_xlpm.B, 1, 1))) = 1,         IF(             _xlpm.rightSize = FALSE,             "# sparse matrix A must have as many columns as B rows",             _xlfn.LET(                 _xlpm.nLins, INDEX(_xlpm.A, 1, 1),                 _xlpm.nCols, INDEX(_xlpm.B, 1, 2),                 _xlpm.head, _xlfn.HSTACK(_xlpm.nLins, _xlpm.nCols, _xlpm.default),                 _xlpm.hA, _xlfn.DROP(_xlpm.A, 1),                 _xlpm.hB, _xlfn.DROP(_xlpm.B, 1),                 _xlpm.rowsA, INDEX(_xlpm.hA, 0, 1),                 _xlpm.colsA, INDEX(_xlpm.hA, 0, 2),                 _xlpm.valsA, INDEX(_xlpm.hA, 0, 3),                 _xlpm.rowsB, INDEX(_xlpm.hB, 0, 1),                 _xlpm.colsB, INDEX(_xlpm.hB, 0, 2),                 _xlpm.valsB, INDEX(_xlpm.hB, 0, 3),                 _xlpm.maxColA, MAX(_xlpm.colsA),                 _xlpm.final, _xlfn.MAKEARRAY(                     _xlpm.nLins,                     _xlpm.nCols,                     _xlfn.LAMBDA(_xlpm.row,_xlpm.col,                         _xlfn.LET(                             _xlpm.hAfilt, _xlfn._xlws.FILTER(_xlpm.hA, _xlpm.rowsA = _xlpm.row, _xlfn.HSTACK(_xlpm.row, 1, _xlpm.default)),                             _xlpm.hBfilt, _xlfn._xlws.FILTER(_xlpm.hB, _xlpm.colsB = _xlpm.col, _xlfn.HSTACK(1, _xlpm.col, _xlpm.default)),                             _xlpm.hAvals, _xlfn.XLOOKUP(                                 _xlfn.SEQUENCE(_xlpm.maxColA),                                 INDEX(_xlpm.hAfilt, 0, 2),                                 INDEX(_xlpm.hAfilt, 0, 3),                                 _xlpm.default                             ),                             _xlpm.hBvals, _xlfn.XLOOKUP(                                 _xlfn.SEQUENCE(_xlpm.maxColA),                                 INDEX(_xlpm.hBfilt, 0, 1),                                 INDEX(_xlpm.hBfilt, 0, 3),                                 _xlpm.default                             ),                             SUM(_xlpm.hAvals * _xlpm.hBvals)                         )                     )                 ),                 SPARSE(_xlpm.final, _xlpm.default)             )         )     ) )</definedName>
    <definedName name="SPARSEONES">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_xlfn.HSTACK(REPMAT(_xlfn.SEQUENCE(_xlpm.nLins),_xlpm.m,1,TRUE),REPMAT(_xlfn.SEQUENCE(_xlpm.m),_xlpm.nLins,1),ONES(_xlpm.nLins*_xlpm.m,1)), NA()), _xlpm.final, IF(ISERROR(INDEX(_xlpm.A,1,1)), _xlpm.head, _xlfn.VSTACK(_xlpm.head, _xlpm.A)), _xlpm.final ))</definedName>
    <definedName name="SPARSEPLUS">_xlfn.LAMBDA(_xlpm.A,_xlpm.B,_xlop.default,     _xlfn.LET(         _xlpm.A, IF(             AND(ROWS(_xlpm.A) = 1, COLUMNS(_xlpm.A) = 1),             SPARSE(_xlpm.A * ONES(INDEX(_xlpm.B, 1, 1), INDEX(_xlpm.B, 1, 2)), INDEX(_xlpm.B, 1, 3)),             _xlpm.A         ),         _xlpm.B, IF(             AND(ROWS(_xlpm.B) = 1, COLUMNS(_xlpm.B) = 1),             SPARSE(_xlpm.B * ONES(INDEX(_xlpm.A, 1, 1), INDEX(_xlpm.A, 1, 2)), INDEX(_xlpm.A, 1, 3)),             _xlpm.B         ),         SPARSEWISE(_xlpm.A, _xlpm.B, _xleta.SUM, _xlpm.default)     ) )</definedName>
    <definedName name="SPARSEPOWER">_xlfn.LAMBDA(_xlpm.A,_xlpm.power,_xlop.raiseDefault,     _xlfn.LET(         _xlpm.raiseDefault, IF(             OR(_xlfn.ISOMITTED(_xlpm.raiseDefault), ISBLANK(_xlpm.raiseDefault)),             TRUE,             _xlpm.raiseDefault         ),         _xlfn.HSTACK(             _xlfn.TAKE(_xlpm.A, , 2),             IF(                 ROWS(_xlpm.A) = 1,                 IF(_xlpm.raiseDefault, INDEX(_xlpm.A, 1, 3) ^ _xlpm.power, INDEX(_xlpm.A, 1, 3)),                 _xlfn.VSTACK(                     IF(_xlpm.raiseDefault, INDEX(_xlpm.A, 1, 3) ^ _xlpm.power, INDEX(_xlpm.A, 1, 3)),                     _xlfn.DROP(_xlfn.TAKE(_xlpm.A, , -1), 1) ^ _xlpm.power                 )             )         )     ) )</definedName>
    <definedName name="SPARSESLICE">_xlfn.LAMBDA(_xlpm.matrix,_xlop.lin_start,_xlop.lin_end,_xlop.col_start,_xlop.col_end,     _xlfn.LET(         _xlpm.lin_start, IF(             OR(_xlfn.ISOMITTED(_xlpm.lin_start), _xlpm.lin_start = 0),             1,             IF(                 ISTEXT(_xlpm.lin_start),                 MATCH(_xlpm.lin_start, INDEX(_xlpm.matrix, 0, 1), 0),                 _xlpm.lin_start             )         ),         _xlpm.lin_end, IF(             OR(_xlfn.ISOMITTED(_xlpm.lin_end), _xlpm.lin_end = 0),             ROWS(_xlpm.matrix),             IF(                 ISTEXT(_xlpm.lin_end),                 MATCH(_xlpm.lin_end, INDEX(_xlpm.matrix, 0, 1), 0),                 _xlpm.lin_end             )         ),         _xlpm.col_start, IF(             OR(_xlfn.ISOMITTED(_xlpm.col_start), _xlpm.col_start = 0),             1,             IF(                 ISTEXT(_xlpm.col_start),                 MATCH(_xlpm.col_start, INDEX(_xlpm.matrix, 1, 0), 0),                 _xlpm.col_start             )         ),         _xlpm.col_end, IF(             OR(_xlfn.ISOMITTED(_xlpm.col_end), _xlpm.col_end = 0),             COLUMNS(_xlpm.matrix),             IF(                 ISTEXT(_xlpm.col_end),                 MATCH(_xlpm.col_end, INDEX(_xlpm.matrix, 1, 0), 0),                 _xlpm.col_end             )         ),         _xlpm.head, _xlfn.TAKE(_xlpm.matrix, 1),         _xlpm.hMatrix, _xlfn.DROP(_xlpm.matrix, 1),         _xlpm.rows, _xlfn.CHOOSECOLS(_xlpm.hMatrix, 1),         _xlpm.cols, _xlfn.CHOOSECOLS(_xlpm.hMatrix, 2),         _xlpm.vals, _xlfn.CHOOSECOLS(_xlpm.hMatrix, 3),         _xlpm.filtered, _xlfn._xlws.FILTER(             _xlpm.hMatrix,             (_xlpm.rows &gt;= _xlpm.lin_start) * (_xlpm.rows &lt;= _xlpm.lin_end) * (_xlpm.cols &gt;= _xlpm.col_start) *                 (_xlpm.cols &lt;= _xlpm.col_end),             NA()         ),         _xlpm.newRows, _xlfn.CHOOSECOLS(_xlpm.filtered, 1),         _xlpm.newCols, _xlfn.CHOOSECOLS(_xlpm.filtered, 2),         _xlpm.newVals, _xlfn.CHOOSECOLS(_xlpm.filtered, 3),         _xlpm.newHead, _xlfn.HSTACK(             _xlpm.lin_end - _xlpm.lin_start + 1,             _xlpm.col_end - _xlpm.col_start + 1,             INDEX(_xlpm.head, 1, 3)         ),         _xlpm.resized, _xlfn.HSTACK(             _xlpm.newRows - MIN(_xlpm.newRows) + 1,             _xlpm.newCols - MIN(_xlpm.newCols) + 1,             _xlpm.newVals         ),         IF(             ISERROR(INDEX(_xlpm.filtered, 1, 1)),             _xlpm.newHead,             _xlfn.VSTACK(_xlpm.newHead, _xlpm.resized)         )     ) )</definedName>
    <definedName name="SPARSET">_xlfn.LAMBDA(_xlpm.matrix, _xlfn.CHOOSECOLS(_xlpm.matrix, 2, 1, 3) )</definedName>
    <definedName name="SPARSEVSTACK">_xlfn.LAMBDA(_xlpm.A,_xlpm.B,_xlop.default,     _xlfn.LET(         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_xlfn.HSTACK(_xlpm.nA + _xlpm.nB, MAX(_xlpm.mA, _xlpm.mB), _xlpm.default),         _xlpm.hA, _xlfn.DROP(_xlpm.A, 1),         _xlpm.hB, _xlfn.DROP(_xlpm.B, 1),         _xlpm.hBshift, _xlfn.HSTACK(_xlfn.CHOOSECOLS(_xlpm.hB, 1) + _xlpm.nA, _xlfn.CHOOSECOLS(_xlpm.hB, 2, 3)),         _xlfn.VSTACK(_xlpm.headC, _xlpm.hA, _xlpm.hBshift)     ) )</definedName>
    <definedName name="SPARSEWISE">_xlfn.LAMBDA(_xlpm.A,_xlpm.B,_xlop.operation,_xlop.default,     _xlfn.LET(         _xlpm.default, IF(             OR(_xlfn.ISOMITTED(_xlpm.default), ISBLANK(_xlpm.default)),             INDEX(_xlpm.A, 1, 3),             _xlpm.default         ),         _xlpm.operation, IF(             OR(_xlfn.ISOMITTED(_xlpm.operation), ISBLANK(_xlpm.operation)),             _xleta.SUM,             _xlfn.LAMBDA(_xlpm.x, _xlfn.LET(_xlpm.f, _xlpm.operation, IF(ROWS(_xlpm.x) = 2, _xlpm.f(_xlpm.x), _xlpm.f(_xlpm.x, _xlpm.default))))         ),         _xlpm.A_2, IF(_xlpm.default = INDEX(_xlpm.A, 1, 3), _xlpm.A, SPARSE(_xludf.FULL(_xlpm.A), _xlpm.default)),         _xlpm.B_2, IF(_xlpm.default = INDEX(_xlpm.B, 1, 3), _xlpm.B, SPARSE(_xludf.FULL(_xlpm.B), _xlpm.default)),         _xlpm.sameSize, SUM(1 * (INDEX(_xlpm.A_2, 1, {1,2}) = INDEX(_xlpm.B_2, 1, {1,2}))) = 2,         IF(             _xlpm.sameSize = FALSE,             "# sparse matrices have different dimensions",             _xlfn.LET(                 _xlpm.head, _xlfn.TAKE(_xlpm.A_2, 1),                 _xlpm.c, _xlfn.VSTACK(_xlfn.DROP(_xlpm.A_2, 1), _xlfn.DROP(_xlpm.B_2, 1)),                 _xlpm.d, _xlfn.GROUPBY(_xlfn.TAKE(_xlpm.c, , 2), INDEX(_xlpm.c, 0, 3), _xlpm.operation, FALSE, FALSE),                 _xlpm.e, _xlfn._xlws.FILTER(_xlpm.d, _xlpm.default &lt;&gt; INDEX(_xlpm.d, 0, 3)),                 _xlfn.VSTACK(_xlpm.head, _xlpm.e)             )         )     ) )</definedName>
    <definedName name="SPARSEZEROS">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0, _xlfn.HSTACK(REPMAT(_xlfn.SEQUENCE(_xlpm.nLins),_xlpm.m,1,TRUE),REPMAT(_xlfn.SEQUENCE(_xlpm.m),_xlpm.nLins,1),ZEROS(_xlpm.nLins*_xlpm.m,1)), NA()), _xlpm.final, IF(ISERROR(INDEX(_xlpm.A,1,1)), _xlpm.head, _xlfn.VSTACK(_xlpm.head, _xlpm.A)), _xlpm.final ))</definedName>
    <definedName name="SPLIT">_xlfn.LAMBDA(_xlpm.txt,_xlpm.delim,_xlop.n,_xlop.list, _xlfn.LET( _xlpm.p,IFERROR(FIND(_xlpm.delim,_xlpm.txt),0), _xlpm.delimLength, LEN(_xlpm.delim), _xlpm.list,IF(_xlfn.ISOMITTED(_xlpm.list), {""}, _xlpm.list), IF(_xlpm.p,_xludf.SPLIT(MID(_xlpm.txt,_xlpm.p+_xlpm.delimLength,9999999),_xlpm.delim,_xlpm.n+1, IF(_xlfn.SEQUENCE(1,_xlpm.n+1)&lt;_xlpm.n+1,_xlpm.list,LEFT(_xlpm.txt,_xlpm.p-1))), IF(_xlpm.n=0,_xlpm.txt,IF(_xlfn.SEQUENCE(1,_xlpm.n+1)&lt;_xlpm.n+1,_xlpm.list,_xlpm.txt)) ) ) )</definedName>
    <definedName name="SPLITALL">_xlfn.LAMBDA(_xlpm.text,_xlpm.delim,_xlfn.TEXTSPLIT(_xlpm.text, _xlpm.delim))</definedName>
    <definedName name="SPLITTWO">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_xlfn.HSTACK(_xlpm.posPlus,_xlpm.posMin) ) ) ), _xlpm.posStart,  IF(SUM(ISERR(_xlpm.posAll)*1), 1, _xlfn.VSTACK(1, _xlpm.posAll + 1 )), _xlpm.posEnd, IF( SUM(ISERR(_xlpm.posAll)*1), LEN(_xlpm.txt), _xlfn.VSTACK(_xlpm.posAll - 1, LEN(_xlpm.txt)) ), _xlpm.items, MID(_xlpm.txt,_xlpm.posStart,_xlpm.posEnd-_xlpm.posStart+1), _xlpm.itemsPlus, _xlfn.VSTACK(1, _xlfn.MAP(_xlpm.posAll, _xlfn.LAMBDA(_xlpm.val, SUM(1*(_xlpm.val=_xlpm.posPlus))))), _xlpm.itemsMin, 1*NOT(_xlpm.itemsPlus), _xlfn.SWITCH(_xlpm.returnedObject, "ELEMENTS", _xlpm.items, "DELIM1POS", _xlpm.itemsPlus, "DELIM2POS", _xlpm.itemsMin ) ) )</definedName>
    <definedName name="STARTSWITH">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definedName>
    <definedName name="STATIONARIZE">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definedName>
    <definedName name="SUBS">_xlfn.LAMBDA(_xlpm.s,_xlpm.old,_xlpm.new, EVALS(SUBSTITUTE(_xlpm.s,_xlpm.old,_xlpm.new)))</definedName>
    <definedName name="TEXTTOARRAY">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definedName>
    <definedName name="TEXTTOCHAR">_xlfn.LAMBDA(_xlpm.txt,MID(_xlpm.txt,_xlfn.SEQUENCE(LEN(_xlpm.txt)),1))</definedName>
    <definedName name="TRIL">_xlfn.LAMBDA(_xlpm.matrix,_xlop.k,_xlfn.MAKEARRAY(ROWS(_xlpm.matrix),COLUMNS(_xlpm.matrix),_xlfn.LAMBDA(_xlpm.lin,_xlpm.col,_xlpm.col&lt;=(_xlpm.lin+_xlpm.k)))*_xlpm.matrix)</definedName>
    <definedName name="TRIU">_xlfn.LAMBDA(_xlpm.matrix,_xlop.k,_xlfn.MAKEARRAY(ROWS(_xlpm.matrix),COLUMNS(_xlpm.matrix),_xlfn.LAMBDA(_xlpm.lin,_xlpm.col,_xlpm.col&gt;=(_xlpm.lin+_xlpm.k)))*_xlpm.matrix)</definedName>
    <definedName name="TSOPER">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definedName>
    <definedName name="TSTREND">_xlfn.LAMBDA(_xlpm.values,_xlop.nPower, _xlfn.LET(_xlpm.nPower, IF(_xlfn.ISOMITTED(_xlpm.nPower), 1, _xlpm.nPower),  OLS_FITTED(_xlpm.values, ADDCONST(_xlfn.SEQUENCE(ROWS(_xlpm.values))^_xlpm.nPower)) ) )</definedName>
    <definedName name="UNFLATTEN">_xlfn.LAMBDA(_xlpm.flattenedMatrix,_xlpm.component,     _xlfn.LET(         _xlpm.nElements, INDEX(_xlpm.flattenedMatrix, 1, 1),         _xlpm.setUp, _xlfn.DROP(_xlfn.TAKE(_xlpm.flattenedMatrix, _xlpm.nElements + 1, 3), 1),         _xlpm.data, _xlfn.DROP(_xlpm.flattenedMatrix, _xlpm.nElements + 1, 0),         _xlpm.component, IF(ISNUMBER(_xlpm.component), _xlpm.component, MATCH(_xlpm.component, _xlfn.TAKE(_xlpm.setUp, , 1), 0)),         _xlpm.rowStart, IF(_xlpm.component = 1, 1, 1 + SUM(_xlfn.CHOOSECOLS(_xlfn.TAKE(_xlpm.setUp, _xlpm.component - 1), 2))),         _xlpm.rowEnd, SUM(_xlfn.CHOOSECOLS(_xlfn.TAKE(_xlpm.setUp, _xlpm.component), 2)),         _xlpm.colStart, 1,         _xlpm.colEnd, INDEX(_xlpm.setUp, _xlpm.component, 3),         SLICE(_xlpm.data, _xlpm.rowStart, _xlpm.rowEnd, _xlpm.colStart, _xlpm.colEnd)     ) )</definedName>
    <definedName name="VARINFLATIONFACTOR">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definedName>
    <definedName name="VEC">_xlfn.LAMBDA(_xlpm.matrix,_xlop.rowsToCols, _xlfn.LET( _xlpm.rowsToCols, IF(_xlfn.ISOMITTED(_xlpm.rowsToCols),FALSE,_xlpm.rowsToCols), _xlpm.matrix, IF(_xlpm.rowsToCols, _xlpm.matrix, TRANSPOSE(_xlpm.matrix)), INDEX(_xlpm.matrix, ROUNDUP(_xlfn.SEQUENCE(ROWS(_xlpm.matrix)*COLUMNS(_xlpm.matrix))/COLUMNS(_xlpm.matrix),0), MOD(_xlfn.SEQUENCE(ROWS(_xlpm.matrix)*COLUMNS(_xlpm.matrix))-1,COLUMNS(_xlpm.matrix))+1 )) )</definedName>
    <definedName name="VERTCAT" comment="Concatenate arrays vertically">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definedName>
    <definedName name="VERTCAT_EX">_xlfn.LAMBDA(_xlpm.matrixA,_xlpm.matrixB,_xlpm.excludeValue, _xlfn.LET( _xlpm.testA, ALL(_xlpm.matrixA=_xlpm.excludeValue), _xlpm.testB, ALL(_xlpm.matrixB=_xlpm.excludeValue), _xlfn.IFS(AND(_xlpm.testA,_xlpm.testB), NA(), _xlpm.testA, _xlpm.matrixB, _xlpm.testB, _xlpm.matrixA, TRUE, _xlfn.VSTACK(_xlpm.matrixA,_xlpm.matrixB)) ))</definedName>
    <definedName name="ZEROS">_xlfn.LAMBDA(_xlpm.N,_xlop.m, _xlfn.LET(_xlpm.m, IF(OR(_xlfn.ISOMITTED(_xlpm.m),ISBLANK(_xlpm.m)),_xlpm.N,_xlpm.m), _xlfn.EXPAND(0, _xlpm.N, _xlpm.m, 0))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78" l="1" a="1"/>
  <c r="H12" i="78" s="1"/>
  <c r="I103" i="12" a="1"/>
  <c r="I103" i="12" s="1"/>
  <c r="BQ21" i="170" a="1"/>
  <c r="BQ21" i="170" s="1"/>
  <c r="BQ6" i="170" a="1"/>
  <c r="BQ6" i="170" s="1"/>
  <c r="I105" i="12" a="1"/>
  <c r="I105" i="12" s="1"/>
  <c r="BU6" i="170" a="1"/>
  <c r="BU6" i="170" s="1"/>
  <c r="I99" i="12" a="1"/>
  <c r="I99" i="12" s="1"/>
  <c r="E21" i="170" a="1"/>
  <c r="E21" i="170" s="1"/>
  <c r="K19" i="95" a="1"/>
  <c r="K19" i="95" s="1"/>
  <c r="K9" i="76" a="1"/>
  <c r="K9" i="76" s="1"/>
  <c r="K7" i="4" a="1"/>
  <c r="K7" i="4" s="1"/>
  <c r="K30" i="95" a="1"/>
  <c r="I110" i="12" a="1"/>
  <c r="I110" i="12" s="1"/>
  <c r="BM6" i="170" a="1"/>
  <c r="BM6" i="170" s="1"/>
  <c r="I111" i="12" a="1"/>
  <c r="I111" i="12" s="1"/>
  <c r="BI21" i="170" a="1"/>
  <c r="BI21" i="170" s="1"/>
  <c r="BI6" i="170" a="1"/>
  <c r="BI6" i="170" s="1"/>
  <c r="I112" i="12" a="1"/>
  <c r="I112" i="12" s="1"/>
  <c r="I101" i="12" a="1"/>
  <c r="I101" i="12" s="1"/>
  <c r="I107" i="12" a="1"/>
  <c r="I107" i="12" s="1"/>
  <c r="I98" i="12" a="1"/>
  <c r="I98" i="12" s="1"/>
  <c r="I97" i="12" a="1"/>
  <c r="I97" i="12" s="1"/>
  <c r="I104" i="12" a="1"/>
  <c r="I104" i="12" s="1"/>
  <c r="I109" i="12" a="1"/>
  <c r="I109" i="12" s="1"/>
  <c r="I100" i="12" a="1"/>
  <c r="I100" i="12" s="1"/>
  <c r="I102" i="12" a="1"/>
  <c r="I102" i="12" s="1"/>
  <c r="I106" i="12" a="1"/>
  <c r="I106" i="12" s="1"/>
  <c r="I108" i="12" a="1"/>
  <c r="I108" i="12" s="1"/>
  <c r="I113" i="12" a="1"/>
  <c r="I113" i="12" s="1"/>
  <c r="I114" i="12" a="1"/>
  <c r="I114" i="12" s="1"/>
  <c r="I126" i="12" a="1"/>
  <c r="I126" i="12" s="1"/>
  <c r="I125" i="12" a="1"/>
  <c r="I125" i="12" s="1"/>
  <c r="F125" i="12" a="1"/>
  <c r="F125" i="12" s="1"/>
  <c r="I124" i="12" a="1"/>
  <c r="I124" i="12" s="1"/>
  <c r="F124" i="12" a="1"/>
  <c r="F124" i="12" s="1"/>
  <c r="I123" i="12" a="1"/>
  <c r="I123" i="12" s="1"/>
  <c r="I122" i="12" a="1"/>
  <c r="I122" i="12" s="1"/>
  <c r="I121" i="12" a="1"/>
  <c r="I121" i="12" s="1"/>
  <c r="I120" i="12" a="1"/>
  <c r="I120" i="12" s="1"/>
  <c r="I119" i="12" a="1"/>
  <c r="I119" i="12" s="1"/>
  <c r="F119" i="12" a="1"/>
  <c r="F119" i="12" s="1"/>
  <c r="I118" i="12" a="1"/>
  <c r="I118" i="12" s="1"/>
  <c r="F118" i="12" a="1"/>
  <c r="F118" i="12" s="1"/>
  <c r="AS21" i="170" a="1"/>
  <c r="B11" i="170"/>
  <c r="B7" i="170"/>
  <c r="J12" i="21" a="1"/>
  <c r="J12" i="21" s="1"/>
  <c r="F20" i="41"/>
  <c r="F18" i="41"/>
  <c r="BX6" i="1" a="1"/>
  <c r="BX6" i="1" s="1"/>
  <c r="L10" i="168" a="1"/>
  <c r="L10" i="168" s="1"/>
  <c r="AQ6" i="1" a="1"/>
  <c r="AQ6" i="1" s="1"/>
  <c r="K11" i="93" a="1"/>
  <c r="H7" i="3" a="1"/>
  <c r="H7" i="3" s="1"/>
  <c r="I40" i="12" a="1"/>
  <c r="I40" i="12" s="1"/>
  <c r="F40" i="12" a="1"/>
  <c r="F40" i="12" s="1"/>
  <c r="L22" i="168" a="1"/>
  <c r="L22" i="168" s="1"/>
  <c r="L14" i="77" a="1"/>
  <c r="J25" i="77" a="1"/>
  <c r="J14" i="77" a="1"/>
  <c r="BU21" i="170" l="1" a="1"/>
  <c r="BU21" i="170" s="1"/>
  <c r="E6" i="170" a="1"/>
  <c r="E6" i="170" s="1"/>
  <c r="BM21" i="170" a="1"/>
  <c r="BM21" i="170" s="1"/>
  <c r="AS6" i="170" a="1"/>
  <c r="AS6" i="170" s="1"/>
  <c r="K30" i="95"/>
  <c r="BE6" i="170" a="1"/>
  <c r="BE6" i="170" s="1"/>
  <c r="Q6" i="170" a="1"/>
  <c r="Q6" i="170" s="1"/>
  <c r="BA6" i="170" a="1"/>
  <c r="BA6" i="170" s="1"/>
  <c r="BE21" i="170" a="1"/>
  <c r="BE21" i="170" s="1"/>
  <c r="BA21" i="170" a="1"/>
  <c r="BA21" i="170" s="1"/>
  <c r="AS21" i="170"/>
  <c r="AW21" i="170" a="1"/>
  <c r="AW21" i="170" s="1"/>
  <c r="Y6" i="170" a="1"/>
  <c r="Y6" i="170" s="1"/>
  <c r="Y21" i="170" a="1"/>
  <c r="Y21" i="170" s="1"/>
  <c r="AO21" i="170" a="1"/>
  <c r="AO21" i="170" s="1"/>
  <c r="AO6" i="170" a="1"/>
  <c r="AO6" i="170" s="1"/>
  <c r="AG21" i="170" a="1"/>
  <c r="AG21" i="170" s="1"/>
  <c r="U21" i="170" a="1"/>
  <c r="U21" i="170" s="1"/>
  <c r="AW6" i="170" a="1"/>
  <c r="AW6" i="170" s="1"/>
  <c r="AK21" i="170" a="1"/>
  <c r="AK21" i="170" s="1"/>
  <c r="AG6" i="170" a="1"/>
  <c r="AG6" i="170" s="1"/>
  <c r="M21" i="170" a="1"/>
  <c r="M21" i="170" s="1"/>
  <c r="AC6" i="170" a="1"/>
  <c r="AC6" i="170" s="1"/>
  <c r="M6" i="170" a="1"/>
  <c r="M6" i="170" s="1"/>
  <c r="I6" i="170" a="1"/>
  <c r="I6" i="170" s="1"/>
  <c r="Q21" i="170" a="1"/>
  <c r="Q21" i="170" s="1"/>
  <c r="AK6" i="170" a="1"/>
  <c r="AK6" i="170" s="1"/>
  <c r="AC21" i="170" a="1"/>
  <c r="AC21" i="170" s="1"/>
  <c r="I21" i="170" a="1"/>
  <c r="I21" i="170" s="1"/>
  <c r="U6" i="170" a="1"/>
  <c r="U6" i="170" s="1"/>
  <c r="K11" i="93"/>
  <c r="L14" i="77"/>
  <c r="J25" i="77"/>
  <c r="J14" i="77"/>
  <c r="I163" i="12" a="1"/>
  <c r="I163" i="12" s="1"/>
  <c r="O14" i="166" a="1"/>
  <c r="O14" i="166" s="1"/>
  <c r="P14" i="166" a="1"/>
  <c r="P14" i="166" s="1"/>
  <c r="M14" i="166" a="1"/>
  <c r="M14" i="166" s="1"/>
  <c r="I183" i="12" a="1"/>
  <c r="I183" i="12" s="1"/>
  <c r="AF66" i="2" a="1"/>
  <c r="AF66" i="2" s="1"/>
  <c r="AE66" i="2" a="1"/>
  <c r="AE66" i="2" s="1"/>
  <c r="Z66" i="2" a="1"/>
  <c r="Z66" i="2" s="1"/>
  <c r="Y66" i="2" a="1"/>
  <c r="Y66" i="2" s="1"/>
  <c r="F163" i="12" a="1"/>
  <c r="F163" i="12" l="1"/>
  <c r="I182" i="12" a="1"/>
  <c r="I182" i="12" s="1"/>
  <c r="AI66" i="2" a="1"/>
  <c r="AI66" i="2" s="1"/>
  <c r="AH66" i="2" a="1"/>
  <c r="AH66" i="2" s="1"/>
  <c r="I92" i="12" a="1"/>
  <c r="I92" i="12" s="1"/>
  <c r="I50" i="12" a="1"/>
  <c r="I50" i="12" s="1"/>
  <c r="J35" i="164" a="1"/>
  <c r="J35" i="164" s="1"/>
  <c r="J8" i="164" a="1"/>
  <c r="J8" i="164" s="1"/>
  <c r="J41" i="162" a="1"/>
  <c r="J41" i="162" s="1"/>
  <c r="J12" i="162" a="1"/>
  <c r="J12" i="162" s="1"/>
  <c r="S6" i="1" a="1"/>
  <c r="S6" i="1" s="1"/>
  <c r="K6" i="1" a="1"/>
  <c r="K6" i="1" s="1"/>
  <c r="H6" i="1" a="1"/>
  <c r="H6" i="1" s="1"/>
  <c r="E6" i="1" a="1"/>
  <c r="E6" i="1" s="1"/>
  <c r="O6" i="1" a="1"/>
  <c r="O6" i="1" s="1"/>
  <c r="H12" i="109" a="1"/>
  <c r="H12" i="109" s="1"/>
  <c r="O21" i="1" a="1"/>
  <c r="O21" i="1" s="1"/>
  <c r="M18" i="161" a="1"/>
  <c r="M18" i="161" s="1"/>
  <c r="I76" i="12" a="1"/>
  <c r="I76" i="12" s="1"/>
  <c r="M9" i="161" a="1"/>
  <c r="M9" i="161" s="1"/>
  <c r="M9" i="147" a="1"/>
  <c r="M9" i="147" s="1"/>
  <c r="M9" i="145" a="1"/>
  <c r="M9" i="145" s="1"/>
  <c r="M9" i="148" a="1"/>
  <c r="M9" i="148" s="1"/>
  <c r="O10" i="144" a="1"/>
  <c r="O10" i="144" s="1"/>
  <c r="M14" i="140" a="1"/>
  <c r="M14" i="140" s="1"/>
  <c r="L8" i="34" a="1"/>
  <c r="L8" i="34" s="1"/>
  <c r="O15" i="128" a="1"/>
  <c r="O15" i="128" s="1"/>
  <c r="N15" i="135" a="1"/>
  <c r="N15" i="135" s="1"/>
  <c r="P17" i="133" a="1"/>
  <c r="P17" i="133" s="1"/>
  <c r="L13" i="137" a="1"/>
  <c r="L13" i="137" s="1"/>
  <c r="M9" i="152" a="1"/>
  <c r="M9" i="152" s="1"/>
  <c r="P13" i="31" a="1"/>
  <c r="P13" i="31" s="1"/>
  <c r="N13" i="31" a="1"/>
  <c r="N13" i="31" s="1"/>
  <c r="Q9" i="152" a="1"/>
  <c r="Q9" i="152" s="1"/>
  <c r="O12" i="158" a="1"/>
  <c r="O12" i="158" s="1"/>
  <c r="I85" i="12" a="1"/>
  <c r="I85" i="12" s="1"/>
  <c r="O21" i="158" a="1"/>
  <c r="O21" i="158" s="1"/>
  <c r="I82" i="12" a="1"/>
  <c r="I82" i="12" s="1"/>
  <c r="I89" i="12" a="1"/>
  <c r="I89" i="12" s="1"/>
  <c r="J9" i="157" a="1"/>
  <c r="J9" i="157" s="1"/>
  <c r="J24" i="157" a="1"/>
  <c r="J24" i="157" s="1"/>
  <c r="J24" i="156" a="1"/>
  <c r="J24" i="156" s="1"/>
  <c r="J9" i="153" a="1"/>
  <c r="J9" i="153" s="1"/>
  <c r="J9" i="156" a="1"/>
  <c r="J9" i="156" s="1"/>
  <c r="I74" i="12"/>
  <c r="I79" i="12" a="1"/>
  <c r="I79" i="12" s="1"/>
  <c r="I87" i="12" a="1"/>
  <c r="I87" i="12" s="1"/>
  <c r="M9" i="155" a="1"/>
  <c r="M9" i="155" s="1"/>
  <c r="M18" i="155" a="1"/>
  <c r="M18" i="155" s="1"/>
  <c r="M18" i="154" a="1"/>
  <c r="M18" i="154" s="1"/>
  <c r="M9" i="154" a="1"/>
  <c r="M9" i="154" s="1"/>
  <c r="P9" i="150" a="1"/>
  <c r="P9" i="150" s="1"/>
  <c r="J8" i="122" a="1"/>
  <c r="J8" i="122" s="1"/>
  <c r="P8" i="121" a="1"/>
  <c r="P8" i="121" s="1"/>
  <c r="I75" i="12" a="1"/>
  <c r="I75" i="12" s="1"/>
  <c r="M17" i="124" a="1"/>
  <c r="M17" i="124" s="1"/>
  <c r="M9" i="124" a="1"/>
  <c r="M9" i="124" s="1"/>
  <c r="I78" i="12" a="1"/>
  <c r="I78" i="12" s="1"/>
  <c r="J17" i="153" a="1"/>
  <c r="J17" i="153" s="1"/>
  <c r="I81" i="12" a="1"/>
  <c r="I81" i="12" s="1"/>
  <c r="M21" i="152" a="1"/>
  <c r="M21" i="152" s="1"/>
  <c r="I86" i="12" a="1"/>
  <c r="I86" i="12" s="1"/>
  <c r="I84" i="12" a="1"/>
  <c r="I84" i="12" s="1"/>
  <c r="I77" i="12" a="1"/>
  <c r="I77" i="12" s="1"/>
  <c r="P14" i="150" a="1"/>
  <c r="P14" i="150" s="1"/>
  <c r="M18" i="148" a="1"/>
  <c r="M18" i="148" s="1"/>
  <c r="I80" i="12" a="1"/>
  <c r="I80" i="12" s="1"/>
  <c r="M18" i="147" a="1"/>
  <c r="M18" i="147" s="1"/>
  <c r="I83" i="12" a="1"/>
  <c r="I83" i="12" s="1"/>
  <c r="I88" i="12" a="1"/>
  <c r="I88" i="12" s="1"/>
  <c r="M18" i="145" a="1"/>
  <c r="M18" i="145" s="1"/>
  <c r="O19" i="144" a="1"/>
  <c r="O19" i="144" s="1"/>
  <c r="I41" i="12" a="1"/>
  <c r="I41" i="12" s="1"/>
  <c r="L12" i="141" a="1"/>
  <c r="L12" i="141" s="1"/>
  <c r="L24" i="141" a="1"/>
  <c r="L24" i="141" s="1"/>
  <c r="I162" i="12" a="1"/>
  <c r="I162" i="12" s="1"/>
  <c r="P14" i="140" a="1"/>
  <c r="P14" i="140" s="1"/>
  <c r="O14" i="140" a="1"/>
  <c r="O14" i="140" s="1"/>
  <c r="I150" i="12" a="1"/>
  <c r="I150" i="12" s="1"/>
  <c r="O13" i="137" a="1"/>
  <c r="O13" i="137" s="1"/>
  <c r="N13" i="137" a="1"/>
  <c r="N13" i="137" s="1"/>
  <c r="J24" i="139" a="1"/>
  <c r="J24" i="139" s="1"/>
  <c r="J12" i="139" a="1"/>
  <c r="J12" i="139" s="1"/>
  <c r="I151" i="12" a="1"/>
  <c r="I151" i="12" s="1"/>
  <c r="N12" i="136" a="1"/>
  <c r="N12" i="136" s="1"/>
  <c r="N19" i="136" a="1"/>
  <c r="N19" i="136" s="1"/>
  <c r="I72" i="12" a="1"/>
  <c r="I72" i="12" s="1"/>
  <c r="I168" i="12" a="1"/>
  <c r="I168" i="12" s="1"/>
  <c r="Q15" i="135" a="1"/>
  <c r="Q15" i="135" s="1"/>
  <c r="P15" i="135" a="1"/>
  <c r="P15" i="135" s="1"/>
  <c r="R15" i="128" a="1"/>
  <c r="R15" i="128" s="1"/>
  <c r="Q15" i="128" a="1"/>
  <c r="Q15" i="128" s="1"/>
  <c r="S17" i="133" a="1"/>
  <c r="S17" i="133" s="1"/>
  <c r="R17" i="133" a="1"/>
  <c r="R17" i="133" s="1"/>
  <c r="I135" i="12" a="1"/>
  <c r="I135" i="12" s="1"/>
  <c r="I158" i="12" a="1"/>
  <c r="I158" i="12" s="1"/>
  <c r="H26" i="132"/>
  <c r="L20" i="132" s="1" a="1"/>
  <c r="L20" i="132" s="1"/>
  <c r="F75" i="12" a="1"/>
  <c r="F162" i="12" a="1"/>
  <c r="F89" i="12" a="1"/>
  <c r="F158" i="12" a="1"/>
  <c r="F72" i="12" a="1"/>
  <c r="F76" i="12" a="1"/>
  <c r="F77" i="12" a="1"/>
  <c r="F87" i="12" a="1"/>
  <c r="F168" i="12" a="1"/>
  <c r="F88" i="12" a="1"/>
  <c r="F83" i="12" a="1"/>
  <c r="F85" i="12" a="1"/>
  <c r="F151" i="12" a="1"/>
  <c r="F78" i="12" a="1"/>
  <c r="F82" i="12" a="1"/>
  <c r="F80" i="12" a="1"/>
  <c r="F79" i="12" a="1"/>
  <c r="F150" i="12" a="1"/>
  <c r="F84" i="12" a="1"/>
  <c r="F50" i="12" a="1"/>
  <c r="F41" i="12" a="1"/>
  <c r="F81" i="12" a="1"/>
  <c r="F92" i="12" a="1"/>
  <c r="F86" i="12" a="1"/>
  <c r="F135" i="12" a="1"/>
  <c r="V20" i="132" l="1" a="1"/>
  <c r="V20" i="132" s="1"/>
  <c r="F92" i="12"/>
  <c r="F50" i="12"/>
  <c r="F76" i="12"/>
  <c r="F85" i="12"/>
  <c r="F82" i="12"/>
  <c r="F89" i="12"/>
  <c r="F79" i="12"/>
  <c r="F87" i="12"/>
  <c r="F75" i="12"/>
  <c r="F78" i="12"/>
  <c r="F81" i="12"/>
  <c r="F86" i="12"/>
  <c r="F84" i="12"/>
  <c r="F77" i="12"/>
  <c r="F80" i="12"/>
  <c r="F83" i="12"/>
  <c r="F88" i="12"/>
  <c r="F41" i="12"/>
  <c r="F162" i="12"/>
  <c r="F150" i="12"/>
  <c r="F151" i="12"/>
  <c r="F72" i="12"/>
  <c r="F168" i="12"/>
  <c r="F135" i="12"/>
  <c r="F158" i="12"/>
  <c r="Q13" i="31" a="1"/>
  <c r="Q13" i="31" s="1"/>
  <c r="I159" i="12" a="1"/>
  <c r="I159" i="12" s="1"/>
  <c r="H26" i="131"/>
  <c r="L20" i="131" s="1" a="1"/>
  <c r="L20" i="131" s="1"/>
  <c r="I134" i="12" a="1"/>
  <c r="I134" i="12" s="1"/>
  <c r="I34" i="12" a="1"/>
  <c r="I34" i="12" s="1"/>
  <c r="I35" i="12" a="1"/>
  <c r="I35" i="12" s="1"/>
  <c r="O14" i="130" a="1"/>
  <c r="O14" i="130" s="1"/>
  <c r="M14" i="130" a="1"/>
  <c r="M14" i="130" s="1"/>
  <c r="Q3" i="130"/>
  <c r="I38" i="12" a="1"/>
  <c r="I38" i="12" s="1"/>
  <c r="M12" i="129" a="1"/>
  <c r="M12" i="129" s="1"/>
  <c r="M19" i="129" a="1"/>
  <c r="M19" i="129" s="1"/>
  <c r="O13" i="127" a="1"/>
  <c r="O13" i="127" s="1"/>
  <c r="N13" i="127" a="1"/>
  <c r="N13" i="127" s="1"/>
  <c r="L13" i="127" a="1"/>
  <c r="L13" i="127" s="1"/>
  <c r="I152" i="12" a="1"/>
  <c r="I152" i="12" s="1"/>
  <c r="I184" i="12" a="1"/>
  <c r="I184" i="12" s="1"/>
  <c r="I181" i="12" a="1"/>
  <c r="I181" i="12" s="1"/>
  <c r="AC66" i="2" a="1"/>
  <c r="AC66" i="2" s="1"/>
  <c r="AB66" i="2" a="1"/>
  <c r="AB66" i="2" s="1"/>
  <c r="J10" i="14" a="1"/>
  <c r="J10" i="14" s="1"/>
  <c r="P15" i="49" a="1"/>
  <c r="P15" i="49" s="1"/>
  <c r="Y37" i="2" a="1"/>
  <c r="Y37" i="2" s="1"/>
  <c r="Y52" i="2" a="1"/>
  <c r="Y52" i="2" s="1"/>
  <c r="R32" i="2" a="1"/>
  <c r="R32" i="2" s="1"/>
  <c r="I11" i="30" a="1"/>
  <c r="I11" i="30" s="1"/>
  <c r="M10" i="37" a="1"/>
  <c r="M10" i="37" s="1"/>
  <c r="H14" i="3" a="1"/>
  <c r="F152" i="12" a="1"/>
  <c r="F159" i="12" a="1"/>
  <c r="F38" i="12" a="1"/>
  <c r="F34" i="12" a="1"/>
  <c r="F35" i="12" a="1"/>
  <c r="F134" i="12" a="1"/>
  <c r="H14" i="3" l="1"/>
  <c r="Q20" i="131" a="1"/>
  <c r="Q20" i="131" s="1"/>
  <c r="F159" i="12"/>
  <c r="F134" i="12"/>
  <c r="F34" i="12"/>
  <c r="F35" i="12"/>
  <c r="F38" i="12"/>
  <c r="F152" i="12"/>
  <c r="O11" i="19" a="1"/>
  <c r="O11" i="19" s="1"/>
  <c r="H11" i="19" a="1"/>
  <c r="H11" i="19" s="1"/>
  <c r="J10" i="27" a="1"/>
  <c r="J10" i="27" s="1"/>
  <c r="K11" i="28" a="1"/>
  <c r="K11" i="28" s="1"/>
  <c r="K19" i="4" a="1"/>
  <c r="K19" i="4" s="1"/>
  <c r="K13" i="4" a="1"/>
  <c r="K13" i="4" s="1"/>
  <c r="K10" i="23" a="1"/>
  <c r="K10" i="23" s="1"/>
  <c r="K20" i="9" a="1"/>
  <c r="K20" i="9" s="1"/>
  <c r="K9" i="9" a="1"/>
  <c r="K9" i="9" s="1"/>
  <c r="BT6" i="1" a="1"/>
  <c r="BT6" i="1" s="1"/>
  <c r="BD6" i="1" a="1"/>
  <c r="BD6" i="1" s="1"/>
  <c r="BA6" i="1" a="1"/>
  <c r="BA6" i="1" s="1"/>
  <c r="P13" i="35" a="1"/>
  <c r="P13" i="35" s="1"/>
  <c r="P13" i="36" a="1"/>
  <c r="P13" i="36" s="1"/>
  <c r="P77" i="36" a="1"/>
  <c r="P77" i="36" s="1"/>
  <c r="P56" i="36" a="1"/>
  <c r="P56" i="36" s="1"/>
  <c r="P34" i="36" a="1"/>
  <c r="P34" i="36" s="1"/>
  <c r="U13" i="36" a="1"/>
  <c r="U13" i="36" s="1"/>
  <c r="P77" i="35" a="1"/>
  <c r="P77" i="35" s="1"/>
  <c r="P56" i="35" a="1"/>
  <c r="P56" i="35" s="1"/>
  <c r="P34" i="35" a="1"/>
  <c r="P34" i="35" s="1"/>
  <c r="U13" i="35" a="1"/>
  <c r="U13" i="35" s="1"/>
  <c r="I46" i="12" a="1"/>
  <c r="I46" i="12" s="1"/>
  <c r="O11" i="126" a="1"/>
  <c r="O11" i="126" s="1"/>
  <c r="H11" i="126" a="1"/>
  <c r="H11" i="126" s="1"/>
  <c r="H7" i="8" a="1"/>
  <c r="H7" i="8" s="1"/>
  <c r="H7" i="5" a="1"/>
  <c r="H7" i="5" s="1"/>
  <c r="H15" i="8" a="1"/>
  <c r="H15" i="8" s="1"/>
  <c r="H15" i="5" a="1"/>
  <c r="H15" i="5" s="1"/>
  <c r="J8" i="125" a="1"/>
  <c r="J8" i="125" s="1"/>
  <c r="J21" i="125" a="1"/>
  <c r="J21" i="125" s="1"/>
  <c r="J13" i="125" a="1"/>
  <c r="J13" i="125" s="1"/>
  <c r="P21" i="121" a="1"/>
  <c r="P21" i="121" s="1"/>
  <c r="P13" i="121" a="1"/>
  <c r="P13" i="121" s="1"/>
  <c r="J13" i="122" a="1"/>
  <c r="J13" i="122" s="1"/>
  <c r="I53" i="12" a="1"/>
  <c r="I53" i="12" s="1"/>
  <c r="J21" i="122" a="1"/>
  <c r="J21" i="122" s="1"/>
  <c r="K10" i="119" a="1"/>
  <c r="K10" i="119" s="1"/>
  <c r="I54" i="12" a="1"/>
  <c r="I54" i="12" s="1"/>
  <c r="I177" i="12" a="1"/>
  <c r="I177" i="12" s="1"/>
  <c r="M10" i="119" a="1"/>
  <c r="M10" i="119" s="1"/>
  <c r="S24" i="117" a="1"/>
  <c r="S24" i="117" s="1"/>
  <c r="U24" i="117" a="1"/>
  <c r="U24" i="117" s="1"/>
  <c r="H17" i="70" a="1"/>
  <c r="H17" i="70" s="1"/>
  <c r="K17" i="70" a="1"/>
  <c r="K17" i="70" s="1"/>
  <c r="W24" i="117" a="1"/>
  <c r="W24" i="117" s="1"/>
  <c r="F53" i="12" a="1"/>
  <c r="F46" i="12" a="1"/>
  <c r="F177" i="12" a="1"/>
  <c r="F74" i="12" a="1"/>
  <c r="F46" i="12" l="1"/>
  <c r="F53" i="12"/>
  <c r="F74" i="12"/>
  <c r="F177" i="12"/>
  <c r="I178" i="12" a="1"/>
  <c r="I178" i="12" s="1"/>
  <c r="N15" i="115" a="1"/>
  <c r="N15" i="115" s="1"/>
  <c r="T15" i="115" a="1"/>
  <c r="T15" i="115" s="1"/>
  <c r="N15" i="116" a="1"/>
  <c r="N15" i="116" s="1"/>
  <c r="I136" i="12" a="1"/>
  <c r="I136" i="12" s="1"/>
  <c r="V15" i="116" a="1"/>
  <c r="V15" i="116" s="1"/>
  <c r="F178" i="12" a="1"/>
  <c r="F136" i="12" a="1"/>
  <c r="F178" i="12" l="1"/>
  <c r="F136" i="12"/>
  <c r="H56" i="2" l="1" a="1"/>
  <c r="H56" i="2" s="1"/>
  <c r="AO19" i="2" a="1"/>
  <c r="AO19" i="2" s="1"/>
  <c r="AG41" i="2" a="1"/>
  <c r="AG41" i="2" s="1"/>
  <c r="AG34" i="2" a="1"/>
  <c r="AG34" i="2" s="1"/>
  <c r="AG26" i="2" a="1"/>
  <c r="AG26" i="2" s="1"/>
  <c r="AF19" i="2" a="1"/>
  <c r="AF19" i="2" s="1"/>
  <c r="I220" i="12" a="1"/>
  <c r="I220" i="12" s="1"/>
  <c r="I190" i="12" a="1"/>
  <c r="I190" i="12" s="1"/>
  <c r="I196" i="12" a="1"/>
  <c r="I196" i="12" s="1"/>
  <c r="I193" i="12" a="1"/>
  <c r="I193" i="12" s="1"/>
  <c r="AP41" i="2" a="1"/>
  <c r="AP41" i="2" s="1"/>
  <c r="AP34" i="2" a="1"/>
  <c r="AP34" i="2" s="1"/>
  <c r="AP26" i="2" a="1"/>
  <c r="AP26" i="2" s="1"/>
  <c r="AQ41" i="2" a="1"/>
  <c r="AQ41" i="2" s="1"/>
  <c r="AQ34" i="2" a="1"/>
  <c r="AQ34" i="2" s="1"/>
  <c r="AQ26" i="2" a="1"/>
  <c r="AQ26" i="2" s="1"/>
  <c r="AS19" i="2" a="1"/>
  <c r="AS19" i="2" s="1"/>
  <c r="I61" i="12" a="1"/>
  <c r="I61" i="12" s="1"/>
  <c r="O9" i="114" a="1"/>
  <c r="O9" i="114" s="1"/>
  <c r="K9" i="114" a="1"/>
  <c r="K9" i="114" s="1"/>
  <c r="I143" i="12" a="1"/>
  <c r="I143" i="12" s="1"/>
  <c r="K13" i="111" a="1"/>
  <c r="Q13" i="111" a="1"/>
  <c r="O9" i="110" a="1"/>
  <c r="O9" i="110" s="1"/>
  <c r="K9" i="110"/>
  <c r="K9" i="110" a="1"/>
  <c r="N12" i="109" a="1"/>
  <c r="N12" i="109" s="1"/>
  <c r="H33" i="106" a="1"/>
  <c r="H33" i="106" s="1"/>
  <c r="H12" i="106" a="1"/>
  <c r="H12" i="106" s="1"/>
  <c r="K23" i="98" a="1"/>
  <c r="K12" i="98" a="1"/>
  <c r="J21" i="97" a="1"/>
  <c r="J21" i="97" s="1"/>
  <c r="N12" i="97" a="1"/>
  <c r="J12" i="97" a="1"/>
  <c r="J12" i="97" s="1"/>
  <c r="K22" i="93" a="1"/>
  <c r="K25" i="105" a="1"/>
  <c r="K25" i="105" s="1"/>
  <c r="K17" i="105" a="1"/>
  <c r="K17" i="105" s="1"/>
  <c r="P17" i="90" a="1"/>
  <c r="P17" i="90" s="1"/>
  <c r="N17" i="90" a="1"/>
  <c r="N17" i="90" s="1"/>
  <c r="P30" i="88" a="1"/>
  <c r="P30" i="88" s="1"/>
  <c r="N30" i="88" a="1"/>
  <c r="N30" i="88" s="1"/>
  <c r="T13" i="89" a="1"/>
  <c r="T13" i="89" s="1"/>
  <c r="N13" i="89" a="1"/>
  <c r="N13" i="89" s="1"/>
  <c r="J526" i="87"/>
  <c r="I526" i="87"/>
  <c r="J525" i="87"/>
  <c r="I525" i="87"/>
  <c r="J524" i="87"/>
  <c r="I524" i="87"/>
  <c r="J523" i="87"/>
  <c r="I523" i="87"/>
  <c r="J522" i="87"/>
  <c r="I522" i="87"/>
  <c r="J521" i="87"/>
  <c r="I521" i="87"/>
  <c r="J520" i="87"/>
  <c r="I520" i="87"/>
  <c r="J519" i="87"/>
  <c r="I519" i="87"/>
  <c r="J518" i="87"/>
  <c r="I518" i="87"/>
  <c r="J517" i="87"/>
  <c r="I517" i="87"/>
  <c r="J516" i="87"/>
  <c r="I516" i="87"/>
  <c r="J515" i="87"/>
  <c r="I515" i="87"/>
  <c r="J514" i="87"/>
  <c r="I514" i="87"/>
  <c r="J513" i="87"/>
  <c r="I513" i="87"/>
  <c r="J512" i="87"/>
  <c r="I512" i="87"/>
  <c r="J511" i="87"/>
  <c r="I511" i="87"/>
  <c r="J510" i="87"/>
  <c r="I510" i="87"/>
  <c r="J509" i="87"/>
  <c r="I509" i="87"/>
  <c r="J508" i="87"/>
  <c r="I508" i="87"/>
  <c r="J507" i="87"/>
  <c r="I507" i="87"/>
  <c r="J506" i="87"/>
  <c r="I506" i="87"/>
  <c r="J505" i="87"/>
  <c r="I505" i="87"/>
  <c r="J504" i="87"/>
  <c r="I504" i="87"/>
  <c r="J503" i="87"/>
  <c r="I503" i="87"/>
  <c r="J502" i="87"/>
  <c r="I502" i="87"/>
  <c r="J501" i="87"/>
  <c r="I501" i="87"/>
  <c r="J500" i="87"/>
  <c r="I500" i="87"/>
  <c r="J499" i="87"/>
  <c r="I499" i="87"/>
  <c r="J498" i="87"/>
  <c r="I498" i="87"/>
  <c r="J497" i="87"/>
  <c r="I497" i="87"/>
  <c r="J496" i="87"/>
  <c r="I496" i="87"/>
  <c r="J495" i="87"/>
  <c r="I495" i="87"/>
  <c r="J494" i="87"/>
  <c r="I494" i="87"/>
  <c r="J493" i="87"/>
  <c r="I493" i="87"/>
  <c r="J492" i="87"/>
  <c r="I492" i="87"/>
  <c r="J491" i="87"/>
  <c r="I491" i="87"/>
  <c r="J490" i="87"/>
  <c r="I490" i="87"/>
  <c r="J489" i="87"/>
  <c r="I489" i="87"/>
  <c r="J488" i="87"/>
  <c r="I488" i="87"/>
  <c r="J487" i="87"/>
  <c r="I487" i="87"/>
  <c r="J486" i="87"/>
  <c r="I486" i="87"/>
  <c r="J485" i="87"/>
  <c r="I485" i="87"/>
  <c r="J484" i="87"/>
  <c r="I484" i="87"/>
  <c r="J483" i="87"/>
  <c r="I483" i="87"/>
  <c r="J482" i="87"/>
  <c r="I482" i="87"/>
  <c r="J481" i="87"/>
  <c r="I481" i="87"/>
  <c r="J480" i="87"/>
  <c r="I480" i="87"/>
  <c r="J479" i="87"/>
  <c r="I479" i="87"/>
  <c r="J478" i="87"/>
  <c r="I478" i="87"/>
  <c r="J477" i="87"/>
  <c r="I477" i="87"/>
  <c r="J476" i="87"/>
  <c r="I476" i="87"/>
  <c r="J475" i="87"/>
  <c r="I475" i="87"/>
  <c r="J474" i="87"/>
  <c r="I474" i="87"/>
  <c r="J473" i="87"/>
  <c r="I473" i="87"/>
  <c r="J472" i="87"/>
  <c r="I472" i="87"/>
  <c r="J471" i="87"/>
  <c r="I471" i="87"/>
  <c r="J470" i="87"/>
  <c r="I470" i="87"/>
  <c r="J469" i="87"/>
  <c r="I469" i="87"/>
  <c r="J468" i="87"/>
  <c r="I468" i="87"/>
  <c r="J467" i="87"/>
  <c r="I467" i="87"/>
  <c r="J466" i="87"/>
  <c r="I466" i="87"/>
  <c r="J465" i="87"/>
  <c r="I465" i="87"/>
  <c r="J464" i="87"/>
  <c r="I464" i="87"/>
  <c r="J463" i="87"/>
  <c r="I463" i="87"/>
  <c r="J462" i="87"/>
  <c r="I462" i="87"/>
  <c r="J461" i="87"/>
  <c r="I461" i="87"/>
  <c r="J460" i="87"/>
  <c r="I460" i="87"/>
  <c r="J459" i="87"/>
  <c r="I459" i="87"/>
  <c r="J458" i="87"/>
  <c r="I458" i="87"/>
  <c r="J457" i="87"/>
  <c r="I457" i="87"/>
  <c r="J456" i="87"/>
  <c r="I456" i="87"/>
  <c r="J455" i="87"/>
  <c r="I455" i="87"/>
  <c r="J454" i="87"/>
  <c r="I454" i="87"/>
  <c r="J453" i="87"/>
  <c r="I453" i="87"/>
  <c r="J452" i="87"/>
  <c r="I452" i="87"/>
  <c r="J451" i="87"/>
  <c r="I451" i="87"/>
  <c r="J450" i="87"/>
  <c r="I450" i="87"/>
  <c r="J449" i="87"/>
  <c r="I449" i="87"/>
  <c r="J448" i="87"/>
  <c r="I448" i="87"/>
  <c r="J447" i="87"/>
  <c r="I447" i="87"/>
  <c r="J446" i="87"/>
  <c r="I446" i="87"/>
  <c r="J445" i="87"/>
  <c r="I445" i="87"/>
  <c r="J444" i="87"/>
  <c r="I444" i="87"/>
  <c r="J443" i="87"/>
  <c r="I443" i="87"/>
  <c r="J442" i="87"/>
  <c r="I442" i="87"/>
  <c r="J441" i="87"/>
  <c r="I441" i="87"/>
  <c r="J440" i="87"/>
  <c r="I440" i="87"/>
  <c r="J439" i="87"/>
  <c r="I439" i="87"/>
  <c r="J438" i="87"/>
  <c r="I438" i="87"/>
  <c r="J437" i="87"/>
  <c r="I437" i="87"/>
  <c r="J436" i="87"/>
  <c r="I436" i="87"/>
  <c r="J435" i="87"/>
  <c r="I435" i="87"/>
  <c r="J434" i="87"/>
  <c r="I434" i="87"/>
  <c r="J433" i="87"/>
  <c r="I433" i="87"/>
  <c r="J432" i="87"/>
  <c r="I432" i="87"/>
  <c r="J431" i="87"/>
  <c r="I431" i="87"/>
  <c r="J430" i="87"/>
  <c r="I430" i="87"/>
  <c r="J429" i="87"/>
  <c r="I429" i="87"/>
  <c r="J428" i="87"/>
  <c r="I428" i="87"/>
  <c r="J427" i="87"/>
  <c r="I427" i="87"/>
  <c r="J426" i="87"/>
  <c r="I426" i="87"/>
  <c r="J425" i="87"/>
  <c r="I425" i="87"/>
  <c r="J424" i="87"/>
  <c r="I424" i="87"/>
  <c r="J423" i="87"/>
  <c r="I423" i="87"/>
  <c r="J422" i="87"/>
  <c r="I422" i="87"/>
  <c r="J421" i="87"/>
  <c r="I421" i="87"/>
  <c r="J420" i="87"/>
  <c r="I420" i="87"/>
  <c r="J419" i="87"/>
  <c r="I419" i="87"/>
  <c r="J418" i="87"/>
  <c r="I418" i="87"/>
  <c r="J417" i="87"/>
  <c r="I417" i="87"/>
  <c r="J416" i="87"/>
  <c r="I416" i="87"/>
  <c r="J415" i="87"/>
  <c r="I415" i="87"/>
  <c r="J414" i="87"/>
  <c r="I414" i="87"/>
  <c r="J413" i="87"/>
  <c r="I413" i="87"/>
  <c r="J412" i="87"/>
  <c r="I412" i="87"/>
  <c r="J411" i="87"/>
  <c r="I411" i="87"/>
  <c r="J410" i="87"/>
  <c r="I410" i="87"/>
  <c r="J409" i="87"/>
  <c r="I409" i="87"/>
  <c r="J408" i="87"/>
  <c r="I408" i="87"/>
  <c r="J407" i="87"/>
  <c r="I407" i="87"/>
  <c r="J406" i="87"/>
  <c r="I406" i="87"/>
  <c r="J405" i="87"/>
  <c r="I405" i="87"/>
  <c r="J404" i="87"/>
  <c r="I404" i="87"/>
  <c r="J403" i="87"/>
  <c r="I403" i="87"/>
  <c r="J402" i="87"/>
  <c r="I402" i="87"/>
  <c r="J401" i="87"/>
  <c r="I401" i="87"/>
  <c r="J400" i="87"/>
  <c r="I400" i="87"/>
  <c r="J399" i="87"/>
  <c r="I399" i="87"/>
  <c r="J398" i="87"/>
  <c r="I398" i="87"/>
  <c r="J397" i="87"/>
  <c r="I397" i="87"/>
  <c r="J396" i="87"/>
  <c r="I396" i="87"/>
  <c r="J395" i="87"/>
  <c r="I395" i="87"/>
  <c r="J394" i="87"/>
  <c r="I394" i="87"/>
  <c r="J393" i="87"/>
  <c r="I393" i="87"/>
  <c r="J392" i="87"/>
  <c r="I392" i="87"/>
  <c r="J391" i="87"/>
  <c r="I391" i="87"/>
  <c r="J390" i="87"/>
  <c r="I390" i="87"/>
  <c r="J389" i="87"/>
  <c r="I389" i="87"/>
  <c r="J388" i="87"/>
  <c r="I388" i="87"/>
  <c r="J387" i="87"/>
  <c r="I387" i="87"/>
  <c r="J386" i="87"/>
  <c r="I386" i="87"/>
  <c r="J385" i="87"/>
  <c r="I385" i="87"/>
  <c r="J384" i="87"/>
  <c r="I384" i="87"/>
  <c r="J383" i="87"/>
  <c r="I383" i="87"/>
  <c r="J382" i="87"/>
  <c r="I382" i="87"/>
  <c r="J381" i="87"/>
  <c r="I381" i="87"/>
  <c r="J380" i="87"/>
  <c r="I380" i="87"/>
  <c r="J379" i="87"/>
  <c r="I379" i="87"/>
  <c r="J378" i="87"/>
  <c r="I378" i="87"/>
  <c r="J377" i="87"/>
  <c r="I377" i="87"/>
  <c r="J376" i="87"/>
  <c r="I376" i="87"/>
  <c r="J375" i="87"/>
  <c r="I375" i="87"/>
  <c r="J374" i="87"/>
  <c r="I374" i="87"/>
  <c r="J373" i="87"/>
  <c r="I373" i="87"/>
  <c r="J372" i="87"/>
  <c r="I372" i="87"/>
  <c r="J371" i="87"/>
  <c r="I371" i="87"/>
  <c r="J370" i="87"/>
  <c r="I370" i="87"/>
  <c r="J369" i="87"/>
  <c r="I369" i="87"/>
  <c r="J368" i="87"/>
  <c r="I368" i="87"/>
  <c r="J367" i="87"/>
  <c r="I367" i="87"/>
  <c r="J366" i="87"/>
  <c r="I366" i="87"/>
  <c r="J365" i="87"/>
  <c r="I365" i="87"/>
  <c r="J364" i="87"/>
  <c r="I364" i="87"/>
  <c r="J363" i="87"/>
  <c r="I363" i="87"/>
  <c r="J362" i="87"/>
  <c r="I362" i="87"/>
  <c r="J361" i="87"/>
  <c r="I361" i="87"/>
  <c r="J360" i="87"/>
  <c r="I360" i="87"/>
  <c r="J359" i="87"/>
  <c r="I359" i="87"/>
  <c r="J358" i="87"/>
  <c r="I358" i="87"/>
  <c r="J357" i="87"/>
  <c r="I357" i="87"/>
  <c r="J356" i="87"/>
  <c r="I356" i="87"/>
  <c r="J355" i="87"/>
  <c r="I355" i="87"/>
  <c r="J354" i="87"/>
  <c r="I354" i="87"/>
  <c r="J353" i="87"/>
  <c r="I353" i="87"/>
  <c r="J352" i="87"/>
  <c r="I352" i="87"/>
  <c r="J351" i="87"/>
  <c r="I351" i="87"/>
  <c r="J350" i="87"/>
  <c r="I350" i="87"/>
  <c r="J349" i="87"/>
  <c r="I349" i="87"/>
  <c r="J348" i="87"/>
  <c r="I348" i="87"/>
  <c r="J347" i="87"/>
  <c r="I347" i="87"/>
  <c r="J346" i="87"/>
  <c r="I346" i="87"/>
  <c r="J345" i="87"/>
  <c r="I345" i="87"/>
  <c r="J344" i="87"/>
  <c r="I344" i="87"/>
  <c r="J343" i="87"/>
  <c r="I343" i="87"/>
  <c r="J342" i="87"/>
  <c r="I342" i="87"/>
  <c r="J341" i="87"/>
  <c r="I341" i="87"/>
  <c r="J340" i="87"/>
  <c r="I340" i="87"/>
  <c r="J339" i="87"/>
  <c r="I339" i="87"/>
  <c r="J338" i="87"/>
  <c r="I338" i="87"/>
  <c r="J337" i="87"/>
  <c r="I337" i="87"/>
  <c r="J336" i="87"/>
  <c r="I336" i="87"/>
  <c r="J335" i="87"/>
  <c r="I335" i="87"/>
  <c r="J334" i="87"/>
  <c r="I334" i="87"/>
  <c r="J333" i="87"/>
  <c r="I333" i="87"/>
  <c r="J332" i="87"/>
  <c r="I332" i="87"/>
  <c r="J331" i="87"/>
  <c r="I331" i="87"/>
  <c r="J330" i="87"/>
  <c r="I330" i="87"/>
  <c r="J329" i="87"/>
  <c r="I329" i="87"/>
  <c r="J328" i="87"/>
  <c r="I328" i="87"/>
  <c r="J327" i="87"/>
  <c r="I327" i="87"/>
  <c r="J326" i="87"/>
  <c r="I326" i="87"/>
  <c r="J325" i="87"/>
  <c r="I325" i="87"/>
  <c r="J324" i="87"/>
  <c r="I324" i="87"/>
  <c r="J323" i="87"/>
  <c r="I323" i="87"/>
  <c r="J322" i="87"/>
  <c r="I322" i="87"/>
  <c r="J321" i="87"/>
  <c r="I321" i="87"/>
  <c r="J318" i="87"/>
  <c r="I318" i="87"/>
  <c r="J317" i="87"/>
  <c r="I317" i="87"/>
  <c r="J316" i="87"/>
  <c r="I316" i="87"/>
  <c r="J315" i="87"/>
  <c r="I315" i="87"/>
  <c r="J314" i="87"/>
  <c r="I314" i="87"/>
  <c r="J313" i="87"/>
  <c r="I313" i="87"/>
  <c r="J312" i="87"/>
  <c r="I312" i="87"/>
  <c r="J311" i="87"/>
  <c r="I311" i="87"/>
  <c r="J310" i="87"/>
  <c r="I310" i="87"/>
  <c r="J309" i="87"/>
  <c r="I309" i="87"/>
  <c r="J308" i="87"/>
  <c r="I308" i="87"/>
  <c r="J307" i="87"/>
  <c r="I307" i="87"/>
  <c r="J306" i="87"/>
  <c r="I306" i="87"/>
  <c r="J305" i="87"/>
  <c r="I305" i="87"/>
  <c r="J304" i="87"/>
  <c r="I304" i="87"/>
  <c r="J303" i="87"/>
  <c r="I303" i="87"/>
  <c r="J302" i="87"/>
  <c r="I302" i="87"/>
  <c r="J301" i="87"/>
  <c r="I301" i="87"/>
  <c r="J300" i="87"/>
  <c r="I300" i="87"/>
  <c r="J299" i="87"/>
  <c r="I299" i="87"/>
  <c r="J298" i="87"/>
  <c r="I298" i="87"/>
  <c r="J297" i="87"/>
  <c r="I297" i="87"/>
  <c r="J296" i="87"/>
  <c r="I296" i="87"/>
  <c r="J295" i="87"/>
  <c r="I295" i="87"/>
  <c r="J294" i="87"/>
  <c r="I294" i="87"/>
  <c r="J293" i="87"/>
  <c r="I293" i="87"/>
  <c r="J292" i="87"/>
  <c r="I292" i="87"/>
  <c r="J291" i="87"/>
  <c r="I291" i="87"/>
  <c r="J290" i="87"/>
  <c r="I290" i="87"/>
  <c r="J289" i="87"/>
  <c r="I289" i="87"/>
  <c r="J288" i="87"/>
  <c r="I288" i="87"/>
  <c r="J287" i="87"/>
  <c r="I287" i="87"/>
  <c r="J286" i="87"/>
  <c r="I286" i="87"/>
  <c r="J285" i="87"/>
  <c r="I285" i="87"/>
  <c r="J284" i="87"/>
  <c r="I284" i="87"/>
  <c r="J283" i="87"/>
  <c r="I283" i="87"/>
  <c r="J282" i="87"/>
  <c r="I282" i="87"/>
  <c r="J281" i="87"/>
  <c r="I281" i="87"/>
  <c r="J280" i="87"/>
  <c r="I280" i="87"/>
  <c r="J279" i="87"/>
  <c r="I279" i="87"/>
  <c r="J278" i="87"/>
  <c r="I278" i="87"/>
  <c r="J277" i="87"/>
  <c r="I277" i="87"/>
  <c r="J276" i="87"/>
  <c r="I276" i="87"/>
  <c r="J275" i="87"/>
  <c r="I275" i="87"/>
  <c r="J274" i="87"/>
  <c r="I274" i="87"/>
  <c r="J273" i="87"/>
  <c r="I273" i="87"/>
  <c r="J272" i="87"/>
  <c r="I272" i="87"/>
  <c r="J271" i="87"/>
  <c r="I271" i="87"/>
  <c r="J270" i="87"/>
  <c r="I270" i="87"/>
  <c r="J269" i="87"/>
  <c r="I269" i="87"/>
  <c r="J268" i="87"/>
  <c r="I268" i="87"/>
  <c r="J267" i="87"/>
  <c r="I267" i="87"/>
  <c r="J266" i="87"/>
  <c r="I266" i="87"/>
  <c r="J265" i="87"/>
  <c r="I265" i="87"/>
  <c r="J264" i="87"/>
  <c r="I264" i="87"/>
  <c r="J263" i="87"/>
  <c r="I263" i="87"/>
  <c r="J262" i="87"/>
  <c r="I262" i="87"/>
  <c r="J261" i="87"/>
  <c r="I261" i="87"/>
  <c r="J260" i="87"/>
  <c r="I260" i="87"/>
  <c r="J259" i="87"/>
  <c r="I259" i="87"/>
  <c r="J258" i="87"/>
  <c r="I258" i="87"/>
  <c r="J257" i="87"/>
  <c r="I257" i="87"/>
  <c r="J256" i="87"/>
  <c r="I256" i="87"/>
  <c r="J255" i="87"/>
  <c r="I255" i="87"/>
  <c r="J254" i="87"/>
  <c r="I254" i="87"/>
  <c r="J253" i="87"/>
  <c r="I253" i="87"/>
  <c r="J252" i="87"/>
  <c r="I252" i="87"/>
  <c r="J251" i="87"/>
  <c r="I251" i="87"/>
  <c r="J250" i="87"/>
  <c r="I250" i="87"/>
  <c r="J249" i="87"/>
  <c r="I249" i="87"/>
  <c r="J248" i="87"/>
  <c r="I248" i="87"/>
  <c r="J247" i="87"/>
  <c r="I247" i="87"/>
  <c r="J246" i="87"/>
  <c r="I246" i="87"/>
  <c r="J245" i="87"/>
  <c r="I245" i="87"/>
  <c r="J244" i="87"/>
  <c r="I244" i="87"/>
  <c r="J243" i="87"/>
  <c r="I243" i="87"/>
  <c r="J242" i="87"/>
  <c r="I242" i="87"/>
  <c r="J241" i="87"/>
  <c r="I241" i="87"/>
  <c r="J240" i="87"/>
  <c r="I240" i="87"/>
  <c r="J239" i="87"/>
  <c r="I239" i="87"/>
  <c r="J238" i="87"/>
  <c r="I238" i="87"/>
  <c r="J237" i="87"/>
  <c r="I237" i="87"/>
  <c r="J236" i="87"/>
  <c r="I236" i="87"/>
  <c r="J235" i="87"/>
  <c r="I235" i="87"/>
  <c r="J234" i="87"/>
  <c r="I234" i="87"/>
  <c r="J233" i="87"/>
  <c r="I233" i="87"/>
  <c r="J232" i="87"/>
  <c r="I232" i="87"/>
  <c r="J231" i="87"/>
  <c r="I231" i="87"/>
  <c r="J230" i="87"/>
  <c r="I230" i="87"/>
  <c r="J229" i="87"/>
  <c r="I229" i="87"/>
  <c r="J228" i="87"/>
  <c r="I228" i="87"/>
  <c r="J227" i="87"/>
  <c r="I227" i="87"/>
  <c r="J226" i="87"/>
  <c r="I226" i="87"/>
  <c r="J225" i="87"/>
  <c r="I225" i="87"/>
  <c r="J224" i="87"/>
  <c r="I224" i="87"/>
  <c r="J223" i="87"/>
  <c r="I223" i="87"/>
  <c r="J222" i="87"/>
  <c r="I222" i="87"/>
  <c r="J221" i="87"/>
  <c r="I221" i="87"/>
  <c r="J220" i="87"/>
  <c r="I220" i="87"/>
  <c r="J219" i="87"/>
  <c r="I219" i="87"/>
  <c r="J218" i="87"/>
  <c r="I218" i="87"/>
  <c r="J217" i="87"/>
  <c r="I217" i="87"/>
  <c r="J216" i="87"/>
  <c r="I216" i="87"/>
  <c r="J215" i="87"/>
  <c r="I215" i="87"/>
  <c r="J214" i="87"/>
  <c r="I214" i="87"/>
  <c r="J213" i="87"/>
  <c r="I213" i="87"/>
  <c r="J212" i="87"/>
  <c r="I212" i="87"/>
  <c r="J211" i="87"/>
  <c r="I211" i="87"/>
  <c r="J210" i="87"/>
  <c r="I210" i="87"/>
  <c r="J209" i="87"/>
  <c r="I209" i="87"/>
  <c r="J208" i="87"/>
  <c r="I208" i="87"/>
  <c r="J207" i="87"/>
  <c r="I207" i="87"/>
  <c r="J206" i="87"/>
  <c r="I206" i="87"/>
  <c r="J205" i="87"/>
  <c r="I205" i="87"/>
  <c r="J204" i="87"/>
  <c r="I204" i="87"/>
  <c r="J203" i="87"/>
  <c r="I203" i="87"/>
  <c r="J202" i="87"/>
  <c r="I202" i="87"/>
  <c r="J201" i="87"/>
  <c r="I201" i="87"/>
  <c r="J200" i="87"/>
  <c r="I200" i="87"/>
  <c r="J199" i="87"/>
  <c r="I199" i="87"/>
  <c r="J198" i="87"/>
  <c r="I198" i="87"/>
  <c r="J197" i="87"/>
  <c r="I197" i="87"/>
  <c r="J196" i="87"/>
  <c r="I196" i="87"/>
  <c r="J195" i="87"/>
  <c r="I195" i="87"/>
  <c r="J194" i="87"/>
  <c r="I194" i="87"/>
  <c r="J193" i="87"/>
  <c r="I193" i="87"/>
  <c r="J192" i="87"/>
  <c r="I192" i="87"/>
  <c r="J191" i="87"/>
  <c r="I191" i="87"/>
  <c r="J190" i="87"/>
  <c r="I190" i="87"/>
  <c r="J189" i="87"/>
  <c r="I189" i="87"/>
  <c r="J188" i="87"/>
  <c r="I188" i="87"/>
  <c r="J187" i="87"/>
  <c r="I187" i="87"/>
  <c r="J186" i="87"/>
  <c r="I186" i="87"/>
  <c r="J185" i="87"/>
  <c r="I185" i="87"/>
  <c r="J184" i="87"/>
  <c r="I184" i="87"/>
  <c r="J183" i="87"/>
  <c r="I183" i="87"/>
  <c r="J182" i="87"/>
  <c r="I182" i="87"/>
  <c r="J181" i="87"/>
  <c r="I181" i="87"/>
  <c r="J180" i="87"/>
  <c r="I180" i="87"/>
  <c r="J179" i="87"/>
  <c r="I179" i="87"/>
  <c r="J178" i="87"/>
  <c r="I178" i="87"/>
  <c r="J177" i="87"/>
  <c r="I177" i="87"/>
  <c r="J176" i="87"/>
  <c r="I176" i="87"/>
  <c r="J175" i="87"/>
  <c r="I175" i="87"/>
  <c r="J174" i="87"/>
  <c r="I174" i="87"/>
  <c r="J173" i="87"/>
  <c r="I173" i="87"/>
  <c r="J172" i="87"/>
  <c r="I172" i="87"/>
  <c r="J171" i="87"/>
  <c r="I171" i="87"/>
  <c r="J170" i="87"/>
  <c r="I170" i="87"/>
  <c r="J169" i="87"/>
  <c r="I169" i="87"/>
  <c r="J168" i="87"/>
  <c r="I168" i="87"/>
  <c r="J167" i="87"/>
  <c r="I167" i="87"/>
  <c r="J166" i="87"/>
  <c r="I166" i="87"/>
  <c r="J165" i="87"/>
  <c r="I165" i="87"/>
  <c r="J164" i="87"/>
  <c r="I164" i="87"/>
  <c r="J163" i="87"/>
  <c r="I163" i="87"/>
  <c r="J162" i="87"/>
  <c r="I162" i="87"/>
  <c r="J161" i="87"/>
  <c r="I161" i="87"/>
  <c r="J160" i="87"/>
  <c r="I160" i="87"/>
  <c r="J159" i="87"/>
  <c r="I159" i="87"/>
  <c r="J158" i="87"/>
  <c r="I158" i="87"/>
  <c r="J157" i="87"/>
  <c r="I157" i="87"/>
  <c r="J156" i="87"/>
  <c r="I156" i="87"/>
  <c r="J155" i="87"/>
  <c r="I155" i="87"/>
  <c r="J154" i="87"/>
  <c r="I154" i="87"/>
  <c r="J153" i="87"/>
  <c r="I153" i="87"/>
  <c r="J152" i="87"/>
  <c r="I152" i="87"/>
  <c r="J151" i="87"/>
  <c r="I151" i="87"/>
  <c r="J150" i="87"/>
  <c r="I150" i="87"/>
  <c r="J149" i="87"/>
  <c r="I149" i="87"/>
  <c r="J148" i="87"/>
  <c r="I148" i="87"/>
  <c r="J147" i="87"/>
  <c r="I147" i="87"/>
  <c r="J146" i="87"/>
  <c r="I146" i="87"/>
  <c r="J145" i="87"/>
  <c r="I145" i="87"/>
  <c r="J144" i="87"/>
  <c r="I144" i="87"/>
  <c r="J143" i="87"/>
  <c r="I143" i="87"/>
  <c r="J142" i="87"/>
  <c r="I142" i="87"/>
  <c r="J141" i="87"/>
  <c r="I141" i="87"/>
  <c r="J140" i="87"/>
  <c r="I140" i="87"/>
  <c r="J139" i="87"/>
  <c r="I139" i="87"/>
  <c r="J138" i="87"/>
  <c r="I138" i="87"/>
  <c r="J137" i="87"/>
  <c r="I137" i="87"/>
  <c r="J136" i="87"/>
  <c r="I136" i="87"/>
  <c r="J135" i="87"/>
  <c r="I135" i="87"/>
  <c r="J134" i="87"/>
  <c r="I134" i="87"/>
  <c r="J133" i="87"/>
  <c r="I133" i="87"/>
  <c r="J132" i="87"/>
  <c r="I132" i="87"/>
  <c r="J131" i="87"/>
  <c r="I131" i="87"/>
  <c r="J130" i="87"/>
  <c r="I130" i="87"/>
  <c r="J129" i="87"/>
  <c r="I129" i="87"/>
  <c r="J128" i="87"/>
  <c r="I128" i="87"/>
  <c r="J127" i="87"/>
  <c r="I127" i="87"/>
  <c r="J126" i="87"/>
  <c r="I126" i="87"/>
  <c r="J125" i="87"/>
  <c r="I125" i="87"/>
  <c r="J124" i="87"/>
  <c r="I124" i="87"/>
  <c r="J123" i="87"/>
  <c r="I123" i="87"/>
  <c r="J122" i="87"/>
  <c r="I122" i="87"/>
  <c r="J121" i="87"/>
  <c r="I121" i="87"/>
  <c r="J120" i="87"/>
  <c r="I120" i="87"/>
  <c r="J119" i="87"/>
  <c r="I119" i="87"/>
  <c r="J118" i="87"/>
  <c r="I118" i="87"/>
  <c r="J117" i="87"/>
  <c r="I117" i="87"/>
  <c r="J116" i="87"/>
  <c r="I116" i="87"/>
  <c r="J115" i="87"/>
  <c r="I115" i="87"/>
  <c r="J114" i="87"/>
  <c r="I114" i="87"/>
  <c r="J113" i="87"/>
  <c r="I113" i="87"/>
  <c r="J112" i="87"/>
  <c r="I112" i="87"/>
  <c r="J111" i="87"/>
  <c r="I111" i="87"/>
  <c r="J110" i="87"/>
  <c r="I110" i="87"/>
  <c r="J109" i="87"/>
  <c r="I109" i="87"/>
  <c r="J108" i="87"/>
  <c r="I108" i="87"/>
  <c r="J107" i="87"/>
  <c r="I107" i="87"/>
  <c r="J106" i="87"/>
  <c r="I106" i="87"/>
  <c r="J105" i="87"/>
  <c r="I105" i="87"/>
  <c r="J104" i="87"/>
  <c r="I104" i="87"/>
  <c r="J103" i="87"/>
  <c r="I103" i="87"/>
  <c r="J102" i="87"/>
  <c r="I102" i="87"/>
  <c r="J101" i="87"/>
  <c r="I101" i="87"/>
  <c r="J100" i="87"/>
  <c r="I100" i="87"/>
  <c r="J99" i="87"/>
  <c r="I99" i="87"/>
  <c r="J98" i="87"/>
  <c r="I98" i="87"/>
  <c r="J97" i="87"/>
  <c r="I97" i="87"/>
  <c r="J96" i="87"/>
  <c r="I96" i="87"/>
  <c r="J95" i="87"/>
  <c r="I95" i="87"/>
  <c r="J94" i="87"/>
  <c r="I94" i="87"/>
  <c r="J93" i="87"/>
  <c r="I93" i="87"/>
  <c r="J92" i="87"/>
  <c r="I92" i="87"/>
  <c r="J91" i="87"/>
  <c r="I91" i="87"/>
  <c r="J90" i="87"/>
  <c r="I90" i="87"/>
  <c r="J89" i="87"/>
  <c r="I89" i="87"/>
  <c r="J88" i="87"/>
  <c r="I88" i="87"/>
  <c r="J87" i="87"/>
  <c r="I87" i="87"/>
  <c r="J86" i="87"/>
  <c r="I86" i="87"/>
  <c r="J85" i="87"/>
  <c r="I85" i="87"/>
  <c r="J84" i="87"/>
  <c r="I84" i="87"/>
  <c r="J83" i="87"/>
  <c r="I83" i="87"/>
  <c r="J82" i="87"/>
  <c r="I82" i="87"/>
  <c r="J81" i="87"/>
  <c r="I81" i="87"/>
  <c r="J80" i="87"/>
  <c r="I80" i="87"/>
  <c r="J79" i="87"/>
  <c r="I79" i="87"/>
  <c r="J78" i="87"/>
  <c r="I78" i="87"/>
  <c r="J77" i="87"/>
  <c r="I77" i="87"/>
  <c r="J76" i="87"/>
  <c r="I76" i="87"/>
  <c r="J75" i="87"/>
  <c r="I75" i="87"/>
  <c r="J74" i="87"/>
  <c r="I74" i="87"/>
  <c r="J73" i="87"/>
  <c r="I73" i="87"/>
  <c r="J72" i="87"/>
  <c r="I72" i="87"/>
  <c r="J71" i="87"/>
  <c r="I71" i="87"/>
  <c r="J70" i="87"/>
  <c r="I70" i="87"/>
  <c r="J69" i="87"/>
  <c r="I69" i="87"/>
  <c r="J68" i="87"/>
  <c r="I68" i="87"/>
  <c r="J67" i="87"/>
  <c r="I67" i="87"/>
  <c r="J66" i="87"/>
  <c r="I66" i="87"/>
  <c r="J65" i="87"/>
  <c r="I65" i="87"/>
  <c r="J64" i="87"/>
  <c r="I64" i="87"/>
  <c r="J63" i="87"/>
  <c r="I63" i="87"/>
  <c r="J62" i="87"/>
  <c r="I62" i="87"/>
  <c r="J61" i="87"/>
  <c r="I61" i="87"/>
  <c r="J60" i="87"/>
  <c r="I60" i="87"/>
  <c r="J59" i="87"/>
  <c r="I59" i="87"/>
  <c r="J58" i="87"/>
  <c r="I58" i="87"/>
  <c r="J57" i="87"/>
  <c r="I57" i="87"/>
  <c r="J56" i="87"/>
  <c r="I56" i="87"/>
  <c r="J55" i="87"/>
  <c r="I55" i="87"/>
  <c r="J54" i="87"/>
  <c r="I54" i="87"/>
  <c r="J53" i="87"/>
  <c r="I53" i="87"/>
  <c r="J52" i="87"/>
  <c r="I52" i="87"/>
  <c r="J51" i="87"/>
  <c r="I51" i="87"/>
  <c r="J50" i="87"/>
  <c r="I50" i="87"/>
  <c r="J49" i="87"/>
  <c r="I49" i="87"/>
  <c r="J48" i="87"/>
  <c r="I48" i="87"/>
  <c r="J47" i="87"/>
  <c r="I47" i="87"/>
  <c r="J46" i="87"/>
  <c r="I46" i="87"/>
  <c r="J45" i="87"/>
  <c r="I45" i="87"/>
  <c r="J44" i="87"/>
  <c r="I44" i="87"/>
  <c r="J43" i="87"/>
  <c r="I43" i="87"/>
  <c r="J42" i="87"/>
  <c r="I42" i="87"/>
  <c r="J41" i="87"/>
  <c r="I41" i="87"/>
  <c r="J40" i="87"/>
  <c r="I40" i="87"/>
  <c r="J39" i="87"/>
  <c r="I39" i="87"/>
  <c r="J38" i="87"/>
  <c r="I38" i="87"/>
  <c r="J37" i="87"/>
  <c r="I37" i="87"/>
  <c r="J36" i="87"/>
  <c r="I36" i="87"/>
  <c r="J35" i="87"/>
  <c r="I35" i="87"/>
  <c r="J34" i="87"/>
  <c r="I34" i="87"/>
  <c r="J33" i="87"/>
  <c r="I33" i="87"/>
  <c r="J32" i="87"/>
  <c r="I32" i="87"/>
  <c r="J31" i="87"/>
  <c r="I31" i="87"/>
  <c r="J30" i="87"/>
  <c r="I30" i="87"/>
  <c r="J29" i="87"/>
  <c r="I29" i="87"/>
  <c r="J28" i="87"/>
  <c r="I28" i="87"/>
  <c r="J27" i="87"/>
  <c r="I27" i="87"/>
  <c r="J26" i="87"/>
  <c r="I26" i="87"/>
  <c r="J25" i="87"/>
  <c r="I25" i="87"/>
  <c r="J24" i="87"/>
  <c r="I24" i="87"/>
  <c r="J23" i="87"/>
  <c r="I23" i="87"/>
  <c r="J22" i="87"/>
  <c r="I22" i="87"/>
  <c r="J21" i="87"/>
  <c r="I21" i="87"/>
  <c r="J20" i="87"/>
  <c r="I20" i="87"/>
  <c r="J526" i="85"/>
  <c r="I526" i="85"/>
  <c r="J525" i="85"/>
  <c r="I525" i="85"/>
  <c r="J524" i="85"/>
  <c r="I524" i="85"/>
  <c r="J523" i="85"/>
  <c r="I523" i="85"/>
  <c r="J522" i="85"/>
  <c r="I522" i="85"/>
  <c r="J521" i="85"/>
  <c r="I521" i="85"/>
  <c r="J520" i="85"/>
  <c r="I520" i="85"/>
  <c r="J519" i="85"/>
  <c r="I519" i="85"/>
  <c r="J518" i="85"/>
  <c r="I518" i="85"/>
  <c r="J517" i="85"/>
  <c r="I517" i="85"/>
  <c r="J516" i="85"/>
  <c r="I516" i="85"/>
  <c r="J515" i="85"/>
  <c r="I515" i="85"/>
  <c r="J514" i="85"/>
  <c r="I514" i="85"/>
  <c r="J513" i="85"/>
  <c r="I513" i="85"/>
  <c r="J512" i="85"/>
  <c r="I512" i="85"/>
  <c r="J511" i="85"/>
  <c r="I511" i="85"/>
  <c r="J510" i="85"/>
  <c r="I510" i="85"/>
  <c r="J509" i="85"/>
  <c r="I509" i="85"/>
  <c r="J508" i="85"/>
  <c r="I508" i="85"/>
  <c r="J507" i="85"/>
  <c r="I507" i="85"/>
  <c r="J506" i="85"/>
  <c r="I506" i="85"/>
  <c r="J505" i="85"/>
  <c r="I505" i="85"/>
  <c r="J504" i="85"/>
  <c r="I504" i="85"/>
  <c r="J503" i="85"/>
  <c r="I503" i="85"/>
  <c r="J502" i="85"/>
  <c r="I502" i="85"/>
  <c r="J501" i="85"/>
  <c r="I501" i="85"/>
  <c r="J500" i="85"/>
  <c r="I500" i="85"/>
  <c r="J499" i="85"/>
  <c r="I499" i="85"/>
  <c r="J498" i="85"/>
  <c r="I498" i="85"/>
  <c r="J497" i="85"/>
  <c r="I497" i="85"/>
  <c r="J496" i="85"/>
  <c r="I496" i="85"/>
  <c r="J495" i="85"/>
  <c r="I495" i="85"/>
  <c r="J494" i="85"/>
  <c r="I494" i="85"/>
  <c r="J493" i="85"/>
  <c r="I493" i="85"/>
  <c r="J492" i="85"/>
  <c r="I492" i="85"/>
  <c r="J491" i="85"/>
  <c r="I491" i="85"/>
  <c r="J490" i="85"/>
  <c r="I490" i="85"/>
  <c r="J489" i="85"/>
  <c r="I489" i="85"/>
  <c r="J488" i="85"/>
  <c r="I488" i="85"/>
  <c r="J487" i="85"/>
  <c r="I487" i="85"/>
  <c r="J486" i="85"/>
  <c r="I486" i="85"/>
  <c r="J485" i="85"/>
  <c r="I485" i="85"/>
  <c r="J484" i="85"/>
  <c r="I484" i="85"/>
  <c r="J483" i="85"/>
  <c r="I483" i="85"/>
  <c r="J482" i="85"/>
  <c r="I482" i="85"/>
  <c r="J481" i="85"/>
  <c r="I481" i="85"/>
  <c r="J480" i="85"/>
  <c r="I480" i="85"/>
  <c r="J479" i="85"/>
  <c r="I479" i="85"/>
  <c r="J478" i="85"/>
  <c r="I478" i="85"/>
  <c r="J477" i="85"/>
  <c r="I477" i="85"/>
  <c r="J476" i="85"/>
  <c r="I476" i="85"/>
  <c r="J475" i="85"/>
  <c r="I475" i="85"/>
  <c r="J474" i="85"/>
  <c r="I474" i="85"/>
  <c r="J473" i="85"/>
  <c r="I473" i="85"/>
  <c r="J472" i="85"/>
  <c r="I472" i="85"/>
  <c r="J471" i="85"/>
  <c r="I471" i="85"/>
  <c r="J470" i="85"/>
  <c r="I470" i="85"/>
  <c r="J469" i="85"/>
  <c r="I469" i="85"/>
  <c r="J468" i="85"/>
  <c r="I468" i="85"/>
  <c r="J467" i="85"/>
  <c r="I467" i="85"/>
  <c r="J466" i="85"/>
  <c r="I466" i="85"/>
  <c r="J465" i="85"/>
  <c r="I465" i="85"/>
  <c r="J464" i="85"/>
  <c r="I464" i="85"/>
  <c r="J463" i="85"/>
  <c r="I463" i="85"/>
  <c r="J462" i="85"/>
  <c r="I462" i="85"/>
  <c r="J461" i="85"/>
  <c r="I461" i="85"/>
  <c r="J460" i="85"/>
  <c r="I460" i="85"/>
  <c r="J459" i="85"/>
  <c r="I459" i="85"/>
  <c r="J458" i="85"/>
  <c r="I458" i="85"/>
  <c r="J457" i="85"/>
  <c r="I457" i="85"/>
  <c r="J456" i="85"/>
  <c r="I456" i="85"/>
  <c r="J455" i="85"/>
  <c r="I455" i="85"/>
  <c r="J454" i="85"/>
  <c r="I454" i="85"/>
  <c r="J453" i="85"/>
  <c r="I453" i="85"/>
  <c r="J452" i="85"/>
  <c r="I452" i="85"/>
  <c r="J451" i="85"/>
  <c r="I451" i="85"/>
  <c r="J450" i="85"/>
  <c r="I450" i="85"/>
  <c r="J449" i="85"/>
  <c r="I449" i="85"/>
  <c r="J448" i="85"/>
  <c r="I448" i="85"/>
  <c r="J447" i="85"/>
  <c r="I447" i="85"/>
  <c r="J446" i="85"/>
  <c r="I446" i="85"/>
  <c r="J445" i="85"/>
  <c r="I445" i="85"/>
  <c r="J444" i="85"/>
  <c r="I444" i="85"/>
  <c r="J443" i="85"/>
  <c r="I443" i="85"/>
  <c r="J442" i="85"/>
  <c r="I442" i="85"/>
  <c r="J441" i="85"/>
  <c r="I441" i="85"/>
  <c r="J440" i="85"/>
  <c r="I440" i="85"/>
  <c r="J439" i="85"/>
  <c r="I439" i="85"/>
  <c r="J438" i="85"/>
  <c r="I438" i="85"/>
  <c r="J437" i="85"/>
  <c r="I437" i="85"/>
  <c r="J436" i="85"/>
  <c r="I436" i="85"/>
  <c r="J435" i="85"/>
  <c r="I435" i="85"/>
  <c r="J434" i="85"/>
  <c r="I434" i="85"/>
  <c r="J433" i="85"/>
  <c r="I433" i="85"/>
  <c r="J432" i="85"/>
  <c r="I432" i="85"/>
  <c r="J431" i="85"/>
  <c r="I431" i="85"/>
  <c r="J430" i="85"/>
  <c r="I430" i="85"/>
  <c r="J429" i="85"/>
  <c r="I429" i="85"/>
  <c r="J428" i="85"/>
  <c r="I428" i="85"/>
  <c r="J427" i="85"/>
  <c r="I427" i="85"/>
  <c r="J426" i="85"/>
  <c r="I426" i="85"/>
  <c r="J425" i="85"/>
  <c r="I425" i="85"/>
  <c r="J424" i="85"/>
  <c r="I424" i="85"/>
  <c r="J423" i="85"/>
  <c r="I423" i="85"/>
  <c r="J422" i="85"/>
  <c r="I422" i="85"/>
  <c r="J421" i="85"/>
  <c r="I421" i="85"/>
  <c r="J420" i="85"/>
  <c r="I420" i="85"/>
  <c r="J419" i="85"/>
  <c r="I419" i="85"/>
  <c r="J418" i="85"/>
  <c r="I418" i="85"/>
  <c r="J417" i="85"/>
  <c r="I417" i="85"/>
  <c r="J416" i="85"/>
  <c r="I416" i="85"/>
  <c r="J415" i="85"/>
  <c r="I415" i="85"/>
  <c r="J414" i="85"/>
  <c r="I414" i="85"/>
  <c r="J413" i="85"/>
  <c r="I413" i="85"/>
  <c r="J412" i="85"/>
  <c r="I412" i="85"/>
  <c r="J411" i="85"/>
  <c r="I411" i="85"/>
  <c r="J410" i="85"/>
  <c r="I410" i="85"/>
  <c r="J409" i="85"/>
  <c r="I409" i="85"/>
  <c r="J408" i="85"/>
  <c r="I408" i="85"/>
  <c r="J407" i="85"/>
  <c r="I407" i="85"/>
  <c r="J406" i="85"/>
  <c r="I406" i="85"/>
  <c r="J405" i="85"/>
  <c r="I405" i="85"/>
  <c r="J404" i="85"/>
  <c r="I404" i="85"/>
  <c r="J403" i="85"/>
  <c r="I403" i="85"/>
  <c r="J402" i="85"/>
  <c r="I402" i="85"/>
  <c r="J401" i="85"/>
  <c r="I401" i="85"/>
  <c r="J400" i="85"/>
  <c r="I400" i="85"/>
  <c r="J399" i="85"/>
  <c r="I399" i="85"/>
  <c r="J398" i="85"/>
  <c r="I398" i="85"/>
  <c r="J397" i="85"/>
  <c r="I397" i="85"/>
  <c r="J396" i="85"/>
  <c r="I396" i="85"/>
  <c r="J395" i="85"/>
  <c r="I395" i="85"/>
  <c r="J394" i="85"/>
  <c r="I394" i="85"/>
  <c r="J393" i="85"/>
  <c r="I393" i="85"/>
  <c r="J392" i="85"/>
  <c r="I392" i="85"/>
  <c r="J391" i="85"/>
  <c r="I391" i="85"/>
  <c r="J390" i="85"/>
  <c r="I390" i="85"/>
  <c r="J389" i="85"/>
  <c r="I389" i="85"/>
  <c r="J388" i="85"/>
  <c r="I388" i="85"/>
  <c r="J387" i="85"/>
  <c r="I387" i="85"/>
  <c r="J386" i="85"/>
  <c r="I386" i="85"/>
  <c r="J385" i="85"/>
  <c r="I385" i="85"/>
  <c r="J384" i="85"/>
  <c r="I384" i="85"/>
  <c r="J383" i="85"/>
  <c r="I383" i="85"/>
  <c r="J382" i="85"/>
  <c r="I382" i="85"/>
  <c r="J381" i="85"/>
  <c r="I381" i="85"/>
  <c r="J380" i="85"/>
  <c r="I380" i="85"/>
  <c r="J379" i="85"/>
  <c r="I379" i="85"/>
  <c r="J378" i="85"/>
  <c r="I378" i="85"/>
  <c r="J377" i="85"/>
  <c r="I377" i="85"/>
  <c r="J376" i="85"/>
  <c r="I376" i="85"/>
  <c r="J375" i="85"/>
  <c r="I375" i="85"/>
  <c r="J374" i="85"/>
  <c r="I374" i="85"/>
  <c r="J373" i="85"/>
  <c r="I373" i="85"/>
  <c r="J372" i="85"/>
  <c r="I372" i="85"/>
  <c r="J371" i="85"/>
  <c r="I371" i="85"/>
  <c r="J370" i="85"/>
  <c r="I370" i="85"/>
  <c r="J369" i="85"/>
  <c r="I369" i="85"/>
  <c r="J368" i="85"/>
  <c r="I368" i="85"/>
  <c r="J367" i="85"/>
  <c r="I367" i="85"/>
  <c r="J366" i="85"/>
  <c r="I366" i="85"/>
  <c r="J365" i="85"/>
  <c r="I365" i="85"/>
  <c r="J364" i="85"/>
  <c r="I364" i="85"/>
  <c r="J363" i="85"/>
  <c r="I363" i="85"/>
  <c r="J362" i="85"/>
  <c r="I362" i="85"/>
  <c r="J361" i="85"/>
  <c r="I361" i="85"/>
  <c r="J360" i="85"/>
  <c r="I360" i="85"/>
  <c r="J359" i="85"/>
  <c r="I359" i="85"/>
  <c r="J358" i="85"/>
  <c r="I358" i="85"/>
  <c r="J357" i="85"/>
  <c r="I357" i="85"/>
  <c r="J356" i="85"/>
  <c r="I356" i="85"/>
  <c r="J355" i="85"/>
  <c r="I355" i="85"/>
  <c r="J354" i="85"/>
  <c r="I354" i="85"/>
  <c r="J353" i="85"/>
  <c r="I353" i="85"/>
  <c r="J352" i="85"/>
  <c r="I352" i="85"/>
  <c r="J351" i="85"/>
  <c r="I351" i="85"/>
  <c r="J350" i="85"/>
  <c r="I350" i="85"/>
  <c r="J349" i="85"/>
  <c r="I349" i="85"/>
  <c r="J348" i="85"/>
  <c r="I348" i="85"/>
  <c r="J347" i="85"/>
  <c r="I347" i="85"/>
  <c r="J346" i="85"/>
  <c r="I346" i="85"/>
  <c r="J345" i="85"/>
  <c r="I345" i="85"/>
  <c r="J344" i="85"/>
  <c r="I344" i="85"/>
  <c r="J343" i="85"/>
  <c r="I343" i="85"/>
  <c r="J342" i="85"/>
  <c r="I342" i="85"/>
  <c r="J341" i="85"/>
  <c r="I341" i="85"/>
  <c r="J340" i="85"/>
  <c r="I340" i="85"/>
  <c r="J339" i="85"/>
  <c r="I339" i="85"/>
  <c r="J338" i="85"/>
  <c r="I338" i="85"/>
  <c r="J337" i="85"/>
  <c r="I337" i="85"/>
  <c r="J336" i="85"/>
  <c r="I336" i="85"/>
  <c r="J335" i="85"/>
  <c r="I335" i="85"/>
  <c r="J334" i="85"/>
  <c r="I334" i="85"/>
  <c r="J333" i="85"/>
  <c r="I333" i="85"/>
  <c r="J332" i="85"/>
  <c r="I332" i="85"/>
  <c r="J331" i="85"/>
  <c r="I331" i="85"/>
  <c r="J330" i="85"/>
  <c r="I330" i="85"/>
  <c r="J329" i="85"/>
  <c r="I329" i="85"/>
  <c r="J328" i="85"/>
  <c r="I328" i="85"/>
  <c r="J327" i="85"/>
  <c r="I327" i="85"/>
  <c r="J326" i="85"/>
  <c r="I326" i="85"/>
  <c r="J325" i="85"/>
  <c r="I325" i="85"/>
  <c r="J324" i="85"/>
  <c r="I324" i="85"/>
  <c r="J323" i="85"/>
  <c r="I323" i="85"/>
  <c r="J322" i="85"/>
  <c r="I322" i="85"/>
  <c r="J321" i="85"/>
  <c r="I321" i="85"/>
  <c r="J318" i="85"/>
  <c r="I318" i="85"/>
  <c r="J317" i="85"/>
  <c r="I317" i="85"/>
  <c r="J316" i="85"/>
  <c r="I316" i="85"/>
  <c r="J315" i="85"/>
  <c r="I315" i="85"/>
  <c r="J314" i="85"/>
  <c r="I314" i="85"/>
  <c r="J313" i="85"/>
  <c r="I313" i="85"/>
  <c r="J312" i="85"/>
  <c r="I312" i="85"/>
  <c r="J311" i="85"/>
  <c r="I311" i="85"/>
  <c r="J310" i="85"/>
  <c r="I310" i="85"/>
  <c r="J309" i="85"/>
  <c r="I309" i="85"/>
  <c r="J308" i="85"/>
  <c r="I308" i="85"/>
  <c r="J307" i="85"/>
  <c r="I307" i="85"/>
  <c r="J306" i="85"/>
  <c r="I306" i="85"/>
  <c r="J305" i="85"/>
  <c r="I305" i="85"/>
  <c r="J304" i="85"/>
  <c r="I304" i="85"/>
  <c r="J303" i="85"/>
  <c r="I303" i="85"/>
  <c r="J302" i="85"/>
  <c r="I302" i="85"/>
  <c r="J301" i="85"/>
  <c r="I301" i="85"/>
  <c r="J300" i="85"/>
  <c r="I300" i="85"/>
  <c r="J299" i="85"/>
  <c r="I299" i="85"/>
  <c r="J298" i="85"/>
  <c r="I298" i="85"/>
  <c r="J297" i="85"/>
  <c r="I297" i="85"/>
  <c r="J296" i="85"/>
  <c r="I296" i="85"/>
  <c r="J295" i="85"/>
  <c r="I295" i="85"/>
  <c r="J294" i="85"/>
  <c r="I294" i="85"/>
  <c r="J293" i="85"/>
  <c r="I293" i="85"/>
  <c r="J292" i="85"/>
  <c r="I292" i="85"/>
  <c r="J291" i="85"/>
  <c r="I291" i="85"/>
  <c r="J290" i="85"/>
  <c r="I290" i="85"/>
  <c r="J289" i="85"/>
  <c r="I289" i="85"/>
  <c r="J288" i="85"/>
  <c r="I288" i="85"/>
  <c r="J287" i="85"/>
  <c r="I287" i="85"/>
  <c r="J286" i="85"/>
  <c r="I286" i="85"/>
  <c r="J285" i="85"/>
  <c r="I285" i="85"/>
  <c r="J284" i="85"/>
  <c r="I284" i="85"/>
  <c r="J283" i="85"/>
  <c r="I283" i="85"/>
  <c r="J282" i="85"/>
  <c r="I282" i="85"/>
  <c r="J281" i="85"/>
  <c r="I281" i="85"/>
  <c r="J280" i="85"/>
  <c r="I280" i="85"/>
  <c r="J279" i="85"/>
  <c r="I279" i="85"/>
  <c r="J278" i="85"/>
  <c r="I278" i="85"/>
  <c r="J277" i="85"/>
  <c r="I277" i="85"/>
  <c r="J276" i="85"/>
  <c r="I276" i="85"/>
  <c r="J275" i="85"/>
  <c r="I275" i="85"/>
  <c r="J274" i="85"/>
  <c r="I274" i="85"/>
  <c r="J273" i="85"/>
  <c r="I273" i="85"/>
  <c r="J272" i="85"/>
  <c r="I272" i="85"/>
  <c r="J271" i="85"/>
  <c r="I271" i="85"/>
  <c r="J270" i="85"/>
  <c r="I270" i="85"/>
  <c r="J269" i="85"/>
  <c r="I269" i="85"/>
  <c r="J268" i="85"/>
  <c r="I268" i="85"/>
  <c r="J267" i="85"/>
  <c r="I267" i="85"/>
  <c r="J266" i="85"/>
  <c r="I266" i="85"/>
  <c r="J265" i="85"/>
  <c r="I265" i="85"/>
  <c r="J264" i="85"/>
  <c r="I264" i="85"/>
  <c r="J263" i="85"/>
  <c r="I263" i="85"/>
  <c r="J262" i="85"/>
  <c r="I262" i="85"/>
  <c r="J261" i="85"/>
  <c r="I261" i="85"/>
  <c r="J260" i="85"/>
  <c r="I260" i="85"/>
  <c r="J259" i="85"/>
  <c r="I259" i="85"/>
  <c r="J258" i="85"/>
  <c r="I258" i="85"/>
  <c r="J257" i="85"/>
  <c r="I257" i="85"/>
  <c r="J256" i="85"/>
  <c r="I256" i="85"/>
  <c r="J255" i="85"/>
  <c r="I255" i="85"/>
  <c r="J254" i="85"/>
  <c r="I254" i="85"/>
  <c r="J253" i="85"/>
  <c r="I253" i="85"/>
  <c r="J252" i="85"/>
  <c r="I252" i="85"/>
  <c r="J251" i="85"/>
  <c r="I251" i="85"/>
  <c r="J250" i="85"/>
  <c r="I250" i="85"/>
  <c r="J249" i="85"/>
  <c r="I249" i="85"/>
  <c r="J248" i="85"/>
  <c r="I248" i="85"/>
  <c r="J247" i="85"/>
  <c r="I247" i="85"/>
  <c r="J246" i="85"/>
  <c r="I246" i="85"/>
  <c r="J245" i="85"/>
  <c r="I245" i="85"/>
  <c r="J244" i="85"/>
  <c r="I244" i="85"/>
  <c r="J243" i="85"/>
  <c r="I243" i="85"/>
  <c r="J242" i="85"/>
  <c r="I242" i="85"/>
  <c r="J241" i="85"/>
  <c r="I241" i="85"/>
  <c r="J240" i="85"/>
  <c r="I240" i="85"/>
  <c r="J239" i="85"/>
  <c r="I239" i="85"/>
  <c r="J238" i="85"/>
  <c r="I238" i="85"/>
  <c r="J237" i="85"/>
  <c r="I237" i="85"/>
  <c r="J236" i="85"/>
  <c r="I236" i="85"/>
  <c r="J235" i="85"/>
  <c r="I235" i="85"/>
  <c r="J234" i="85"/>
  <c r="I234" i="85"/>
  <c r="J233" i="85"/>
  <c r="I233" i="85"/>
  <c r="J232" i="85"/>
  <c r="I232" i="85"/>
  <c r="J231" i="85"/>
  <c r="I231" i="85"/>
  <c r="J230" i="85"/>
  <c r="I230" i="85"/>
  <c r="J229" i="85"/>
  <c r="I229" i="85"/>
  <c r="J228" i="85"/>
  <c r="I228" i="85"/>
  <c r="J227" i="85"/>
  <c r="I227" i="85"/>
  <c r="J226" i="85"/>
  <c r="I226" i="85"/>
  <c r="J225" i="85"/>
  <c r="I225" i="85"/>
  <c r="J224" i="85"/>
  <c r="I224" i="85"/>
  <c r="J223" i="85"/>
  <c r="I223" i="85"/>
  <c r="J222" i="85"/>
  <c r="I222" i="85"/>
  <c r="J221" i="85"/>
  <c r="I221" i="85"/>
  <c r="J220" i="85"/>
  <c r="I220" i="85"/>
  <c r="J219" i="85"/>
  <c r="I219" i="85"/>
  <c r="J218" i="85"/>
  <c r="I218" i="85"/>
  <c r="J217" i="85"/>
  <c r="I217" i="85"/>
  <c r="J216" i="85"/>
  <c r="I216" i="85"/>
  <c r="J215" i="85"/>
  <c r="I215" i="85"/>
  <c r="J214" i="85"/>
  <c r="I214" i="85"/>
  <c r="J213" i="85"/>
  <c r="I213" i="85"/>
  <c r="J212" i="85"/>
  <c r="I212" i="85"/>
  <c r="J211" i="85"/>
  <c r="I211" i="85"/>
  <c r="J210" i="85"/>
  <c r="I210" i="85"/>
  <c r="J209" i="85"/>
  <c r="I209" i="85"/>
  <c r="J208" i="85"/>
  <c r="I208" i="85"/>
  <c r="J207" i="85"/>
  <c r="I207" i="85"/>
  <c r="J206" i="85"/>
  <c r="I206" i="85"/>
  <c r="J205" i="85"/>
  <c r="I205" i="85"/>
  <c r="J204" i="85"/>
  <c r="I204" i="85"/>
  <c r="J203" i="85"/>
  <c r="I203" i="85"/>
  <c r="J202" i="85"/>
  <c r="I202" i="85"/>
  <c r="J201" i="85"/>
  <c r="I201" i="85"/>
  <c r="J200" i="85"/>
  <c r="I200" i="85"/>
  <c r="J199" i="85"/>
  <c r="I199" i="85"/>
  <c r="J198" i="85"/>
  <c r="I198" i="85"/>
  <c r="J197" i="85"/>
  <c r="I197" i="85"/>
  <c r="J196" i="85"/>
  <c r="I196" i="85"/>
  <c r="J195" i="85"/>
  <c r="I195" i="85"/>
  <c r="J194" i="85"/>
  <c r="I194" i="85"/>
  <c r="J193" i="85"/>
  <c r="I193" i="85"/>
  <c r="J192" i="85"/>
  <c r="I192" i="85"/>
  <c r="J191" i="85"/>
  <c r="I191" i="85"/>
  <c r="J190" i="85"/>
  <c r="I190" i="85"/>
  <c r="J189" i="85"/>
  <c r="I189" i="85"/>
  <c r="J188" i="85"/>
  <c r="I188" i="85"/>
  <c r="J187" i="85"/>
  <c r="I187" i="85"/>
  <c r="J186" i="85"/>
  <c r="I186" i="85"/>
  <c r="J185" i="85"/>
  <c r="I185" i="85"/>
  <c r="J184" i="85"/>
  <c r="I184" i="85"/>
  <c r="J183" i="85"/>
  <c r="I183" i="85"/>
  <c r="J182" i="85"/>
  <c r="I182" i="85"/>
  <c r="J181" i="85"/>
  <c r="I181" i="85"/>
  <c r="J180" i="85"/>
  <c r="I180" i="85"/>
  <c r="J179" i="85"/>
  <c r="I179" i="85"/>
  <c r="J178" i="85"/>
  <c r="I178" i="85"/>
  <c r="J177" i="85"/>
  <c r="I177" i="85"/>
  <c r="J176" i="85"/>
  <c r="I176" i="85"/>
  <c r="J175" i="85"/>
  <c r="I175" i="85"/>
  <c r="J174" i="85"/>
  <c r="I174" i="85"/>
  <c r="J173" i="85"/>
  <c r="I173" i="85"/>
  <c r="J172" i="85"/>
  <c r="I172" i="85"/>
  <c r="J171" i="85"/>
  <c r="I171" i="85"/>
  <c r="J170" i="85"/>
  <c r="I170" i="85"/>
  <c r="J169" i="85"/>
  <c r="I169" i="85"/>
  <c r="J168" i="85"/>
  <c r="I168" i="85"/>
  <c r="J167" i="85"/>
  <c r="I167" i="85"/>
  <c r="J166" i="85"/>
  <c r="I166" i="85"/>
  <c r="J165" i="85"/>
  <c r="I165" i="85"/>
  <c r="J164" i="85"/>
  <c r="I164" i="85"/>
  <c r="J163" i="85"/>
  <c r="I163" i="85"/>
  <c r="J162" i="85"/>
  <c r="I162" i="85"/>
  <c r="J161" i="85"/>
  <c r="I161" i="85"/>
  <c r="J160" i="85"/>
  <c r="I160" i="85"/>
  <c r="J159" i="85"/>
  <c r="I159" i="85"/>
  <c r="J158" i="85"/>
  <c r="I158" i="85"/>
  <c r="J157" i="85"/>
  <c r="I157" i="85"/>
  <c r="J156" i="85"/>
  <c r="I156" i="85"/>
  <c r="J155" i="85"/>
  <c r="I155" i="85"/>
  <c r="J154" i="85"/>
  <c r="I154" i="85"/>
  <c r="J153" i="85"/>
  <c r="I153" i="85"/>
  <c r="J152" i="85"/>
  <c r="I152" i="85"/>
  <c r="J151" i="85"/>
  <c r="I151" i="85"/>
  <c r="J150" i="85"/>
  <c r="I150" i="85"/>
  <c r="J149" i="85"/>
  <c r="I149" i="85"/>
  <c r="J148" i="85"/>
  <c r="I148" i="85"/>
  <c r="J147" i="85"/>
  <c r="I147" i="85"/>
  <c r="J146" i="85"/>
  <c r="I146" i="85"/>
  <c r="J145" i="85"/>
  <c r="I145" i="85"/>
  <c r="J144" i="85"/>
  <c r="I144" i="85"/>
  <c r="J143" i="85"/>
  <c r="I143" i="85"/>
  <c r="J142" i="85"/>
  <c r="I142" i="85"/>
  <c r="J141" i="85"/>
  <c r="I141" i="85"/>
  <c r="J140" i="85"/>
  <c r="I140" i="85"/>
  <c r="J139" i="85"/>
  <c r="I139" i="85"/>
  <c r="J138" i="85"/>
  <c r="I138" i="85"/>
  <c r="J137" i="85"/>
  <c r="I137" i="85"/>
  <c r="J136" i="85"/>
  <c r="I136" i="85"/>
  <c r="J135" i="85"/>
  <c r="I135" i="85"/>
  <c r="J134" i="85"/>
  <c r="I134" i="85"/>
  <c r="J133" i="85"/>
  <c r="I133" i="85"/>
  <c r="J132" i="85"/>
  <c r="I132" i="85"/>
  <c r="J131" i="85"/>
  <c r="I131" i="85"/>
  <c r="J130" i="85"/>
  <c r="I130" i="85"/>
  <c r="J129" i="85"/>
  <c r="I129" i="85"/>
  <c r="J128" i="85"/>
  <c r="I128" i="85"/>
  <c r="J127" i="85"/>
  <c r="I127" i="85"/>
  <c r="J126" i="85"/>
  <c r="I126" i="85"/>
  <c r="J125" i="85"/>
  <c r="I125" i="85"/>
  <c r="J124" i="85"/>
  <c r="I124" i="85"/>
  <c r="J123" i="85"/>
  <c r="I123" i="85"/>
  <c r="J122" i="85"/>
  <c r="I122" i="85"/>
  <c r="J121" i="85"/>
  <c r="I121" i="85"/>
  <c r="J120" i="85"/>
  <c r="I120" i="85"/>
  <c r="J119" i="85"/>
  <c r="I119" i="85"/>
  <c r="J118" i="85"/>
  <c r="I118" i="85"/>
  <c r="J117" i="85"/>
  <c r="I117" i="85"/>
  <c r="J116" i="85"/>
  <c r="I116" i="85"/>
  <c r="J115" i="85"/>
  <c r="I115" i="85"/>
  <c r="J114" i="85"/>
  <c r="I114" i="85"/>
  <c r="J113" i="85"/>
  <c r="I113" i="85"/>
  <c r="J112" i="85"/>
  <c r="I112" i="85"/>
  <c r="J111" i="85"/>
  <c r="I111" i="85"/>
  <c r="J110" i="85"/>
  <c r="I110" i="85"/>
  <c r="J109" i="85"/>
  <c r="I109" i="85"/>
  <c r="J108" i="85"/>
  <c r="I108" i="85"/>
  <c r="J107" i="85"/>
  <c r="I107" i="85"/>
  <c r="J106" i="85"/>
  <c r="I106" i="85"/>
  <c r="J105" i="85"/>
  <c r="I105" i="85"/>
  <c r="J104" i="85"/>
  <c r="I104" i="85"/>
  <c r="J103" i="85"/>
  <c r="I103" i="85"/>
  <c r="J102" i="85"/>
  <c r="I102" i="85"/>
  <c r="J101" i="85"/>
  <c r="I101" i="85"/>
  <c r="J100" i="85"/>
  <c r="I100" i="85"/>
  <c r="J99" i="85"/>
  <c r="I99" i="85"/>
  <c r="J98" i="85"/>
  <c r="I98" i="85"/>
  <c r="J97" i="85"/>
  <c r="I97" i="85"/>
  <c r="J96" i="85"/>
  <c r="I96" i="85"/>
  <c r="J95" i="85"/>
  <c r="I95" i="85"/>
  <c r="J94" i="85"/>
  <c r="I94" i="85"/>
  <c r="J93" i="85"/>
  <c r="I93" i="85"/>
  <c r="J92" i="85"/>
  <c r="I92" i="85"/>
  <c r="J91" i="85"/>
  <c r="I91" i="85"/>
  <c r="J90" i="85"/>
  <c r="I90" i="85"/>
  <c r="J89" i="85"/>
  <c r="I89" i="85"/>
  <c r="J88" i="85"/>
  <c r="I88" i="85"/>
  <c r="J87" i="85"/>
  <c r="I87" i="85"/>
  <c r="J86" i="85"/>
  <c r="I86" i="85"/>
  <c r="J85" i="85"/>
  <c r="I85" i="85"/>
  <c r="J84" i="85"/>
  <c r="I84" i="85"/>
  <c r="J83" i="85"/>
  <c r="I83" i="85"/>
  <c r="J82" i="85"/>
  <c r="I82" i="85"/>
  <c r="J81" i="85"/>
  <c r="I81" i="85"/>
  <c r="J80" i="85"/>
  <c r="I80" i="85"/>
  <c r="J79" i="85"/>
  <c r="I79" i="85"/>
  <c r="J78" i="85"/>
  <c r="I78" i="85"/>
  <c r="J77" i="85"/>
  <c r="I77" i="85"/>
  <c r="J76" i="85"/>
  <c r="I76" i="85"/>
  <c r="J75" i="85"/>
  <c r="I75" i="85"/>
  <c r="J74" i="85"/>
  <c r="I74" i="85"/>
  <c r="J73" i="85"/>
  <c r="I73" i="85"/>
  <c r="J72" i="85"/>
  <c r="I72" i="85"/>
  <c r="J71" i="85"/>
  <c r="I71" i="85"/>
  <c r="J70" i="85"/>
  <c r="I70" i="85"/>
  <c r="J69" i="85"/>
  <c r="I69" i="85"/>
  <c r="J68" i="85"/>
  <c r="I68" i="85"/>
  <c r="J67" i="85"/>
  <c r="I67" i="85"/>
  <c r="J66" i="85"/>
  <c r="I66" i="85"/>
  <c r="J65" i="85"/>
  <c r="I65" i="85"/>
  <c r="J64" i="85"/>
  <c r="I64" i="85"/>
  <c r="J63" i="85"/>
  <c r="I63" i="85"/>
  <c r="J62" i="85"/>
  <c r="I62" i="85"/>
  <c r="J61" i="85"/>
  <c r="I61" i="85"/>
  <c r="J60" i="85"/>
  <c r="I60" i="85"/>
  <c r="J59" i="85"/>
  <c r="I59" i="85"/>
  <c r="J58" i="85"/>
  <c r="I58" i="85"/>
  <c r="J57" i="85"/>
  <c r="I57" i="85"/>
  <c r="J56" i="85"/>
  <c r="I56" i="85"/>
  <c r="J55" i="85"/>
  <c r="I55" i="85"/>
  <c r="J54" i="85"/>
  <c r="I54" i="85"/>
  <c r="J53" i="85"/>
  <c r="I53" i="85"/>
  <c r="J52" i="85"/>
  <c r="I52" i="85"/>
  <c r="J51" i="85"/>
  <c r="I51" i="85"/>
  <c r="J50" i="85"/>
  <c r="I50" i="85"/>
  <c r="J49" i="85"/>
  <c r="I49" i="85"/>
  <c r="J48" i="85"/>
  <c r="I48" i="85"/>
  <c r="J47" i="85"/>
  <c r="I47" i="85"/>
  <c r="J46" i="85"/>
  <c r="I46" i="85"/>
  <c r="J45" i="85"/>
  <c r="I45" i="85"/>
  <c r="J44" i="85"/>
  <c r="I44" i="85"/>
  <c r="J43" i="85"/>
  <c r="I43" i="85"/>
  <c r="J42" i="85"/>
  <c r="I42" i="85"/>
  <c r="J41" i="85"/>
  <c r="I41" i="85"/>
  <c r="J40" i="85"/>
  <c r="I40" i="85"/>
  <c r="J39" i="85"/>
  <c r="I39" i="85"/>
  <c r="J38" i="85"/>
  <c r="I38" i="85"/>
  <c r="J37" i="85"/>
  <c r="I37" i="85"/>
  <c r="J36" i="85"/>
  <c r="I36" i="85"/>
  <c r="J35" i="85"/>
  <c r="I35" i="85"/>
  <c r="J34" i="85"/>
  <c r="I34" i="85"/>
  <c r="J33" i="85"/>
  <c r="I33" i="85"/>
  <c r="J32" i="85"/>
  <c r="I32" i="85"/>
  <c r="J31" i="85"/>
  <c r="I31" i="85"/>
  <c r="J30" i="85"/>
  <c r="I30" i="85"/>
  <c r="J29" i="85"/>
  <c r="I29" i="85"/>
  <c r="J28" i="85"/>
  <c r="I28" i="85"/>
  <c r="J27" i="85"/>
  <c r="I27" i="85"/>
  <c r="J26" i="85"/>
  <c r="I26" i="85"/>
  <c r="J25" i="85"/>
  <c r="I25" i="85"/>
  <c r="J24" i="85"/>
  <c r="I24" i="85"/>
  <c r="J23" i="85"/>
  <c r="I23" i="85"/>
  <c r="J22" i="85"/>
  <c r="I22" i="85"/>
  <c r="J21" i="85"/>
  <c r="I21" i="85"/>
  <c r="J20" i="85"/>
  <c r="I20" i="85"/>
  <c r="J525" i="79"/>
  <c r="I525" i="79"/>
  <c r="J524" i="79"/>
  <c r="I524" i="79"/>
  <c r="J523" i="79"/>
  <c r="I523" i="79"/>
  <c r="J522" i="79"/>
  <c r="I522" i="79"/>
  <c r="J521" i="79"/>
  <c r="I521" i="79"/>
  <c r="J520" i="79"/>
  <c r="I520" i="79"/>
  <c r="J519" i="79"/>
  <c r="I519" i="79"/>
  <c r="J518" i="79"/>
  <c r="I518" i="79"/>
  <c r="J517" i="79"/>
  <c r="I517" i="79"/>
  <c r="J516" i="79"/>
  <c r="I516" i="79"/>
  <c r="J515" i="79"/>
  <c r="I515" i="79"/>
  <c r="J514" i="79"/>
  <c r="I514" i="79"/>
  <c r="J513" i="79"/>
  <c r="I513" i="79"/>
  <c r="J512" i="79"/>
  <c r="I512" i="79"/>
  <c r="J511" i="79"/>
  <c r="I511" i="79"/>
  <c r="J510" i="79"/>
  <c r="I510" i="79"/>
  <c r="J509" i="79"/>
  <c r="I509" i="79"/>
  <c r="J508" i="79"/>
  <c r="I508" i="79"/>
  <c r="J507" i="79"/>
  <c r="I507" i="79"/>
  <c r="J506" i="79"/>
  <c r="I506" i="79"/>
  <c r="J505" i="79"/>
  <c r="I505" i="79"/>
  <c r="J504" i="79"/>
  <c r="I504" i="79"/>
  <c r="J503" i="79"/>
  <c r="I503" i="79"/>
  <c r="J502" i="79"/>
  <c r="I502" i="79"/>
  <c r="J501" i="79"/>
  <c r="I501" i="79"/>
  <c r="J500" i="79"/>
  <c r="I500" i="79"/>
  <c r="J499" i="79"/>
  <c r="I499" i="79"/>
  <c r="J498" i="79"/>
  <c r="I498" i="79"/>
  <c r="J497" i="79"/>
  <c r="I497" i="79"/>
  <c r="J496" i="79"/>
  <c r="I496" i="79"/>
  <c r="J495" i="79"/>
  <c r="I495" i="79"/>
  <c r="J494" i="79"/>
  <c r="I494" i="79"/>
  <c r="J493" i="79"/>
  <c r="I493" i="79"/>
  <c r="J492" i="79"/>
  <c r="I492" i="79"/>
  <c r="J491" i="79"/>
  <c r="I491" i="79"/>
  <c r="J490" i="79"/>
  <c r="I490" i="79"/>
  <c r="J489" i="79"/>
  <c r="I489" i="79"/>
  <c r="J488" i="79"/>
  <c r="I488" i="79"/>
  <c r="J487" i="79"/>
  <c r="I487" i="79"/>
  <c r="J486" i="79"/>
  <c r="I486" i="79"/>
  <c r="J485" i="79"/>
  <c r="I485" i="79"/>
  <c r="J484" i="79"/>
  <c r="I484" i="79"/>
  <c r="J483" i="79"/>
  <c r="I483" i="79"/>
  <c r="J482" i="79"/>
  <c r="I482" i="79"/>
  <c r="J481" i="79"/>
  <c r="I481" i="79"/>
  <c r="J480" i="79"/>
  <c r="I480" i="79"/>
  <c r="J479" i="79"/>
  <c r="I479" i="79"/>
  <c r="J478" i="79"/>
  <c r="I478" i="79"/>
  <c r="J477" i="79"/>
  <c r="I477" i="79"/>
  <c r="J476" i="79"/>
  <c r="I476" i="79"/>
  <c r="J475" i="79"/>
  <c r="I475" i="79"/>
  <c r="J474" i="79"/>
  <c r="I474" i="79"/>
  <c r="J473" i="79"/>
  <c r="I473" i="79"/>
  <c r="J472" i="79"/>
  <c r="I472" i="79"/>
  <c r="J471" i="79"/>
  <c r="I471" i="79"/>
  <c r="J470" i="79"/>
  <c r="I470" i="79"/>
  <c r="J469" i="79"/>
  <c r="I469" i="79"/>
  <c r="J468" i="79"/>
  <c r="I468" i="79"/>
  <c r="J467" i="79"/>
  <c r="I467" i="79"/>
  <c r="J466" i="79"/>
  <c r="I466" i="79"/>
  <c r="J465" i="79"/>
  <c r="I465" i="79"/>
  <c r="J464" i="79"/>
  <c r="I464" i="79"/>
  <c r="J463" i="79"/>
  <c r="I463" i="79"/>
  <c r="J462" i="79"/>
  <c r="I462" i="79"/>
  <c r="J461" i="79"/>
  <c r="I461" i="79"/>
  <c r="J460" i="79"/>
  <c r="I460" i="79"/>
  <c r="J459" i="79"/>
  <c r="I459" i="79"/>
  <c r="J458" i="79"/>
  <c r="I458" i="79"/>
  <c r="J457" i="79"/>
  <c r="I457" i="79"/>
  <c r="J456" i="79"/>
  <c r="I456" i="79"/>
  <c r="J455" i="79"/>
  <c r="I455" i="79"/>
  <c r="J454" i="79"/>
  <c r="I454" i="79"/>
  <c r="J453" i="79"/>
  <c r="I453" i="79"/>
  <c r="J452" i="79"/>
  <c r="I452" i="79"/>
  <c r="J451" i="79"/>
  <c r="I451" i="79"/>
  <c r="J450" i="79"/>
  <c r="I450" i="79"/>
  <c r="J449" i="79"/>
  <c r="I449" i="79"/>
  <c r="J448" i="79"/>
  <c r="I448" i="79"/>
  <c r="J447" i="79"/>
  <c r="I447" i="79"/>
  <c r="J446" i="79"/>
  <c r="I446" i="79"/>
  <c r="J445" i="79"/>
  <c r="I445" i="79"/>
  <c r="J444" i="79"/>
  <c r="I444" i="79"/>
  <c r="J443" i="79"/>
  <c r="I443" i="79"/>
  <c r="J442" i="79"/>
  <c r="I442" i="79"/>
  <c r="J441" i="79"/>
  <c r="I441" i="79"/>
  <c r="J440" i="79"/>
  <c r="I440" i="79"/>
  <c r="J439" i="79"/>
  <c r="I439" i="79"/>
  <c r="J438" i="79"/>
  <c r="I438" i="79"/>
  <c r="J437" i="79"/>
  <c r="I437" i="79"/>
  <c r="J436" i="79"/>
  <c r="I436" i="79"/>
  <c r="J435" i="79"/>
  <c r="I435" i="79"/>
  <c r="J434" i="79"/>
  <c r="I434" i="79"/>
  <c r="J433" i="79"/>
  <c r="I433" i="79"/>
  <c r="J432" i="79"/>
  <c r="I432" i="79"/>
  <c r="J431" i="79"/>
  <c r="I431" i="79"/>
  <c r="J430" i="79"/>
  <c r="I430" i="79"/>
  <c r="J429" i="79"/>
  <c r="I429" i="79"/>
  <c r="J428" i="79"/>
  <c r="I428" i="79"/>
  <c r="J427" i="79"/>
  <c r="I427" i="79"/>
  <c r="J426" i="79"/>
  <c r="I426" i="79"/>
  <c r="J425" i="79"/>
  <c r="I425" i="79"/>
  <c r="J424" i="79"/>
  <c r="I424" i="79"/>
  <c r="J423" i="79"/>
  <c r="I423" i="79"/>
  <c r="J422" i="79"/>
  <c r="I422" i="79"/>
  <c r="J421" i="79"/>
  <c r="I421" i="79"/>
  <c r="J420" i="79"/>
  <c r="I420" i="79"/>
  <c r="J419" i="79"/>
  <c r="I419" i="79"/>
  <c r="J418" i="79"/>
  <c r="I418" i="79"/>
  <c r="J417" i="79"/>
  <c r="I417" i="79"/>
  <c r="J416" i="79"/>
  <c r="I416" i="79"/>
  <c r="J415" i="79"/>
  <c r="I415" i="79"/>
  <c r="J414" i="79"/>
  <c r="I414" i="79"/>
  <c r="J413" i="79"/>
  <c r="I413" i="79"/>
  <c r="J412" i="79"/>
  <c r="I412" i="79"/>
  <c r="J411" i="79"/>
  <c r="I411" i="79"/>
  <c r="J410" i="79"/>
  <c r="I410" i="79"/>
  <c r="J409" i="79"/>
  <c r="I409" i="79"/>
  <c r="J408" i="79"/>
  <c r="I408" i="79"/>
  <c r="J407" i="79"/>
  <c r="I407" i="79"/>
  <c r="J406" i="79"/>
  <c r="I406" i="79"/>
  <c r="J405" i="79"/>
  <c r="I405" i="79"/>
  <c r="J404" i="79"/>
  <c r="I404" i="79"/>
  <c r="J403" i="79"/>
  <c r="I403" i="79"/>
  <c r="J402" i="79"/>
  <c r="I402" i="79"/>
  <c r="J401" i="79"/>
  <c r="I401" i="79"/>
  <c r="J400" i="79"/>
  <c r="I400" i="79"/>
  <c r="J399" i="79"/>
  <c r="I399" i="79"/>
  <c r="J398" i="79"/>
  <c r="I398" i="79"/>
  <c r="J397" i="79"/>
  <c r="I397" i="79"/>
  <c r="J396" i="79"/>
  <c r="I396" i="79"/>
  <c r="J395" i="79"/>
  <c r="I395" i="79"/>
  <c r="J394" i="79"/>
  <c r="I394" i="79"/>
  <c r="J393" i="79"/>
  <c r="I393" i="79"/>
  <c r="J392" i="79"/>
  <c r="I392" i="79"/>
  <c r="J391" i="79"/>
  <c r="I391" i="79"/>
  <c r="J390" i="79"/>
  <c r="I390" i="79"/>
  <c r="J389" i="79"/>
  <c r="I389" i="79"/>
  <c r="J388" i="79"/>
  <c r="I388" i="79"/>
  <c r="J387" i="79"/>
  <c r="I387" i="79"/>
  <c r="J386" i="79"/>
  <c r="I386" i="79"/>
  <c r="J385" i="79"/>
  <c r="I385" i="79"/>
  <c r="J384" i="79"/>
  <c r="I384" i="79"/>
  <c r="J383" i="79"/>
  <c r="I383" i="79"/>
  <c r="J382" i="79"/>
  <c r="I382" i="79"/>
  <c r="J381" i="79"/>
  <c r="I381" i="79"/>
  <c r="J380" i="79"/>
  <c r="I380" i="79"/>
  <c r="J379" i="79"/>
  <c r="I379" i="79"/>
  <c r="J378" i="79"/>
  <c r="I378" i="79"/>
  <c r="J377" i="79"/>
  <c r="I377" i="79"/>
  <c r="J376" i="79"/>
  <c r="I376" i="79"/>
  <c r="J375" i="79"/>
  <c r="I375" i="79"/>
  <c r="J374" i="79"/>
  <c r="I374" i="79"/>
  <c r="J373" i="79"/>
  <c r="I373" i="79"/>
  <c r="J372" i="79"/>
  <c r="I372" i="79"/>
  <c r="J371" i="79"/>
  <c r="I371" i="79"/>
  <c r="J370" i="79"/>
  <c r="I370" i="79"/>
  <c r="J369" i="79"/>
  <c r="I369" i="79"/>
  <c r="J368" i="79"/>
  <c r="I368" i="79"/>
  <c r="J367" i="79"/>
  <c r="I367" i="79"/>
  <c r="J366" i="79"/>
  <c r="I366" i="79"/>
  <c r="J365" i="79"/>
  <c r="I365" i="79"/>
  <c r="J364" i="79"/>
  <c r="I364" i="79"/>
  <c r="J363" i="79"/>
  <c r="I363" i="79"/>
  <c r="J362" i="79"/>
  <c r="I362" i="79"/>
  <c r="J361" i="79"/>
  <c r="I361" i="79"/>
  <c r="J360" i="79"/>
  <c r="I360" i="79"/>
  <c r="J359" i="79"/>
  <c r="I359" i="79"/>
  <c r="J358" i="79"/>
  <c r="I358" i="79"/>
  <c r="J357" i="79"/>
  <c r="I357" i="79"/>
  <c r="J356" i="79"/>
  <c r="I356" i="79"/>
  <c r="J355" i="79"/>
  <c r="I355" i="79"/>
  <c r="J354" i="79"/>
  <c r="I354" i="79"/>
  <c r="J353" i="79"/>
  <c r="I353" i="79"/>
  <c r="J352" i="79"/>
  <c r="I352" i="79"/>
  <c r="J351" i="79"/>
  <c r="I351" i="79"/>
  <c r="J350" i="79"/>
  <c r="I350" i="79"/>
  <c r="J349" i="79"/>
  <c r="I349" i="79"/>
  <c r="J348" i="79"/>
  <c r="I348" i="79"/>
  <c r="J347" i="79"/>
  <c r="I347" i="79"/>
  <c r="J346" i="79"/>
  <c r="I346" i="79"/>
  <c r="J345" i="79"/>
  <c r="I345" i="79"/>
  <c r="J344" i="79"/>
  <c r="I344" i="79"/>
  <c r="J343" i="79"/>
  <c r="I343" i="79"/>
  <c r="J342" i="79"/>
  <c r="I342" i="79"/>
  <c r="J341" i="79"/>
  <c r="I341" i="79"/>
  <c r="J340" i="79"/>
  <c r="I340" i="79"/>
  <c r="J339" i="79"/>
  <c r="I339" i="79"/>
  <c r="J338" i="79"/>
  <c r="I338" i="79"/>
  <c r="J337" i="79"/>
  <c r="I337" i="79"/>
  <c r="J336" i="79"/>
  <c r="I336" i="79"/>
  <c r="J335" i="79"/>
  <c r="I335" i="79"/>
  <c r="J334" i="79"/>
  <c r="I334" i="79"/>
  <c r="J333" i="79"/>
  <c r="I333" i="79"/>
  <c r="J332" i="79"/>
  <c r="I332" i="79"/>
  <c r="J331" i="79"/>
  <c r="I331" i="79"/>
  <c r="J330" i="79"/>
  <c r="I330" i="79"/>
  <c r="J329" i="79"/>
  <c r="I329" i="79"/>
  <c r="J328" i="79"/>
  <c r="I328" i="79"/>
  <c r="J327" i="79"/>
  <c r="I327" i="79"/>
  <c r="J326" i="79"/>
  <c r="I326" i="79"/>
  <c r="J325" i="79"/>
  <c r="I325" i="79"/>
  <c r="J324" i="79"/>
  <c r="I324" i="79"/>
  <c r="J323" i="79"/>
  <c r="I323" i="79"/>
  <c r="J322" i="79"/>
  <c r="I322" i="79"/>
  <c r="J321" i="79"/>
  <c r="I321" i="79"/>
  <c r="J320" i="79"/>
  <c r="I320" i="79"/>
  <c r="J317" i="79"/>
  <c r="I317" i="79"/>
  <c r="J316" i="79"/>
  <c r="I316" i="79"/>
  <c r="J315" i="79"/>
  <c r="I315" i="79"/>
  <c r="J314" i="79"/>
  <c r="I314" i="79"/>
  <c r="J313" i="79"/>
  <c r="I313" i="79"/>
  <c r="J312" i="79"/>
  <c r="I312" i="79"/>
  <c r="J311" i="79"/>
  <c r="I311" i="79"/>
  <c r="J310" i="79"/>
  <c r="I310" i="79"/>
  <c r="J309" i="79"/>
  <c r="I309" i="79"/>
  <c r="J308" i="79"/>
  <c r="I308" i="79"/>
  <c r="J307" i="79"/>
  <c r="I307" i="79"/>
  <c r="J306" i="79"/>
  <c r="I306" i="79"/>
  <c r="J305" i="79"/>
  <c r="I305" i="79"/>
  <c r="J304" i="79"/>
  <c r="I304" i="79"/>
  <c r="J303" i="79"/>
  <c r="I303" i="79"/>
  <c r="J302" i="79"/>
  <c r="I302" i="79"/>
  <c r="J301" i="79"/>
  <c r="I301" i="79"/>
  <c r="J300" i="79"/>
  <c r="I300" i="79"/>
  <c r="J299" i="79"/>
  <c r="I299" i="79"/>
  <c r="J298" i="79"/>
  <c r="I298" i="79"/>
  <c r="J297" i="79"/>
  <c r="I297" i="79"/>
  <c r="J296" i="79"/>
  <c r="I296" i="79"/>
  <c r="J295" i="79"/>
  <c r="I295" i="79"/>
  <c r="J294" i="79"/>
  <c r="I294" i="79"/>
  <c r="J293" i="79"/>
  <c r="I293" i="79"/>
  <c r="J292" i="79"/>
  <c r="I292" i="79"/>
  <c r="J291" i="79"/>
  <c r="I291" i="79"/>
  <c r="J290" i="79"/>
  <c r="I290" i="79"/>
  <c r="J289" i="79"/>
  <c r="I289" i="79"/>
  <c r="J288" i="79"/>
  <c r="I288" i="79"/>
  <c r="J287" i="79"/>
  <c r="I287" i="79"/>
  <c r="J286" i="79"/>
  <c r="I286" i="79"/>
  <c r="J285" i="79"/>
  <c r="I285" i="79"/>
  <c r="J284" i="79"/>
  <c r="I284" i="79"/>
  <c r="J283" i="79"/>
  <c r="I283" i="79"/>
  <c r="J282" i="79"/>
  <c r="I282" i="79"/>
  <c r="J281" i="79"/>
  <c r="I281" i="79"/>
  <c r="J280" i="79"/>
  <c r="I280" i="79"/>
  <c r="J279" i="79"/>
  <c r="I279" i="79"/>
  <c r="J278" i="79"/>
  <c r="I278" i="79"/>
  <c r="J277" i="79"/>
  <c r="I277" i="79"/>
  <c r="J276" i="79"/>
  <c r="I276" i="79"/>
  <c r="J275" i="79"/>
  <c r="I275" i="79"/>
  <c r="J274" i="79"/>
  <c r="I274" i="79"/>
  <c r="J273" i="79"/>
  <c r="I273" i="79"/>
  <c r="J272" i="79"/>
  <c r="I272" i="79"/>
  <c r="J271" i="79"/>
  <c r="I271" i="79"/>
  <c r="J270" i="79"/>
  <c r="I270" i="79"/>
  <c r="J269" i="79"/>
  <c r="I269" i="79"/>
  <c r="J268" i="79"/>
  <c r="I268" i="79"/>
  <c r="J267" i="79"/>
  <c r="I267" i="79"/>
  <c r="J266" i="79"/>
  <c r="I266" i="79"/>
  <c r="J265" i="79"/>
  <c r="I265" i="79"/>
  <c r="J264" i="79"/>
  <c r="I264" i="79"/>
  <c r="J263" i="79"/>
  <c r="I263" i="79"/>
  <c r="J262" i="79"/>
  <c r="I262" i="79"/>
  <c r="J261" i="79"/>
  <c r="I261" i="79"/>
  <c r="J260" i="79"/>
  <c r="I260" i="79"/>
  <c r="J259" i="79"/>
  <c r="I259" i="79"/>
  <c r="J258" i="79"/>
  <c r="I258" i="79"/>
  <c r="J257" i="79"/>
  <c r="I257" i="79"/>
  <c r="J256" i="79"/>
  <c r="I256" i="79"/>
  <c r="J255" i="79"/>
  <c r="I255" i="79"/>
  <c r="J254" i="79"/>
  <c r="I254" i="79"/>
  <c r="J253" i="79"/>
  <c r="I253" i="79"/>
  <c r="J252" i="79"/>
  <c r="I252" i="79"/>
  <c r="J251" i="79"/>
  <c r="I251" i="79"/>
  <c r="J250" i="79"/>
  <c r="I250" i="79"/>
  <c r="J249" i="79"/>
  <c r="I249" i="79"/>
  <c r="J248" i="79"/>
  <c r="I248" i="79"/>
  <c r="J247" i="79"/>
  <c r="I247" i="79"/>
  <c r="J246" i="79"/>
  <c r="I246" i="79"/>
  <c r="J245" i="79"/>
  <c r="I245" i="79"/>
  <c r="J244" i="79"/>
  <c r="I244" i="79"/>
  <c r="J243" i="79"/>
  <c r="I243" i="79"/>
  <c r="J242" i="79"/>
  <c r="I242" i="79"/>
  <c r="J241" i="79"/>
  <c r="I241" i="79"/>
  <c r="J240" i="79"/>
  <c r="I240" i="79"/>
  <c r="J239" i="79"/>
  <c r="I239" i="79"/>
  <c r="J238" i="79"/>
  <c r="I238" i="79"/>
  <c r="J237" i="79"/>
  <c r="I237" i="79"/>
  <c r="J236" i="79"/>
  <c r="I236" i="79"/>
  <c r="J235" i="79"/>
  <c r="I235" i="79"/>
  <c r="J234" i="79"/>
  <c r="I234" i="79"/>
  <c r="J233" i="79"/>
  <c r="I233" i="79"/>
  <c r="J232" i="79"/>
  <c r="I232" i="79"/>
  <c r="J231" i="79"/>
  <c r="I231" i="79"/>
  <c r="J230" i="79"/>
  <c r="I230" i="79"/>
  <c r="J229" i="79"/>
  <c r="I229" i="79"/>
  <c r="J228" i="79"/>
  <c r="I228" i="79"/>
  <c r="J227" i="79"/>
  <c r="I227" i="79"/>
  <c r="J226" i="79"/>
  <c r="I226" i="79"/>
  <c r="J225" i="79"/>
  <c r="I225" i="79"/>
  <c r="J224" i="79"/>
  <c r="I224" i="79"/>
  <c r="J223" i="79"/>
  <c r="I223" i="79"/>
  <c r="J222" i="79"/>
  <c r="I222" i="79"/>
  <c r="J221" i="79"/>
  <c r="I221" i="79"/>
  <c r="J220" i="79"/>
  <c r="I220" i="79"/>
  <c r="J219" i="79"/>
  <c r="I219" i="79"/>
  <c r="J218" i="79"/>
  <c r="I218" i="79"/>
  <c r="J217" i="79"/>
  <c r="I217" i="79"/>
  <c r="J216" i="79"/>
  <c r="I216" i="79"/>
  <c r="J215" i="79"/>
  <c r="I215" i="79"/>
  <c r="J214" i="79"/>
  <c r="I214" i="79"/>
  <c r="J213" i="79"/>
  <c r="I213" i="79"/>
  <c r="J212" i="79"/>
  <c r="I212" i="79"/>
  <c r="J211" i="79"/>
  <c r="I211" i="79"/>
  <c r="J210" i="79"/>
  <c r="I210" i="79"/>
  <c r="J209" i="79"/>
  <c r="I209" i="79"/>
  <c r="J208" i="79"/>
  <c r="I208" i="79"/>
  <c r="J207" i="79"/>
  <c r="I207" i="79"/>
  <c r="J206" i="79"/>
  <c r="I206" i="79"/>
  <c r="J205" i="79"/>
  <c r="I205" i="79"/>
  <c r="J204" i="79"/>
  <c r="I204" i="79"/>
  <c r="J203" i="79"/>
  <c r="I203" i="79"/>
  <c r="J202" i="79"/>
  <c r="I202" i="79"/>
  <c r="J201" i="79"/>
  <c r="I201" i="79"/>
  <c r="J200" i="79"/>
  <c r="I200" i="79"/>
  <c r="J199" i="79"/>
  <c r="I199" i="79"/>
  <c r="J198" i="79"/>
  <c r="I198" i="79"/>
  <c r="J197" i="79"/>
  <c r="I197" i="79"/>
  <c r="J196" i="79"/>
  <c r="I196" i="79"/>
  <c r="J195" i="79"/>
  <c r="I195" i="79"/>
  <c r="J194" i="79"/>
  <c r="I194" i="79"/>
  <c r="J193" i="79"/>
  <c r="I193" i="79"/>
  <c r="J192" i="79"/>
  <c r="I192" i="79"/>
  <c r="J191" i="79"/>
  <c r="I191" i="79"/>
  <c r="J190" i="79"/>
  <c r="I190" i="79"/>
  <c r="J189" i="79"/>
  <c r="I189" i="79"/>
  <c r="J188" i="79"/>
  <c r="I188" i="79"/>
  <c r="J187" i="79"/>
  <c r="I187" i="79"/>
  <c r="J186" i="79"/>
  <c r="I186" i="79"/>
  <c r="J185" i="79"/>
  <c r="I185" i="79"/>
  <c r="J184" i="79"/>
  <c r="I184" i="79"/>
  <c r="J183" i="79"/>
  <c r="I183" i="79"/>
  <c r="J182" i="79"/>
  <c r="I182" i="79"/>
  <c r="J181" i="79"/>
  <c r="I181" i="79"/>
  <c r="J180" i="79"/>
  <c r="I180" i="79"/>
  <c r="J179" i="79"/>
  <c r="I179" i="79"/>
  <c r="J178" i="79"/>
  <c r="I178" i="79"/>
  <c r="J177" i="79"/>
  <c r="I177" i="79"/>
  <c r="J176" i="79"/>
  <c r="I176" i="79"/>
  <c r="J175" i="79"/>
  <c r="I175" i="79"/>
  <c r="J174" i="79"/>
  <c r="I174" i="79"/>
  <c r="J173" i="79"/>
  <c r="I173" i="79"/>
  <c r="J172" i="79"/>
  <c r="I172" i="79"/>
  <c r="J171" i="79"/>
  <c r="I171" i="79"/>
  <c r="J170" i="79"/>
  <c r="I170" i="79"/>
  <c r="J169" i="79"/>
  <c r="I169" i="79"/>
  <c r="J168" i="79"/>
  <c r="I168" i="79"/>
  <c r="J167" i="79"/>
  <c r="I167" i="79"/>
  <c r="J166" i="79"/>
  <c r="I166" i="79"/>
  <c r="J165" i="79"/>
  <c r="I165" i="79"/>
  <c r="J164" i="79"/>
  <c r="I164" i="79"/>
  <c r="J163" i="79"/>
  <c r="I163" i="79"/>
  <c r="J162" i="79"/>
  <c r="I162" i="79"/>
  <c r="J161" i="79"/>
  <c r="I161" i="79"/>
  <c r="J160" i="79"/>
  <c r="I160" i="79"/>
  <c r="J159" i="79"/>
  <c r="I159" i="79"/>
  <c r="J158" i="79"/>
  <c r="I158" i="79"/>
  <c r="J157" i="79"/>
  <c r="I157" i="79"/>
  <c r="J156" i="79"/>
  <c r="I156" i="79"/>
  <c r="J155" i="79"/>
  <c r="I155" i="79"/>
  <c r="J154" i="79"/>
  <c r="I154" i="79"/>
  <c r="J153" i="79"/>
  <c r="I153" i="79"/>
  <c r="J152" i="79"/>
  <c r="I152" i="79"/>
  <c r="J151" i="79"/>
  <c r="I151" i="79"/>
  <c r="J150" i="79"/>
  <c r="I150" i="79"/>
  <c r="J149" i="79"/>
  <c r="I149" i="79"/>
  <c r="J148" i="79"/>
  <c r="I148" i="79"/>
  <c r="J147" i="79"/>
  <c r="I147" i="79"/>
  <c r="J146" i="79"/>
  <c r="I146" i="79"/>
  <c r="J145" i="79"/>
  <c r="I145" i="79"/>
  <c r="J144" i="79"/>
  <c r="I144" i="79"/>
  <c r="J143" i="79"/>
  <c r="I143" i="79"/>
  <c r="J142" i="79"/>
  <c r="I142" i="79"/>
  <c r="J141" i="79"/>
  <c r="I141" i="79"/>
  <c r="J140" i="79"/>
  <c r="I140" i="79"/>
  <c r="J139" i="79"/>
  <c r="I139" i="79"/>
  <c r="J138" i="79"/>
  <c r="I138" i="79"/>
  <c r="J137" i="79"/>
  <c r="I137" i="79"/>
  <c r="J136" i="79"/>
  <c r="I136" i="79"/>
  <c r="J135" i="79"/>
  <c r="I135" i="79"/>
  <c r="J134" i="79"/>
  <c r="I134" i="79"/>
  <c r="J133" i="79"/>
  <c r="I133" i="79"/>
  <c r="J132" i="79"/>
  <c r="I132" i="79"/>
  <c r="J131" i="79"/>
  <c r="I131" i="79"/>
  <c r="J130" i="79"/>
  <c r="I130" i="79"/>
  <c r="J129" i="79"/>
  <c r="I129" i="79"/>
  <c r="J128" i="79"/>
  <c r="I128" i="79"/>
  <c r="J127" i="79"/>
  <c r="I127" i="79"/>
  <c r="J126" i="79"/>
  <c r="I126" i="79"/>
  <c r="J125" i="79"/>
  <c r="I125" i="79"/>
  <c r="J124" i="79"/>
  <c r="I124" i="79"/>
  <c r="J123" i="79"/>
  <c r="I123" i="79"/>
  <c r="J122" i="79"/>
  <c r="I122" i="79"/>
  <c r="J121" i="79"/>
  <c r="I121" i="79"/>
  <c r="J120" i="79"/>
  <c r="I120" i="79"/>
  <c r="J119" i="79"/>
  <c r="I119" i="79"/>
  <c r="J118" i="79"/>
  <c r="I118" i="79"/>
  <c r="J117" i="79"/>
  <c r="I117" i="79"/>
  <c r="J116" i="79"/>
  <c r="I116" i="79"/>
  <c r="J115" i="79"/>
  <c r="I115" i="79"/>
  <c r="J114" i="79"/>
  <c r="I114" i="79"/>
  <c r="J113" i="79"/>
  <c r="I113" i="79"/>
  <c r="J112" i="79"/>
  <c r="I112" i="79"/>
  <c r="J111" i="79"/>
  <c r="I111" i="79"/>
  <c r="J110" i="79"/>
  <c r="I110" i="79"/>
  <c r="J109" i="79"/>
  <c r="I109" i="79"/>
  <c r="J108" i="79"/>
  <c r="I108" i="79"/>
  <c r="J107" i="79"/>
  <c r="I107" i="79"/>
  <c r="J106" i="79"/>
  <c r="I106" i="79"/>
  <c r="J105" i="79"/>
  <c r="I105" i="79"/>
  <c r="J104" i="79"/>
  <c r="I104" i="79"/>
  <c r="J103" i="79"/>
  <c r="I103" i="79"/>
  <c r="J102" i="79"/>
  <c r="I102" i="79"/>
  <c r="J101" i="79"/>
  <c r="I101" i="79"/>
  <c r="J100" i="79"/>
  <c r="I100" i="79"/>
  <c r="J99" i="79"/>
  <c r="I99" i="79"/>
  <c r="J98" i="79"/>
  <c r="I98" i="79"/>
  <c r="J97" i="79"/>
  <c r="I97" i="79"/>
  <c r="J96" i="79"/>
  <c r="I96" i="79"/>
  <c r="J95" i="79"/>
  <c r="I95" i="79"/>
  <c r="J94" i="79"/>
  <c r="I94" i="79"/>
  <c r="J93" i="79"/>
  <c r="I93" i="79"/>
  <c r="J92" i="79"/>
  <c r="I92" i="79"/>
  <c r="J91" i="79"/>
  <c r="I91" i="79"/>
  <c r="J90" i="79"/>
  <c r="I90" i="79"/>
  <c r="J89" i="79"/>
  <c r="I89" i="79"/>
  <c r="J88" i="79"/>
  <c r="I88" i="79"/>
  <c r="J87" i="79"/>
  <c r="I87" i="79"/>
  <c r="J86" i="79"/>
  <c r="I86" i="79"/>
  <c r="J85" i="79"/>
  <c r="I85" i="79"/>
  <c r="J84" i="79"/>
  <c r="I84" i="79"/>
  <c r="J83" i="79"/>
  <c r="I83" i="79"/>
  <c r="J82" i="79"/>
  <c r="I82" i="79"/>
  <c r="J81" i="79"/>
  <c r="I81" i="79"/>
  <c r="J80" i="79"/>
  <c r="I80" i="79"/>
  <c r="J79" i="79"/>
  <c r="I79" i="79"/>
  <c r="J78" i="79"/>
  <c r="I78" i="79"/>
  <c r="J77" i="79"/>
  <c r="I77" i="79"/>
  <c r="J76" i="79"/>
  <c r="I76" i="79"/>
  <c r="J75" i="79"/>
  <c r="I75" i="79"/>
  <c r="J74" i="79"/>
  <c r="I74" i="79"/>
  <c r="J73" i="79"/>
  <c r="I73" i="79"/>
  <c r="J72" i="79"/>
  <c r="I72" i="79"/>
  <c r="J71" i="79"/>
  <c r="I71" i="79"/>
  <c r="J70" i="79"/>
  <c r="I70" i="79"/>
  <c r="J69" i="79"/>
  <c r="I69" i="79"/>
  <c r="J68" i="79"/>
  <c r="I68" i="79"/>
  <c r="J67" i="79"/>
  <c r="I67" i="79"/>
  <c r="J66" i="79"/>
  <c r="I66" i="79"/>
  <c r="J65" i="79"/>
  <c r="I65" i="79"/>
  <c r="J64" i="79"/>
  <c r="I64" i="79"/>
  <c r="J63" i="79"/>
  <c r="I63" i="79"/>
  <c r="J62" i="79"/>
  <c r="I62" i="79"/>
  <c r="J61" i="79"/>
  <c r="I61" i="79"/>
  <c r="J60" i="79"/>
  <c r="I60" i="79"/>
  <c r="J59" i="79"/>
  <c r="I59" i="79"/>
  <c r="J58" i="79"/>
  <c r="I58" i="79"/>
  <c r="J57" i="79"/>
  <c r="I57" i="79"/>
  <c r="J56" i="79"/>
  <c r="I56" i="79"/>
  <c r="J55" i="79"/>
  <c r="I55" i="79"/>
  <c r="J54" i="79"/>
  <c r="I54" i="79"/>
  <c r="J53" i="79"/>
  <c r="I53" i="79"/>
  <c r="J52" i="79"/>
  <c r="I52" i="79"/>
  <c r="J51" i="79"/>
  <c r="I51" i="79"/>
  <c r="J50" i="79"/>
  <c r="I50" i="79"/>
  <c r="J49" i="79"/>
  <c r="I49" i="79"/>
  <c r="J48" i="79"/>
  <c r="I48" i="79"/>
  <c r="J47" i="79"/>
  <c r="I47" i="79"/>
  <c r="J46" i="79"/>
  <c r="I46" i="79"/>
  <c r="J45" i="79"/>
  <c r="I45" i="79"/>
  <c r="J44" i="79"/>
  <c r="I44" i="79"/>
  <c r="J43" i="79"/>
  <c r="I43" i="79"/>
  <c r="J42" i="79"/>
  <c r="I42" i="79"/>
  <c r="J41" i="79"/>
  <c r="I41" i="79"/>
  <c r="J40" i="79"/>
  <c r="I40" i="79"/>
  <c r="J39" i="79"/>
  <c r="I39" i="79"/>
  <c r="J38" i="79"/>
  <c r="I38" i="79"/>
  <c r="J37" i="79"/>
  <c r="I37" i="79"/>
  <c r="J36" i="79"/>
  <c r="I36" i="79"/>
  <c r="J35" i="79"/>
  <c r="I35" i="79"/>
  <c r="J34" i="79"/>
  <c r="I34" i="79"/>
  <c r="J33" i="79"/>
  <c r="I33" i="79"/>
  <c r="J32" i="79"/>
  <c r="I32" i="79"/>
  <c r="J31" i="79"/>
  <c r="I31" i="79"/>
  <c r="J30" i="79"/>
  <c r="I30" i="79"/>
  <c r="J29" i="79"/>
  <c r="I29" i="79"/>
  <c r="J28" i="79"/>
  <c r="I28" i="79"/>
  <c r="J27" i="79"/>
  <c r="I27" i="79"/>
  <c r="J26" i="79"/>
  <c r="I26" i="79"/>
  <c r="J25" i="79"/>
  <c r="I25" i="79"/>
  <c r="J24" i="79"/>
  <c r="I24" i="79"/>
  <c r="J23" i="79"/>
  <c r="I23" i="79"/>
  <c r="J22" i="79"/>
  <c r="I22" i="79"/>
  <c r="J21" i="79"/>
  <c r="I21" i="79"/>
  <c r="J20" i="79"/>
  <c r="I20" i="79"/>
  <c r="J19" i="79"/>
  <c r="I19" i="79"/>
  <c r="J525" i="84"/>
  <c r="I525" i="84"/>
  <c r="J524" i="84"/>
  <c r="I524" i="84"/>
  <c r="J523" i="84"/>
  <c r="I523" i="84"/>
  <c r="J522" i="84"/>
  <c r="I522" i="84"/>
  <c r="J521" i="84"/>
  <c r="I521" i="84"/>
  <c r="J520" i="84"/>
  <c r="I520" i="84"/>
  <c r="J519" i="84"/>
  <c r="I519" i="84"/>
  <c r="J518" i="84"/>
  <c r="I518" i="84"/>
  <c r="J517" i="84"/>
  <c r="I517" i="84"/>
  <c r="J516" i="84"/>
  <c r="I516" i="84"/>
  <c r="J515" i="84"/>
  <c r="I515" i="84"/>
  <c r="J514" i="84"/>
  <c r="I514" i="84"/>
  <c r="J513" i="84"/>
  <c r="I513" i="84"/>
  <c r="J512" i="84"/>
  <c r="I512" i="84"/>
  <c r="J511" i="84"/>
  <c r="I511" i="84"/>
  <c r="J510" i="84"/>
  <c r="I510" i="84"/>
  <c r="J509" i="84"/>
  <c r="I509" i="84"/>
  <c r="J508" i="84"/>
  <c r="I508" i="84"/>
  <c r="J507" i="84"/>
  <c r="I507" i="84"/>
  <c r="J506" i="84"/>
  <c r="I506" i="84"/>
  <c r="J505" i="84"/>
  <c r="I505" i="84"/>
  <c r="J504" i="84"/>
  <c r="I504" i="84"/>
  <c r="J503" i="84"/>
  <c r="I503" i="84"/>
  <c r="J502" i="84"/>
  <c r="I502" i="84"/>
  <c r="J501" i="84"/>
  <c r="I501" i="84"/>
  <c r="J500" i="84"/>
  <c r="I500" i="84"/>
  <c r="J499" i="84"/>
  <c r="I499" i="84"/>
  <c r="J498" i="84"/>
  <c r="I498" i="84"/>
  <c r="J497" i="84"/>
  <c r="I497" i="84"/>
  <c r="J496" i="84"/>
  <c r="I496" i="84"/>
  <c r="J495" i="84"/>
  <c r="I495" i="84"/>
  <c r="J494" i="84"/>
  <c r="I494" i="84"/>
  <c r="J493" i="84"/>
  <c r="I493" i="84"/>
  <c r="J492" i="84"/>
  <c r="I492" i="84"/>
  <c r="J491" i="84"/>
  <c r="I491" i="84"/>
  <c r="J490" i="84"/>
  <c r="I490" i="84"/>
  <c r="J489" i="84"/>
  <c r="I489" i="84"/>
  <c r="J488" i="84"/>
  <c r="I488" i="84"/>
  <c r="J487" i="84"/>
  <c r="I487" i="84"/>
  <c r="J486" i="84"/>
  <c r="I486" i="84"/>
  <c r="J485" i="84"/>
  <c r="I485" i="84"/>
  <c r="J484" i="84"/>
  <c r="I484" i="84"/>
  <c r="J483" i="84"/>
  <c r="I483" i="84"/>
  <c r="J482" i="84"/>
  <c r="I482" i="84"/>
  <c r="J481" i="84"/>
  <c r="I481" i="84"/>
  <c r="J480" i="84"/>
  <c r="I480" i="84"/>
  <c r="J479" i="84"/>
  <c r="I479" i="84"/>
  <c r="J478" i="84"/>
  <c r="I478" i="84"/>
  <c r="J477" i="84"/>
  <c r="I477" i="84"/>
  <c r="J476" i="84"/>
  <c r="I476" i="84"/>
  <c r="J475" i="84"/>
  <c r="I475" i="84"/>
  <c r="J474" i="84"/>
  <c r="I474" i="84"/>
  <c r="J473" i="84"/>
  <c r="I473" i="84"/>
  <c r="J472" i="84"/>
  <c r="I472" i="84"/>
  <c r="J471" i="84"/>
  <c r="I471" i="84"/>
  <c r="J470" i="84"/>
  <c r="I470" i="84"/>
  <c r="J469" i="84"/>
  <c r="I469" i="84"/>
  <c r="J468" i="84"/>
  <c r="I468" i="84"/>
  <c r="J467" i="84"/>
  <c r="I467" i="84"/>
  <c r="J466" i="84"/>
  <c r="I466" i="84"/>
  <c r="J465" i="84"/>
  <c r="I465" i="84"/>
  <c r="J464" i="84"/>
  <c r="I464" i="84"/>
  <c r="J463" i="84"/>
  <c r="I463" i="84"/>
  <c r="J462" i="84"/>
  <c r="I462" i="84"/>
  <c r="J461" i="84"/>
  <c r="I461" i="84"/>
  <c r="J460" i="84"/>
  <c r="I460" i="84"/>
  <c r="J459" i="84"/>
  <c r="I459" i="84"/>
  <c r="J458" i="84"/>
  <c r="I458" i="84"/>
  <c r="J457" i="84"/>
  <c r="I457" i="84"/>
  <c r="J456" i="84"/>
  <c r="I456" i="84"/>
  <c r="J455" i="84"/>
  <c r="I455" i="84"/>
  <c r="J454" i="84"/>
  <c r="I454" i="84"/>
  <c r="J453" i="84"/>
  <c r="I453" i="84"/>
  <c r="J452" i="84"/>
  <c r="I452" i="84"/>
  <c r="J451" i="84"/>
  <c r="I451" i="84"/>
  <c r="J450" i="84"/>
  <c r="I450" i="84"/>
  <c r="J449" i="84"/>
  <c r="I449" i="84"/>
  <c r="J448" i="84"/>
  <c r="I448" i="84"/>
  <c r="J447" i="84"/>
  <c r="I447" i="84"/>
  <c r="J446" i="84"/>
  <c r="I446" i="84"/>
  <c r="J445" i="84"/>
  <c r="I445" i="84"/>
  <c r="J444" i="84"/>
  <c r="I444" i="84"/>
  <c r="J443" i="84"/>
  <c r="I443" i="84"/>
  <c r="J442" i="84"/>
  <c r="I442" i="84"/>
  <c r="J441" i="84"/>
  <c r="I441" i="84"/>
  <c r="J440" i="84"/>
  <c r="I440" i="84"/>
  <c r="J439" i="84"/>
  <c r="I439" i="84"/>
  <c r="J438" i="84"/>
  <c r="I438" i="84"/>
  <c r="J437" i="84"/>
  <c r="I437" i="84"/>
  <c r="J436" i="84"/>
  <c r="I436" i="84"/>
  <c r="J435" i="84"/>
  <c r="I435" i="84"/>
  <c r="J434" i="84"/>
  <c r="I434" i="84"/>
  <c r="J433" i="84"/>
  <c r="I433" i="84"/>
  <c r="J432" i="84"/>
  <c r="I432" i="84"/>
  <c r="J431" i="84"/>
  <c r="I431" i="84"/>
  <c r="J430" i="84"/>
  <c r="I430" i="84"/>
  <c r="J429" i="84"/>
  <c r="I429" i="84"/>
  <c r="J428" i="84"/>
  <c r="I428" i="84"/>
  <c r="J427" i="84"/>
  <c r="I427" i="84"/>
  <c r="J426" i="84"/>
  <c r="I426" i="84"/>
  <c r="J425" i="84"/>
  <c r="I425" i="84"/>
  <c r="J424" i="84"/>
  <c r="I424" i="84"/>
  <c r="J423" i="84"/>
  <c r="I423" i="84"/>
  <c r="J422" i="84"/>
  <c r="I422" i="84"/>
  <c r="J421" i="84"/>
  <c r="I421" i="84"/>
  <c r="J420" i="84"/>
  <c r="I420" i="84"/>
  <c r="J419" i="84"/>
  <c r="I419" i="84"/>
  <c r="J418" i="84"/>
  <c r="I418" i="84"/>
  <c r="J417" i="84"/>
  <c r="I417" i="84"/>
  <c r="J416" i="84"/>
  <c r="I416" i="84"/>
  <c r="J415" i="84"/>
  <c r="I415" i="84"/>
  <c r="J414" i="84"/>
  <c r="I414" i="84"/>
  <c r="J413" i="84"/>
  <c r="I413" i="84"/>
  <c r="J412" i="84"/>
  <c r="I412" i="84"/>
  <c r="J411" i="84"/>
  <c r="I411" i="84"/>
  <c r="J410" i="84"/>
  <c r="I410" i="84"/>
  <c r="J409" i="84"/>
  <c r="I409" i="84"/>
  <c r="J408" i="84"/>
  <c r="I408" i="84"/>
  <c r="J407" i="84"/>
  <c r="I407" i="84"/>
  <c r="J406" i="84"/>
  <c r="I406" i="84"/>
  <c r="J405" i="84"/>
  <c r="I405" i="84"/>
  <c r="J404" i="84"/>
  <c r="I404" i="84"/>
  <c r="J403" i="84"/>
  <c r="I403" i="84"/>
  <c r="J402" i="84"/>
  <c r="I402" i="84"/>
  <c r="J401" i="84"/>
  <c r="I401" i="84"/>
  <c r="J400" i="84"/>
  <c r="I400" i="84"/>
  <c r="J399" i="84"/>
  <c r="I399" i="84"/>
  <c r="J398" i="84"/>
  <c r="I398" i="84"/>
  <c r="J397" i="84"/>
  <c r="I397" i="84"/>
  <c r="J396" i="84"/>
  <c r="I396" i="84"/>
  <c r="J395" i="84"/>
  <c r="I395" i="84"/>
  <c r="J394" i="84"/>
  <c r="I394" i="84"/>
  <c r="J393" i="84"/>
  <c r="I393" i="84"/>
  <c r="J392" i="84"/>
  <c r="I392" i="84"/>
  <c r="J391" i="84"/>
  <c r="I391" i="84"/>
  <c r="J390" i="84"/>
  <c r="I390" i="84"/>
  <c r="J389" i="84"/>
  <c r="I389" i="84"/>
  <c r="J388" i="84"/>
  <c r="I388" i="84"/>
  <c r="J387" i="84"/>
  <c r="I387" i="84"/>
  <c r="J386" i="84"/>
  <c r="I386" i="84"/>
  <c r="J385" i="84"/>
  <c r="I385" i="84"/>
  <c r="J384" i="84"/>
  <c r="I384" i="84"/>
  <c r="J383" i="84"/>
  <c r="I383" i="84"/>
  <c r="J382" i="84"/>
  <c r="I382" i="84"/>
  <c r="J381" i="84"/>
  <c r="I381" i="84"/>
  <c r="J380" i="84"/>
  <c r="I380" i="84"/>
  <c r="J379" i="84"/>
  <c r="I379" i="84"/>
  <c r="J378" i="84"/>
  <c r="I378" i="84"/>
  <c r="J377" i="84"/>
  <c r="I377" i="84"/>
  <c r="J376" i="84"/>
  <c r="I376" i="84"/>
  <c r="J375" i="84"/>
  <c r="I375" i="84"/>
  <c r="J374" i="84"/>
  <c r="I374" i="84"/>
  <c r="J373" i="84"/>
  <c r="I373" i="84"/>
  <c r="J372" i="84"/>
  <c r="I372" i="84"/>
  <c r="J371" i="84"/>
  <c r="I371" i="84"/>
  <c r="J370" i="84"/>
  <c r="I370" i="84"/>
  <c r="J369" i="84"/>
  <c r="I369" i="84"/>
  <c r="J368" i="84"/>
  <c r="I368" i="84"/>
  <c r="J367" i="84"/>
  <c r="I367" i="84"/>
  <c r="J366" i="84"/>
  <c r="I366" i="84"/>
  <c r="J365" i="84"/>
  <c r="I365" i="84"/>
  <c r="J364" i="84"/>
  <c r="I364" i="84"/>
  <c r="J363" i="84"/>
  <c r="I363" i="84"/>
  <c r="J362" i="84"/>
  <c r="I362" i="84"/>
  <c r="J361" i="84"/>
  <c r="I361" i="84"/>
  <c r="J360" i="84"/>
  <c r="I360" i="84"/>
  <c r="J359" i="84"/>
  <c r="I359" i="84"/>
  <c r="J358" i="84"/>
  <c r="I358" i="84"/>
  <c r="J357" i="84"/>
  <c r="I357" i="84"/>
  <c r="J356" i="84"/>
  <c r="I356" i="84"/>
  <c r="J355" i="84"/>
  <c r="I355" i="84"/>
  <c r="J354" i="84"/>
  <c r="I354" i="84"/>
  <c r="J353" i="84"/>
  <c r="I353" i="84"/>
  <c r="J352" i="84"/>
  <c r="I352" i="84"/>
  <c r="J351" i="84"/>
  <c r="I351" i="84"/>
  <c r="J350" i="84"/>
  <c r="I350" i="84"/>
  <c r="J349" i="84"/>
  <c r="I349" i="84"/>
  <c r="J348" i="84"/>
  <c r="I348" i="84"/>
  <c r="J347" i="84"/>
  <c r="I347" i="84"/>
  <c r="J346" i="84"/>
  <c r="I346" i="84"/>
  <c r="J345" i="84"/>
  <c r="I345" i="84"/>
  <c r="J344" i="84"/>
  <c r="I344" i="84"/>
  <c r="J343" i="84"/>
  <c r="I343" i="84"/>
  <c r="J342" i="84"/>
  <c r="I342" i="84"/>
  <c r="J341" i="84"/>
  <c r="I341" i="84"/>
  <c r="J340" i="84"/>
  <c r="I340" i="84"/>
  <c r="J339" i="84"/>
  <c r="I339" i="84"/>
  <c r="J338" i="84"/>
  <c r="I338" i="84"/>
  <c r="J337" i="84"/>
  <c r="I337" i="84"/>
  <c r="J336" i="84"/>
  <c r="I336" i="84"/>
  <c r="J335" i="84"/>
  <c r="I335" i="84"/>
  <c r="J334" i="84"/>
  <c r="I334" i="84"/>
  <c r="J333" i="84"/>
  <c r="I333" i="84"/>
  <c r="J332" i="84"/>
  <c r="I332" i="84"/>
  <c r="J331" i="84"/>
  <c r="I331" i="84"/>
  <c r="J330" i="84"/>
  <c r="I330" i="84"/>
  <c r="J329" i="84"/>
  <c r="I329" i="84"/>
  <c r="J328" i="84"/>
  <c r="I328" i="84"/>
  <c r="J327" i="84"/>
  <c r="I327" i="84"/>
  <c r="J326" i="84"/>
  <c r="I326" i="84"/>
  <c r="J325" i="84"/>
  <c r="I325" i="84"/>
  <c r="J324" i="84"/>
  <c r="I324" i="84"/>
  <c r="J323" i="84"/>
  <c r="I323" i="84"/>
  <c r="J322" i="84"/>
  <c r="I322" i="84"/>
  <c r="J321" i="84"/>
  <c r="I321" i="84"/>
  <c r="J320" i="84"/>
  <c r="I320" i="84"/>
  <c r="J317" i="84"/>
  <c r="I317" i="84"/>
  <c r="J316" i="84"/>
  <c r="I316" i="84"/>
  <c r="J315" i="84"/>
  <c r="I315" i="84"/>
  <c r="J314" i="84"/>
  <c r="I314" i="84"/>
  <c r="J313" i="84"/>
  <c r="I313" i="84"/>
  <c r="J312" i="84"/>
  <c r="I312" i="84"/>
  <c r="J311" i="84"/>
  <c r="I311" i="84"/>
  <c r="J310" i="84"/>
  <c r="I310" i="84"/>
  <c r="J309" i="84"/>
  <c r="I309" i="84"/>
  <c r="J308" i="84"/>
  <c r="I308" i="84"/>
  <c r="J307" i="84"/>
  <c r="I307" i="84"/>
  <c r="J306" i="84"/>
  <c r="I306" i="84"/>
  <c r="J305" i="84"/>
  <c r="I305" i="84"/>
  <c r="J304" i="84"/>
  <c r="I304" i="84"/>
  <c r="J303" i="84"/>
  <c r="I303" i="84"/>
  <c r="J302" i="84"/>
  <c r="I302" i="84"/>
  <c r="J301" i="84"/>
  <c r="I301" i="84"/>
  <c r="J300" i="84"/>
  <c r="I300" i="84"/>
  <c r="J299" i="84"/>
  <c r="I299" i="84"/>
  <c r="J298" i="84"/>
  <c r="I298" i="84"/>
  <c r="J297" i="84"/>
  <c r="I297" i="84"/>
  <c r="J296" i="84"/>
  <c r="I296" i="84"/>
  <c r="J295" i="84"/>
  <c r="I295" i="84"/>
  <c r="J294" i="84"/>
  <c r="I294" i="84"/>
  <c r="J293" i="84"/>
  <c r="I293" i="84"/>
  <c r="J292" i="84"/>
  <c r="I292" i="84"/>
  <c r="J291" i="84"/>
  <c r="I291" i="84"/>
  <c r="J290" i="84"/>
  <c r="I290" i="84"/>
  <c r="J289" i="84"/>
  <c r="I289" i="84"/>
  <c r="J288" i="84"/>
  <c r="I288" i="84"/>
  <c r="J287" i="84"/>
  <c r="I287" i="84"/>
  <c r="J286" i="84"/>
  <c r="I286" i="84"/>
  <c r="J285" i="84"/>
  <c r="I285" i="84"/>
  <c r="J284" i="84"/>
  <c r="I284" i="84"/>
  <c r="J283" i="84"/>
  <c r="I283" i="84"/>
  <c r="J282" i="84"/>
  <c r="I282" i="84"/>
  <c r="J281" i="84"/>
  <c r="I281" i="84"/>
  <c r="J280" i="84"/>
  <c r="I280" i="84"/>
  <c r="J279" i="84"/>
  <c r="I279" i="84"/>
  <c r="J278" i="84"/>
  <c r="I278" i="84"/>
  <c r="J277" i="84"/>
  <c r="I277" i="84"/>
  <c r="J276" i="84"/>
  <c r="I276" i="84"/>
  <c r="J275" i="84"/>
  <c r="I275" i="84"/>
  <c r="J274" i="84"/>
  <c r="I274" i="84"/>
  <c r="J273" i="84"/>
  <c r="I273" i="84"/>
  <c r="J272" i="84"/>
  <c r="I272" i="84"/>
  <c r="J271" i="84"/>
  <c r="I271" i="84"/>
  <c r="J270" i="84"/>
  <c r="I270" i="84"/>
  <c r="J269" i="84"/>
  <c r="I269" i="84"/>
  <c r="J268" i="84"/>
  <c r="I268" i="84"/>
  <c r="J267" i="84"/>
  <c r="I267" i="84"/>
  <c r="J266" i="84"/>
  <c r="I266" i="84"/>
  <c r="J265" i="84"/>
  <c r="I265" i="84"/>
  <c r="J264" i="84"/>
  <c r="I264" i="84"/>
  <c r="J263" i="84"/>
  <c r="I263" i="84"/>
  <c r="J262" i="84"/>
  <c r="I262" i="84"/>
  <c r="J261" i="84"/>
  <c r="I261" i="84"/>
  <c r="J260" i="84"/>
  <c r="I260" i="84"/>
  <c r="J259" i="84"/>
  <c r="I259" i="84"/>
  <c r="J258" i="84"/>
  <c r="I258" i="84"/>
  <c r="J257" i="84"/>
  <c r="I257" i="84"/>
  <c r="J256" i="84"/>
  <c r="I256" i="84"/>
  <c r="J255" i="84"/>
  <c r="I255" i="84"/>
  <c r="J254" i="84"/>
  <c r="I254" i="84"/>
  <c r="J253" i="84"/>
  <c r="I253" i="84"/>
  <c r="J252" i="84"/>
  <c r="I252" i="84"/>
  <c r="J251" i="84"/>
  <c r="I251" i="84"/>
  <c r="J250" i="84"/>
  <c r="I250" i="84"/>
  <c r="J249" i="84"/>
  <c r="I249" i="84"/>
  <c r="J248" i="84"/>
  <c r="I248" i="84"/>
  <c r="J247" i="84"/>
  <c r="I247" i="84"/>
  <c r="J246" i="84"/>
  <c r="I246" i="84"/>
  <c r="J245" i="84"/>
  <c r="I245" i="84"/>
  <c r="J244" i="84"/>
  <c r="I244" i="84"/>
  <c r="J243" i="84"/>
  <c r="I243" i="84"/>
  <c r="J242" i="84"/>
  <c r="I242" i="84"/>
  <c r="J241" i="84"/>
  <c r="I241" i="84"/>
  <c r="J240" i="84"/>
  <c r="I240" i="84"/>
  <c r="J239" i="84"/>
  <c r="I239" i="84"/>
  <c r="J238" i="84"/>
  <c r="I238" i="84"/>
  <c r="J237" i="84"/>
  <c r="I237" i="84"/>
  <c r="J236" i="84"/>
  <c r="I236" i="84"/>
  <c r="J235" i="84"/>
  <c r="I235" i="84"/>
  <c r="J234" i="84"/>
  <c r="I234" i="84"/>
  <c r="J233" i="84"/>
  <c r="I233" i="84"/>
  <c r="J232" i="84"/>
  <c r="I232" i="84"/>
  <c r="J231" i="84"/>
  <c r="I231" i="84"/>
  <c r="J230" i="84"/>
  <c r="I230" i="84"/>
  <c r="J229" i="84"/>
  <c r="I229" i="84"/>
  <c r="J228" i="84"/>
  <c r="I228" i="84"/>
  <c r="J227" i="84"/>
  <c r="I227" i="84"/>
  <c r="J226" i="84"/>
  <c r="I226" i="84"/>
  <c r="J225" i="84"/>
  <c r="I225" i="84"/>
  <c r="J224" i="84"/>
  <c r="I224" i="84"/>
  <c r="J223" i="84"/>
  <c r="I223" i="84"/>
  <c r="J222" i="84"/>
  <c r="I222" i="84"/>
  <c r="J221" i="84"/>
  <c r="I221" i="84"/>
  <c r="J220" i="84"/>
  <c r="I220" i="84"/>
  <c r="J219" i="84"/>
  <c r="I219" i="84"/>
  <c r="J218" i="84"/>
  <c r="I218" i="84"/>
  <c r="J217" i="84"/>
  <c r="I217" i="84"/>
  <c r="J216" i="84"/>
  <c r="I216" i="84"/>
  <c r="J215" i="84"/>
  <c r="I215" i="84"/>
  <c r="J214" i="84"/>
  <c r="I214" i="84"/>
  <c r="J213" i="84"/>
  <c r="I213" i="84"/>
  <c r="J212" i="84"/>
  <c r="I212" i="84"/>
  <c r="J211" i="84"/>
  <c r="I211" i="84"/>
  <c r="J210" i="84"/>
  <c r="I210" i="84"/>
  <c r="J209" i="84"/>
  <c r="I209" i="84"/>
  <c r="J208" i="84"/>
  <c r="I208" i="84"/>
  <c r="J207" i="84"/>
  <c r="I207" i="84"/>
  <c r="J206" i="84"/>
  <c r="I206" i="84"/>
  <c r="J205" i="84"/>
  <c r="I205" i="84"/>
  <c r="J204" i="84"/>
  <c r="I204" i="84"/>
  <c r="J203" i="84"/>
  <c r="I203" i="84"/>
  <c r="J202" i="84"/>
  <c r="I202" i="84"/>
  <c r="J201" i="84"/>
  <c r="I201" i="84"/>
  <c r="J200" i="84"/>
  <c r="I200" i="84"/>
  <c r="J199" i="84"/>
  <c r="I199" i="84"/>
  <c r="J198" i="84"/>
  <c r="I198" i="84"/>
  <c r="J197" i="84"/>
  <c r="I197" i="84"/>
  <c r="J196" i="84"/>
  <c r="I196" i="84"/>
  <c r="J195" i="84"/>
  <c r="I195" i="84"/>
  <c r="J194" i="84"/>
  <c r="I194" i="84"/>
  <c r="J193" i="84"/>
  <c r="I193" i="84"/>
  <c r="J192" i="84"/>
  <c r="I192" i="84"/>
  <c r="J191" i="84"/>
  <c r="I191" i="84"/>
  <c r="J190" i="84"/>
  <c r="I190" i="84"/>
  <c r="J189" i="84"/>
  <c r="I189" i="84"/>
  <c r="J188" i="84"/>
  <c r="I188" i="84"/>
  <c r="J187" i="84"/>
  <c r="I187" i="84"/>
  <c r="J186" i="84"/>
  <c r="I186" i="84"/>
  <c r="J185" i="84"/>
  <c r="I185" i="84"/>
  <c r="J184" i="84"/>
  <c r="I184" i="84"/>
  <c r="J183" i="84"/>
  <c r="I183" i="84"/>
  <c r="J182" i="84"/>
  <c r="I182" i="84"/>
  <c r="J181" i="84"/>
  <c r="I181" i="84"/>
  <c r="J180" i="84"/>
  <c r="I180" i="84"/>
  <c r="J179" i="84"/>
  <c r="I179" i="84"/>
  <c r="J178" i="84"/>
  <c r="I178" i="84"/>
  <c r="J177" i="84"/>
  <c r="I177" i="84"/>
  <c r="J176" i="84"/>
  <c r="I176" i="84"/>
  <c r="J175" i="84"/>
  <c r="I175" i="84"/>
  <c r="J174" i="84"/>
  <c r="I174" i="84"/>
  <c r="J173" i="84"/>
  <c r="I173" i="84"/>
  <c r="J172" i="84"/>
  <c r="I172" i="84"/>
  <c r="J171" i="84"/>
  <c r="I171" i="84"/>
  <c r="J170" i="84"/>
  <c r="I170" i="84"/>
  <c r="J169" i="84"/>
  <c r="I169" i="84"/>
  <c r="J168" i="84"/>
  <c r="I168" i="84"/>
  <c r="J167" i="84"/>
  <c r="I167" i="84"/>
  <c r="J166" i="84"/>
  <c r="I166" i="84"/>
  <c r="J165" i="84"/>
  <c r="I165" i="84"/>
  <c r="J164" i="84"/>
  <c r="I164" i="84"/>
  <c r="J163" i="84"/>
  <c r="I163" i="84"/>
  <c r="J162" i="84"/>
  <c r="I162" i="84"/>
  <c r="J161" i="84"/>
  <c r="I161" i="84"/>
  <c r="J160" i="84"/>
  <c r="I160" i="84"/>
  <c r="J159" i="84"/>
  <c r="I159" i="84"/>
  <c r="J158" i="84"/>
  <c r="I158" i="84"/>
  <c r="J157" i="84"/>
  <c r="I157" i="84"/>
  <c r="J156" i="84"/>
  <c r="I156" i="84"/>
  <c r="J155" i="84"/>
  <c r="I155" i="84"/>
  <c r="J154" i="84"/>
  <c r="I154" i="84"/>
  <c r="J153" i="84"/>
  <c r="I153" i="84"/>
  <c r="J152" i="84"/>
  <c r="I152" i="84"/>
  <c r="J151" i="84"/>
  <c r="I151" i="84"/>
  <c r="J150" i="84"/>
  <c r="I150" i="84"/>
  <c r="J149" i="84"/>
  <c r="I149" i="84"/>
  <c r="J148" i="84"/>
  <c r="I148" i="84"/>
  <c r="J147" i="84"/>
  <c r="I147" i="84"/>
  <c r="J146" i="84"/>
  <c r="I146" i="84"/>
  <c r="J145" i="84"/>
  <c r="I145" i="84"/>
  <c r="J144" i="84"/>
  <c r="I144" i="84"/>
  <c r="J143" i="84"/>
  <c r="I143" i="84"/>
  <c r="J142" i="84"/>
  <c r="I142" i="84"/>
  <c r="J141" i="84"/>
  <c r="I141" i="84"/>
  <c r="J140" i="84"/>
  <c r="I140" i="84"/>
  <c r="J139" i="84"/>
  <c r="I139" i="84"/>
  <c r="J138" i="84"/>
  <c r="I138" i="84"/>
  <c r="J137" i="84"/>
  <c r="I137" i="84"/>
  <c r="J136" i="84"/>
  <c r="I136" i="84"/>
  <c r="J135" i="84"/>
  <c r="I135" i="84"/>
  <c r="J134" i="84"/>
  <c r="I134" i="84"/>
  <c r="J133" i="84"/>
  <c r="I133" i="84"/>
  <c r="J132" i="84"/>
  <c r="I132" i="84"/>
  <c r="J131" i="84"/>
  <c r="I131" i="84"/>
  <c r="J130" i="84"/>
  <c r="I130" i="84"/>
  <c r="J129" i="84"/>
  <c r="I129" i="84"/>
  <c r="J128" i="84"/>
  <c r="I128" i="84"/>
  <c r="J127" i="84"/>
  <c r="I127" i="84"/>
  <c r="J126" i="84"/>
  <c r="I126" i="84"/>
  <c r="J125" i="84"/>
  <c r="I125" i="84"/>
  <c r="J124" i="84"/>
  <c r="I124" i="84"/>
  <c r="J123" i="84"/>
  <c r="I123" i="84"/>
  <c r="J122" i="84"/>
  <c r="I122" i="84"/>
  <c r="J121" i="84"/>
  <c r="I121" i="84"/>
  <c r="J120" i="84"/>
  <c r="I120" i="84"/>
  <c r="J119" i="84"/>
  <c r="I119" i="84"/>
  <c r="J118" i="84"/>
  <c r="I118" i="84"/>
  <c r="J117" i="84"/>
  <c r="I117" i="84"/>
  <c r="J116" i="84"/>
  <c r="I116" i="84"/>
  <c r="J115" i="84"/>
  <c r="I115" i="84"/>
  <c r="J114" i="84"/>
  <c r="I114" i="84"/>
  <c r="J113" i="84"/>
  <c r="I113" i="84"/>
  <c r="J112" i="84"/>
  <c r="I112" i="84"/>
  <c r="J111" i="84"/>
  <c r="I111" i="84"/>
  <c r="J110" i="84"/>
  <c r="I110" i="84"/>
  <c r="J109" i="84"/>
  <c r="I109" i="84"/>
  <c r="J108" i="84"/>
  <c r="I108" i="84"/>
  <c r="J107" i="84"/>
  <c r="I107" i="84"/>
  <c r="J106" i="84"/>
  <c r="I106" i="84"/>
  <c r="J105" i="84"/>
  <c r="I105" i="84"/>
  <c r="J104" i="84"/>
  <c r="I104" i="84"/>
  <c r="J103" i="84"/>
  <c r="I103" i="84"/>
  <c r="J102" i="84"/>
  <c r="I102" i="84"/>
  <c r="J101" i="84"/>
  <c r="I101" i="84"/>
  <c r="J100" i="84"/>
  <c r="I100" i="84"/>
  <c r="J99" i="84"/>
  <c r="I99" i="84"/>
  <c r="J98" i="84"/>
  <c r="I98" i="84"/>
  <c r="J97" i="84"/>
  <c r="I97" i="84"/>
  <c r="J96" i="84"/>
  <c r="I96" i="84"/>
  <c r="J95" i="84"/>
  <c r="I95" i="84"/>
  <c r="J94" i="84"/>
  <c r="I94" i="84"/>
  <c r="J93" i="84"/>
  <c r="I93" i="84"/>
  <c r="J92" i="84"/>
  <c r="I92" i="84"/>
  <c r="J91" i="84"/>
  <c r="I91" i="84"/>
  <c r="J90" i="84"/>
  <c r="I90" i="84"/>
  <c r="J89" i="84"/>
  <c r="I89" i="84"/>
  <c r="J88" i="84"/>
  <c r="I88" i="84"/>
  <c r="J87" i="84"/>
  <c r="I87" i="84"/>
  <c r="J86" i="84"/>
  <c r="I86" i="84"/>
  <c r="J85" i="84"/>
  <c r="I85" i="84"/>
  <c r="J84" i="84"/>
  <c r="I84" i="84"/>
  <c r="J83" i="84"/>
  <c r="I83" i="84"/>
  <c r="J82" i="84"/>
  <c r="I82" i="84"/>
  <c r="J81" i="84"/>
  <c r="I81" i="84"/>
  <c r="J80" i="84"/>
  <c r="I80" i="84"/>
  <c r="J79" i="84"/>
  <c r="I79" i="84"/>
  <c r="J78" i="84"/>
  <c r="I78" i="84"/>
  <c r="J77" i="84"/>
  <c r="I77" i="84"/>
  <c r="J76" i="84"/>
  <c r="I76" i="84"/>
  <c r="J75" i="84"/>
  <c r="I75" i="84"/>
  <c r="J74" i="84"/>
  <c r="I74" i="84"/>
  <c r="J73" i="84"/>
  <c r="I73" i="84"/>
  <c r="J72" i="84"/>
  <c r="I72" i="84"/>
  <c r="J71" i="84"/>
  <c r="I71" i="84"/>
  <c r="J70" i="84"/>
  <c r="I70" i="84"/>
  <c r="J69" i="84"/>
  <c r="I69" i="84"/>
  <c r="J68" i="84"/>
  <c r="I68" i="84"/>
  <c r="J67" i="84"/>
  <c r="I67" i="84"/>
  <c r="J66" i="84"/>
  <c r="I66" i="84"/>
  <c r="J65" i="84"/>
  <c r="I65" i="84"/>
  <c r="J64" i="84"/>
  <c r="I64" i="84"/>
  <c r="J63" i="84"/>
  <c r="I63" i="84"/>
  <c r="J62" i="84"/>
  <c r="I62" i="84"/>
  <c r="J61" i="84"/>
  <c r="I61" i="84"/>
  <c r="J60" i="84"/>
  <c r="I60" i="84"/>
  <c r="J59" i="84"/>
  <c r="I59" i="84"/>
  <c r="J58" i="84"/>
  <c r="I58" i="84"/>
  <c r="J57" i="84"/>
  <c r="I57" i="84"/>
  <c r="J56" i="84"/>
  <c r="I56" i="84"/>
  <c r="J55" i="84"/>
  <c r="I55" i="84"/>
  <c r="J54" i="84"/>
  <c r="I54" i="84"/>
  <c r="J53" i="84"/>
  <c r="I53" i="84"/>
  <c r="J52" i="84"/>
  <c r="I52" i="84"/>
  <c r="J51" i="84"/>
  <c r="I51" i="84"/>
  <c r="J50" i="84"/>
  <c r="I50" i="84"/>
  <c r="J49" i="84"/>
  <c r="I49" i="84"/>
  <c r="J48" i="84"/>
  <c r="I48" i="84"/>
  <c r="J47" i="84"/>
  <c r="I47" i="84"/>
  <c r="J46" i="84"/>
  <c r="I46" i="84"/>
  <c r="J45" i="84"/>
  <c r="I45" i="84"/>
  <c r="J44" i="84"/>
  <c r="I44" i="84"/>
  <c r="J43" i="84"/>
  <c r="I43" i="84"/>
  <c r="J42" i="84"/>
  <c r="I42" i="84"/>
  <c r="J41" i="84"/>
  <c r="I41" i="84"/>
  <c r="J40" i="84"/>
  <c r="I40" i="84"/>
  <c r="J39" i="84"/>
  <c r="I39" i="84"/>
  <c r="J38" i="84"/>
  <c r="I38" i="84"/>
  <c r="J37" i="84"/>
  <c r="I37" i="84"/>
  <c r="J36" i="84"/>
  <c r="I36" i="84"/>
  <c r="J35" i="84"/>
  <c r="I35" i="84"/>
  <c r="J34" i="84"/>
  <c r="I34" i="84"/>
  <c r="J33" i="84"/>
  <c r="I33" i="84"/>
  <c r="J32" i="84"/>
  <c r="I32" i="84"/>
  <c r="J31" i="84"/>
  <c r="I31" i="84"/>
  <c r="J30" i="84"/>
  <c r="I30" i="84"/>
  <c r="J29" i="84"/>
  <c r="I29" i="84"/>
  <c r="J28" i="84"/>
  <c r="I28" i="84"/>
  <c r="J27" i="84"/>
  <c r="I27" i="84"/>
  <c r="J26" i="84"/>
  <c r="I26" i="84"/>
  <c r="J25" i="84"/>
  <c r="I25" i="84"/>
  <c r="J24" i="84"/>
  <c r="I24" i="84"/>
  <c r="J23" i="84"/>
  <c r="I23" i="84"/>
  <c r="J22" i="84"/>
  <c r="I22" i="84"/>
  <c r="J21" i="84"/>
  <c r="I21" i="84"/>
  <c r="J20" i="84"/>
  <c r="I20" i="84"/>
  <c r="J19" i="84"/>
  <c r="I19" i="84"/>
  <c r="K17" i="76" a="1"/>
  <c r="K17" i="76" s="1"/>
  <c r="F675" i="71"/>
  <c r="G675" i="71" s="1"/>
  <c r="F674" i="71"/>
  <c r="G674" i="71" s="1"/>
  <c r="F673" i="71"/>
  <c r="G673" i="71" s="1"/>
  <c r="F672" i="71"/>
  <c r="G672" i="71" s="1"/>
  <c r="F671" i="71"/>
  <c r="G671" i="71" s="1"/>
  <c r="F670" i="71"/>
  <c r="G670" i="71" s="1"/>
  <c r="F669" i="71"/>
  <c r="G669" i="71" s="1"/>
  <c r="F668" i="71"/>
  <c r="G668" i="71" s="1"/>
  <c r="F667" i="71"/>
  <c r="G667" i="71" s="1"/>
  <c r="F666" i="71"/>
  <c r="G666" i="71" s="1"/>
  <c r="F665" i="71"/>
  <c r="G665" i="71" s="1"/>
  <c r="F664" i="71"/>
  <c r="G664" i="71" s="1"/>
  <c r="F663" i="71"/>
  <c r="G663" i="71" s="1"/>
  <c r="F662" i="71"/>
  <c r="G662" i="71" s="1"/>
  <c r="F661" i="71"/>
  <c r="G661" i="71" s="1"/>
  <c r="F660" i="71"/>
  <c r="G660" i="71" s="1"/>
  <c r="F659" i="71"/>
  <c r="G659" i="71" s="1"/>
  <c r="F658" i="71"/>
  <c r="G658" i="71" s="1"/>
  <c r="G657" i="71"/>
  <c r="F657" i="71"/>
  <c r="F656" i="71"/>
  <c r="G656" i="71" s="1"/>
  <c r="F655" i="71"/>
  <c r="G655" i="71" s="1"/>
  <c r="F654" i="71"/>
  <c r="G654" i="71" s="1"/>
  <c r="F653" i="71"/>
  <c r="G653" i="71" s="1"/>
  <c r="F652" i="71"/>
  <c r="G652" i="71" s="1"/>
  <c r="F651" i="71"/>
  <c r="G651" i="71" s="1"/>
  <c r="F650" i="71"/>
  <c r="G650" i="71" s="1"/>
  <c r="F649" i="71"/>
  <c r="G649" i="71" s="1"/>
  <c r="F648" i="71"/>
  <c r="G648" i="71" s="1"/>
  <c r="F647" i="71"/>
  <c r="G647" i="71" s="1"/>
  <c r="F646" i="71"/>
  <c r="G646" i="71" s="1"/>
  <c r="F645" i="71"/>
  <c r="G645" i="71" s="1"/>
  <c r="F644" i="71"/>
  <c r="G644" i="71" s="1"/>
  <c r="F643" i="71"/>
  <c r="G643" i="71" s="1"/>
  <c r="F642" i="71"/>
  <c r="G642" i="71" s="1"/>
  <c r="F641" i="71"/>
  <c r="G641" i="71" s="1"/>
  <c r="F640" i="71"/>
  <c r="G640" i="71" s="1"/>
  <c r="F639" i="71"/>
  <c r="G639" i="71" s="1"/>
  <c r="F638" i="71"/>
  <c r="G638" i="71" s="1"/>
  <c r="F637" i="71"/>
  <c r="G637" i="71" s="1"/>
  <c r="F636" i="71"/>
  <c r="G636" i="71" s="1"/>
  <c r="F635" i="71"/>
  <c r="G635" i="71" s="1"/>
  <c r="F634" i="71"/>
  <c r="G634" i="71" s="1"/>
  <c r="F633" i="71"/>
  <c r="G633" i="71" s="1"/>
  <c r="F632" i="71"/>
  <c r="G632" i="71" s="1"/>
  <c r="F631" i="71"/>
  <c r="G631" i="71" s="1"/>
  <c r="F630" i="71"/>
  <c r="G630" i="71" s="1"/>
  <c r="F629" i="71"/>
  <c r="G629" i="71" s="1"/>
  <c r="F628" i="71"/>
  <c r="G628" i="71" s="1"/>
  <c r="F627" i="71"/>
  <c r="G627" i="71" s="1"/>
  <c r="F626" i="71"/>
  <c r="G626" i="71" s="1"/>
  <c r="F625" i="71"/>
  <c r="G625" i="71" s="1"/>
  <c r="F624" i="71"/>
  <c r="G624" i="71" s="1"/>
  <c r="F623" i="71"/>
  <c r="G623" i="71" s="1"/>
  <c r="G622" i="71"/>
  <c r="F622" i="71"/>
  <c r="F621" i="71"/>
  <c r="G621" i="71" s="1"/>
  <c r="F620" i="71"/>
  <c r="G620" i="71" s="1"/>
  <c r="F619" i="71"/>
  <c r="G619" i="71" s="1"/>
  <c r="F618" i="71"/>
  <c r="G618" i="71" s="1"/>
  <c r="F617" i="71"/>
  <c r="G617" i="71" s="1"/>
  <c r="G616" i="71"/>
  <c r="F616" i="71"/>
  <c r="F615" i="71"/>
  <c r="G615" i="71" s="1"/>
  <c r="F614" i="71"/>
  <c r="G614" i="71" s="1"/>
  <c r="F613" i="71"/>
  <c r="G613" i="71" s="1"/>
  <c r="F612" i="71"/>
  <c r="G612" i="71" s="1"/>
  <c r="F611" i="71"/>
  <c r="G611" i="71" s="1"/>
  <c r="F610" i="71"/>
  <c r="G610" i="71" s="1"/>
  <c r="F609" i="71"/>
  <c r="G609" i="71" s="1"/>
  <c r="F608" i="71"/>
  <c r="G608" i="71" s="1"/>
  <c r="G607" i="71"/>
  <c r="F607" i="71"/>
  <c r="F606" i="71"/>
  <c r="G606" i="71" s="1"/>
  <c r="F605" i="71"/>
  <c r="G605" i="71" s="1"/>
  <c r="F604" i="71"/>
  <c r="G604" i="71" s="1"/>
  <c r="F603" i="71"/>
  <c r="G603" i="71" s="1"/>
  <c r="G602" i="71"/>
  <c r="F602" i="71"/>
  <c r="F601" i="71"/>
  <c r="G601" i="71" s="1"/>
  <c r="F600" i="71"/>
  <c r="G600" i="71" s="1"/>
  <c r="F599" i="71"/>
  <c r="G599" i="71" s="1"/>
  <c r="F598" i="71"/>
  <c r="G598" i="71" s="1"/>
  <c r="F597" i="71"/>
  <c r="G597" i="71" s="1"/>
  <c r="F596" i="71"/>
  <c r="G596" i="71" s="1"/>
  <c r="F595" i="71"/>
  <c r="G595" i="71" s="1"/>
  <c r="F594" i="71"/>
  <c r="G594" i="71" s="1"/>
  <c r="F593" i="71"/>
  <c r="G593" i="71" s="1"/>
  <c r="F592" i="71"/>
  <c r="G592" i="71" s="1"/>
  <c r="F591" i="71"/>
  <c r="G591" i="71" s="1"/>
  <c r="F590" i="71"/>
  <c r="G590" i="71" s="1"/>
  <c r="F589" i="71"/>
  <c r="G589" i="71" s="1"/>
  <c r="F588" i="71"/>
  <c r="G588" i="71" s="1"/>
  <c r="F587" i="71"/>
  <c r="G587" i="71" s="1"/>
  <c r="F586" i="71"/>
  <c r="G586" i="71" s="1"/>
  <c r="F585" i="71"/>
  <c r="G585" i="71" s="1"/>
  <c r="F584" i="71"/>
  <c r="G584" i="71" s="1"/>
  <c r="F583" i="71"/>
  <c r="G583" i="71" s="1"/>
  <c r="F582" i="71"/>
  <c r="G582" i="71" s="1"/>
  <c r="F581" i="71"/>
  <c r="G581" i="71" s="1"/>
  <c r="G580" i="71"/>
  <c r="F580" i="71"/>
  <c r="F579" i="71"/>
  <c r="G579" i="71" s="1"/>
  <c r="F578" i="71"/>
  <c r="G578" i="71" s="1"/>
  <c r="F577" i="71"/>
  <c r="G577" i="71" s="1"/>
  <c r="F576" i="71"/>
  <c r="G576" i="71" s="1"/>
  <c r="F575" i="71"/>
  <c r="G575" i="71" s="1"/>
  <c r="F574" i="71"/>
  <c r="G574" i="71" s="1"/>
  <c r="F573" i="71"/>
  <c r="G573" i="71" s="1"/>
  <c r="F572" i="71"/>
  <c r="G572" i="71" s="1"/>
  <c r="G571" i="71"/>
  <c r="F571" i="71"/>
  <c r="F570" i="71"/>
  <c r="G570" i="71" s="1"/>
  <c r="F569" i="71"/>
  <c r="G569" i="71" s="1"/>
  <c r="F568" i="71"/>
  <c r="G568" i="71" s="1"/>
  <c r="F567" i="71"/>
  <c r="G567" i="71" s="1"/>
  <c r="F566" i="71"/>
  <c r="G566" i="71" s="1"/>
  <c r="F565" i="71"/>
  <c r="G565" i="71" s="1"/>
  <c r="F564" i="71"/>
  <c r="G564" i="71" s="1"/>
  <c r="G563" i="71"/>
  <c r="F563" i="71"/>
  <c r="F562" i="71"/>
  <c r="G562" i="71" s="1"/>
  <c r="F561" i="71"/>
  <c r="G561" i="71" s="1"/>
  <c r="F560" i="71"/>
  <c r="G560" i="71" s="1"/>
  <c r="F559" i="71"/>
  <c r="G559" i="71" s="1"/>
  <c r="G558" i="71"/>
  <c r="F558" i="71"/>
  <c r="F557" i="71"/>
  <c r="G557" i="71" s="1"/>
  <c r="F556" i="71"/>
  <c r="G556" i="71" s="1"/>
  <c r="F555" i="71"/>
  <c r="G555" i="71" s="1"/>
  <c r="F554" i="71"/>
  <c r="G554" i="71" s="1"/>
  <c r="F553" i="71"/>
  <c r="G553" i="71" s="1"/>
  <c r="F552" i="71"/>
  <c r="G552" i="71" s="1"/>
  <c r="G551" i="71"/>
  <c r="F551" i="71"/>
  <c r="F550" i="71"/>
  <c r="G550" i="71" s="1"/>
  <c r="F549" i="71"/>
  <c r="G549" i="71" s="1"/>
  <c r="F548" i="71"/>
  <c r="G548" i="71" s="1"/>
  <c r="F547" i="71"/>
  <c r="G547" i="71" s="1"/>
  <c r="F546" i="71"/>
  <c r="G546" i="71" s="1"/>
  <c r="F545" i="71"/>
  <c r="G545" i="71" s="1"/>
  <c r="F544" i="71"/>
  <c r="G544" i="71" s="1"/>
  <c r="G543" i="71"/>
  <c r="F543" i="71"/>
  <c r="F542" i="71"/>
  <c r="G542" i="71" s="1"/>
  <c r="F541" i="71"/>
  <c r="G541" i="71" s="1"/>
  <c r="F540" i="71"/>
  <c r="G540" i="71" s="1"/>
  <c r="F539" i="71"/>
  <c r="G539" i="71" s="1"/>
  <c r="F538" i="71"/>
  <c r="G538" i="71" s="1"/>
  <c r="F537" i="71"/>
  <c r="G537" i="71" s="1"/>
  <c r="F536" i="71"/>
  <c r="G536" i="71" s="1"/>
  <c r="F535" i="71"/>
  <c r="G535" i="71" s="1"/>
  <c r="F534" i="71"/>
  <c r="G534" i="71" s="1"/>
  <c r="F533" i="71"/>
  <c r="G533" i="71" s="1"/>
  <c r="F532" i="71"/>
  <c r="G532" i="71" s="1"/>
  <c r="G531" i="71"/>
  <c r="F531" i="71"/>
  <c r="F530" i="71"/>
  <c r="G530" i="71" s="1"/>
  <c r="F529" i="71"/>
  <c r="G529" i="71" s="1"/>
  <c r="F528" i="71"/>
  <c r="G528" i="71" s="1"/>
  <c r="F527" i="71"/>
  <c r="G527" i="71" s="1"/>
  <c r="F526" i="71"/>
  <c r="G526" i="71" s="1"/>
  <c r="G525" i="71"/>
  <c r="F525" i="71"/>
  <c r="F524" i="71"/>
  <c r="G524" i="71" s="1"/>
  <c r="F523" i="71"/>
  <c r="G523" i="71" s="1"/>
  <c r="F522" i="71"/>
  <c r="G522" i="71" s="1"/>
  <c r="F521" i="71"/>
  <c r="G521" i="71" s="1"/>
  <c r="F520" i="71"/>
  <c r="G520" i="71" s="1"/>
  <c r="F519" i="71"/>
  <c r="G519" i="71" s="1"/>
  <c r="F518" i="71"/>
  <c r="G518" i="71" s="1"/>
  <c r="F517" i="71"/>
  <c r="G517" i="71" s="1"/>
  <c r="F516" i="71"/>
  <c r="G516" i="71" s="1"/>
  <c r="F515" i="71"/>
  <c r="G515" i="71" s="1"/>
  <c r="G514" i="71"/>
  <c r="F514" i="71"/>
  <c r="F513" i="71"/>
  <c r="G513" i="71" s="1"/>
  <c r="F512" i="71"/>
  <c r="G512" i="71" s="1"/>
  <c r="F511" i="71"/>
  <c r="G511" i="71" s="1"/>
  <c r="F510" i="71"/>
  <c r="G510" i="71" s="1"/>
  <c r="F509" i="71"/>
  <c r="G509" i="71" s="1"/>
  <c r="F508" i="71"/>
  <c r="G508" i="71" s="1"/>
  <c r="F507" i="71"/>
  <c r="G507" i="71" s="1"/>
  <c r="G506" i="71"/>
  <c r="F506" i="71"/>
  <c r="F505" i="71"/>
  <c r="G505" i="71" s="1"/>
  <c r="F504" i="71"/>
  <c r="G504" i="71" s="1"/>
  <c r="F503" i="71"/>
  <c r="G503" i="71" s="1"/>
  <c r="F502" i="71"/>
  <c r="G502" i="71" s="1"/>
  <c r="G501" i="71"/>
  <c r="F501" i="71"/>
  <c r="F500" i="71"/>
  <c r="G500" i="71" s="1"/>
  <c r="F499" i="71"/>
  <c r="G499" i="71" s="1"/>
  <c r="F498" i="71"/>
  <c r="G498" i="71" s="1"/>
  <c r="F497" i="71"/>
  <c r="G497" i="71" s="1"/>
  <c r="F496" i="71"/>
  <c r="G496" i="71" s="1"/>
  <c r="F495" i="71"/>
  <c r="G495" i="71" s="1"/>
  <c r="F494" i="71"/>
  <c r="G494" i="71" s="1"/>
  <c r="F493" i="71"/>
  <c r="G493" i="71" s="1"/>
  <c r="F492" i="71"/>
  <c r="G492" i="71" s="1"/>
  <c r="F491" i="71"/>
  <c r="G491" i="71" s="1"/>
  <c r="F490" i="71"/>
  <c r="G490" i="71" s="1"/>
  <c r="F489" i="71"/>
  <c r="G489" i="71" s="1"/>
  <c r="G488" i="71"/>
  <c r="F488" i="71"/>
  <c r="F487" i="71"/>
  <c r="G487" i="71" s="1"/>
  <c r="F486" i="71"/>
  <c r="G486" i="71" s="1"/>
  <c r="F485" i="71"/>
  <c r="G485" i="71" s="1"/>
  <c r="F484" i="71"/>
  <c r="G484" i="71" s="1"/>
  <c r="F483" i="71"/>
  <c r="G483" i="71" s="1"/>
  <c r="F482" i="71"/>
  <c r="G482" i="71" s="1"/>
  <c r="F481" i="71"/>
  <c r="G481" i="71" s="1"/>
  <c r="G480" i="71"/>
  <c r="F480" i="71"/>
  <c r="F479" i="71"/>
  <c r="G479" i="71" s="1"/>
  <c r="F478" i="71"/>
  <c r="G478" i="71" s="1"/>
  <c r="F477" i="71"/>
  <c r="G477" i="71" s="1"/>
  <c r="F476" i="71"/>
  <c r="G476" i="71" s="1"/>
  <c r="F475" i="71"/>
  <c r="G475" i="71" s="1"/>
  <c r="F474" i="71"/>
  <c r="G474" i="71" s="1"/>
  <c r="F473" i="71"/>
  <c r="G473" i="71" s="1"/>
  <c r="F472" i="71"/>
  <c r="G472" i="71" s="1"/>
  <c r="F471" i="71"/>
  <c r="G471" i="71" s="1"/>
  <c r="F470" i="71"/>
  <c r="G470" i="71" s="1"/>
  <c r="F469" i="71"/>
  <c r="G469" i="71" s="1"/>
  <c r="F468" i="71"/>
  <c r="G468" i="71" s="1"/>
  <c r="F467" i="71"/>
  <c r="G467" i="71" s="1"/>
  <c r="F466" i="71"/>
  <c r="G466" i="71" s="1"/>
  <c r="G465" i="71"/>
  <c r="F465" i="71"/>
  <c r="F464" i="71"/>
  <c r="G464" i="71" s="1"/>
  <c r="F463" i="71"/>
  <c r="G463" i="71" s="1"/>
  <c r="F462" i="71"/>
  <c r="G462" i="71" s="1"/>
  <c r="F461" i="71"/>
  <c r="G461" i="71" s="1"/>
  <c r="F460" i="71"/>
  <c r="G460" i="71" s="1"/>
  <c r="F459" i="71"/>
  <c r="G459" i="71" s="1"/>
  <c r="F458" i="71"/>
  <c r="G458" i="71" s="1"/>
  <c r="G457" i="71"/>
  <c r="F457" i="71"/>
  <c r="F456" i="71"/>
  <c r="G456" i="71" s="1"/>
  <c r="F455" i="71"/>
  <c r="G455" i="71" s="1"/>
  <c r="F454" i="71"/>
  <c r="G454" i="71" s="1"/>
  <c r="F453" i="71"/>
  <c r="G453" i="71" s="1"/>
  <c r="F452" i="71"/>
  <c r="G452" i="71" s="1"/>
  <c r="F451" i="71"/>
  <c r="G451" i="71" s="1"/>
  <c r="F450" i="71"/>
  <c r="G450" i="71" s="1"/>
  <c r="G449" i="71"/>
  <c r="F449" i="71"/>
  <c r="F448" i="71"/>
  <c r="G448" i="71" s="1"/>
  <c r="F447" i="71"/>
  <c r="G447" i="71" s="1"/>
  <c r="F446" i="71"/>
  <c r="G446" i="71" s="1"/>
  <c r="F445" i="71"/>
  <c r="G445" i="71" s="1"/>
  <c r="F444" i="71"/>
  <c r="G444" i="71" s="1"/>
  <c r="F443" i="71"/>
  <c r="G443" i="71" s="1"/>
  <c r="F442" i="71"/>
  <c r="G442" i="71" s="1"/>
  <c r="F441" i="71"/>
  <c r="G441" i="71" s="1"/>
  <c r="F440" i="71"/>
  <c r="G440" i="71" s="1"/>
  <c r="F439" i="71"/>
  <c r="G439" i="71" s="1"/>
  <c r="F438" i="71"/>
  <c r="G438" i="71" s="1"/>
  <c r="F437" i="71"/>
  <c r="G437" i="71" s="1"/>
  <c r="F436" i="71"/>
  <c r="G436" i="71" s="1"/>
  <c r="F435" i="71"/>
  <c r="G435" i="71" s="1"/>
  <c r="F434" i="71"/>
  <c r="G434" i="71" s="1"/>
  <c r="F433" i="71"/>
  <c r="G433" i="71" s="1"/>
  <c r="F432" i="71"/>
  <c r="G432" i="71" s="1"/>
  <c r="F431" i="71"/>
  <c r="G431" i="71" s="1"/>
  <c r="F430" i="71"/>
  <c r="G430" i="71" s="1"/>
  <c r="F429" i="71"/>
  <c r="G429" i="71" s="1"/>
  <c r="F428" i="71"/>
  <c r="G428" i="71" s="1"/>
  <c r="F427" i="71"/>
  <c r="G427" i="71" s="1"/>
  <c r="F426" i="71"/>
  <c r="G426" i="71" s="1"/>
  <c r="F425" i="71"/>
  <c r="G425" i="71" s="1"/>
  <c r="F424" i="71"/>
  <c r="G424" i="71" s="1"/>
  <c r="F423" i="71"/>
  <c r="G423" i="71" s="1"/>
  <c r="F422" i="71"/>
  <c r="G422" i="71" s="1"/>
  <c r="F421" i="71"/>
  <c r="G421" i="71" s="1"/>
  <c r="F420" i="71"/>
  <c r="G420" i="71" s="1"/>
  <c r="G419" i="71"/>
  <c r="F419" i="71"/>
  <c r="F418" i="71"/>
  <c r="G418" i="71" s="1"/>
  <c r="F417" i="71"/>
  <c r="G417" i="71" s="1"/>
  <c r="F416" i="71"/>
  <c r="G416" i="71" s="1"/>
  <c r="F415" i="71"/>
  <c r="G415" i="71" s="1"/>
  <c r="F414" i="71"/>
  <c r="G414" i="71" s="1"/>
  <c r="F413" i="71"/>
  <c r="G413" i="71" s="1"/>
  <c r="F412" i="71"/>
  <c r="G412" i="71" s="1"/>
  <c r="F411" i="71"/>
  <c r="G411" i="71" s="1"/>
  <c r="F410" i="71"/>
  <c r="G410" i="71" s="1"/>
  <c r="F409" i="71"/>
  <c r="G409" i="71" s="1"/>
  <c r="F408" i="71"/>
  <c r="G408" i="71" s="1"/>
  <c r="F407" i="71"/>
  <c r="G407" i="71" s="1"/>
  <c r="F406" i="71"/>
  <c r="G406" i="71" s="1"/>
  <c r="F405" i="71"/>
  <c r="G405" i="71" s="1"/>
  <c r="F404" i="71"/>
  <c r="G404" i="71" s="1"/>
  <c r="G403" i="71"/>
  <c r="F403" i="71"/>
  <c r="F402" i="71"/>
  <c r="G402" i="71" s="1"/>
  <c r="F401" i="71"/>
  <c r="G401" i="71" s="1"/>
  <c r="F400" i="71"/>
  <c r="G400" i="71" s="1"/>
  <c r="F399" i="71"/>
  <c r="G399" i="71" s="1"/>
  <c r="F398" i="71"/>
  <c r="G398" i="71" s="1"/>
  <c r="F397" i="71"/>
  <c r="G397" i="71" s="1"/>
  <c r="F396" i="71"/>
  <c r="G396" i="71" s="1"/>
  <c r="G395" i="71"/>
  <c r="F395" i="71"/>
  <c r="F394" i="71"/>
  <c r="G394" i="71" s="1"/>
  <c r="F393" i="71"/>
  <c r="G393" i="71" s="1"/>
  <c r="F392" i="71"/>
  <c r="G392" i="71" s="1"/>
  <c r="F391" i="71"/>
  <c r="G391" i="71" s="1"/>
  <c r="F390" i="71"/>
  <c r="G390" i="71" s="1"/>
  <c r="F389" i="71"/>
  <c r="G389" i="71" s="1"/>
  <c r="F388" i="71"/>
  <c r="G388" i="71" s="1"/>
  <c r="F387" i="71"/>
  <c r="G387" i="71" s="1"/>
  <c r="F386" i="71"/>
  <c r="G386" i="71" s="1"/>
  <c r="G385" i="71"/>
  <c r="F385" i="71"/>
  <c r="F384" i="71"/>
  <c r="G384" i="71" s="1"/>
  <c r="F383" i="71"/>
  <c r="G383" i="71" s="1"/>
  <c r="F382" i="71"/>
  <c r="G382" i="71" s="1"/>
  <c r="F381" i="71"/>
  <c r="G381" i="71" s="1"/>
  <c r="F380" i="71"/>
  <c r="G380" i="71" s="1"/>
  <c r="F379" i="71"/>
  <c r="G379" i="71" s="1"/>
  <c r="F378" i="71"/>
  <c r="G378" i="71" s="1"/>
  <c r="F377" i="71"/>
  <c r="G377" i="71" s="1"/>
  <c r="F376" i="71"/>
  <c r="G376" i="71" s="1"/>
  <c r="F375" i="71"/>
  <c r="G375" i="71" s="1"/>
  <c r="F374" i="71"/>
  <c r="G374" i="71" s="1"/>
  <c r="F373" i="71"/>
  <c r="G373" i="71" s="1"/>
  <c r="F372" i="71"/>
  <c r="G372" i="71" s="1"/>
  <c r="F371" i="71"/>
  <c r="G371" i="71" s="1"/>
  <c r="F370" i="71"/>
  <c r="G370" i="71" s="1"/>
  <c r="F369" i="71"/>
  <c r="G369" i="71" s="1"/>
  <c r="F368" i="71"/>
  <c r="G368" i="71" s="1"/>
  <c r="F367" i="71"/>
  <c r="G367" i="71" s="1"/>
  <c r="F366" i="71"/>
  <c r="G366" i="71" s="1"/>
  <c r="F365" i="71"/>
  <c r="G365" i="71" s="1"/>
  <c r="F364" i="71"/>
  <c r="G364" i="71" s="1"/>
  <c r="G363" i="71"/>
  <c r="F363" i="71"/>
  <c r="F362" i="71"/>
  <c r="G362" i="71" s="1"/>
  <c r="F361" i="71"/>
  <c r="G361" i="71" s="1"/>
  <c r="F360" i="71"/>
  <c r="G360" i="71" s="1"/>
  <c r="F359" i="71"/>
  <c r="G359" i="71" s="1"/>
  <c r="F358" i="71"/>
  <c r="G358" i="71" s="1"/>
  <c r="F357" i="71"/>
  <c r="G357" i="71" s="1"/>
  <c r="F356" i="71"/>
  <c r="G356" i="71" s="1"/>
  <c r="F355" i="71"/>
  <c r="G355" i="71" s="1"/>
  <c r="F354" i="71"/>
  <c r="G354" i="71" s="1"/>
  <c r="F353" i="71"/>
  <c r="G353" i="71" s="1"/>
  <c r="F352" i="71"/>
  <c r="G352" i="71" s="1"/>
  <c r="F351" i="71"/>
  <c r="G351" i="71" s="1"/>
  <c r="F350" i="71"/>
  <c r="G350" i="71" s="1"/>
  <c r="F349" i="71"/>
  <c r="G349" i="71" s="1"/>
  <c r="F348" i="71"/>
  <c r="G348" i="71" s="1"/>
  <c r="F347" i="71"/>
  <c r="G347" i="71" s="1"/>
  <c r="F346" i="71"/>
  <c r="G346" i="71" s="1"/>
  <c r="F345" i="71"/>
  <c r="G345" i="71" s="1"/>
  <c r="F344" i="71"/>
  <c r="G344" i="71" s="1"/>
  <c r="F343" i="71"/>
  <c r="G343" i="71" s="1"/>
  <c r="F342" i="71"/>
  <c r="G342" i="71" s="1"/>
  <c r="F341" i="71"/>
  <c r="G341" i="71" s="1"/>
  <c r="F340" i="71"/>
  <c r="G340" i="71" s="1"/>
  <c r="F339" i="71"/>
  <c r="G339" i="71" s="1"/>
  <c r="F338" i="71"/>
  <c r="G338" i="71" s="1"/>
  <c r="F337" i="71"/>
  <c r="G337" i="71" s="1"/>
  <c r="F336" i="71"/>
  <c r="G336" i="71" s="1"/>
  <c r="F335" i="71"/>
  <c r="G335" i="71" s="1"/>
  <c r="F334" i="71"/>
  <c r="G334" i="71" s="1"/>
  <c r="F333" i="71"/>
  <c r="G333" i="71" s="1"/>
  <c r="F332" i="71"/>
  <c r="G332" i="71" s="1"/>
  <c r="F331" i="71"/>
  <c r="G331" i="71" s="1"/>
  <c r="F330" i="71"/>
  <c r="G330" i="71" s="1"/>
  <c r="G329" i="71"/>
  <c r="F329" i="71"/>
  <c r="F328" i="71"/>
  <c r="G328" i="71" s="1"/>
  <c r="F327" i="71"/>
  <c r="G327" i="71" s="1"/>
  <c r="F326" i="71"/>
  <c r="G326" i="71" s="1"/>
  <c r="F325" i="71"/>
  <c r="G325" i="71" s="1"/>
  <c r="F324" i="71"/>
  <c r="G324" i="71" s="1"/>
  <c r="F323" i="71"/>
  <c r="G323" i="71" s="1"/>
  <c r="F322" i="71"/>
  <c r="G322" i="71" s="1"/>
  <c r="F321" i="71"/>
  <c r="G321" i="71" s="1"/>
  <c r="F320" i="71"/>
  <c r="G320" i="71" s="1"/>
  <c r="F319" i="71"/>
  <c r="G319" i="71" s="1"/>
  <c r="F318" i="71"/>
  <c r="G318" i="71" s="1"/>
  <c r="F317" i="71"/>
  <c r="G317" i="71" s="1"/>
  <c r="F316" i="71"/>
  <c r="G316" i="71" s="1"/>
  <c r="F315" i="71"/>
  <c r="G315" i="71" s="1"/>
  <c r="F314" i="71"/>
  <c r="G314" i="71" s="1"/>
  <c r="F313" i="71"/>
  <c r="G313" i="71" s="1"/>
  <c r="F312" i="71"/>
  <c r="G312" i="71" s="1"/>
  <c r="F311" i="71"/>
  <c r="G311" i="71" s="1"/>
  <c r="F310" i="71"/>
  <c r="G310" i="71" s="1"/>
  <c r="F309" i="71"/>
  <c r="G309" i="71" s="1"/>
  <c r="F308" i="71"/>
  <c r="G308" i="71" s="1"/>
  <c r="F307" i="71"/>
  <c r="G307" i="71" s="1"/>
  <c r="F306" i="71"/>
  <c r="G306" i="71" s="1"/>
  <c r="F305" i="71"/>
  <c r="G305" i="71" s="1"/>
  <c r="F304" i="71"/>
  <c r="G304" i="71" s="1"/>
  <c r="F303" i="71"/>
  <c r="G303" i="71" s="1"/>
  <c r="F302" i="71"/>
  <c r="G302" i="71" s="1"/>
  <c r="G301" i="71"/>
  <c r="F301" i="71"/>
  <c r="F300" i="71"/>
  <c r="G300" i="71" s="1"/>
  <c r="F299" i="71"/>
  <c r="G299" i="71" s="1"/>
  <c r="F298" i="71"/>
  <c r="G298" i="71" s="1"/>
  <c r="F297" i="71"/>
  <c r="G297" i="71" s="1"/>
  <c r="F296" i="71"/>
  <c r="G296" i="71" s="1"/>
  <c r="F295" i="71"/>
  <c r="G295" i="71" s="1"/>
  <c r="F294" i="71"/>
  <c r="G294" i="71" s="1"/>
  <c r="G293" i="71"/>
  <c r="F293" i="71"/>
  <c r="F292" i="71"/>
  <c r="G292" i="71" s="1"/>
  <c r="G291" i="71"/>
  <c r="F291" i="71"/>
  <c r="F290" i="71"/>
  <c r="G290" i="71" s="1"/>
  <c r="F289" i="71"/>
  <c r="G289" i="71" s="1"/>
  <c r="F288" i="71"/>
  <c r="G288" i="71" s="1"/>
  <c r="F287" i="71"/>
  <c r="G287" i="71" s="1"/>
  <c r="F286" i="71"/>
  <c r="G286" i="71" s="1"/>
  <c r="G285" i="71"/>
  <c r="F285" i="71"/>
  <c r="F284" i="71"/>
  <c r="G284" i="71" s="1"/>
  <c r="G283" i="71"/>
  <c r="F283" i="71"/>
  <c r="F282" i="71"/>
  <c r="G282" i="71" s="1"/>
  <c r="F281" i="71"/>
  <c r="G281" i="71" s="1"/>
  <c r="F280" i="71"/>
  <c r="G280" i="71" s="1"/>
  <c r="F279" i="71"/>
  <c r="G279" i="71" s="1"/>
  <c r="F278" i="71"/>
  <c r="G278" i="71" s="1"/>
  <c r="F277" i="71"/>
  <c r="G277" i="71" s="1"/>
  <c r="F276" i="71"/>
  <c r="G276" i="71" s="1"/>
  <c r="F275" i="71"/>
  <c r="G275" i="71" s="1"/>
  <c r="F274" i="71"/>
  <c r="G274" i="71" s="1"/>
  <c r="F273" i="71"/>
  <c r="G273" i="71" s="1"/>
  <c r="F272" i="71"/>
  <c r="G272" i="71" s="1"/>
  <c r="F271" i="71"/>
  <c r="G271" i="71" s="1"/>
  <c r="F270" i="71"/>
  <c r="G270" i="71" s="1"/>
  <c r="F269" i="71"/>
  <c r="G269" i="71" s="1"/>
  <c r="F268" i="71"/>
  <c r="G268" i="71" s="1"/>
  <c r="F267" i="71"/>
  <c r="G267" i="71" s="1"/>
  <c r="F266" i="71"/>
  <c r="G266" i="71" s="1"/>
  <c r="F265" i="71"/>
  <c r="G265" i="71" s="1"/>
  <c r="F264" i="71"/>
  <c r="G264" i="71" s="1"/>
  <c r="F263" i="71"/>
  <c r="G263" i="71" s="1"/>
  <c r="F262" i="71"/>
  <c r="G262" i="71" s="1"/>
  <c r="F261" i="71"/>
  <c r="G261" i="71" s="1"/>
  <c r="F260" i="71"/>
  <c r="G260" i="71" s="1"/>
  <c r="F259" i="71"/>
  <c r="G259" i="71" s="1"/>
  <c r="F258" i="71"/>
  <c r="G258" i="71" s="1"/>
  <c r="F257" i="71"/>
  <c r="G257" i="71" s="1"/>
  <c r="F256" i="71"/>
  <c r="G256" i="71" s="1"/>
  <c r="F255" i="71"/>
  <c r="G255" i="71" s="1"/>
  <c r="F254" i="71"/>
  <c r="G254" i="71" s="1"/>
  <c r="F253" i="71"/>
  <c r="G253" i="71" s="1"/>
  <c r="F252" i="71"/>
  <c r="G252" i="71" s="1"/>
  <c r="F251" i="71"/>
  <c r="G251" i="71" s="1"/>
  <c r="F250" i="71"/>
  <c r="G250" i="71" s="1"/>
  <c r="F249" i="71"/>
  <c r="G249" i="71" s="1"/>
  <c r="F248" i="71"/>
  <c r="G248" i="71" s="1"/>
  <c r="F247" i="71"/>
  <c r="G247" i="71" s="1"/>
  <c r="G246" i="71"/>
  <c r="F246" i="71"/>
  <c r="F245" i="71"/>
  <c r="G245" i="71" s="1"/>
  <c r="F244" i="71"/>
  <c r="G244" i="71" s="1"/>
  <c r="F243" i="71"/>
  <c r="G243" i="71" s="1"/>
  <c r="F242" i="71"/>
  <c r="G242" i="71" s="1"/>
  <c r="F241" i="71"/>
  <c r="G241" i="71" s="1"/>
  <c r="F240" i="71"/>
  <c r="G240" i="71" s="1"/>
  <c r="F239" i="71"/>
  <c r="G239" i="71" s="1"/>
  <c r="F238" i="71"/>
  <c r="G238" i="71" s="1"/>
  <c r="F237" i="71"/>
  <c r="G237" i="71" s="1"/>
  <c r="F236" i="71"/>
  <c r="G236" i="71" s="1"/>
  <c r="F235" i="71"/>
  <c r="G235" i="71" s="1"/>
  <c r="F234" i="71"/>
  <c r="G234" i="71" s="1"/>
  <c r="F233" i="71"/>
  <c r="G233" i="71" s="1"/>
  <c r="F232" i="71"/>
  <c r="G232" i="71" s="1"/>
  <c r="F231" i="71"/>
  <c r="G231" i="71" s="1"/>
  <c r="F230" i="71"/>
  <c r="G230" i="71" s="1"/>
  <c r="F229" i="71"/>
  <c r="G229" i="71" s="1"/>
  <c r="F228" i="71"/>
  <c r="G228" i="71" s="1"/>
  <c r="F227" i="71"/>
  <c r="G227" i="71" s="1"/>
  <c r="F226" i="71"/>
  <c r="G226" i="71" s="1"/>
  <c r="F225" i="71"/>
  <c r="G225" i="71" s="1"/>
  <c r="F224" i="71"/>
  <c r="G224" i="71" s="1"/>
  <c r="F223" i="71"/>
  <c r="G223" i="71" s="1"/>
  <c r="G222" i="71"/>
  <c r="F222" i="71"/>
  <c r="F221" i="71"/>
  <c r="G221" i="71" s="1"/>
  <c r="F220" i="71"/>
  <c r="G220" i="71" s="1"/>
  <c r="F219" i="71"/>
  <c r="G219" i="71" s="1"/>
  <c r="G218" i="71"/>
  <c r="F218" i="71"/>
  <c r="F217" i="71"/>
  <c r="G217" i="71" s="1"/>
  <c r="F216" i="71"/>
  <c r="G216" i="71" s="1"/>
  <c r="F215" i="71"/>
  <c r="G215" i="71" s="1"/>
  <c r="F214" i="71"/>
  <c r="G214" i="71" s="1"/>
  <c r="F213" i="71"/>
  <c r="G213" i="71" s="1"/>
  <c r="G212" i="71"/>
  <c r="F212" i="71"/>
  <c r="G211" i="71"/>
  <c r="F211" i="71"/>
  <c r="F210" i="71"/>
  <c r="G210" i="71" s="1"/>
  <c r="F209" i="71"/>
  <c r="G209" i="71" s="1"/>
  <c r="F208" i="71"/>
  <c r="G208" i="71" s="1"/>
  <c r="F207" i="71"/>
  <c r="G207" i="71" s="1"/>
  <c r="G206" i="71"/>
  <c r="F206" i="71"/>
  <c r="F205" i="71"/>
  <c r="G205" i="71" s="1"/>
  <c r="F204" i="71"/>
  <c r="G204" i="71" s="1"/>
  <c r="F203" i="71"/>
  <c r="G203" i="71" s="1"/>
  <c r="F202" i="71"/>
  <c r="G202" i="71" s="1"/>
  <c r="F201" i="71"/>
  <c r="G201" i="71" s="1"/>
  <c r="F200" i="71"/>
  <c r="G200" i="71" s="1"/>
  <c r="F199" i="71"/>
  <c r="G199" i="71" s="1"/>
  <c r="F198" i="71"/>
  <c r="G198" i="71" s="1"/>
  <c r="G197" i="71"/>
  <c r="F197" i="71"/>
  <c r="F196" i="71"/>
  <c r="G196" i="71" s="1"/>
  <c r="F195" i="71"/>
  <c r="G195" i="71" s="1"/>
  <c r="F194" i="71"/>
  <c r="G194" i="71" s="1"/>
  <c r="F193" i="71"/>
  <c r="G193" i="71" s="1"/>
  <c r="F192" i="71"/>
  <c r="G192" i="71" s="1"/>
  <c r="F191" i="71"/>
  <c r="G191" i="71" s="1"/>
  <c r="F190" i="71"/>
  <c r="G190" i="71" s="1"/>
  <c r="F189" i="71"/>
  <c r="G189" i="71" s="1"/>
  <c r="F188" i="71"/>
  <c r="G188" i="71" s="1"/>
  <c r="F187" i="71"/>
  <c r="G187" i="71" s="1"/>
  <c r="F186" i="71"/>
  <c r="G186" i="71" s="1"/>
  <c r="F185" i="71"/>
  <c r="G185" i="71" s="1"/>
  <c r="F184" i="71"/>
  <c r="G184" i="71" s="1"/>
  <c r="F183" i="71"/>
  <c r="G183" i="71" s="1"/>
  <c r="F182" i="71"/>
  <c r="G182" i="71" s="1"/>
  <c r="F181" i="71"/>
  <c r="G181" i="71" s="1"/>
  <c r="F180" i="71"/>
  <c r="G180" i="71" s="1"/>
  <c r="F179" i="71"/>
  <c r="G179" i="71" s="1"/>
  <c r="F178" i="71"/>
  <c r="G178" i="71" s="1"/>
  <c r="F177" i="71"/>
  <c r="G177" i="71" s="1"/>
  <c r="F176" i="71"/>
  <c r="G176" i="71" s="1"/>
  <c r="G175" i="71"/>
  <c r="F175" i="71"/>
  <c r="F174" i="71"/>
  <c r="G174" i="71" s="1"/>
  <c r="F173" i="71"/>
  <c r="G173" i="71" s="1"/>
  <c r="F172" i="71"/>
  <c r="G172" i="71" s="1"/>
  <c r="F171" i="71"/>
  <c r="G171" i="71" s="1"/>
  <c r="F170" i="71"/>
  <c r="G170" i="71" s="1"/>
  <c r="G169" i="71"/>
  <c r="F169" i="71"/>
  <c r="F168" i="71"/>
  <c r="G168" i="71" s="1"/>
  <c r="F167" i="71"/>
  <c r="G167" i="71" s="1"/>
  <c r="F166" i="71"/>
  <c r="G166" i="71" s="1"/>
  <c r="F165" i="71"/>
  <c r="G165" i="71" s="1"/>
  <c r="F164" i="71"/>
  <c r="G164" i="71" s="1"/>
  <c r="F163" i="71"/>
  <c r="G163" i="71" s="1"/>
  <c r="F162" i="71"/>
  <c r="G162" i="71" s="1"/>
  <c r="G161" i="71"/>
  <c r="F161" i="71"/>
  <c r="F160" i="71"/>
  <c r="G160" i="71" s="1"/>
  <c r="F159" i="71"/>
  <c r="G159" i="71" s="1"/>
  <c r="F158" i="71"/>
  <c r="G158" i="71" s="1"/>
  <c r="F157" i="71"/>
  <c r="G157" i="71" s="1"/>
  <c r="F156" i="71"/>
  <c r="G156" i="71" s="1"/>
  <c r="F155" i="71"/>
  <c r="G155" i="71" s="1"/>
  <c r="F154" i="71"/>
  <c r="G154" i="71" s="1"/>
  <c r="F153" i="71"/>
  <c r="G153" i="71" s="1"/>
  <c r="F152" i="71"/>
  <c r="G152" i="71" s="1"/>
  <c r="F151" i="71"/>
  <c r="G151" i="71" s="1"/>
  <c r="F150" i="71"/>
  <c r="G150" i="71" s="1"/>
  <c r="F149" i="71"/>
  <c r="G149" i="71" s="1"/>
  <c r="F148" i="71"/>
  <c r="G148" i="71" s="1"/>
  <c r="F147" i="71"/>
  <c r="G147" i="71" s="1"/>
  <c r="F146" i="71"/>
  <c r="G146" i="71" s="1"/>
  <c r="F145" i="71"/>
  <c r="G145" i="71" s="1"/>
  <c r="F144" i="71"/>
  <c r="G144" i="71" s="1"/>
  <c r="F143" i="71"/>
  <c r="G143" i="71" s="1"/>
  <c r="F142" i="71"/>
  <c r="G142" i="71" s="1"/>
  <c r="F141" i="71"/>
  <c r="G141" i="71" s="1"/>
  <c r="F140" i="71"/>
  <c r="G140" i="71" s="1"/>
  <c r="F139" i="71"/>
  <c r="G139" i="71" s="1"/>
  <c r="F138" i="71"/>
  <c r="G138" i="71" s="1"/>
  <c r="F137" i="71"/>
  <c r="G137" i="71" s="1"/>
  <c r="F136" i="71"/>
  <c r="G136" i="71" s="1"/>
  <c r="F135" i="71"/>
  <c r="G135" i="71" s="1"/>
  <c r="F134" i="71"/>
  <c r="G134" i="71" s="1"/>
  <c r="F133" i="71"/>
  <c r="G133" i="71" s="1"/>
  <c r="G132" i="71"/>
  <c r="F132" i="71"/>
  <c r="F131" i="71"/>
  <c r="G131" i="71" s="1"/>
  <c r="F130" i="71"/>
  <c r="G130" i="71" s="1"/>
  <c r="F129" i="71"/>
  <c r="G129" i="71" s="1"/>
  <c r="F128" i="71"/>
  <c r="G128" i="71" s="1"/>
  <c r="G127" i="71"/>
  <c r="F127" i="71"/>
  <c r="F126" i="71"/>
  <c r="G126" i="71" s="1"/>
  <c r="F125" i="71"/>
  <c r="G125" i="71" s="1"/>
  <c r="F124" i="71"/>
  <c r="G124" i="71" s="1"/>
  <c r="F123" i="71"/>
  <c r="G123" i="71" s="1"/>
  <c r="F122" i="71"/>
  <c r="G122" i="71" s="1"/>
  <c r="F121" i="71"/>
  <c r="G121" i="71" s="1"/>
  <c r="F120" i="71"/>
  <c r="G120" i="71" s="1"/>
  <c r="G119" i="71"/>
  <c r="F119" i="71"/>
  <c r="F118" i="71"/>
  <c r="G118" i="71" s="1"/>
  <c r="F117" i="71"/>
  <c r="G117" i="71" s="1"/>
  <c r="F116" i="71"/>
  <c r="G116" i="71" s="1"/>
  <c r="F115" i="71"/>
  <c r="G115" i="71" s="1"/>
  <c r="F114" i="71"/>
  <c r="G114" i="71" s="1"/>
  <c r="F113" i="71"/>
  <c r="G113" i="71" s="1"/>
  <c r="G112" i="71"/>
  <c r="F112" i="71"/>
  <c r="F111" i="71"/>
  <c r="G111" i="71" s="1"/>
  <c r="F110" i="71"/>
  <c r="G110" i="71" s="1"/>
  <c r="F109" i="71"/>
  <c r="G109" i="71" s="1"/>
  <c r="F108" i="71"/>
  <c r="G108" i="71" s="1"/>
  <c r="F107" i="71"/>
  <c r="G107" i="71" s="1"/>
  <c r="F106" i="71"/>
  <c r="G106" i="71" s="1"/>
  <c r="F105" i="71"/>
  <c r="G105" i="71" s="1"/>
  <c r="F104" i="71"/>
  <c r="G104" i="71" s="1"/>
  <c r="F103" i="71"/>
  <c r="G103" i="71" s="1"/>
  <c r="F102" i="71"/>
  <c r="G102" i="71" s="1"/>
  <c r="F101" i="71"/>
  <c r="G101" i="71" s="1"/>
  <c r="F100" i="71"/>
  <c r="G100" i="71" s="1"/>
  <c r="F99" i="71"/>
  <c r="G99" i="71" s="1"/>
  <c r="G98" i="71"/>
  <c r="F98" i="71"/>
  <c r="F97" i="71"/>
  <c r="G97" i="71" s="1"/>
  <c r="F96" i="71"/>
  <c r="G96" i="71" s="1"/>
  <c r="F95" i="71"/>
  <c r="G95" i="71" s="1"/>
  <c r="F94" i="71"/>
  <c r="G94" i="71" s="1"/>
  <c r="F93" i="71"/>
  <c r="G93" i="71" s="1"/>
  <c r="F92" i="71"/>
  <c r="G92" i="71" s="1"/>
  <c r="F91" i="71"/>
  <c r="G91" i="71" s="1"/>
  <c r="F90" i="71"/>
  <c r="G90" i="71" s="1"/>
  <c r="F89" i="71"/>
  <c r="G89" i="71" s="1"/>
  <c r="F88" i="71"/>
  <c r="G88" i="71" s="1"/>
  <c r="F87" i="71"/>
  <c r="G87" i="71" s="1"/>
  <c r="F86" i="71"/>
  <c r="G86" i="71" s="1"/>
  <c r="G85" i="71"/>
  <c r="F85" i="71"/>
  <c r="F84" i="71"/>
  <c r="G84" i="71" s="1"/>
  <c r="F83" i="71"/>
  <c r="G83" i="71" s="1"/>
  <c r="F82" i="71"/>
  <c r="G82" i="71" s="1"/>
  <c r="F81" i="71"/>
  <c r="G81" i="71" s="1"/>
  <c r="F80" i="71"/>
  <c r="G80" i="71" s="1"/>
  <c r="F79" i="71"/>
  <c r="G79" i="71" s="1"/>
  <c r="F78" i="71"/>
  <c r="G78" i="71" s="1"/>
  <c r="G77" i="71"/>
  <c r="F77" i="71"/>
  <c r="F76" i="71"/>
  <c r="G76" i="71" s="1"/>
  <c r="F75" i="71"/>
  <c r="G75" i="71" s="1"/>
  <c r="F74" i="71"/>
  <c r="G74" i="71" s="1"/>
  <c r="F73" i="71"/>
  <c r="G73" i="71" s="1"/>
  <c r="F72" i="71"/>
  <c r="G72" i="71" s="1"/>
  <c r="F71" i="71"/>
  <c r="G71" i="71" s="1"/>
  <c r="F70" i="71"/>
  <c r="G70" i="71" s="1"/>
  <c r="F69" i="71"/>
  <c r="G69" i="71" s="1"/>
  <c r="F68" i="71"/>
  <c r="G68" i="71" s="1"/>
  <c r="F67" i="71"/>
  <c r="G67" i="71" s="1"/>
  <c r="F66" i="71"/>
  <c r="G66" i="71" s="1"/>
  <c r="F65" i="71"/>
  <c r="G65" i="71" s="1"/>
  <c r="F64" i="71"/>
  <c r="G64" i="71" s="1"/>
  <c r="F63" i="71"/>
  <c r="G63" i="71" s="1"/>
  <c r="F62" i="71"/>
  <c r="G62" i="71" s="1"/>
  <c r="F61" i="71"/>
  <c r="G61" i="71" s="1"/>
  <c r="F60" i="71"/>
  <c r="G60" i="71" s="1"/>
  <c r="F59" i="71"/>
  <c r="G59" i="71" s="1"/>
  <c r="F58" i="71"/>
  <c r="G58" i="71" s="1"/>
  <c r="F57" i="71"/>
  <c r="G57" i="71" s="1"/>
  <c r="F56" i="71"/>
  <c r="G56" i="71" s="1"/>
  <c r="F55" i="71"/>
  <c r="G55" i="71" s="1"/>
  <c r="F54" i="71"/>
  <c r="G54" i="71" s="1"/>
  <c r="F53" i="71"/>
  <c r="G53" i="71" s="1"/>
  <c r="F52" i="71"/>
  <c r="G52" i="71" s="1"/>
  <c r="F51" i="71"/>
  <c r="G51" i="71" s="1"/>
  <c r="F50" i="71"/>
  <c r="G50" i="71" s="1"/>
  <c r="F49" i="71"/>
  <c r="G49" i="71" s="1"/>
  <c r="F48" i="71"/>
  <c r="G48" i="71" s="1"/>
  <c r="F47" i="71"/>
  <c r="G47" i="71" s="1"/>
  <c r="F46" i="71"/>
  <c r="G46" i="71" s="1"/>
  <c r="F45" i="71"/>
  <c r="G45" i="71" s="1"/>
  <c r="F44" i="71"/>
  <c r="G44" i="71" s="1"/>
  <c r="F43" i="71"/>
  <c r="G43" i="71" s="1"/>
  <c r="F42" i="71"/>
  <c r="G42" i="71" s="1"/>
  <c r="F41" i="71"/>
  <c r="G41" i="71" s="1"/>
  <c r="F40" i="71"/>
  <c r="G40" i="71" s="1"/>
  <c r="F39" i="71"/>
  <c r="G39" i="71" s="1"/>
  <c r="F38" i="71"/>
  <c r="G38" i="71" s="1"/>
  <c r="F37" i="71"/>
  <c r="G37" i="71" s="1"/>
  <c r="F36" i="71"/>
  <c r="G36" i="71" s="1"/>
  <c r="F35" i="71"/>
  <c r="G35" i="71" s="1"/>
  <c r="F34" i="71"/>
  <c r="G34" i="71" s="1"/>
  <c r="F33" i="71"/>
  <c r="G33" i="71" s="1"/>
  <c r="F32" i="71"/>
  <c r="G32" i="71" s="1"/>
  <c r="F31" i="71"/>
  <c r="G31" i="71" s="1"/>
  <c r="F30" i="71"/>
  <c r="G30" i="71" s="1"/>
  <c r="F29" i="71"/>
  <c r="G29" i="71" s="1"/>
  <c r="F28" i="71"/>
  <c r="G28" i="71" s="1"/>
  <c r="F27" i="71"/>
  <c r="G27" i="71" s="1"/>
  <c r="F26" i="71"/>
  <c r="G26" i="71" s="1"/>
  <c r="F25" i="71"/>
  <c r="G25" i="71" s="1"/>
  <c r="F24" i="71"/>
  <c r="G24" i="71" s="1"/>
  <c r="F23" i="71"/>
  <c r="G23" i="71" s="1"/>
  <c r="F22" i="71"/>
  <c r="G22" i="71" s="1"/>
  <c r="G21" i="71"/>
  <c r="F21" i="71"/>
  <c r="F20" i="71"/>
  <c r="G20" i="71" s="1"/>
  <c r="F19" i="71"/>
  <c r="G19" i="71" s="1"/>
  <c r="F18" i="71"/>
  <c r="G18" i="71" s="1"/>
  <c r="L17" i="71" a="1"/>
  <c r="L17" i="71" s="1"/>
  <c r="I17" i="71"/>
  <c r="F17" i="71"/>
  <c r="G17" i="71" s="1"/>
  <c r="M18" i="53" a="1"/>
  <c r="M18" i="53" s="1"/>
  <c r="M11" i="53" a="1"/>
  <c r="M11" i="53" s="1"/>
  <c r="N20" i="107" a="1"/>
  <c r="N20" i="107" s="1"/>
  <c r="N13" i="107" a="1"/>
  <c r="N13" i="107" s="1"/>
  <c r="M20" i="52" a="1"/>
  <c r="M20" i="52" s="1"/>
  <c r="M13" i="52" a="1"/>
  <c r="M13" i="52" s="1"/>
  <c r="J19" i="21" a="1"/>
  <c r="J19" i="21" s="1"/>
  <c r="K12" i="69" a="1"/>
  <c r="K12" i="69" s="1"/>
  <c r="H12" i="69" a="1"/>
  <c r="H12" i="69" s="1"/>
  <c r="K12" i="68" a="1"/>
  <c r="K12" i="68" s="1"/>
  <c r="H12" i="68" a="1"/>
  <c r="H12" i="68" s="1"/>
  <c r="K12" i="67" a="1"/>
  <c r="K12" i="67" s="1"/>
  <c r="H12" i="67" a="1"/>
  <c r="H12" i="67" s="1"/>
  <c r="F16" i="41"/>
  <c r="K19" i="41" s="1" a="1"/>
  <c r="K25" i="40" a="1"/>
  <c r="K25" i="40" s="1"/>
  <c r="O11" i="40" a="1"/>
  <c r="O11" i="40" s="1"/>
  <c r="K11" i="40" a="1"/>
  <c r="K11" i="40" s="1"/>
  <c r="G26" i="55"/>
  <c r="K24" i="55" s="1" a="1"/>
  <c r="K24" i="55" s="1"/>
  <c r="G13" i="55"/>
  <c r="K11" i="55" s="1" a="1"/>
  <c r="K11" i="55" s="1"/>
  <c r="G26" i="56"/>
  <c r="K24" i="56" a="1"/>
  <c r="K24" i="56" s="1"/>
  <c r="G13" i="56"/>
  <c r="K11" i="56" s="1" a="1"/>
  <c r="K11" i="56" s="1"/>
  <c r="G18" i="24"/>
  <c r="K17" i="24" s="1" a="1"/>
  <c r="K17" i="24" s="1"/>
  <c r="G8" i="24"/>
  <c r="K7" i="24" s="1" a="1"/>
  <c r="K7" i="24" s="1"/>
  <c r="I18" i="44" a="1"/>
  <c r="I18" i="44" s="1"/>
  <c r="I11" i="44" a="1"/>
  <c r="I11" i="44" s="1"/>
  <c r="I18" i="30" a="1"/>
  <c r="I18" i="30" s="1"/>
  <c r="I18" i="20" a="1"/>
  <c r="I18" i="20" s="1"/>
  <c r="I11" i="20" a="1"/>
  <c r="I11" i="20" s="1"/>
  <c r="J16" i="22" a="1"/>
  <c r="J16" i="22" s="1"/>
  <c r="J9" i="22" a="1"/>
  <c r="J9" i="22" s="1"/>
  <c r="J28" i="18" a="1"/>
  <c r="J28" i="18" s="1"/>
  <c r="J21" i="18" a="1"/>
  <c r="J21" i="18" s="1"/>
  <c r="J15" i="18" a="1"/>
  <c r="J15" i="18" s="1"/>
  <c r="J9" i="18" a="1"/>
  <c r="J9" i="18" s="1"/>
  <c r="J28" i="17" a="1"/>
  <c r="J28" i="17" s="1"/>
  <c r="J21" i="17" a="1"/>
  <c r="J21" i="17" s="1"/>
  <c r="J15" i="17" a="1"/>
  <c r="J15" i="17" s="1"/>
  <c r="J9" i="17" a="1"/>
  <c r="J9" i="17" s="1"/>
  <c r="J19" i="15" a="1"/>
  <c r="J19" i="15" s="1"/>
  <c r="J9" i="15" a="1"/>
  <c r="J9" i="15" s="1"/>
  <c r="J37" i="14" a="1"/>
  <c r="J37" i="14" s="1"/>
  <c r="J29" i="14" a="1"/>
  <c r="J29" i="14" s="1"/>
  <c r="L29" i="14" s="1" a="1"/>
  <c r="L29" i="14" s="1"/>
  <c r="J22" i="14" a="1"/>
  <c r="J22" i="14" s="1"/>
  <c r="J16" i="14" a="1"/>
  <c r="J16" i="14" s="1"/>
  <c r="J30" i="13" a="1"/>
  <c r="J30" i="13" s="1"/>
  <c r="J21" i="13" a="1"/>
  <c r="J21" i="13" s="1"/>
  <c r="J11" i="13" a="1"/>
  <c r="J11" i="13" s="1"/>
  <c r="M23" i="11" a="1"/>
  <c r="M23" i="11" s="1"/>
  <c r="M16" i="11" a="1"/>
  <c r="M16" i="11" s="1"/>
  <c r="M9" i="11" a="1"/>
  <c r="M9" i="11" s="1"/>
  <c r="M18" i="10" a="1"/>
  <c r="M18" i="10" s="1"/>
  <c r="M12" i="10" a="1"/>
  <c r="M12" i="10" s="1"/>
  <c r="M8" i="10" a="1"/>
  <c r="M8" i="10" s="1"/>
  <c r="K28" i="23" a="1"/>
  <c r="K28" i="23" s="1"/>
  <c r="K19" i="23" a="1"/>
  <c r="K19" i="23" s="1"/>
  <c r="J13" i="7" a="1"/>
  <c r="J13" i="7" s="1"/>
  <c r="J7" i="7" a="1"/>
  <c r="J7" i="7" s="1"/>
  <c r="J13" i="6" a="1"/>
  <c r="J13" i="6" s="1"/>
  <c r="J7" i="6" a="1"/>
  <c r="J7" i="6" s="1"/>
  <c r="K38" i="4" a="1"/>
  <c r="K38" i="4" s="1"/>
  <c r="K31" i="4" a="1"/>
  <c r="K31" i="4" s="1"/>
  <c r="K25" i="4" a="1"/>
  <c r="K25" i="4" s="1"/>
  <c r="K14" i="61"/>
  <c r="H10" i="60"/>
  <c r="L10" i="60" s="1" a="1"/>
  <c r="L10" i="60" s="1"/>
  <c r="J35" i="101" a="1"/>
  <c r="J35" i="101" s="1"/>
  <c r="J23" i="101" a="1"/>
  <c r="J23" i="101" s="1"/>
  <c r="J11" i="101" a="1"/>
  <c r="J11" i="101" s="1"/>
  <c r="K36" i="28" a="1"/>
  <c r="K36" i="28" s="1"/>
  <c r="K24" i="28" a="1"/>
  <c r="K24" i="28" s="1"/>
  <c r="J34" i="27" a="1"/>
  <c r="J34" i="27" s="1"/>
  <c r="J22" i="27" a="1"/>
  <c r="J22" i="27" s="1"/>
  <c r="F58" i="26"/>
  <c r="F57" i="26"/>
  <c r="F56" i="26"/>
  <c r="F55" i="26"/>
  <c r="F54" i="26"/>
  <c r="F53" i="26"/>
  <c r="F52" i="26"/>
  <c r="F51" i="26"/>
  <c r="F50" i="26"/>
  <c r="F49" i="26"/>
  <c r="F48" i="26"/>
  <c r="F47" i="26"/>
  <c r="F46" i="26"/>
  <c r="F45" i="26"/>
  <c r="F44" i="26"/>
  <c r="F43" i="26"/>
  <c r="F42" i="26"/>
  <c r="F41" i="26"/>
  <c r="F40" i="26"/>
  <c r="F39" i="26"/>
  <c r="F38" i="26"/>
  <c r="F37" i="26"/>
  <c r="F36" i="26"/>
  <c r="F35" i="26"/>
  <c r="F31" i="26"/>
  <c r="F30" i="26"/>
  <c r="F29" i="26"/>
  <c r="F28" i="26"/>
  <c r="F27" i="26"/>
  <c r="F26" i="26"/>
  <c r="F25" i="26"/>
  <c r="F24" i="26"/>
  <c r="F23" i="26"/>
  <c r="F22" i="26"/>
  <c r="F21" i="26"/>
  <c r="F20" i="26"/>
  <c r="F19" i="26"/>
  <c r="F18" i="26"/>
  <c r="F17" i="26"/>
  <c r="F16" i="26"/>
  <c r="F15" i="26"/>
  <c r="F14" i="26"/>
  <c r="F13" i="26"/>
  <c r="F12" i="26"/>
  <c r="F11" i="26"/>
  <c r="F10" i="26"/>
  <c r="F9" i="26"/>
  <c r="F8" i="26"/>
  <c r="G247" i="62"/>
  <c r="G246" i="62"/>
  <c r="G245" i="62"/>
  <c r="G244" i="62"/>
  <c r="G243" i="62"/>
  <c r="G242" i="62"/>
  <c r="G241" i="62"/>
  <c r="G240" i="62"/>
  <c r="G239" i="62"/>
  <c r="G238" i="62"/>
  <c r="G237" i="62"/>
  <c r="G236" i="62"/>
  <c r="G235" i="62"/>
  <c r="G234" i="62"/>
  <c r="G233" i="62"/>
  <c r="G232" i="62"/>
  <c r="G231" i="62"/>
  <c r="G230" i="62"/>
  <c r="G229" i="62"/>
  <c r="G228" i="62"/>
  <c r="G227" i="62"/>
  <c r="G226" i="62"/>
  <c r="G225" i="62"/>
  <c r="G224" i="62"/>
  <c r="G223" i="62"/>
  <c r="G222" i="62"/>
  <c r="G221" i="62"/>
  <c r="G220" i="62"/>
  <c r="G219" i="62"/>
  <c r="G218" i="62"/>
  <c r="G217" i="62"/>
  <c r="G216" i="62"/>
  <c r="G215" i="62"/>
  <c r="G214" i="62"/>
  <c r="G213" i="62"/>
  <c r="G212" i="62"/>
  <c r="G211" i="62"/>
  <c r="G210" i="62"/>
  <c r="G209" i="62"/>
  <c r="G208" i="62"/>
  <c r="G207" i="62"/>
  <c r="G206" i="62"/>
  <c r="G205" i="62"/>
  <c r="G204" i="62"/>
  <c r="G203" i="62"/>
  <c r="G202" i="62"/>
  <c r="G201" i="62"/>
  <c r="G200" i="62"/>
  <c r="G199" i="62"/>
  <c r="G198" i="62"/>
  <c r="G197" i="62"/>
  <c r="G196" i="62"/>
  <c r="G195" i="62"/>
  <c r="G194" i="62"/>
  <c r="G193" i="62"/>
  <c r="G192" i="62"/>
  <c r="G191" i="62"/>
  <c r="G190" i="62"/>
  <c r="G189" i="62"/>
  <c r="G188" i="62"/>
  <c r="G187" i="62"/>
  <c r="G186" i="62"/>
  <c r="G185" i="62"/>
  <c r="G184" i="62"/>
  <c r="G183" i="62"/>
  <c r="G182" i="62"/>
  <c r="G181" i="62"/>
  <c r="G180" i="62"/>
  <c r="G179" i="62"/>
  <c r="G178" i="62"/>
  <c r="G177" i="62"/>
  <c r="G176" i="62"/>
  <c r="G175" i="62"/>
  <c r="G174" i="62"/>
  <c r="G173" i="62"/>
  <c r="G172" i="62"/>
  <c r="G171" i="62"/>
  <c r="G170" i="62"/>
  <c r="G169" i="62"/>
  <c r="G168" i="62"/>
  <c r="G167" i="62"/>
  <c r="G166" i="62"/>
  <c r="G165" i="62"/>
  <c r="G164" i="62"/>
  <c r="G163" i="62"/>
  <c r="G162" i="62"/>
  <c r="G161" i="62"/>
  <c r="G160" i="62"/>
  <c r="G159" i="62"/>
  <c r="G158" i="62"/>
  <c r="G157" i="62"/>
  <c r="G156" i="62"/>
  <c r="G155" i="62"/>
  <c r="G154" i="62"/>
  <c r="G153" i="62"/>
  <c r="G152" i="62"/>
  <c r="G151" i="62"/>
  <c r="G150" i="62"/>
  <c r="G149" i="62"/>
  <c r="G148" i="62"/>
  <c r="G147" i="62"/>
  <c r="G146" i="62"/>
  <c r="G145" i="62"/>
  <c r="G144" i="62"/>
  <c r="G143" i="62"/>
  <c r="G142" i="62"/>
  <c r="G141" i="62"/>
  <c r="G140" i="62"/>
  <c r="G139" i="62"/>
  <c r="G138" i="62"/>
  <c r="G137" i="62"/>
  <c r="G136" i="62"/>
  <c r="G135" i="62"/>
  <c r="G134" i="62"/>
  <c r="G133" i="62"/>
  <c r="G132" i="62"/>
  <c r="G131" i="62"/>
  <c r="G130" i="62"/>
  <c r="G129" i="62"/>
  <c r="G128" i="62"/>
  <c r="G127" i="62"/>
  <c r="G126" i="62"/>
  <c r="G125" i="62"/>
  <c r="G124" i="62"/>
  <c r="G123" i="62"/>
  <c r="G122" i="62"/>
  <c r="G121" i="62"/>
  <c r="G120" i="62"/>
  <c r="G119" i="62"/>
  <c r="G118" i="62"/>
  <c r="G117" i="62"/>
  <c r="G116" i="62"/>
  <c r="G115" i="62"/>
  <c r="G114" i="62"/>
  <c r="G113" i="62"/>
  <c r="G112" i="62"/>
  <c r="G111" i="62"/>
  <c r="G110" i="62"/>
  <c r="G109" i="62"/>
  <c r="G108" i="62"/>
  <c r="G107" i="62"/>
  <c r="G106" i="62"/>
  <c r="G105" i="62"/>
  <c r="G104" i="62"/>
  <c r="G103" i="62"/>
  <c r="G102" i="62"/>
  <c r="G101" i="62"/>
  <c r="G100" i="62"/>
  <c r="G99" i="62"/>
  <c r="G98" i="62"/>
  <c r="G97" i="62"/>
  <c r="G96" i="62"/>
  <c r="G95" i="62"/>
  <c r="G94" i="62"/>
  <c r="G93" i="62"/>
  <c r="G92" i="62"/>
  <c r="G91" i="62"/>
  <c r="G90" i="62"/>
  <c r="G89" i="62"/>
  <c r="G88" i="62"/>
  <c r="G87" i="62"/>
  <c r="G86" i="62"/>
  <c r="G85" i="62"/>
  <c r="G84" i="62"/>
  <c r="G83" i="62"/>
  <c r="G82" i="62"/>
  <c r="G81" i="62"/>
  <c r="G80" i="62"/>
  <c r="G79" i="62"/>
  <c r="G78" i="62"/>
  <c r="G77" i="62"/>
  <c r="G76" i="62"/>
  <c r="G75" i="62"/>
  <c r="G74" i="62"/>
  <c r="G73" i="62"/>
  <c r="G72" i="62"/>
  <c r="G71" i="62"/>
  <c r="G70" i="62"/>
  <c r="G69" i="62"/>
  <c r="G68" i="62"/>
  <c r="G67" i="62"/>
  <c r="G66" i="62"/>
  <c r="G65" i="62"/>
  <c r="G64" i="62"/>
  <c r="G63" i="62"/>
  <c r="G62" i="62"/>
  <c r="G61" i="62"/>
  <c r="G60" i="62"/>
  <c r="G59" i="62"/>
  <c r="G58" i="62"/>
  <c r="G57" i="62"/>
  <c r="G56" i="62"/>
  <c r="G55" i="62"/>
  <c r="G54" i="62"/>
  <c r="G53" i="62"/>
  <c r="G52" i="62"/>
  <c r="G51" i="62"/>
  <c r="G50" i="62"/>
  <c r="G49" i="62"/>
  <c r="G48" i="62"/>
  <c r="G47" i="62"/>
  <c r="G46" i="62"/>
  <c r="G45" i="62"/>
  <c r="G44" i="62"/>
  <c r="G43" i="62"/>
  <c r="G42" i="62"/>
  <c r="G41" i="62"/>
  <c r="G40" i="62"/>
  <c r="G39" i="62"/>
  <c r="G38" i="62"/>
  <c r="G37" i="62"/>
  <c r="G36" i="62"/>
  <c r="G35" i="62"/>
  <c r="G34" i="62"/>
  <c r="G33" i="62"/>
  <c r="G32" i="62"/>
  <c r="G31" i="62"/>
  <c r="G30" i="62"/>
  <c r="G29" i="62"/>
  <c r="G28" i="62"/>
  <c r="G27" i="62"/>
  <c r="G26" i="62"/>
  <c r="G25" i="62"/>
  <c r="G24" i="62"/>
  <c r="G23" i="62"/>
  <c r="G22" i="62"/>
  <c r="G21" i="62"/>
  <c r="G20" i="62"/>
  <c r="G19" i="62"/>
  <c r="G18" i="62"/>
  <c r="G17" i="62"/>
  <c r="G16" i="62"/>
  <c r="G15" i="62"/>
  <c r="G14" i="62"/>
  <c r="G13" i="62"/>
  <c r="G12" i="62"/>
  <c r="G11" i="62"/>
  <c r="G10" i="62"/>
  <c r="G9" i="62"/>
  <c r="M9" i="62" s="1" a="1"/>
  <c r="M9" i="62" s="1"/>
  <c r="G247" i="25"/>
  <c r="G246" i="25"/>
  <c r="G245" i="25"/>
  <c r="G244" i="25"/>
  <c r="G243" i="25"/>
  <c r="G242" i="25"/>
  <c r="G241" i="25"/>
  <c r="G240" i="25"/>
  <c r="G239" i="25"/>
  <c r="G238" i="25"/>
  <c r="G237" i="25"/>
  <c r="G236" i="25"/>
  <c r="G235" i="25"/>
  <c r="G234" i="25"/>
  <c r="G233" i="25"/>
  <c r="G232" i="25"/>
  <c r="G231" i="25"/>
  <c r="G230" i="25"/>
  <c r="G229" i="25"/>
  <c r="G228" i="25"/>
  <c r="G227" i="25"/>
  <c r="G226" i="25"/>
  <c r="G225" i="25"/>
  <c r="G224" i="25"/>
  <c r="G223" i="25"/>
  <c r="G222" i="25"/>
  <c r="G221" i="25"/>
  <c r="G220" i="25"/>
  <c r="G219" i="25"/>
  <c r="G218" i="25"/>
  <c r="G217" i="25"/>
  <c r="G216" i="25"/>
  <c r="G215" i="25"/>
  <c r="G214" i="25"/>
  <c r="G213" i="25"/>
  <c r="G212" i="25"/>
  <c r="G211" i="25"/>
  <c r="G210" i="25"/>
  <c r="G209" i="25"/>
  <c r="G208" i="25"/>
  <c r="G207" i="25"/>
  <c r="G206" i="25"/>
  <c r="G205" i="25"/>
  <c r="G204" i="25"/>
  <c r="G203" i="25"/>
  <c r="G202" i="25"/>
  <c r="G201" i="25"/>
  <c r="G200" i="25"/>
  <c r="G199" i="25"/>
  <c r="G198" i="25"/>
  <c r="G197" i="25"/>
  <c r="G196" i="25"/>
  <c r="G195" i="25"/>
  <c r="G194" i="25"/>
  <c r="G193" i="25"/>
  <c r="G192" i="25"/>
  <c r="G191" i="25"/>
  <c r="G190" i="25"/>
  <c r="G189" i="25"/>
  <c r="G188" i="25"/>
  <c r="G187" i="25"/>
  <c r="G186" i="25"/>
  <c r="G185" i="25"/>
  <c r="G184" i="25"/>
  <c r="G183" i="25"/>
  <c r="G182" i="25"/>
  <c r="G181" i="25"/>
  <c r="G180" i="25"/>
  <c r="G179" i="25"/>
  <c r="G178" i="25"/>
  <c r="G177" i="25"/>
  <c r="G176" i="25"/>
  <c r="G175" i="25"/>
  <c r="G174" i="25"/>
  <c r="G173" i="25"/>
  <c r="G172" i="25"/>
  <c r="G171" i="25"/>
  <c r="G170" i="25"/>
  <c r="G169" i="25"/>
  <c r="G168" i="25"/>
  <c r="G167" i="25"/>
  <c r="G166" i="25"/>
  <c r="G165" i="25"/>
  <c r="G164" i="25"/>
  <c r="G163" i="25"/>
  <c r="G162" i="25"/>
  <c r="G161" i="25"/>
  <c r="G160" i="25"/>
  <c r="G159" i="25"/>
  <c r="G158" i="25"/>
  <c r="G157" i="25"/>
  <c r="G156" i="25"/>
  <c r="G155" i="25"/>
  <c r="G154" i="25"/>
  <c r="G153" i="25"/>
  <c r="G152" i="25"/>
  <c r="G151" i="25"/>
  <c r="G150" i="25"/>
  <c r="G149" i="25"/>
  <c r="G148" i="25"/>
  <c r="G147" i="25"/>
  <c r="G146" i="25"/>
  <c r="G145" i="25"/>
  <c r="G144" i="25"/>
  <c r="G143" i="25"/>
  <c r="G142" i="25"/>
  <c r="G141" i="25"/>
  <c r="G140" i="25"/>
  <c r="G139" i="25"/>
  <c r="G138" i="25"/>
  <c r="G137" i="25"/>
  <c r="G136" i="25"/>
  <c r="G135" i="25"/>
  <c r="G134" i="25"/>
  <c r="G133" i="25"/>
  <c r="G132" i="25"/>
  <c r="G131" i="25"/>
  <c r="G130" i="25"/>
  <c r="G129" i="25"/>
  <c r="G128" i="25"/>
  <c r="G127" i="25"/>
  <c r="G126" i="25"/>
  <c r="G125" i="25"/>
  <c r="G124" i="25"/>
  <c r="G123" i="25"/>
  <c r="G122" i="25"/>
  <c r="G121" i="25"/>
  <c r="G120" i="25"/>
  <c r="G119" i="25"/>
  <c r="G118" i="25"/>
  <c r="G117" i="25"/>
  <c r="G116" i="25"/>
  <c r="G115" i="25"/>
  <c r="G114" i="25"/>
  <c r="G113" i="25"/>
  <c r="G112" i="25"/>
  <c r="G111" i="25"/>
  <c r="G110" i="25"/>
  <c r="G109" i="25"/>
  <c r="G108" i="25"/>
  <c r="G107" i="25"/>
  <c r="G106" i="25"/>
  <c r="G105" i="25"/>
  <c r="G104" i="25"/>
  <c r="G103" i="25"/>
  <c r="G102" i="25"/>
  <c r="G101" i="25"/>
  <c r="G100" i="25"/>
  <c r="G99" i="25"/>
  <c r="G98" i="25"/>
  <c r="G97" i="25"/>
  <c r="G96" i="25"/>
  <c r="G95" i="25"/>
  <c r="G94" i="25"/>
  <c r="G93" i="25"/>
  <c r="G92" i="25"/>
  <c r="G91" i="25"/>
  <c r="G90" i="25"/>
  <c r="G89" i="25"/>
  <c r="G88" i="25"/>
  <c r="G87" i="25"/>
  <c r="G86" i="25"/>
  <c r="G85" i="25"/>
  <c r="G84" i="25"/>
  <c r="G83" i="25"/>
  <c r="G82" i="25"/>
  <c r="G81" i="25"/>
  <c r="G80" i="25"/>
  <c r="G79" i="25"/>
  <c r="G78" i="25"/>
  <c r="G77" i="25"/>
  <c r="G76" i="25"/>
  <c r="G75" i="25"/>
  <c r="G74" i="25"/>
  <c r="G73" i="25"/>
  <c r="G72" i="25"/>
  <c r="G71" i="25"/>
  <c r="G70" i="25"/>
  <c r="G69" i="25"/>
  <c r="G68" i="25"/>
  <c r="G67" i="25"/>
  <c r="G66" i="25"/>
  <c r="G65" i="25"/>
  <c r="G64" i="25"/>
  <c r="G63" i="25"/>
  <c r="G62" i="25"/>
  <c r="G61" i="25"/>
  <c r="G60" i="25"/>
  <c r="G59" i="25"/>
  <c r="G58" i="25"/>
  <c r="G57" i="2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G30" i="25"/>
  <c r="G29" i="25"/>
  <c r="G28" i="25"/>
  <c r="G27" i="25"/>
  <c r="G26" i="25"/>
  <c r="G25" i="25"/>
  <c r="G24" i="25"/>
  <c r="G23" i="25"/>
  <c r="G22" i="25"/>
  <c r="G21" i="25"/>
  <c r="G20" i="25"/>
  <c r="G19" i="25"/>
  <c r="G18" i="25"/>
  <c r="G17" i="25"/>
  <c r="G16" i="25"/>
  <c r="G15" i="25"/>
  <c r="G14" i="25"/>
  <c r="G13" i="25"/>
  <c r="G12" i="25"/>
  <c r="G11" i="25"/>
  <c r="G10" i="25"/>
  <c r="G9" i="25"/>
  <c r="M9" i="25" s="1" a="1"/>
  <c r="M9" i="25" s="1"/>
  <c r="L8" i="63" a="1"/>
  <c r="L8" i="63" s="1"/>
  <c r="J8" i="63" a="1"/>
  <c r="J8" i="63" s="1"/>
  <c r="L8" i="29" a="1"/>
  <c r="L8" i="29" s="1"/>
  <c r="J8" i="29" a="1"/>
  <c r="J8" i="29" s="1"/>
  <c r="S11" i="66" a="1"/>
  <c r="S11" i="66" s="1"/>
  <c r="O11" i="66" a="1"/>
  <c r="O11" i="66" s="1"/>
  <c r="S11" i="65" a="1"/>
  <c r="S11" i="65" s="1"/>
  <c r="O11" i="65" a="1"/>
  <c r="O11" i="65" s="1"/>
  <c r="S11" i="64" a="1"/>
  <c r="S11" i="64" s="1"/>
  <c r="O11" i="64" a="1"/>
  <c r="O11" i="64" s="1"/>
  <c r="M9" i="50" a="1"/>
  <c r="M9" i="50" s="1"/>
  <c r="K9" i="50" a="1"/>
  <c r="K9" i="50" s="1"/>
  <c r="U8" i="34" a="1"/>
  <c r="U8" i="34" s="1"/>
  <c r="AB15" i="37" a="1"/>
  <c r="AB15" i="37" s="1"/>
  <c r="AA15" i="37" a="1"/>
  <c r="AA15" i="37" s="1"/>
  <c r="Z15" i="37" a="1"/>
  <c r="Z15" i="37" s="1"/>
  <c r="Y15" i="37" a="1"/>
  <c r="Y15" i="37" s="1"/>
  <c r="X15" i="37" a="1"/>
  <c r="X15" i="37" s="1"/>
  <c r="W15" i="37" a="1"/>
  <c r="W15" i="37" s="1"/>
  <c r="V15" i="37" a="1"/>
  <c r="V15" i="37" s="1"/>
  <c r="U15" i="37" a="1"/>
  <c r="U15" i="37" s="1"/>
  <c r="T15" i="37" a="1"/>
  <c r="T15" i="37" s="1"/>
  <c r="S15" i="37" a="1"/>
  <c r="S15" i="37" s="1"/>
  <c r="R15" i="37" a="1"/>
  <c r="R15" i="37" s="1"/>
  <c r="Q15" i="37" a="1"/>
  <c r="Q15" i="37" s="1"/>
  <c r="AB14" i="37" a="1"/>
  <c r="AB14" i="37" s="1"/>
  <c r="AA14" i="37" a="1"/>
  <c r="AA14" i="37" s="1"/>
  <c r="Z14" i="37" a="1"/>
  <c r="Z14" i="37" s="1"/>
  <c r="Y14" i="37" a="1"/>
  <c r="Y14" i="37" s="1"/>
  <c r="X14" i="37" a="1"/>
  <c r="X14" i="37" s="1"/>
  <c r="W14" i="37" a="1"/>
  <c r="W14" i="37" s="1"/>
  <c r="V14" i="37" a="1"/>
  <c r="V14" i="37" s="1"/>
  <c r="U14" i="37" a="1"/>
  <c r="U14" i="37" s="1"/>
  <c r="T14" i="37" a="1"/>
  <c r="T14" i="37" s="1"/>
  <c r="S14" i="37" a="1"/>
  <c r="S14" i="37" s="1"/>
  <c r="R14" i="37" a="1"/>
  <c r="R14" i="37" s="1"/>
  <c r="Q14" i="37" a="1"/>
  <c r="Q14" i="37" s="1"/>
  <c r="AB13" i="37" a="1"/>
  <c r="AB13" i="37" s="1"/>
  <c r="AA13" i="37" a="1"/>
  <c r="AA13" i="37" s="1"/>
  <c r="Z13" i="37" a="1"/>
  <c r="Z13" i="37" s="1"/>
  <c r="Y13" i="37" a="1"/>
  <c r="Y13" i="37" s="1"/>
  <c r="X13" i="37" a="1"/>
  <c r="X13" i="37" s="1"/>
  <c r="W13" i="37" a="1"/>
  <c r="W13" i="37" s="1"/>
  <c r="V13" i="37" a="1"/>
  <c r="V13" i="37" s="1"/>
  <c r="U13" i="37" a="1"/>
  <c r="U13" i="37" s="1"/>
  <c r="T13" i="37" a="1"/>
  <c r="T13" i="37" s="1"/>
  <c r="S13" i="37" a="1"/>
  <c r="S13" i="37" s="1"/>
  <c r="R13" i="37" a="1"/>
  <c r="R13" i="37" s="1"/>
  <c r="Q13" i="37" a="1"/>
  <c r="Q13" i="37" s="1"/>
  <c r="AB12" i="37" a="1"/>
  <c r="AB12" i="37" s="1"/>
  <c r="AA12" i="37" a="1"/>
  <c r="AA12" i="37" s="1"/>
  <c r="Z12" i="37" a="1"/>
  <c r="Z12" i="37" s="1"/>
  <c r="Y12" i="37" a="1"/>
  <c r="Y12" i="37" s="1"/>
  <c r="X12" i="37" a="1"/>
  <c r="X12" i="37" s="1"/>
  <c r="W12" i="37" a="1"/>
  <c r="W12" i="37" s="1"/>
  <c r="V12" i="37" a="1"/>
  <c r="V12" i="37" s="1"/>
  <c r="U12" i="37" a="1"/>
  <c r="U12" i="37" s="1"/>
  <c r="T12" i="37" a="1"/>
  <c r="T12" i="37" s="1"/>
  <c r="S12" i="37" a="1"/>
  <c r="S12" i="37" s="1"/>
  <c r="R12" i="37" a="1"/>
  <c r="R12" i="37" s="1"/>
  <c r="Q12" i="37" a="1"/>
  <c r="Q12" i="37" s="1"/>
  <c r="AB11" i="37" a="1"/>
  <c r="AB11" i="37" s="1"/>
  <c r="AA11" i="37" a="1"/>
  <c r="AA11" i="37" s="1"/>
  <c r="Z11" i="37" a="1"/>
  <c r="Z11" i="37" s="1"/>
  <c r="Y11" i="37" a="1"/>
  <c r="Y11" i="37" s="1"/>
  <c r="X11" i="37" a="1"/>
  <c r="X11" i="37" s="1"/>
  <c r="W11" i="37" a="1"/>
  <c r="W11" i="37" s="1"/>
  <c r="V11" i="37" a="1"/>
  <c r="V11" i="37" s="1"/>
  <c r="U11" i="37" a="1"/>
  <c r="U11" i="37" s="1"/>
  <c r="T11" i="37" a="1"/>
  <c r="T11" i="37" s="1"/>
  <c r="S11" i="37" a="1"/>
  <c r="S11" i="37" s="1"/>
  <c r="R11" i="37" a="1"/>
  <c r="R11" i="37" s="1"/>
  <c r="Q11" i="37" a="1"/>
  <c r="Q11" i="37" s="1"/>
  <c r="AB10" i="37" a="1"/>
  <c r="AB10" i="37" s="1"/>
  <c r="AA10" i="37" a="1"/>
  <c r="AA10" i="37" s="1"/>
  <c r="Z10" i="37" a="1"/>
  <c r="Z10" i="37" s="1"/>
  <c r="Y10" i="37" a="1"/>
  <c r="Y10" i="37" s="1"/>
  <c r="X10" i="37" a="1"/>
  <c r="X10" i="37" s="1"/>
  <c r="W10" i="37" a="1"/>
  <c r="W10" i="37" s="1"/>
  <c r="V10" i="37" a="1"/>
  <c r="V10" i="37" s="1"/>
  <c r="U10" i="37" a="1"/>
  <c r="U10" i="37" s="1"/>
  <c r="T10" i="37" a="1"/>
  <c r="T10" i="37" s="1"/>
  <c r="S10" i="37" a="1"/>
  <c r="S10" i="37" s="1"/>
  <c r="R10" i="37" a="1"/>
  <c r="R10" i="37" s="1"/>
  <c r="Q10" i="37" a="1"/>
  <c r="Q10" i="37" s="1"/>
  <c r="M13" i="48" a="1"/>
  <c r="M13" i="48" s="1"/>
  <c r="J13" i="48" a="1"/>
  <c r="J13" i="48" s="1"/>
  <c r="AC16" i="59" a="1"/>
  <c r="AC16" i="59" s="1"/>
  <c r="Y16" i="59" a="1"/>
  <c r="Y16" i="59" s="1"/>
  <c r="T16" i="59" a="1"/>
  <c r="T16" i="59" s="1"/>
  <c r="L16" i="59" a="1"/>
  <c r="L16" i="59" s="1"/>
  <c r="AE11" i="59" s="1" a="1"/>
  <c r="AE11" i="59" s="1"/>
  <c r="H16" i="59" a="1"/>
  <c r="H16" i="59" s="1"/>
  <c r="AD13" i="59" a="1"/>
  <c r="AD13" i="59" s="1"/>
  <c r="AC13" i="59" a="1"/>
  <c r="AC13" i="59" s="1"/>
  <c r="Z13" i="59" a="1"/>
  <c r="Z13" i="59" s="1"/>
  <c r="Y13" i="59" a="1"/>
  <c r="Y13" i="59" s="1"/>
  <c r="AD11" i="59" a="1"/>
  <c r="AD11" i="59" s="1"/>
  <c r="AC11" i="59" a="1"/>
  <c r="AC11" i="59" s="1"/>
  <c r="Z11" i="59" a="1"/>
  <c r="Z11" i="59" s="1"/>
  <c r="Y11" i="59" a="1"/>
  <c r="Y11" i="59" s="1"/>
  <c r="G15" i="57" a="1"/>
  <c r="G15" i="57" s="1"/>
  <c r="X14" i="57" a="1"/>
  <c r="X14" i="57" s="1"/>
  <c r="S14" i="57" a="1"/>
  <c r="S14" i="57" s="1"/>
  <c r="H14" i="57" a="1"/>
  <c r="H14" i="57" s="1"/>
  <c r="X11" i="57" a="1"/>
  <c r="X11" i="57" s="1"/>
  <c r="H254" i="49"/>
  <c r="H253" i="49"/>
  <c r="H252" i="49"/>
  <c r="H251" i="49"/>
  <c r="H250" i="49"/>
  <c r="H249" i="49"/>
  <c r="H248" i="49"/>
  <c r="H247" i="49"/>
  <c r="H246" i="49"/>
  <c r="H245" i="49"/>
  <c r="H244" i="49"/>
  <c r="H243" i="49"/>
  <c r="H242" i="49"/>
  <c r="H241" i="49"/>
  <c r="H240" i="49"/>
  <c r="H239" i="49"/>
  <c r="H238" i="49"/>
  <c r="H237" i="49"/>
  <c r="H236" i="49"/>
  <c r="H235" i="49"/>
  <c r="H234" i="49"/>
  <c r="H233" i="49"/>
  <c r="H232" i="49"/>
  <c r="H231" i="49"/>
  <c r="H230" i="49"/>
  <c r="H229" i="49"/>
  <c r="H228" i="49"/>
  <c r="H227" i="49"/>
  <c r="H226" i="49"/>
  <c r="H225" i="49"/>
  <c r="H224" i="49"/>
  <c r="H223" i="49"/>
  <c r="H222" i="49"/>
  <c r="H221" i="49"/>
  <c r="H220" i="49"/>
  <c r="H219" i="49"/>
  <c r="H218" i="49"/>
  <c r="H217" i="49"/>
  <c r="H216" i="49"/>
  <c r="H215" i="49"/>
  <c r="H214" i="49"/>
  <c r="H213" i="49"/>
  <c r="H212" i="49"/>
  <c r="H211" i="49"/>
  <c r="H210" i="49"/>
  <c r="H209" i="49"/>
  <c r="H208" i="49"/>
  <c r="H207" i="49"/>
  <c r="H206" i="49"/>
  <c r="H205" i="49"/>
  <c r="H204" i="49"/>
  <c r="H203" i="49"/>
  <c r="H202" i="49"/>
  <c r="H201" i="49"/>
  <c r="H200" i="49"/>
  <c r="H199" i="49"/>
  <c r="H198" i="49"/>
  <c r="H197" i="49"/>
  <c r="H196" i="49"/>
  <c r="H195" i="49"/>
  <c r="H194" i="49"/>
  <c r="H193" i="49"/>
  <c r="H192" i="49"/>
  <c r="H191" i="49"/>
  <c r="H190" i="49"/>
  <c r="H189" i="49"/>
  <c r="H188" i="49"/>
  <c r="H187" i="49"/>
  <c r="H186" i="49"/>
  <c r="H185" i="49"/>
  <c r="H184" i="49"/>
  <c r="H183" i="49"/>
  <c r="H182" i="49"/>
  <c r="H181" i="49"/>
  <c r="H180" i="49"/>
  <c r="H179" i="49"/>
  <c r="H178" i="49"/>
  <c r="H177" i="49"/>
  <c r="H176" i="49"/>
  <c r="H175" i="49"/>
  <c r="H174" i="49"/>
  <c r="H173" i="49"/>
  <c r="H172" i="49"/>
  <c r="H171" i="49"/>
  <c r="H170" i="49"/>
  <c r="H169" i="49"/>
  <c r="H168" i="49"/>
  <c r="H167" i="49"/>
  <c r="H166" i="49"/>
  <c r="H165" i="49"/>
  <c r="H164" i="49"/>
  <c r="H163" i="49"/>
  <c r="H162" i="49"/>
  <c r="H161" i="49"/>
  <c r="H160" i="49"/>
  <c r="H159" i="49"/>
  <c r="H158" i="49"/>
  <c r="H157" i="49"/>
  <c r="H156" i="49"/>
  <c r="H155" i="49"/>
  <c r="H154" i="49"/>
  <c r="H153" i="49"/>
  <c r="H152" i="49"/>
  <c r="H151" i="49"/>
  <c r="H150" i="49"/>
  <c r="H149" i="49"/>
  <c r="H148" i="49"/>
  <c r="H147" i="49"/>
  <c r="H146" i="49"/>
  <c r="H145" i="49"/>
  <c r="H144" i="49"/>
  <c r="H143" i="49"/>
  <c r="H142" i="49"/>
  <c r="H141" i="49"/>
  <c r="H140" i="49"/>
  <c r="H139" i="49"/>
  <c r="H138" i="49"/>
  <c r="H137" i="49"/>
  <c r="H136" i="49"/>
  <c r="H135" i="49"/>
  <c r="H134" i="49"/>
  <c r="H133" i="49"/>
  <c r="H132" i="49"/>
  <c r="H131" i="49"/>
  <c r="H130" i="49"/>
  <c r="H129" i="49"/>
  <c r="H128" i="49"/>
  <c r="H127" i="49"/>
  <c r="H126" i="49"/>
  <c r="H125" i="49"/>
  <c r="H124" i="49"/>
  <c r="H123" i="49"/>
  <c r="H122" i="49"/>
  <c r="H121" i="49"/>
  <c r="H120" i="49"/>
  <c r="H119" i="49"/>
  <c r="H118" i="49"/>
  <c r="H117" i="49"/>
  <c r="H116" i="49"/>
  <c r="H115" i="49"/>
  <c r="H114" i="49"/>
  <c r="H113" i="49"/>
  <c r="H112" i="49"/>
  <c r="H111" i="49"/>
  <c r="H110" i="49"/>
  <c r="H109" i="49"/>
  <c r="H108" i="49"/>
  <c r="H107" i="49"/>
  <c r="H106" i="49"/>
  <c r="H105" i="49"/>
  <c r="H104" i="49"/>
  <c r="H103" i="49"/>
  <c r="H102" i="49"/>
  <c r="H101" i="49"/>
  <c r="H100" i="49"/>
  <c r="H99" i="49"/>
  <c r="H98" i="49"/>
  <c r="H97" i="49"/>
  <c r="H96" i="49"/>
  <c r="H95" i="49"/>
  <c r="H94" i="49"/>
  <c r="H93" i="49"/>
  <c r="H92" i="49"/>
  <c r="H91" i="49"/>
  <c r="H90" i="49"/>
  <c r="H89" i="49"/>
  <c r="H88" i="49"/>
  <c r="H87" i="49"/>
  <c r="H86" i="49"/>
  <c r="H85" i="49"/>
  <c r="H84" i="49"/>
  <c r="H83" i="49"/>
  <c r="H82" i="49"/>
  <c r="H81" i="49"/>
  <c r="H80" i="49"/>
  <c r="H79" i="49"/>
  <c r="H78" i="49"/>
  <c r="H77" i="49"/>
  <c r="H76" i="49"/>
  <c r="H75" i="49"/>
  <c r="H74" i="49"/>
  <c r="H73" i="49"/>
  <c r="H72" i="49"/>
  <c r="H71" i="49"/>
  <c r="H70" i="49"/>
  <c r="H69" i="49"/>
  <c r="H68" i="49"/>
  <c r="H67" i="49"/>
  <c r="H66" i="49"/>
  <c r="H65" i="49"/>
  <c r="H64" i="49"/>
  <c r="H63" i="49"/>
  <c r="H62" i="49"/>
  <c r="H61" i="49"/>
  <c r="H60" i="49"/>
  <c r="H59" i="49"/>
  <c r="H58" i="49"/>
  <c r="H57" i="49"/>
  <c r="H56" i="49"/>
  <c r="H55" i="49"/>
  <c r="H54" i="49"/>
  <c r="H53" i="49"/>
  <c r="H52" i="49"/>
  <c r="H51" i="49"/>
  <c r="H50" i="49"/>
  <c r="H49" i="49"/>
  <c r="H48" i="49"/>
  <c r="H47" i="49"/>
  <c r="H46" i="49"/>
  <c r="H45" i="49"/>
  <c r="H44" i="49"/>
  <c r="H43" i="49"/>
  <c r="H42" i="49"/>
  <c r="H41" i="49"/>
  <c r="H40" i="49"/>
  <c r="H39" i="49"/>
  <c r="H38" i="49"/>
  <c r="H37" i="49"/>
  <c r="H36" i="49"/>
  <c r="H35" i="49"/>
  <c r="H34" i="49"/>
  <c r="H33" i="49"/>
  <c r="H32" i="49"/>
  <c r="H31" i="49"/>
  <c r="H30" i="49"/>
  <c r="H29" i="49"/>
  <c r="H28" i="49"/>
  <c r="H27" i="49"/>
  <c r="H26" i="49"/>
  <c r="H25" i="49"/>
  <c r="H24" i="49"/>
  <c r="H23" i="49"/>
  <c r="H22" i="49"/>
  <c r="H21" i="49"/>
  <c r="H20" i="49"/>
  <c r="H19" i="49"/>
  <c r="H18" i="49"/>
  <c r="H17" i="49"/>
  <c r="H16" i="49"/>
  <c r="S15" i="49" a="1"/>
  <c r="S15" i="49" s="1"/>
  <c r="W14" i="47" a="1"/>
  <c r="W14" i="47" s="1"/>
  <c r="W11" i="47" s="1" a="1"/>
  <c r="W11" i="47" s="1"/>
  <c r="V14" i="47" a="1"/>
  <c r="V14" i="47" s="1"/>
  <c r="V11" i="47" s="1" a="1"/>
  <c r="V11" i="47" s="1"/>
  <c r="U14" i="47" a="1"/>
  <c r="U14" i="47" s="1"/>
  <c r="U11" i="47" s="1" a="1"/>
  <c r="U11" i="47" s="1"/>
  <c r="P14" i="47" a="1"/>
  <c r="P14" i="47" s="1"/>
  <c r="R11" i="47" a="1"/>
  <c r="R11" i="47" s="1"/>
  <c r="Q11" i="47" a="1"/>
  <c r="Q11" i="47" s="1"/>
  <c r="P11" i="47" a="1"/>
  <c r="P11" i="47" s="1"/>
  <c r="W61" i="2" a="1"/>
  <c r="W61" i="2" s="1"/>
  <c r="V61" i="2" a="1"/>
  <c r="V61" i="2" s="1"/>
  <c r="W58" i="2" a="1"/>
  <c r="W58" i="2" s="1"/>
  <c r="V58" i="2" a="1"/>
  <c r="V58" i="2" s="1"/>
  <c r="N56" i="2" a="1"/>
  <c r="N56" i="2" s="1"/>
  <c r="AB52" i="2" a="1"/>
  <c r="AB52" i="2" s="1"/>
  <c r="W44" i="2" a="1"/>
  <c r="W44" i="2" s="1"/>
  <c r="V44" i="2" a="1"/>
  <c r="V44" i="2" s="1"/>
  <c r="AH41" i="2" a="1"/>
  <c r="AH41" i="2" s="1"/>
  <c r="W41" i="2" a="1"/>
  <c r="W41" i="2" s="1"/>
  <c r="V41" i="2" a="1"/>
  <c r="V41" i="2" s="1"/>
  <c r="S41" i="2" a="1"/>
  <c r="S41" i="2" s="1"/>
  <c r="R41" i="2" a="1"/>
  <c r="R41" i="2" s="1"/>
  <c r="L41" i="2" a="1"/>
  <c r="L41" i="2" s="1"/>
  <c r="H41" i="2" a="1"/>
  <c r="H41" i="2" s="1"/>
  <c r="W38" i="2" a="1"/>
  <c r="W38" i="2" s="1"/>
  <c r="V38" i="2" a="1"/>
  <c r="V38" i="2" s="1"/>
  <c r="AB37" i="2" a="1"/>
  <c r="AB37" i="2" s="1"/>
  <c r="W35" i="2" a="1"/>
  <c r="W35" i="2" s="1"/>
  <c r="V35" i="2" a="1"/>
  <c r="V35" i="2" s="1"/>
  <c r="AH34" i="2" a="1"/>
  <c r="AH34" i="2" s="1"/>
  <c r="Z34" i="2" a="1"/>
  <c r="Z34" i="2" s="1"/>
  <c r="Y34" i="2" a="1"/>
  <c r="Y34" i="2" s="1"/>
  <c r="W32" i="2" a="1"/>
  <c r="W32" i="2" s="1"/>
  <c r="V32" i="2" a="1"/>
  <c r="V32" i="2" s="1"/>
  <c r="S32" i="2" a="1"/>
  <c r="S32" i="2" s="1"/>
  <c r="Z31" i="2" a="1"/>
  <c r="Z31" i="2" s="1"/>
  <c r="Y31" i="2" a="1"/>
  <c r="Y31" i="2" s="1"/>
  <c r="W29" i="2" a="1"/>
  <c r="W29" i="2" s="1"/>
  <c r="V29" i="2" a="1"/>
  <c r="V29" i="2" s="1"/>
  <c r="Z28" i="2" a="1"/>
  <c r="Z28" i="2" s="1"/>
  <c r="Y28" i="2" a="1"/>
  <c r="Y28" i="2" s="1"/>
  <c r="AH26" i="2" a="1"/>
  <c r="AH26" i="2" s="1"/>
  <c r="W26" i="2" a="1"/>
  <c r="W26" i="2" s="1"/>
  <c r="V26" i="2" a="1"/>
  <c r="V26" i="2" s="1"/>
  <c r="S26" i="2" a="1"/>
  <c r="S26" i="2" s="1"/>
  <c r="R26" i="2" a="1"/>
  <c r="R26" i="2" s="1"/>
  <c r="I26" i="2" a="1"/>
  <c r="I26" i="2" s="1"/>
  <c r="H26" i="2" a="1"/>
  <c r="H26" i="2" s="1"/>
  <c r="Z25" i="2" a="1"/>
  <c r="Z25" i="2" s="1"/>
  <c r="Y25" i="2" a="1"/>
  <c r="Y25" i="2" s="1"/>
  <c r="Z22" i="2" a="1"/>
  <c r="Z22" i="2" s="1"/>
  <c r="Y22" i="2" a="1"/>
  <c r="Y22" i="2" s="1"/>
  <c r="AJ19" i="2" a="1"/>
  <c r="AJ19" i="2" s="1"/>
  <c r="Z19" i="2" a="1"/>
  <c r="Z19" i="2" s="1"/>
  <c r="Y19" i="2" a="1"/>
  <c r="Y19" i="2" s="1"/>
  <c r="W19" i="2" a="1"/>
  <c r="W19" i="2" s="1"/>
  <c r="V19" i="2" a="1"/>
  <c r="V19" i="2" s="1"/>
  <c r="S19" i="2" a="1"/>
  <c r="S19" i="2" s="1"/>
  <c r="R19" i="2" a="1"/>
  <c r="R19" i="2" s="1"/>
  <c r="L19" i="2" a="1"/>
  <c r="L19" i="2" s="1"/>
  <c r="H19" i="2" a="1"/>
  <c r="H19" i="2" s="1"/>
  <c r="E19" i="2" a="1"/>
  <c r="E19" i="2" s="1"/>
  <c r="D19" i="2" a="1"/>
  <c r="D19" i="2" s="1"/>
  <c r="B19" i="2" a="1"/>
  <c r="B19" i="2" s="1"/>
  <c r="A19" i="2" a="1"/>
  <c r="A19" i="2" s="1"/>
  <c r="I13" i="2" a="1"/>
  <c r="I13" i="2" s="1"/>
  <c r="H13" i="2" a="1"/>
  <c r="H13" i="2" s="1"/>
  <c r="H5" i="2" a="1"/>
  <c r="H5" i="2" s="1"/>
  <c r="CH21" i="1" a="1"/>
  <c r="CH21" i="1" s="1"/>
  <c r="CE21" i="1" a="1"/>
  <c r="CE21" i="1" s="1"/>
  <c r="CB21" i="1" a="1"/>
  <c r="CB21" i="1" s="1"/>
  <c r="BX21" i="1" a="1"/>
  <c r="BT21" i="1" a="1"/>
  <c r="BT21" i="1" s="1"/>
  <c r="BP21" i="1" a="1"/>
  <c r="BP21" i="1" s="1"/>
  <c r="BL21" i="1" a="1"/>
  <c r="BL21" i="1" s="1"/>
  <c r="BH21" i="1" a="1"/>
  <c r="BH21" i="1" s="1"/>
  <c r="BD21" i="1" a="1"/>
  <c r="BD21" i="1" s="1"/>
  <c r="BA21" i="1" a="1"/>
  <c r="BA21" i="1" s="1"/>
  <c r="AW21" i="1" a="1"/>
  <c r="AW21" i="1" s="1"/>
  <c r="AT21" i="1" a="1"/>
  <c r="AT21" i="1" s="1"/>
  <c r="AQ21" i="1" a="1"/>
  <c r="AQ21" i="1" s="1"/>
  <c r="AN21" i="1" a="1"/>
  <c r="AN21" i="1" s="1"/>
  <c r="AK21" i="1" a="1"/>
  <c r="AK21" i="1" s="1"/>
  <c r="AG21" i="1" a="1"/>
  <c r="AG21" i="1" s="1"/>
  <c r="AC21" i="1" a="1"/>
  <c r="AC21" i="1" s="1"/>
  <c r="Z21" i="1" a="1"/>
  <c r="Z21" i="1" s="1"/>
  <c r="W21" i="1" a="1"/>
  <c r="W21" i="1" s="1"/>
  <c r="S21" i="1" a="1"/>
  <c r="S21" i="1" s="1"/>
  <c r="K21" i="1" a="1"/>
  <c r="K21" i="1" s="1"/>
  <c r="H21" i="1" a="1"/>
  <c r="H21" i="1" s="1"/>
  <c r="E21" i="1" a="1"/>
  <c r="E21" i="1" s="1"/>
  <c r="CH6" i="1" a="1"/>
  <c r="CH6" i="1" s="1"/>
  <c r="CE6" i="1" a="1"/>
  <c r="CE6" i="1" s="1"/>
  <c r="CB6" i="1" a="1"/>
  <c r="CB6" i="1" s="1"/>
  <c r="BP6" i="1" a="1"/>
  <c r="BP6" i="1" s="1"/>
  <c r="BL6" i="1" a="1"/>
  <c r="BL6" i="1" s="1"/>
  <c r="BH6" i="1" a="1"/>
  <c r="BH6" i="1" s="1"/>
  <c r="AW6" i="1" a="1"/>
  <c r="AW6" i="1" s="1"/>
  <c r="AT6" i="1" a="1"/>
  <c r="AT6" i="1" s="1"/>
  <c r="AN6" i="1" a="1"/>
  <c r="AN6" i="1" s="1"/>
  <c r="AK6" i="1" a="1"/>
  <c r="AK6" i="1" s="1"/>
  <c r="AG6" i="1" a="1"/>
  <c r="AG6" i="1" s="1"/>
  <c r="AC6" i="1" a="1"/>
  <c r="AC6" i="1" s="1"/>
  <c r="Z6" i="1" a="1"/>
  <c r="Z6" i="1" s="1"/>
  <c r="W6" i="1" a="1"/>
  <c r="W6" i="1" s="1"/>
  <c r="I207" i="12" a="1"/>
  <c r="I207" i="12" s="1"/>
  <c r="I197" i="12" a="1"/>
  <c r="I197" i="12" s="1"/>
  <c r="I198" i="12" a="1"/>
  <c r="I198" i="12" s="1"/>
  <c r="I204" i="12" a="1"/>
  <c r="I204" i="12" s="1"/>
  <c r="I206" i="12" a="1"/>
  <c r="I206" i="12" s="1"/>
  <c r="I203" i="12" a="1"/>
  <c r="I203" i="12" s="1"/>
  <c r="I186" i="12" a="1"/>
  <c r="I186" i="12" s="1"/>
  <c r="I185" i="12" a="1"/>
  <c r="I185" i="12" s="1"/>
  <c r="I205" i="12" a="1"/>
  <c r="I205" i="12" s="1"/>
  <c r="I209" i="12" a="1"/>
  <c r="I209" i="12" s="1"/>
  <c r="I208" i="12" a="1"/>
  <c r="I208" i="12" s="1"/>
  <c r="I202" i="12" a="1"/>
  <c r="I202" i="12" s="1"/>
  <c r="I201" i="12" a="1"/>
  <c r="I201" i="12" s="1"/>
  <c r="I217" i="12" a="1"/>
  <c r="I217" i="12" s="1"/>
  <c r="I214" i="12" a="1"/>
  <c r="I214" i="12" s="1"/>
  <c r="I199" i="12" a="1"/>
  <c r="I199" i="12" s="1"/>
  <c r="I215" i="12" a="1"/>
  <c r="I215" i="12" s="1"/>
  <c r="I211" i="12" a="1"/>
  <c r="I211" i="12" s="1"/>
  <c r="I212" i="12" a="1"/>
  <c r="I212" i="12" s="1"/>
  <c r="I213" i="12" a="1"/>
  <c r="I213" i="12" s="1"/>
  <c r="I210" i="12" a="1"/>
  <c r="I210" i="12" s="1"/>
  <c r="I200" i="12" a="1"/>
  <c r="I200" i="12" s="1"/>
  <c r="I219" i="12" a="1"/>
  <c r="I219" i="12" s="1"/>
  <c r="I218" i="12" a="1"/>
  <c r="I218" i="12" s="1"/>
  <c r="I189" i="12" a="1"/>
  <c r="I189" i="12" s="1"/>
  <c r="I188" i="12" a="1"/>
  <c r="I188" i="12" s="1"/>
  <c r="I195" i="12" a="1"/>
  <c r="I195" i="12" s="1"/>
  <c r="I194" i="12" a="1"/>
  <c r="I194" i="12" s="1"/>
  <c r="I192" i="12" a="1"/>
  <c r="I192" i="12" s="1"/>
  <c r="I191" i="12" a="1"/>
  <c r="I191" i="12" s="1"/>
  <c r="I187" i="12" a="1"/>
  <c r="I187" i="12" s="1"/>
  <c r="I216" i="12" a="1"/>
  <c r="I216" i="12" s="1"/>
  <c r="I167" i="12" a="1"/>
  <c r="I167" i="12" s="1"/>
  <c r="I142" i="12" a="1"/>
  <c r="I142" i="12" s="1"/>
  <c r="I174" i="12" a="1"/>
  <c r="I174" i="12" s="1"/>
  <c r="I156" i="12" a="1"/>
  <c r="I156" i="12" s="1"/>
  <c r="I141" i="12" a="1"/>
  <c r="I141" i="12" s="1"/>
  <c r="I138" i="12" a="1"/>
  <c r="I138" i="12" s="1"/>
  <c r="I137" i="12" a="1"/>
  <c r="I137" i="12" s="1"/>
  <c r="I139" i="12" a="1"/>
  <c r="I139" i="12" s="1"/>
  <c r="I140" i="12" a="1"/>
  <c r="I140" i="12" s="1"/>
  <c r="I132" i="12" a="1"/>
  <c r="I132" i="12" s="1"/>
  <c r="I165" i="12" a="1"/>
  <c r="I165" i="12" s="1"/>
  <c r="I166" i="12" a="1"/>
  <c r="I166" i="12" s="1"/>
  <c r="I164" i="12" a="1"/>
  <c r="I164" i="12" s="1"/>
  <c r="I172" i="12" a="1"/>
  <c r="I172" i="12" s="1"/>
  <c r="I133" i="12" a="1"/>
  <c r="I133" i="12" s="1"/>
  <c r="I148" i="12" a="1"/>
  <c r="I148" i="12" s="1"/>
  <c r="I161" i="12" a="1"/>
  <c r="I161" i="12" s="1"/>
  <c r="I160" i="12" a="1"/>
  <c r="I160" i="12" s="1"/>
  <c r="I153" i="12" a="1"/>
  <c r="I153" i="12" s="1"/>
  <c r="I173" i="12" a="1"/>
  <c r="I173" i="12" s="1"/>
  <c r="I144" i="12" a="1"/>
  <c r="I144" i="12" s="1"/>
  <c r="I170" i="12" a="1"/>
  <c r="I170" i="12" s="1"/>
  <c r="I169" i="12" a="1"/>
  <c r="I169" i="12" s="1"/>
  <c r="I155" i="12" a="1"/>
  <c r="I155" i="12" s="1"/>
  <c r="I154" i="12" a="1"/>
  <c r="I154" i="12" s="1"/>
  <c r="I171" i="12" a="1"/>
  <c r="I171" i="12" s="1"/>
  <c r="I157" i="12" a="1"/>
  <c r="I157" i="12" s="1"/>
  <c r="I145" i="12" a="1"/>
  <c r="I145" i="12" s="1"/>
  <c r="I146" i="12" a="1"/>
  <c r="I146" i="12" s="1"/>
  <c r="I147" i="12" a="1"/>
  <c r="I147" i="12" s="1"/>
  <c r="I149" i="12" a="1"/>
  <c r="I149" i="12" s="1"/>
  <c r="I131" i="12" a="1"/>
  <c r="I131" i="12" s="1"/>
  <c r="I130" i="12" a="1"/>
  <c r="I130" i="12" s="1"/>
  <c r="I57" i="12" a="1"/>
  <c r="I57" i="12" s="1"/>
  <c r="I37" i="12" a="1"/>
  <c r="I37" i="12" s="1"/>
  <c r="I59" i="12" a="1"/>
  <c r="I59" i="12" s="1"/>
  <c r="I48" i="12" a="1"/>
  <c r="I48" i="12" s="1"/>
  <c r="I49" i="12" a="1"/>
  <c r="I49" i="12" s="1"/>
  <c r="I62" i="12" a="1"/>
  <c r="I62" i="12" s="1"/>
  <c r="I45" i="12" a="1"/>
  <c r="I45" i="12" s="1"/>
  <c r="I44" i="12" a="1"/>
  <c r="I44" i="12" s="1"/>
  <c r="I56" i="12" a="1"/>
  <c r="I56" i="12" s="1"/>
  <c r="I67" i="12" a="1"/>
  <c r="I67" i="12" s="1"/>
  <c r="I73" i="12" a="1"/>
  <c r="I73" i="12" s="1"/>
  <c r="I39" i="12" a="1"/>
  <c r="I39" i="12" s="1"/>
  <c r="I63" i="12" a="1"/>
  <c r="I63" i="12" s="1"/>
  <c r="I71" i="12" a="1"/>
  <c r="I71" i="12" s="1"/>
  <c r="I55" i="12" a="1"/>
  <c r="I55" i="12" s="1"/>
  <c r="I70" i="12" a="1"/>
  <c r="I70" i="12" s="1"/>
  <c r="I65" i="12" a="1"/>
  <c r="I65" i="12" s="1"/>
  <c r="I43" i="12" a="1"/>
  <c r="I43" i="12" s="1"/>
  <c r="I58" i="12" a="1"/>
  <c r="I58" i="12" s="1"/>
  <c r="I60" i="12" a="1"/>
  <c r="I60" i="12" s="1"/>
  <c r="I64" i="12" a="1"/>
  <c r="I64" i="12" s="1"/>
  <c r="I33" i="12" a="1"/>
  <c r="I33" i="12" s="1"/>
  <c r="I32" i="12" a="1"/>
  <c r="I32" i="12" s="1"/>
  <c r="I36" i="12" a="1"/>
  <c r="I36" i="12" s="1"/>
  <c r="I69" i="12" a="1"/>
  <c r="I69" i="12" s="1"/>
  <c r="I68" i="12" a="1"/>
  <c r="I68" i="12" s="1"/>
  <c r="I52" i="12" a="1"/>
  <c r="I52" i="12" s="1"/>
  <c r="I51" i="12" a="1"/>
  <c r="I51" i="12" s="1"/>
  <c r="I91" i="12" a="1"/>
  <c r="I91" i="12" s="1"/>
  <c r="I90" i="12" a="1"/>
  <c r="I90" i="12" s="1"/>
  <c r="I42" i="12" a="1"/>
  <c r="I42" i="12" s="1"/>
  <c r="I66" i="12" a="1"/>
  <c r="I66" i="12" s="1"/>
  <c r="I93" i="12" a="1"/>
  <c r="I93" i="12" s="1"/>
  <c r="I47" i="12" a="1"/>
  <c r="I47" i="12" s="1"/>
  <c r="I28" i="12" a="1"/>
  <c r="I28" i="12" s="1"/>
  <c r="I27" i="12" a="1"/>
  <c r="I27" i="12" s="1"/>
  <c r="I26" i="12" a="1"/>
  <c r="I26" i="12" s="1"/>
  <c r="I15" i="12" a="1"/>
  <c r="I15" i="12" s="1"/>
  <c r="I17" i="12" a="1"/>
  <c r="I17" i="12" s="1"/>
  <c r="I18" i="12" a="1"/>
  <c r="I18" i="12" s="1"/>
  <c r="I20" i="12" a="1"/>
  <c r="I20" i="12" s="1"/>
  <c r="I14" i="12" a="1"/>
  <c r="I14" i="12" s="1"/>
  <c r="I22" i="12" a="1"/>
  <c r="I22" i="12" s="1"/>
  <c r="I13" i="12" a="1"/>
  <c r="I13" i="12" s="1"/>
  <c r="I21" i="12" a="1"/>
  <c r="I21" i="12" s="1"/>
  <c r="I19" i="12" a="1"/>
  <c r="I19" i="12" s="1"/>
  <c r="I16" i="12" a="1"/>
  <c r="I16" i="12" s="1"/>
  <c r="I12" i="12" a="1"/>
  <c r="I12" i="12" s="1"/>
  <c r="H13" i="99" a="1"/>
  <c r="H19" i="99" a="1"/>
  <c r="F133" i="12" a="1"/>
  <c r="F39" i="12" a="1"/>
  <c r="F143" i="12" a="1"/>
  <c r="F131" i="12" a="1"/>
  <c r="F90" i="12" a="1"/>
  <c r="F43" i="12" a="1"/>
  <c r="F27" i="12" a="1"/>
  <c r="F26" i="12" a="1"/>
  <c r="F147" i="12" a="1"/>
  <c r="F137" i="12" a="1"/>
  <c r="F55" i="12" a="1"/>
  <c r="F91" i="12" a="1"/>
  <c r="F56" i="12" a="1"/>
  <c r="F146" i="12" a="1"/>
  <c r="F32" i="12" a="1"/>
  <c r="F140" i="12" a="1"/>
  <c r="F169" i="12" a="1"/>
  <c r="F48" i="12" a="1"/>
  <c r="F161" i="12" a="1"/>
  <c r="F174" i="12" a="1"/>
  <c r="F61" i="12" a="1"/>
  <c r="F156" i="12" a="1"/>
  <c r="F70" i="12" a="1"/>
  <c r="F66" i="12" a="1"/>
  <c r="F49" i="12" a="1"/>
  <c r="F67" i="12" a="1"/>
  <c r="F171" i="12" a="1"/>
  <c r="F148" i="12" a="1"/>
  <c r="F59" i="12" a="1"/>
  <c r="F37" i="12" a="1"/>
  <c r="F154" i="12" a="1"/>
  <c r="F62" i="12" a="1"/>
  <c r="F71" i="12" a="1"/>
  <c r="F52" i="12" a="1"/>
  <c r="F69" i="12" a="1"/>
  <c r="F28" i="12" a="1"/>
  <c r="F138" i="12" a="1"/>
  <c r="F65" i="12" a="1"/>
  <c r="F141" i="12" a="1"/>
  <c r="F47" i="12" a="1"/>
  <c r="F132" i="12" a="1"/>
  <c r="F44" i="12" a="1"/>
  <c r="F64" i="12" a="1"/>
  <c r="F160" i="12" a="1"/>
  <c r="F142" i="12" a="1"/>
  <c r="F93" i="12" a="1"/>
  <c r="F153" i="12" a="1"/>
  <c r="F165" i="12" a="1"/>
  <c r="F139" i="12" a="1"/>
  <c r="F170" i="12" a="1"/>
  <c r="F63" i="12" a="1"/>
  <c r="F54" i="12" a="1"/>
  <c r="F60" i="12" a="1"/>
  <c r="F145" i="12" a="1"/>
  <c r="F144" i="12" a="1"/>
  <c r="F149" i="12" a="1"/>
  <c r="F51" i="12" a="1"/>
  <c r="F57" i="12" a="1"/>
  <c r="F73" i="12" a="1"/>
  <c r="F45" i="12" a="1"/>
  <c r="F33" i="12" a="1"/>
  <c r="F166" i="12" a="1"/>
  <c r="F130" i="12" a="1"/>
  <c r="F172" i="12" a="1"/>
  <c r="F157" i="12" a="1"/>
  <c r="F167" i="12" a="1"/>
  <c r="F173" i="12" a="1"/>
  <c r="F58" i="12" a="1"/>
  <c r="F36" i="12" a="1"/>
  <c r="F164" i="12" a="1"/>
  <c r="F42" i="12" a="1"/>
  <c r="F68" i="12" a="1"/>
  <c r="F155" i="12" a="1"/>
  <c r="K19" i="41" l="1"/>
  <c r="K13" i="111"/>
  <c r="K12" i="98"/>
  <c r="K22" i="93"/>
  <c r="K23" i="98"/>
  <c r="N12" i="97"/>
  <c r="Q13" i="111"/>
  <c r="K9" i="62" a="1"/>
  <c r="K9" i="62" s="1"/>
  <c r="BX21" i="1"/>
  <c r="K9" i="25" a="1"/>
  <c r="K9" i="25" s="1"/>
  <c r="N3" i="60"/>
  <c r="O18" i="84" a="1"/>
  <c r="O18" i="84" s="1"/>
  <c r="O18" i="79" a="1"/>
  <c r="O18" i="79" s="1"/>
  <c r="I8" i="26" a="1"/>
  <c r="I8" i="26" s="1"/>
  <c r="I35" i="26" a="1"/>
  <c r="I35" i="26" s="1"/>
  <c r="T15" i="49" a="1"/>
  <c r="T15" i="49" s="1"/>
  <c r="J10" i="60" a="1"/>
  <c r="J10" i="60" s="1"/>
  <c r="H18" i="71"/>
  <c r="M18" i="79" a="1"/>
  <c r="M18" i="79" s="1"/>
  <c r="N19" i="87" a="1"/>
  <c r="N19" i="87" s="1"/>
  <c r="P19" i="87" a="1"/>
  <c r="P19" i="87" s="1"/>
  <c r="P19" i="85" a="1"/>
  <c r="P19" i="85" s="1"/>
  <c r="N19" i="85" a="1"/>
  <c r="N19" i="85" s="1"/>
  <c r="M18" i="84" a="1"/>
  <c r="M18" i="84" s="1"/>
  <c r="R3" i="61"/>
  <c r="P14" i="61" a="1"/>
  <c r="P14" i="61" s="1"/>
  <c r="M14" i="61" a="1"/>
  <c r="M14" i="61" s="1"/>
  <c r="A8" i="12"/>
  <c r="K11" i="41" a="1"/>
  <c r="F61" i="12"/>
  <c r="F143" i="12"/>
  <c r="H13" i="99"/>
  <c r="H19" i="99"/>
  <c r="I15" i="57" a="1"/>
  <c r="I15" i="57" s="1"/>
  <c r="Z11" i="57" a="1"/>
  <c r="Z11" i="57" s="1"/>
  <c r="Z14" i="57" a="1"/>
  <c r="Z14" i="57" s="1"/>
  <c r="R12" i="97" a="1"/>
  <c r="R12" i="97" s="1"/>
  <c r="Y14" i="57" a="1"/>
  <c r="Y14" i="57" s="1"/>
  <c r="Y11" i="57" a="1"/>
  <c r="Y11" i="57" s="1"/>
  <c r="AA11" i="59" a="1"/>
  <c r="AA11" i="59" s="1"/>
  <c r="AA13" i="59" a="1"/>
  <c r="AA13" i="59" s="1"/>
  <c r="AE13" i="59" a="1"/>
  <c r="AE13" i="59" s="1"/>
  <c r="F51" i="12"/>
  <c r="F166" i="12"/>
  <c r="F149" i="12"/>
  <c r="F60" i="12"/>
  <c r="F156" i="12"/>
  <c r="F52" i="12"/>
  <c r="F59" i="12"/>
  <c r="F36" i="12"/>
  <c r="F145" i="12"/>
  <c r="F139" i="12"/>
  <c r="F169" i="12"/>
  <c r="F165" i="12"/>
  <c r="F47" i="12"/>
  <c r="F43" i="12"/>
  <c r="F147" i="12"/>
  <c r="F142" i="12"/>
  <c r="F90" i="12"/>
  <c r="F71" i="12"/>
  <c r="F171" i="12"/>
  <c r="F172" i="12"/>
  <c r="F132" i="12"/>
  <c r="F138" i="12"/>
  <c r="F66" i="12"/>
  <c r="F39" i="12"/>
  <c r="F155" i="12"/>
  <c r="F48" i="12"/>
  <c r="F32" i="12"/>
  <c r="F73" i="12"/>
  <c r="F137" i="12"/>
  <c r="F33" i="12"/>
  <c r="F170" i="12"/>
  <c r="F37" i="12"/>
  <c r="F42" i="12"/>
  <c r="F45" i="12"/>
  <c r="F68" i="12"/>
  <c r="F67" i="12"/>
  <c r="F160" i="12"/>
  <c r="F62" i="12"/>
  <c r="F153" i="12"/>
  <c r="F69" i="12"/>
  <c r="F63" i="12"/>
  <c r="F146" i="12"/>
  <c r="F154" i="12"/>
  <c r="F164" i="12"/>
  <c r="F167" i="12"/>
  <c r="F91" i="12"/>
  <c r="F65" i="12"/>
  <c r="F161" i="12"/>
  <c r="F141" i="12"/>
  <c r="F27" i="12"/>
  <c r="F54" i="12"/>
  <c r="F173" i="12"/>
  <c r="F44" i="12"/>
  <c r="F28" i="12"/>
  <c r="F58" i="12"/>
  <c r="F55" i="12"/>
  <c r="F157" i="12"/>
  <c r="F174" i="12"/>
  <c r="F93" i="12"/>
  <c r="F64" i="12"/>
  <c r="F56" i="12"/>
  <c r="F130" i="12"/>
  <c r="F144" i="12"/>
  <c r="F140" i="12"/>
  <c r="F57" i="12"/>
  <c r="F70" i="12"/>
  <c r="F131" i="12"/>
  <c r="F148" i="12"/>
  <c r="F133" i="12"/>
  <c r="F26" i="12"/>
  <c r="F49" i="12"/>
  <c r="K11" i="41" l="1"/>
  <c r="V12" i="97" a="1"/>
  <c r="I18" i="71"/>
  <c r="H19" i="71"/>
  <c r="AA14" i="57" a="1"/>
  <c r="AA14" i="57" s="1"/>
  <c r="AA11" i="57" a="1"/>
  <c r="AA11" i="57" s="1"/>
  <c r="J16" i="57" a="1"/>
  <c r="J16" i="57" s="1"/>
  <c r="V12" i="97" l="1"/>
  <c r="I19" i="71"/>
  <c r="H20" i="71"/>
  <c r="AB14" i="57" a="1"/>
  <c r="AB14" i="57" s="1"/>
  <c r="AB11" i="57" a="1"/>
  <c r="AB11" i="57" s="1"/>
  <c r="K17" i="57" a="1"/>
  <c r="K17" i="57" s="1"/>
  <c r="I20" i="71" l="1"/>
  <c r="H21" i="71"/>
  <c r="AC14" i="57" a="1"/>
  <c r="AC14" i="57" s="1"/>
  <c r="AC11" i="57" a="1"/>
  <c r="AC11" i="57" s="1"/>
  <c r="I21" i="71" l="1"/>
  <c r="H22" i="71"/>
  <c r="I22" i="71" l="1"/>
  <c r="H23" i="71"/>
  <c r="I23" i="71" l="1"/>
  <c r="H24" i="71"/>
  <c r="I24" i="71" l="1"/>
  <c r="H25" i="71"/>
  <c r="I25" i="71" l="1"/>
  <c r="H26" i="71"/>
  <c r="I26" i="71" l="1"/>
  <c r="H27" i="71"/>
  <c r="I27" i="71" l="1"/>
  <c r="H28" i="71"/>
  <c r="I28" i="71" l="1"/>
  <c r="H29" i="71"/>
  <c r="I29" i="71" l="1"/>
  <c r="H30" i="71"/>
  <c r="I30" i="71" l="1"/>
  <c r="H31" i="71"/>
  <c r="I31" i="71" l="1"/>
  <c r="H32" i="71"/>
  <c r="H33" i="71" l="1"/>
  <c r="I32" i="71"/>
  <c r="I33" i="71" l="1"/>
  <c r="H34" i="71"/>
  <c r="I34" i="71" l="1"/>
  <c r="H35" i="71"/>
  <c r="I35" i="71" l="1"/>
  <c r="H36" i="71"/>
  <c r="I36" i="71" l="1"/>
  <c r="H37" i="71"/>
  <c r="I37" i="71" l="1"/>
  <c r="H38" i="71"/>
  <c r="I38" i="71" l="1"/>
  <c r="H39" i="71"/>
  <c r="I39" i="71" l="1"/>
  <c r="H40" i="71"/>
  <c r="I40" i="71" l="1"/>
  <c r="H41" i="71"/>
  <c r="I41" i="71" l="1"/>
  <c r="H42" i="71"/>
  <c r="I42" i="71" l="1"/>
  <c r="H43" i="71"/>
  <c r="I43" i="71" l="1"/>
  <c r="H44" i="71"/>
  <c r="I44" i="71" l="1"/>
  <c r="H45" i="71"/>
  <c r="I45" i="71" l="1"/>
  <c r="H46" i="71"/>
  <c r="I46" i="71" l="1"/>
  <c r="H47" i="71"/>
  <c r="I47" i="71" l="1"/>
  <c r="H48" i="71"/>
  <c r="I48" i="71" l="1"/>
  <c r="H49" i="71"/>
  <c r="I49" i="71" l="1"/>
  <c r="H50" i="71"/>
  <c r="I50" i="71" l="1"/>
  <c r="H51" i="71"/>
  <c r="I51" i="71" l="1"/>
  <c r="H52" i="71"/>
  <c r="I52" i="71" l="1"/>
  <c r="H53" i="71"/>
  <c r="I53" i="71" l="1"/>
  <c r="H54" i="71"/>
  <c r="I54" i="71" l="1"/>
  <c r="H55" i="71"/>
  <c r="I55" i="71" l="1"/>
  <c r="H56" i="71"/>
  <c r="I56" i="71" l="1"/>
  <c r="H57" i="71"/>
  <c r="I57" i="71" l="1"/>
  <c r="H58" i="71"/>
  <c r="I58" i="71" l="1"/>
  <c r="H59" i="71"/>
  <c r="I59" i="71" l="1"/>
  <c r="H60" i="71"/>
  <c r="I60" i="71" l="1"/>
  <c r="H61" i="71"/>
  <c r="I61" i="71" l="1"/>
  <c r="H62" i="71"/>
  <c r="I62" i="71" l="1"/>
  <c r="H63" i="71"/>
  <c r="I63" i="71" l="1"/>
  <c r="H64" i="71"/>
  <c r="I64" i="71" l="1"/>
  <c r="H65" i="71"/>
  <c r="I65" i="71" l="1"/>
  <c r="H66" i="71"/>
  <c r="I66" i="71" l="1"/>
  <c r="H67" i="71"/>
  <c r="I67" i="71" l="1"/>
  <c r="H68" i="71"/>
  <c r="I68" i="71" l="1"/>
  <c r="H69" i="71"/>
  <c r="I69" i="71" l="1"/>
  <c r="H70" i="71"/>
  <c r="I70" i="71" l="1"/>
  <c r="H71" i="71"/>
  <c r="I71" i="71" l="1"/>
  <c r="H72" i="71"/>
  <c r="I72" i="71" l="1"/>
  <c r="H73" i="71"/>
  <c r="I73" i="71" l="1"/>
  <c r="H74" i="71"/>
  <c r="I74" i="71" l="1"/>
  <c r="H75" i="71"/>
  <c r="I75" i="71" l="1"/>
  <c r="H76" i="71"/>
  <c r="I76" i="71" l="1"/>
  <c r="H77" i="71"/>
  <c r="I77" i="71" l="1"/>
  <c r="H78" i="71"/>
  <c r="I78" i="71" l="1"/>
  <c r="H79" i="71"/>
  <c r="I79" i="71" l="1"/>
  <c r="H80" i="71"/>
  <c r="I80" i="71" l="1"/>
  <c r="H81" i="71"/>
  <c r="I81" i="71" l="1"/>
  <c r="H82" i="71"/>
  <c r="I82" i="71" l="1"/>
  <c r="H83" i="71"/>
  <c r="I83" i="71" l="1"/>
  <c r="H84" i="71"/>
  <c r="I84" i="71" l="1"/>
  <c r="H85" i="71"/>
  <c r="I85" i="71" l="1"/>
  <c r="H86" i="71"/>
  <c r="I86" i="71" l="1"/>
  <c r="H87" i="71"/>
  <c r="I87" i="71" l="1"/>
  <c r="H88" i="71"/>
  <c r="I88" i="71" l="1"/>
  <c r="H89" i="71"/>
  <c r="I89" i="71" l="1"/>
  <c r="H90" i="71"/>
  <c r="I90" i="71" l="1"/>
  <c r="H91" i="71"/>
  <c r="I91" i="71" l="1"/>
  <c r="H92" i="71"/>
  <c r="I92" i="71" l="1"/>
  <c r="H93" i="71"/>
  <c r="I93" i="71" l="1"/>
  <c r="H94" i="71"/>
  <c r="I94" i="71" l="1"/>
  <c r="H95" i="71"/>
  <c r="I95" i="71" l="1"/>
  <c r="H96" i="71"/>
  <c r="I96" i="71" l="1"/>
  <c r="H97" i="71"/>
  <c r="I97" i="71" l="1"/>
  <c r="H98" i="71"/>
  <c r="I98" i="71" l="1"/>
  <c r="H99" i="71"/>
  <c r="I99" i="71" l="1"/>
  <c r="H100" i="71"/>
  <c r="I100" i="71" l="1"/>
  <c r="H101" i="71"/>
  <c r="I101" i="71" l="1"/>
  <c r="H102" i="71"/>
  <c r="I102" i="71" l="1"/>
  <c r="H103" i="71"/>
  <c r="I103" i="71" l="1"/>
  <c r="H104" i="71"/>
  <c r="I104" i="71" l="1"/>
  <c r="H105" i="71"/>
  <c r="I105" i="71" l="1"/>
  <c r="H106" i="71"/>
  <c r="I106" i="71" l="1"/>
  <c r="H107" i="71"/>
  <c r="I107" i="71" l="1"/>
  <c r="H108" i="71"/>
  <c r="I108" i="71" l="1"/>
  <c r="H109" i="71"/>
  <c r="I109" i="71" l="1"/>
  <c r="H110" i="71"/>
  <c r="I110" i="71" l="1"/>
  <c r="H111" i="71"/>
  <c r="I111" i="71" l="1"/>
  <c r="H112" i="71"/>
  <c r="I112" i="71" l="1"/>
  <c r="H113" i="71"/>
  <c r="I113" i="71" l="1"/>
  <c r="H114" i="71"/>
  <c r="I114" i="71" l="1"/>
  <c r="H115" i="71"/>
  <c r="I115" i="71" l="1"/>
  <c r="H116" i="71"/>
  <c r="I116" i="71" l="1"/>
  <c r="H117" i="71"/>
  <c r="I117" i="71" l="1"/>
  <c r="H118" i="71"/>
  <c r="I118" i="71" l="1"/>
  <c r="H119" i="71"/>
  <c r="I119" i="71" l="1"/>
  <c r="H120" i="71"/>
  <c r="I120" i="71" l="1"/>
  <c r="H121" i="71"/>
  <c r="I121" i="71" l="1"/>
  <c r="H122" i="71"/>
  <c r="I122" i="71" l="1"/>
  <c r="H123" i="71"/>
  <c r="I123" i="71" l="1"/>
  <c r="H124" i="71"/>
  <c r="I124" i="71" l="1"/>
  <c r="H125" i="71"/>
  <c r="I125" i="71" l="1"/>
  <c r="H126" i="71"/>
  <c r="I126" i="71" l="1"/>
  <c r="H127" i="71"/>
  <c r="I127" i="71" l="1"/>
  <c r="H128" i="71"/>
  <c r="I128" i="71" l="1"/>
  <c r="H129" i="71"/>
  <c r="I129" i="71" l="1"/>
  <c r="H130" i="71"/>
  <c r="I130" i="71" l="1"/>
  <c r="H131" i="71"/>
  <c r="I131" i="71" l="1"/>
  <c r="H132" i="71"/>
  <c r="I132" i="71" l="1"/>
  <c r="H133" i="71"/>
  <c r="I133" i="71" l="1"/>
  <c r="H134" i="71"/>
  <c r="I134" i="71" l="1"/>
  <c r="H135" i="71"/>
  <c r="I135" i="71" l="1"/>
  <c r="H136" i="71"/>
  <c r="I136" i="71" l="1"/>
  <c r="H137" i="71"/>
  <c r="I137" i="71" l="1"/>
  <c r="H138" i="71"/>
  <c r="I138" i="71" l="1"/>
  <c r="H139" i="71"/>
  <c r="I139" i="71" l="1"/>
  <c r="H140" i="71"/>
  <c r="I140" i="71" l="1"/>
  <c r="H141" i="71"/>
  <c r="I141" i="71" l="1"/>
  <c r="H142" i="71"/>
  <c r="I142" i="71" l="1"/>
  <c r="H143" i="71"/>
  <c r="I143" i="71" l="1"/>
  <c r="H144" i="71"/>
  <c r="I144" i="71" l="1"/>
  <c r="H145" i="71"/>
  <c r="I145" i="71" l="1"/>
  <c r="H146" i="71"/>
  <c r="I146" i="71" l="1"/>
  <c r="H147" i="71"/>
  <c r="I147" i="71" l="1"/>
  <c r="H148" i="71"/>
  <c r="I148" i="71" l="1"/>
  <c r="H149" i="71"/>
  <c r="I149" i="71" l="1"/>
  <c r="H150" i="71"/>
  <c r="I150" i="71" l="1"/>
  <c r="H151" i="71"/>
  <c r="I151" i="71" l="1"/>
  <c r="H152" i="71"/>
  <c r="I152" i="71" l="1"/>
  <c r="H153" i="71"/>
  <c r="I153" i="71" l="1"/>
  <c r="H154" i="71"/>
  <c r="I154" i="71" l="1"/>
  <c r="H155" i="71"/>
  <c r="I155" i="71" l="1"/>
  <c r="H156" i="71"/>
  <c r="I156" i="71" l="1"/>
  <c r="H157" i="71"/>
  <c r="I157" i="71" l="1"/>
  <c r="H158" i="71"/>
  <c r="I158" i="71" l="1"/>
  <c r="H159" i="71"/>
  <c r="I159" i="71" l="1"/>
  <c r="H160" i="71"/>
  <c r="I160" i="71" l="1"/>
  <c r="H161" i="71"/>
  <c r="I161" i="71" l="1"/>
  <c r="H162" i="71"/>
  <c r="I162" i="71" l="1"/>
  <c r="H163" i="71"/>
  <c r="I163" i="71" l="1"/>
  <c r="H164" i="71"/>
  <c r="I164" i="71" l="1"/>
  <c r="H165" i="71"/>
  <c r="I165" i="71" l="1"/>
  <c r="H166" i="71"/>
  <c r="I166" i="71" l="1"/>
  <c r="H167" i="71"/>
  <c r="I167" i="71" l="1"/>
  <c r="H168" i="71"/>
  <c r="I168" i="71" l="1"/>
  <c r="H169" i="71"/>
  <c r="I169" i="71" l="1"/>
  <c r="H170" i="71"/>
  <c r="I170" i="71" l="1"/>
  <c r="H171" i="71"/>
  <c r="I171" i="71" l="1"/>
  <c r="H172" i="71"/>
  <c r="I172" i="71" l="1"/>
  <c r="H173" i="71"/>
  <c r="I173" i="71" l="1"/>
  <c r="H174" i="71"/>
  <c r="I174" i="71" l="1"/>
  <c r="H175" i="71"/>
  <c r="I175" i="71" l="1"/>
  <c r="H176" i="71"/>
  <c r="I176" i="71" l="1"/>
  <c r="H177" i="71"/>
  <c r="I177" i="71" l="1"/>
  <c r="H178" i="71"/>
  <c r="I178" i="71" l="1"/>
  <c r="H179" i="71"/>
  <c r="I179" i="71" l="1"/>
  <c r="H180" i="71"/>
  <c r="I180" i="71" l="1"/>
  <c r="H181" i="71"/>
  <c r="I181" i="71" l="1"/>
  <c r="H182" i="71"/>
  <c r="I182" i="71" l="1"/>
  <c r="H183" i="71"/>
  <c r="I183" i="71" l="1"/>
  <c r="H184" i="71"/>
  <c r="I184" i="71" l="1"/>
  <c r="H185" i="71"/>
  <c r="I185" i="71" l="1"/>
  <c r="H186" i="71"/>
  <c r="I186" i="71" l="1"/>
  <c r="H187" i="71"/>
  <c r="I187" i="71" l="1"/>
  <c r="H188" i="71"/>
  <c r="I188" i="71" l="1"/>
  <c r="H189" i="71"/>
  <c r="I189" i="71" l="1"/>
  <c r="H190" i="71"/>
  <c r="I190" i="71" l="1"/>
  <c r="H191" i="71"/>
  <c r="I191" i="71" l="1"/>
  <c r="H192" i="71"/>
  <c r="I192" i="71" l="1"/>
  <c r="H193" i="71"/>
  <c r="I193" i="71" l="1"/>
  <c r="H194" i="71"/>
  <c r="I194" i="71" l="1"/>
  <c r="H195" i="71"/>
  <c r="I195" i="71" l="1"/>
  <c r="H196" i="71"/>
  <c r="I196" i="71" l="1"/>
  <c r="H197" i="71"/>
  <c r="I197" i="71" l="1"/>
  <c r="H198" i="71"/>
  <c r="I198" i="71" l="1"/>
  <c r="H199" i="71"/>
  <c r="I199" i="71" l="1"/>
  <c r="H200" i="71"/>
  <c r="I200" i="71" l="1"/>
  <c r="H201" i="71"/>
  <c r="I201" i="71" l="1"/>
  <c r="H202" i="71"/>
  <c r="I202" i="71" l="1"/>
  <c r="H203" i="71"/>
  <c r="I203" i="71" l="1"/>
  <c r="H204" i="71"/>
  <c r="I204" i="71" l="1"/>
  <c r="H205" i="71"/>
  <c r="I205" i="71" l="1"/>
  <c r="H206" i="71"/>
  <c r="I206" i="71" l="1"/>
  <c r="H207" i="71"/>
  <c r="I207" i="71" l="1"/>
  <c r="H208" i="71"/>
  <c r="I208" i="71" l="1"/>
  <c r="H209" i="71"/>
  <c r="I209" i="71" l="1"/>
  <c r="H210" i="71"/>
  <c r="I210" i="71" l="1"/>
  <c r="H211" i="71"/>
  <c r="I211" i="71" l="1"/>
  <c r="H212" i="71"/>
  <c r="I212" i="71" l="1"/>
  <c r="H213" i="71"/>
  <c r="I213" i="71" l="1"/>
  <c r="H214" i="71"/>
  <c r="I214" i="71" l="1"/>
  <c r="H215" i="71"/>
  <c r="I215" i="71" l="1"/>
  <c r="H216" i="71"/>
  <c r="I216" i="71" l="1"/>
  <c r="H217" i="71"/>
  <c r="I217" i="71" l="1"/>
  <c r="H218" i="71"/>
  <c r="I218" i="71" l="1"/>
  <c r="H219" i="71"/>
  <c r="I219" i="71" l="1"/>
  <c r="H220" i="71"/>
  <c r="I220" i="71" l="1"/>
  <c r="H221" i="71"/>
  <c r="I221" i="71" l="1"/>
  <c r="H222" i="71"/>
  <c r="I222" i="71" l="1"/>
  <c r="H223" i="71"/>
  <c r="I223" i="71" l="1"/>
  <c r="H224" i="71"/>
  <c r="I224" i="71" l="1"/>
  <c r="H225" i="71"/>
  <c r="I225" i="71" l="1"/>
  <c r="H226" i="71"/>
  <c r="I226" i="71" l="1"/>
  <c r="H227" i="71"/>
  <c r="I227" i="71" l="1"/>
  <c r="H228" i="71"/>
  <c r="I228" i="71" l="1"/>
  <c r="H229" i="71"/>
  <c r="I229" i="71" l="1"/>
  <c r="H230" i="71"/>
  <c r="I230" i="71" l="1"/>
  <c r="H231" i="71"/>
  <c r="I231" i="71" l="1"/>
  <c r="H232" i="71"/>
  <c r="I232" i="71" l="1"/>
  <c r="H233" i="71"/>
  <c r="I233" i="71" l="1"/>
  <c r="H234" i="71"/>
  <c r="I234" i="71" l="1"/>
  <c r="H235" i="71"/>
  <c r="I235" i="71" l="1"/>
  <c r="H236" i="71"/>
  <c r="I236" i="71" l="1"/>
  <c r="H237" i="71"/>
  <c r="I237" i="71" l="1"/>
  <c r="H238" i="71"/>
  <c r="I238" i="71" l="1"/>
  <c r="H239" i="71"/>
  <c r="I239" i="71" l="1"/>
  <c r="H240" i="71"/>
  <c r="I240" i="71" l="1"/>
  <c r="H241" i="71"/>
  <c r="I241" i="71" l="1"/>
  <c r="H242" i="71"/>
  <c r="I242" i="71" l="1"/>
  <c r="H243" i="71"/>
  <c r="I243" i="71" l="1"/>
  <c r="H244" i="71"/>
  <c r="I244" i="71" l="1"/>
  <c r="H245" i="71"/>
  <c r="I245" i="71" l="1"/>
  <c r="H246" i="71"/>
  <c r="I246" i="71" l="1"/>
  <c r="H247" i="71"/>
  <c r="I247" i="71" l="1"/>
  <c r="H248" i="71"/>
  <c r="I248" i="71" l="1"/>
  <c r="H249" i="71"/>
  <c r="H250" i="71" l="1"/>
  <c r="I249" i="71"/>
  <c r="I250" i="71" l="1"/>
  <c r="H251" i="71"/>
  <c r="I251" i="71" l="1"/>
  <c r="H252" i="71"/>
  <c r="I252" i="71" l="1"/>
  <c r="H253" i="71"/>
  <c r="I253" i="71" l="1"/>
  <c r="H254" i="71"/>
  <c r="I254" i="71" l="1"/>
  <c r="H255" i="71"/>
  <c r="I255" i="71" l="1"/>
  <c r="H256" i="71"/>
  <c r="I256" i="71" l="1"/>
  <c r="H257" i="71"/>
  <c r="I257" i="71" l="1"/>
  <c r="H258" i="71"/>
  <c r="I258" i="71" l="1"/>
  <c r="H259" i="71"/>
  <c r="I259" i="71" l="1"/>
  <c r="H260" i="71"/>
  <c r="I260" i="71" l="1"/>
  <c r="H261" i="71"/>
  <c r="I261" i="71" l="1"/>
  <c r="H262" i="71"/>
  <c r="I262" i="71" l="1"/>
  <c r="H263" i="71"/>
  <c r="I263" i="71" l="1"/>
  <c r="H264" i="71"/>
  <c r="I264" i="71" l="1"/>
  <c r="H265" i="71"/>
  <c r="I265" i="71" l="1"/>
  <c r="H266" i="71"/>
  <c r="I266" i="71" l="1"/>
  <c r="H267" i="71"/>
  <c r="I267" i="71" l="1"/>
  <c r="H268" i="71"/>
  <c r="I268" i="71" l="1"/>
  <c r="H269" i="71"/>
  <c r="I269" i="71" l="1"/>
  <c r="H270" i="71"/>
  <c r="I270" i="71" l="1"/>
  <c r="H271" i="71"/>
  <c r="I271" i="71" l="1"/>
  <c r="H272" i="71"/>
  <c r="I272" i="71" l="1"/>
  <c r="H273" i="71"/>
  <c r="I273" i="71" l="1"/>
  <c r="H274" i="71"/>
  <c r="I274" i="71" l="1"/>
  <c r="H275" i="71"/>
  <c r="I275" i="71" l="1"/>
  <c r="H276" i="71"/>
  <c r="I276" i="71" l="1"/>
  <c r="H277" i="71"/>
  <c r="I277" i="71" l="1"/>
  <c r="H278" i="71"/>
  <c r="I278" i="71" l="1"/>
  <c r="H279" i="71"/>
  <c r="I279" i="71" l="1"/>
  <c r="H280" i="71"/>
  <c r="I280" i="71" l="1"/>
  <c r="H281" i="71"/>
  <c r="I281" i="71" l="1"/>
  <c r="H282" i="71"/>
  <c r="I282" i="71" l="1"/>
  <c r="H283" i="71"/>
  <c r="I283" i="71" l="1"/>
  <c r="H284" i="71"/>
  <c r="I284" i="71" l="1"/>
  <c r="H285" i="71"/>
  <c r="I285" i="71" l="1"/>
  <c r="H286" i="71"/>
  <c r="I286" i="71" l="1"/>
  <c r="H287" i="71"/>
  <c r="I287" i="71" l="1"/>
  <c r="H288" i="71"/>
  <c r="I288" i="71" l="1"/>
  <c r="H289" i="71"/>
  <c r="I289" i="71" l="1"/>
  <c r="H290" i="71"/>
  <c r="I290" i="71" l="1"/>
  <c r="H291" i="71"/>
  <c r="I291" i="71" l="1"/>
  <c r="H292" i="71"/>
  <c r="I292" i="71" l="1"/>
  <c r="H293" i="71"/>
  <c r="I293" i="71" l="1"/>
  <c r="H294" i="71"/>
  <c r="I294" i="71" l="1"/>
  <c r="H295" i="71"/>
  <c r="I295" i="71" l="1"/>
  <c r="H296" i="71"/>
  <c r="I296" i="71" l="1"/>
  <c r="H297" i="71"/>
  <c r="I297" i="71" l="1"/>
  <c r="H298" i="71"/>
  <c r="I298" i="71" l="1"/>
  <c r="H299" i="71"/>
  <c r="I299" i="71" l="1"/>
  <c r="H300" i="71"/>
  <c r="I300" i="71" l="1"/>
  <c r="H301" i="71"/>
  <c r="I301" i="71" l="1"/>
  <c r="H302" i="71"/>
  <c r="I302" i="71" l="1"/>
  <c r="H303" i="71"/>
  <c r="I303" i="71" l="1"/>
  <c r="H304" i="71"/>
  <c r="I304" i="71" l="1"/>
  <c r="H305" i="71"/>
  <c r="I305" i="71" l="1"/>
  <c r="H306" i="71"/>
  <c r="I306" i="71" l="1"/>
  <c r="H307" i="71"/>
  <c r="I307" i="71" l="1"/>
  <c r="H308" i="71"/>
  <c r="I308" i="71" l="1"/>
  <c r="H309" i="71"/>
  <c r="I309" i="71" l="1"/>
  <c r="H310" i="71"/>
  <c r="I310" i="71" l="1"/>
  <c r="H311" i="71"/>
  <c r="I311" i="71" l="1"/>
  <c r="H312" i="71"/>
  <c r="I312" i="71" l="1"/>
  <c r="H313" i="71"/>
  <c r="I313" i="71" l="1"/>
  <c r="H314" i="71"/>
  <c r="I314" i="71" l="1"/>
  <c r="H315" i="71"/>
  <c r="I315" i="71" l="1"/>
  <c r="H316" i="71"/>
  <c r="I316" i="71" l="1"/>
  <c r="H317" i="71"/>
  <c r="I317" i="71" l="1"/>
  <c r="H318" i="71"/>
  <c r="I318" i="71" l="1"/>
  <c r="H319" i="71"/>
  <c r="I319" i="71" l="1"/>
  <c r="H320" i="71"/>
  <c r="I320" i="71" l="1"/>
  <c r="H321" i="71"/>
  <c r="I321" i="71" l="1"/>
  <c r="H322" i="71"/>
  <c r="I322" i="71" l="1"/>
  <c r="H323" i="71"/>
  <c r="I323" i="71" l="1"/>
  <c r="H324" i="71"/>
  <c r="H325" i="71" l="1"/>
  <c r="I324" i="71"/>
  <c r="I325" i="71" l="1"/>
  <c r="H326" i="71"/>
  <c r="I326" i="71" l="1"/>
  <c r="H327" i="71"/>
  <c r="I327" i="71" l="1"/>
  <c r="H328" i="71"/>
  <c r="I328" i="71" l="1"/>
  <c r="H329" i="71"/>
  <c r="I329" i="71" l="1"/>
  <c r="H330" i="71"/>
  <c r="I330" i="71" l="1"/>
  <c r="H331" i="71"/>
  <c r="I331" i="71" l="1"/>
  <c r="H332" i="71"/>
  <c r="I332" i="71" l="1"/>
  <c r="H333" i="71"/>
  <c r="I333" i="71" l="1"/>
  <c r="H334" i="71"/>
  <c r="I334" i="71" l="1"/>
  <c r="H335" i="71"/>
  <c r="I335" i="71" l="1"/>
  <c r="H336" i="71"/>
  <c r="H337" i="71" l="1"/>
  <c r="I336" i="71"/>
  <c r="I337" i="71" l="1"/>
  <c r="H338" i="71"/>
  <c r="I338" i="71" l="1"/>
  <c r="H339" i="71"/>
  <c r="I339" i="71" l="1"/>
  <c r="H340" i="71"/>
  <c r="I340" i="71" l="1"/>
  <c r="H341" i="71"/>
  <c r="I341" i="71" l="1"/>
  <c r="H342" i="71"/>
  <c r="I342" i="71" l="1"/>
  <c r="H343" i="71"/>
  <c r="I343" i="71" l="1"/>
  <c r="H344" i="71"/>
  <c r="H345" i="71" l="1"/>
  <c r="I344" i="71"/>
  <c r="I345" i="71" l="1"/>
  <c r="H346" i="71"/>
  <c r="I346" i="71" l="1"/>
  <c r="H347" i="71"/>
  <c r="I347" i="71" l="1"/>
  <c r="H348" i="71"/>
  <c r="I348" i="71" l="1"/>
  <c r="H349" i="71"/>
  <c r="I349" i="71" l="1"/>
  <c r="H350" i="71"/>
  <c r="I350" i="71" l="1"/>
  <c r="H351" i="71"/>
  <c r="I351" i="71" l="1"/>
  <c r="H352" i="71"/>
  <c r="I352" i="71" l="1"/>
  <c r="H353" i="71"/>
  <c r="H354" i="71" l="1"/>
  <c r="I353" i="71"/>
  <c r="I354" i="71" l="1"/>
  <c r="H355" i="71"/>
  <c r="I355" i="71" l="1"/>
  <c r="H356" i="71"/>
  <c r="I356" i="71" l="1"/>
  <c r="H357" i="71"/>
  <c r="I357" i="71" l="1"/>
  <c r="H358" i="71"/>
  <c r="I358" i="71" l="1"/>
  <c r="H359" i="71"/>
  <c r="I359" i="71" l="1"/>
  <c r="H360" i="71"/>
  <c r="I360" i="71" l="1"/>
  <c r="H361" i="71"/>
  <c r="I361" i="71" l="1"/>
  <c r="H362" i="71"/>
  <c r="I362" i="71" l="1"/>
  <c r="H363" i="71"/>
  <c r="I363" i="71" l="1"/>
  <c r="H364" i="71"/>
  <c r="I364" i="71" l="1"/>
  <c r="H365" i="71"/>
  <c r="I365" i="71" l="1"/>
  <c r="H366" i="71"/>
  <c r="I366" i="71" l="1"/>
  <c r="H367" i="71"/>
  <c r="I367" i="71" l="1"/>
  <c r="H368" i="71"/>
  <c r="I368" i="71" l="1"/>
  <c r="H369" i="71"/>
  <c r="I369" i="71" l="1"/>
  <c r="H370" i="71"/>
  <c r="I370" i="71" l="1"/>
  <c r="H371" i="71"/>
  <c r="I371" i="71" l="1"/>
  <c r="H372" i="71"/>
  <c r="I372" i="71" l="1"/>
  <c r="H373" i="71"/>
  <c r="I373" i="71" l="1"/>
  <c r="H374" i="71"/>
  <c r="I374" i="71" l="1"/>
  <c r="H375" i="71"/>
  <c r="I375" i="71" l="1"/>
  <c r="H376" i="71"/>
  <c r="I376" i="71" l="1"/>
  <c r="H377" i="71"/>
  <c r="I377" i="71" l="1"/>
  <c r="H378" i="71"/>
  <c r="I378" i="71" l="1"/>
  <c r="H379" i="71"/>
  <c r="I379" i="71" l="1"/>
  <c r="H380" i="71"/>
  <c r="I380" i="71" l="1"/>
  <c r="H381" i="71"/>
  <c r="I381" i="71" l="1"/>
  <c r="H382" i="71"/>
  <c r="I382" i="71" l="1"/>
  <c r="H383" i="71"/>
  <c r="I383" i="71" l="1"/>
  <c r="H384" i="71"/>
  <c r="I384" i="71" l="1"/>
  <c r="H385" i="71"/>
  <c r="I385" i="71" l="1"/>
  <c r="H386" i="71"/>
  <c r="I386" i="71" l="1"/>
  <c r="H387" i="71"/>
  <c r="I387" i="71" l="1"/>
  <c r="H388" i="71"/>
  <c r="I388" i="71" l="1"/>
  <c r="H389" i="71"/>
  <c r="I389" i="71" l="1"/>
  <c r="H390" i="71"/>
  <c r="I390" i="71" l="1"/>
  <c r="H391" i="71"/>
  <c r="I391" i="71" l="1"/>
  <c r="H392" i="71"/>
  <c r="I392" i="71" l="1"/>
  <c r="H393" i="71"/>
  <c r="H394" i="71" l="1"/>
  <c r="I393" i="71"/>
  <c r="I394" i="71" l="1"/>
  <c r="H395" i="71"/>
  <c r="I395" i="71" l="1"/>
  <c r="H396" i="71"/>
  <c r="I396" i="71" l="1"/>
  <c r="H397" i="71"/>
  <c r="I397" i="71" l="1"/>
  <c r="H398" i="71"/>
  <c r="I398" i="71" l="1"/>
  <c r="H399" i="71"/>
  <c r="I399" i="71" l="1"/>
  <c r="H400" i="71"/>
  <c r="I400" i="71" l="1"/>
  <c r="H401" i="71"/>
  <c r="I401" i="71" l="1"/>
  <c r="H402" i="71"/>
  <c r="I402" i="71" l="1"/>
  <c r="H403" i="71"/>
  <c r="I403" i="71" l="1"/>
  <c r="H404" i="71"/>
  <c r="I404" i="71" l="1"/>
  <c r="H405" i="71"/>
  <c r="I405" i="71" l="1"/>
  <c r="H406" i="71"/>
  <c r="I406" i="71" l="1"/>
  <c r="H407" i="71"/>
  <c r="I407" i="71" l="1"/>
  <c r="H408" i="71"/>
  <c r="I408" i="71" l="1"/>
  <c r="H409" i="71"/>
  <c r="I409" i="71" l="1"/>
  <c r="H410" i="71"/>
  <c r="I410" i="71" l="1"/>
  <c r="H411" i="71"/>
  <c r="I411" i="71" l="1"/>
  <c r="H412" i="71"/>
  <c r="I412" i="71" l="1"/>
  <c r="H413" i="71"/>
  <c r="H414" i="71" l="1"/>
  <c r="I413" i="71"/>
  <c r="I414" i="71" l="1"/>
  <c r="H415" i="71"/>
  <c r="I415" i="71" l="1"/>
  <c r="H416" i="71"/>
  <c r="I416" i="71" l="1"/>
  <c r="H417" i="71"/>
  <c r="I417" i="71" l="1"/>
  <c r="H418" i="71"/>
  <c r="I418" i="71" l="1"/>
  <c r="H419" i="71"/>
  <c r="I419" i="71" l="1"/>
  <c r="H420" i="71"/>
  <c r="I420" i="71" l="1"/>
  <c r="H421" i="71"/>
  <c r="I421" i="71" l="1"/>
  <c r="H422" i="71"/>
  <c r="I422" i="71" l="1"/>
  <c r="H423" i="71"/>
  <c r="I423" i="71" l="1"/>
  <c r="H424" i="71"/>
  <c r="I424" i="71" l="1"/>
  <c r="H425" i="71"/>
  <c r="I425" i="71" l="1"/>
  <c r="H426" i="71"/>
  <c r="I426" i="71" l="1"/>
  <c r="H427" i="71"/>
  <c r="I427" i="71" l="1"/>
  <c r="H428" i="71"/>
  <c r="I428" i="71" l="1"/>
  <c r="H429" i="71"/>
  <c r="I429" i="71" l="1"/>
  <c r="H430" i="71"/>
  <c r="I430" i="71" l="1"/>
  <c r="H431" i="71"/>
  <c r="I431" i="71" l="1"/>
  <c r="H432" i="71"/>
  <c r="I432" i="71" l="1"/>
  <c r="H433" i="71"/>
  <c r="H434" i="71" l="1"/>
  <c r="I433" i="71"/>
  <c r="I434" i="71" l="1"/>
  <c r="H435" i="71"/>
  <c r="I435" i="71" l="1"/>
  <c r="H436" i="71"/>
  <c r="I436" i="71" l="1"/>
  <c r="H437" i="71"/>
  <c r="I437" i="71" l="1"/>
  <c r="H438" i="71"/>
  <c r="I438" i="71" l="1"/>
  <c r="H439" i="71"/>
  <c r="I439" i="71" l="1"/>
  <c r="H440" i="71"/>
  <c r="I440" i="71" l="1"/>
  <c r="H441" i="71"/>
  <c r="I441" i="71" l="1"/>
  <c r="H442" i="71"/>
  <c r="I442" i="71" l="1"/>
  <c r="H443" i="71"/>
  <c r="I443" i="71" l="1"/>
  <c r="H444" i="71"/>
  <c r="I444" i="71" l="1"/>
  <c r="H445" i="71"/>
  <c r="I445" i="71" l="1"/>
  <c r="H446" i="71"/>
  <c r="I446" i="71" l="1"/>
  <c r="H447" i="71"/>
  <c r="I447" i="71" l="1"/>
  <c r="H448" i="71"/>
  <c r="I448" i="71" l="1"/>
  <c r="H449" i="71"/>
  <c r="I449" i="71" l="1"/>
  <c r="H450" i="71"/>
  <c r="I450" i="71" l="1"/>
  <c r="H451" i="71"/>
  <c r="I451" i="71" l="1"/>
  <c r="H452" i="71"/>
  <c r="I452" i="71" l="1"/>
  <c r="H453" i="71"/>
  <c r="I453" i="71" l="1"/>
  <c r="H454" i="71"/>
  <c r="I454" i="71" l="1"/>
  <c r="H455" i="71"/>
  <c r="I455" i="71" l="1"/>
  <c r="H456" i="71"/>
  <c r="I456" i="71" l="1"/>
  <c r="H457" i="71"/>
  <c r="I457" i="71" l="1"/>
  <c r="H458" i="71"/>
  <c r="I458" i="71" l="1"/>
  <c r="H459" i="71"/>
  <c r="I459" i="71" l="1"/>
  <c r="H460" i="71"/>
  <c r="I460" i="71" l="1"/>
  <c r="H461" i="71"/>
  <c r="I461" i="71" l="1"/>
  <c r="H462" i="71"/>
  <c r="I462" i="71" l="1"/>
  <c r="H463" i="71"/>
  <c r="I463" i="71" l="1"/>
  <c r="H464" i="71"/>
  <c r="I464" i="71" l="1"/>
  <c r="H465" i="71"/>
  <c r="I465" i="71" l="1"/>
  <c r="H466" i="71"/>
  <c r="I466" i="71" l="1"/>
  <c r="H467" i="71"/>
  <c r="I467" i="71" l="1"/>
  <c r="H468" i="71"/>
  <c r="I468" i="71" l="1"/>
  <c r="H469" i="71"/>
  <c r="I469" i="71" l="1"/>
  <c r="H470" i="71"/>
  <c r="I470" i="71" l="1"/>
  <c r="H471" i="71"/>
  <c r="I471" i="71" l="1"/>
  <c r="H472" i="71"/>
  <c r="I472" i="71" l="1"/>
  <c r="H473" i="71"/>
  <c r="I473" i="71" l="1"/>
  <c r="H474" i="71"/>
  <c r="I474" i="71" l="1"/>
  <c r="H475" i="71"/>
  <c r="I475" i="71" l="1"/>
  <c r="H476" i="71"/>
  <c r="I476" i="71" l="1"/>
  <c r="H477" i="71"/>
  <c r="I477" i="71" l="1"/>
  <c r="H478" i="71"/>
  <c r="I478" i="71" l="1"/>
  <c r="H479" i="71"/>
  <c r="I479" i="71" l="1"/>
  <c r="H480" i="71"/>
  <c r="I480" i="71" l="1"/>
  <c r="H481" i="71"/>
  <c r="I481" i="71" l="1"/>
  <c r="H482" i="71"/>
  <c r="I482" i="71" l="1"/>
  <c r="H483" i="71"/>
  <c r="I483" i="71" l="1"/>
  <c r="H484" i="71"/>
  <c r="I484" i="71" l="1"/>
  <c r="H485" i="71"/>
  <c r="I485" i="71" l="1"/>
  <c r="H486" i="71"/>
  <c r="I486" i="71" l="1"/>
  <c r="H487" i="71"/>
  <c r="I487" i="71" l="1"/>
  <c r="H488" i="71"/>
  <c r="I488" i="71" l="1"/>
  <c r="H489" i="71"/>
  <c r="I489" i="71" l="1"/>
  <c r="H490" i="71"/>
  <c r="I490" i="71" l="1"/>
  <c r="H491" i="71"/>
  <c r="I491" i="71" l="1"/>
  <c r="H492" i="71"/>
  <c r="I492" i="71" l="1"/>
  <c r="H493" i="71"/>
  <c r="I493" i="71" l="1"/>
  <c r="H494" i="71"/>
  <c r="I494" i="71" l="1"/>
  <c r="H495" i="71"/>
  <c r="I495" i="71" l="1"/>
  <c r="H496" i="71"/>
  <c r="I496" i="71" l="1"/>
  <c r="H497" i="71"/>
  <c r="I497" i="71" l="1"/>
  <c r="H498" i="71"/>
  <c r="I498" i="71" l="1"/>
  <c r="H499" i="71"/>
  <c r="I499" i="71" l="1"/>
  <c r="H500" i="71"/>
  <c r="I500" i="71" l="1"/>
  <c r="H501" i="71"/>
  <c r="I501" i="71" l="1"/>
  <c r="H502" i="71"/>
  <c r="I502" i="71" l="1"/>
  <c r="H503" i="71"/>
  <c r="I503" i="71" l="1"/>
  <c r="H504" i="71"/>
  <c r="I504" i="71" l="1"/>
  <c r="H505" i="71"/>
  <c r="I505" i="71" l="1"/>
  <c r="H506" i="71"/>
  <c r="I506" i="71" l="1"/>
  <c r="H507" i="71"/>
  <c r="I507" i="71" l="1"/>
  <c r="H508" i="71"/>
  <c r="I508" i="71" l="1"/>
  <c r="H509" i="71"/>
  <c r="I509" i="71" l="1"/>
  <c r="H510" i="71"/>
  <c r="I510" i="71" l="1"/>
  <c r="H511" i="71"/>
  <c r="I511" i="71" l="1"/>
  <c r="H512" i="71"/>
  <c r="I512" i="71" l="1"/>
  <c r="H513" i="71"/>
  <c r="I513" i="71" l="1"/>
  <c r="H514" i="71"/>
  <c r="I514" i="71" l="1"/>
  <c r="H515" i="71"/>
  <c r="I515" i="71" l="1"/>
  <c r="H516" i="71"/>
  <c r="I516" i="71" l="1"/>
  <c r="H517" i="71"/>
  <c r="I517" i="71" l="1"/>
  <c r="H518" i="71"/>
  <c r="I518" i="71" l="1"/>
  <c r="H519" i="71"/>
  <c r="I519" i="71" l="1"/>
  <c r="H520" i="71"/>
  <c r="I520" i="71" l="1"/>
  <c r="H521" i="71"/>
  <c r="I521" i="71" l="1"/>
  <c r="H522" i="71"/>
  <c r="I522" i="71" l="1"/>
  <c r="H523" i="71"/>
  <c r="I523" i="71" l="1"/>
  <c r="H524" i="71"/>
  <c r="I524" i="71" l="1"/>
  <c r="H525" i="71"/>
  <c r="I525" i="71" l="1"/>
  <c r="H526" i="71"/>
  <c r="I526" i="71" l="1"/>
  <c r="H527" i="71"/>
  <c r="I527" i="71" l="1"/>
  <c r="H528" i="71"/>
  <c r="I528" i="71" l="1"/>
  <c r="H529" i="71"/>
  <c r="I529" i="71" l="1"/>
  <c r="H530" i="71"/>
  <c r="I530" i="71" l="1"/>
  <c r="H531" i="71"/>
  <c r="I531" i="71" l="1"/>
  <c r="H532" i="71"/>
  <c r="I532" i="71" l="1"/>
  <c r="H533" i="71"/>
  <c r="I533" i="71" l="1"/>
  <c r="H534" i="71"/>
  <c r="I534" i="71" l="1"/>
  <c r="H535" i="71"/>
  <c r="I535" i="71" l="1"/>
  <c r="H536" i="71"/>
  <c r="I536" i="71" l="1"/>
  <c r="H537" i="71"/>
  <c r="I537" i="71" l="1"/>
  <c r="H538" i="71"/>
  <c r="I538" i="71" l="1"/>
  <c r="H539" i="71"/>
  <c r="I539" i="71" l="1"/>
  <c r="H540" i="71"/>
  <c r="I540" i="71" l="1"/>
  <c r="H541" i="71"/>
  <c r="I541" i="71" l="1"/>
  <c r="H542" i="71"/>
  <c r="I542" i="71" l="1"/>
  <c r="H543" i="71"/>
  <c r="I543" i="71" l="1"/>
  <c r="H544" i="71"/>
  <c r="I544" i="71" l="1"/>
  <c r="H545" i="71"/>
  <c r="I545" i="71" l="1"/>
  <c r="H546" i="71"/>
  <c r="I546" i="71" l="1"/>
  <c r="H547" i="71"/>
  <c r="I547" i="71" l="1"/>
  <c r="H548" i="71"/>
  <c r="I548" i="71" l="1"/>
  <c r="H549" i="71"/>
  <c r="I549" i="71" l="1"/>
  <c r="H550" i="71"/>
  <c r="H551" i="71" l="1"/>
  <c r="I550" i="71"/>
  <c r="I551" i="71" l="1"/>
  <c r="H552" i="71"/>
  <c r="I552" i="71" l="1"/>
  <c r="H553" i="71"/>
  <c r="I553" i="71" l="1"/>
  <c r="H554" i="71"/>
  <c r="I554" i="71" l="1"/>
  <c r="H555" i="71"/>
  <c r="I555" i="71" l="1"/>
  <c r="H556" i="71"/>
  <c r="I556" i="71" l="1"/>
  <c r="H557" i="71"/>
  <c r="I557" i="71" l="1"/>
  <c r="H558" i="71"/>
  <c r="I558" i="71" l="1"/>
  <c r="H559" i="71"/>
  <c r="I559" i="71" l="1"/>
  <c r="H560" i="71"/>
  <c r="I560" i="71" l="1"/>
  <c r="H561" i="71"/>
  <c r="I561" i="71" l="1"/>
  <c r="H562" i="71"/>
  <c r="H563" i="71" l="1"/>
  <c r="I562" i="71"/>
  <c r="I563" i="71" l="1"/>
  <c r="H564" i="71"/>
  <c r="I564" i="71" l="1"/>
  <c r="H565" i="71"/>
  <c r="I565" i="71" l="1"/>
  <c r="H566" i="71"/>
  <c r="I566" i="71" l="1"/>
  <c r="H567" i="71"/>
  <c r="I567" i="71" l="1"/>
  <c r="H568" i="71"/>
  <c r="I568" i="71" l="1"/>
  <c r="H569" i="71"/>
  <c r="I569" i="71" l="1"/>
  <c r="H570" i="71"/>
  <c r="I570" i="71" l="1"/>
  <c r="H571" i="71"/>
  <c r="I571" i="71" l="1"/>
  <c r="H572" i="71"/>
  <c r="I572" i="71" l="1"/>
  <c r="H573" i="71"/>
  <c r="I573" i="71" l="1"/>
  <c r="H574" i="71"/>
  <c r="I574" i="71" l="1"/>
  <c r="H575" i="71"/>
  <c r="I575" i="71" l="1"/>
  <c r="H576" i="71"/>
  <c r="I576" i="71" l="1"/>
  <c r="H577" i="71"/>
  <c r="I577" i="71" l="1"/>
  <c r="H578" i="71"/>
  <c r="I578" i="71" l="1"/>
  <c r="H579" i="71"/>
  <c r="I579" i="71" l="1"/>
  <c r="H580" i="71"/>
  <c r="I580" i="71" l="1"/>
  <c r="H581" i="71"/>
  <c r="I581" i="71" l="1"/>
  <c r="H582" i="71"/>
  <c r="I582" i="71" l="1"/>
  <c r="H583" i="71"/>
  <c r="I583" i="71" l="1"/>
  <c r="H584" i="71"/>
  <c r="I584" i="71" l="1"/>
  <c r="H585" i="71"/>
  <c r="I585" i="71" l="1"/>
  <c r="H586" i="71"/>
  <c r="I586" i="71" l="1"/>
  <c r="H587" i="71"/>
  <c r="I587" i="71" l="1"/>
  <c r="H588" i="71"/>
  <c r="I588" i="71" l="1"/>
  <c r="H589" i="71"/>
  <c r="I589" i="71" l="1"/>
  <c r="H590" i="71"/>
  <c r="I590" i="71" l="1"/>
  <c r="H591" i="71"/>
  <c r="I591" i="71" l="1"/>
  <c r="H592" i="71"/>
  <c r="I592" i="71" l="1"/>
  <c r="H593" i="71"/>
  <c r="I593" i="71" l="1"/>
  <c r="H594" i="71"/>
  <c r="I594" i="71" l="1"/>
  <c r="H595" i="71"/>
  <c r="I595" i="71" l="1"/>
  <c r="H596" i="71"/>
  <c r="I596" i="71" l="1"/>
  <c r="H597" i="71"/>
  <c r="I597" i="71" l="1"/>
  <c r="H598" i="71"/>
  <c r="I598" i="71" l="1"/>
  <c r="H599" i="71"/>
  <c r="I599" i="71" l="1"/>
  <c r="H600" i="71"/>
  <c r="I600" i="71" l="1"/>
  <c r="H601" i="71"/>
  <c r="I601" i="71" l="1"/>
  <c r="H602" i="71"/>
  <c r="I602" i="71" l="1"/>
  <c r="H603" i="71"/>
  <c r="I603" i="71" l="1"/>
  <c r="H604" i="71"/>
  <c r="I604" i="71" l="1"/>
  <c r="H605" i="71"/>
  <c r="I605" i="71" l="1"/>
  <c r="H606" i="71"/>
  <c r="I606" i="71" l="1"/>
  <c r="H607" i="71"/>
  <c r="I607" i="71" l="1"/>
  <c r="H608" i="71"/>
  <c r="I608" i="71" l="1"/>
  <c r="H609" i="71"/>
  <c r="I609" i="71" l="1"/>
  <c r="H610" i="71"/>
  <c r="I610" i="71" l="1"/>
  <c r="H611" i="71"/>
  <c r="I611" i="71" l="1"/>
  <c r="H612" i="71"/>
  <c r="I612" i="71" l="1"/>
  <c r="H613" i="71"/>
  <c r="I613" i="71" l="1"/>
  <c r="H614" i="71"/>
  <c r="I614" i="71" l="1"/>
  <c r="H615" i="71"/>
  <c r="I615" i="71" l="1"/>
  <c r="H616" i="71"/>
  <c r="I616" i="71" l="1"/>
  <c r="H617" i="71"/>
  <c r="I617" i="71" l="1"/>
  <c r="H618" i="71"/>
  <c r="I618" i="71" l="1"/>
  <c r="H619" i="71"/>
  <c r="I619" i="71" l="1"/>
  <c r="H620" i="71"/>
  <c r="I620" i="71" l="1"/>
  <c r="H621" i="71"/>
  <c r="I621" i="71" l="1"/>
  <c r="H622" i="71"/>
  <c r="I622" i="71" l="1"/>
  <c r="H623" i="71"/>
  <c r="I623" i="71" l="1"/>
  <c r="H624" i="71"/>
  <c r="I624" i="71" l="1"/>
  <c r="H625" i="71"/>
  <c r="I625" i="71" l="1"/>
  <c r="H626" i="71"/>
  <c r="I626" i="71" l="1"/>
  <c r="H627" i="71"/>
  <c r="I627" i="71" l="1"/>
  <c r="H628" i="71"/>
  <c r="I628" i="71" l="1"/>
  <c r="H629" i="71"/>
  <c r="I629" i="71" l="1"/>
  <c r="H630" i="71"/>
  <c r="I630" i="71" l="1"/>
  <c r="H631" i="71"/>
  <c r="I631" i="71" l="1"/>
  <c r="H632" i="71"/>
  <c r="H633" i="71" l="1"/>
  <c r="I632" i="71"/>
  <c r="I633" i="71" l="1"/>
  <c r="H634" i="71"/>
  <c r="I634" i="71" l="1"/>
  <c r="H635" i="71"/>
  <c r="I635" i="71" l="1"/>
  <c r="H636" i="71"/>
  <c r="I636" i="71" l="1"/>
  <c r="H637" i="71"/>
  <c r="I637" i="71" l="1"/>
  <c r="H638" i="71"/>
  <c r="I638" i="71" l="1"/>
  <c r="H639" i="71"/>
  <c r="I639" i="71" l="1"/>
  <c r="H640" i="71"/>
  <c r="I640" i="71" l="1"/>
  <c r="H641" i="71"/>
  <c r="I641" i="71" l="1"/>
  <c r="H642" i="71"/>
  <c r="I642" i="71" l="1"/>
  <c r="H643" i="71"/>
  <c r="I643" i="71" l="1"/>
  <c r="H644" i="71"/>
  <c r="I644" i="71" l="1"/>
  <c r="H645" i="71"/>
  <c r="I645" i="71" l="1"/>
  <c r="H646" i="71"/>
  <c r="I646" i="71" l="1"/>
  <c r="H647" i="71"/>
  <c r="I647" i="71" l="1"/>
  <c r="H648" i="71"/>
  <c r="I648" i="71" l="1"/>
  <c r="H649" i="71"/>
  <c r="I649" i="71" l="1"/>
  <c r="H650" i="71"/>
  <c r="I650" i="71" l="1"/>
  <c r="H651" i="71"/>
  <c r="I651" i="71" l="1"/>
  <c r="H652" i="71"/>
  <c r="H653" i="71" l="1"/>
  <c r="I652" i="71"/>
  <c r="I653" i="71" l="1"/>
  <c r="H654" i="71"/>
  <c r="I654" i="71" l="1"/>
  <c r="H655" i="71"/>
  <c r="I655" i="71" l="1"/>
  <c r="H656" i="71"/>
  <c r="I656" i="71" l="1"/>
  <c r="H657" i="71"/>
  <c r="I657" i="71" l="1"/>
  <c r="H658" i="71"/>
  <c r="I658" i="71" l="1"/>
  <c r="H659" i="71"/>
  <c r="I659" i="71" l="1"/>
  <c r="H660" i="71"/>
  <c r="I660" i="71" l="1"/>
  <c r="H661" i="71"/>
  <c r="I661" i="71" l="1"/>
  <c r="H662" i="71"/>
  <c r="I662" i="71" l="1"/>
  <c r="H663" i="71"/>
  <c r="I663" i="71" l="1"/>
  <c r="H664" i="71"/>
  <c r="I664" i="71" l="1"/>
  <c r="H665" i="71"/>
  <c r="I665" i="71" l="1"/>
  <c r="H666" i="71"/>
  <c r="I666" i="71" l="1"/>
  <c r="H667" i="71"/>
  <c r="I667" i="71" l="1"/>
  <c r="H668" i="71"/>
  <c r="H669" i="71" l="1"/>
  <c r="I668" i="71"/>
  <c r="I669" i="71" l="1"/>
  <c r="H670" i="71"/>
  <c r="I670" i="71" l="1"/>
  <c r="H671" i="71"/>
  <c r="I671" i="71" l="1"/>
  <c r="H672" i="71"/>
  <c r="I672" i="71" l="1"/>
  <c r="H673" i="71"/>
  <c r="I673" i="71" l="1"/>
  <c r="H674" i="71"/>
  <c r="J674" i="71" l="1"/>
  <c r="I674" i="71"/>
  <c r="H675" i="71"/>
  <c r="J672" i="71"/>
  <c r="J668" i="71"/>
  <c r="J670" i="71"/>
  <c r="J666" i="71"/>
  <c r="I675" i="71" l="1"/>
  <c r="J675" i="71"/>
  <c r="J17" i="71"/>
  <c r="J18" i="71"/>
  <c r="J19" i="71"/>
  <c r="J20" i="71"/>
  <c r="J21" i="71"/>
  <c r="J22" i="71"/>
  <c r="J23" i="71"/>
  <c r="J24" i="71"/>
  <c r="J25" i="71"/>
  <c r="J26" i="71"/>
  <c r="J27" i="71"/>
  <c r="J28" i="71"/>
  <c r="J29" i="71"/>
  <c r="J30" i="71"/>
  <c r="J31" i="71"/>
  <c r="J32" i="71"/>
  <c r="J33" i="71"/>
  <c r="J34" i="71"/>
  <c r="J35" i="71"/>
  <c r="J36" i="71"/>
  <c r="J37" i="71"/>
  <c r="J38" i="71"/>
  <c r="J39" i="71"/>
  <c r="J40" i="71"/>
  <c r="J41" i="71"/>
  <c r="J42" i="71"/>
  <c r="J43" i="71"/>
  <c r="J44" i="71"/>
  <c r="J45" i="71"/>
  <c r="J46" i="71"/>
  <c r="J47" i="71"/>
  <c r="J48" i="71"/>
  <c r="J49" i="71"/>
  <c r="J51" i="71"/>
  <c r="J50" i="71"/>
  <c r="J52" i="71"/>
  <c r="J53" i="71"/>
  <c r="J54" i="71"/>
  <c r="J55" i="71"/>
  <c r="J56" i="71"/>
  <c r="J57" i="71"/>
  <c r="J58" i="71"/>
  <c r="J59" i="71"/>
  <c r="J60" i="71"/>
  <c r="J61" i="71"/>
  <c r="J62" i="71"/>
  <c r="J63" i="71"/>
  <c r="J65" i="71"/>
  <c r="J64" i="71"/>
  <c r="J66" i="71"/>
  <c r="J67" i="71"/>
  <c r="J68" i="71"/>
  <c r="J69" i="71"/>
  <c r="J70" i="71"/>
  <c r="J71" i="71"/>
  <c r="J72" i="71"/>
  <c r="J73" i="71"/>
  <c r="J74" i="71"/>
  <c r="J75" i="71"/>
  <c r="J76" i="71"/>
  <c r="J77" i="71"/>
  <c r="J78" i="71"/>
  <c r="J79" i="71"/>
  <c r="J80" i="71"/>
  <c r="J81" i="71"/>
  <c r="J82" i="71"/>
  <c r="J83" i="71"/>
  <c r="J84" i="71"/>
  <c r="J85" i="71"/>
  <c r="J86" i="71"/>
  <c r="J87" i="71"/>
  <c r="J88" i="71"/>
  <c r="J89" i="71"/>
  <c r="J90" i="71"/>
  <c r="J91" i="71"/>
  <c r="J92" i="71"/>
  <c r="J93" i="71"/>
  <c r="J94" i="71"/>
  <c r="J95" i="71"/>
  <c r="J96" i="71"/>
  <c r="J97" i="71"/>
  <c r="J98" i="71"/>
  <c r="J99" i="71"/>
  <c r="J100" i="71"/>
  <c r="J101" i="71"/>
  <c r="J102" i="71"/>
  <c r="J103" i="71"/>
  <c r="J104" i="71"/>
  <c r="J105" i="71"/>
  <c r="J106" i="71"/>
  <c r="J107" i="71"/>
  <c r="J108" i="71"/>
  <c r="J109" i="71"/>
  <c r="J110" i="71"/>
  <c r="J111" i="71"/>
  <c r="J112" i="71"/>
  <c r="J113" i="71"/>
  <c r="J114" i="71"/>
  <c r="J115" i="71"/>
  <c r="J116" i="71"/>
  <c r="J117" i="71"/>
  <c r="J118" i="71"/>
  <c r="J119" i="71"/>
  <c r="J120" i="71"/>
  <c r="J121" i="71"/>
  <c r="J122" i="71"/>
  <c r="J123" i="71"/>
  <c r="J124" i="71"/>
  <c r="J125" i="71"/>
  <c r="J126" i="71"/>
  <c r="J127" i="71"/>
  <c r="J128" i="71"/>
  <c r="J129" i="71"/>
  <c r="J130" i="71"/>
  <c r="J131" i="71"/>
  <c r="J132" i="71"/>
  <c r="J133" i="71"/>
  <c r="J134" i="71"/>
  <c r="J135" i="71"/>
  <c r="J136" i="71"/>
  <c r="J137" i="71"/>
  <c r="J138" i="71"/>
  <c r="J139" i="71"/>
  <c r="J140" i="71"/>
  <c r="J141" i="71"/>
  <c r="J142" i="71"/>
  <c r="J143" i="71"/>
  <c r="J144" i="71"/>
  <c r="J145" i="71"/>
  <c r="J146" i="71"/>
  <c r="J147" i="71"/>
  <c r="J148" i="71"/>
  <c r="J149" i="71"/>
  <c r="J150" i="71"/>
  <c r="J151" i="71"/>
  <c r="J152" i="71"/>
  <c r="J153" i="71"/>
  <c r="J154" i="71"/>
  <c r="J155" i="71"/>
  <c r="J156" i="71"/>
  <c r="J157" i="71"/>
  <c r="J158" i="71"/>
  <c r="J159" i="71"/>
  <c r="J160" i="71"/>
  <c r="J161" i="71"/>
  <c r="J162" i="71"/>
  <c r="J163" i="71"/>
  <c r="J164" i="71"/>
  <c r="J165" i="71"/>
  <c r="J166" i="71"/>
  <c r="J167" i="71"/>
  <c r="J168" i="71"/>
  <c r="J169" i="71"/>
  <c r="J170" i="71"/>
  <c r="J171" i="71"/>
  <c r="J172" i="71"/>
  <c r="J173" i="71"/>
  <c r="J174" i="71"/>
  <c r="J175" i="71"/>
  <c r="J176" i="71"/>
  <c r="J177" i="71"/>
  <c r="J178" i="71"/>
  <c r="J179" i="71"/>
  <c r="J180" i="71"/>
  <c r="J181" i="71"/>
  <c r="J182" i="71"/>
  <c r="J183" i="71"/>
  <c r="J184" i="71"/>
  <c r="J185" i="71"/>
  <c r="J186" i="71"/>
  <c r="J187" i="71"/>
  <c r="J188" i="71"/>
  <c r="J189" i="71"/>
  <c r="J190" i="71"/>
  <c r="J191" i="71"/>
  <c r="J192" i="71"/>
  <c r="J193" i="71"/>
  <c r="J194" i="71"/>
  <c r="J195" i="71"/>
  <c r="J196" i="71"/>
  <c r="J197" i="71"/>
  <c r="J198" i="71"/>
  <c r="J199" i="71"/>
  <c r="J200" i="71"/>
  <c r="J201" i="71"/>
  <c r="J202" i="71"/>
  <c r="J203" i="71"/>
  <c r="J204" i="71"/>
  <c r="J205" i="71"/>
  <c r="J206" i="71"/>
  <c r="J207" i="71"/>
  <c r="J208" i="71"/>
  <c r="J209" i="71"/>
  <c r="J210" i="71"/>
  <c r="J211" i="71"/>
  <c r="J212" i="71"/>
  <c r="J213" i="71"/>
  <c r="J214" i="71"/>
  <c r="J215" i="71"/>
  <c r="J216" i="71"/>
  <c r="J217" i="71"/>
  <c r="J218" i="71"/>
  <c r="J219" i="71"/>
  <c r="J220" i="71"/>
  <c r="J221" i="71"/>
  <c r="J222" i="71"/>
  <c r="J223" i="71"/>
  <c r="J224" i="71"/>
  <c r="J225" i="71"/>
  <c r="J226" i="71"/>
  <c r="J227" i="71"/>
  <c r="J228" i="71"/>
  <c r="J229" i="71"/>
  <c r="J230" i="71"/>
  <c r="J231" i="71"/>
  <c r="J232" i="71"/>
  <c r="J233" i="71"/>
  <c r="J234" i="71"/>
  <c r="J235" i="71"/>
  <c r="J236" i="71"/>
  <c r="J237" i="71"/>
  <c r="J238" i="71"/>
  <c r="J239" i="71"/>
  <c r="J240" i="71"/>
  <c r="J241" i="71"/>
  <c r="J242" i="71"/>
  <c r="J243" i="71"/>
  <c r="J244" i="71"/>
  <c r="J245" i="71"/>
  <c r="J246" i="71"/>
  <c r="J247" i="71"/>
  <c r="J248" i="71"/>
  <c r="J249" i="71"/>
  <c r="J250" i="71"/>
  <c r="J251" i="71"/>
  <c r="J252" i="71"/>
  <c r="J253" i="71"/>
  <c r="J254" i="71"/>
  <c r="J255" i="71"/>
  <c r="J256" i="71"/>
  <c r="J257" i="71"/>
  <c r="J258" i="71"/>
  <c r="J259" i="71"/>
  <c r="J260" i="71"/>
  <c r="J261" i="71"/>
  <c r="J262" i="71"/>
  <c r="J263" i="71"/>
  <c r="J264" i="71"/>
  <c r="J265" i="71"/>
  <c r="J266" i="71"/>
  <c r="J267" i="71"/>
  <c r="J268" i="71"/>
  <c r="J269" i="71"/>
  <c r="J270" i="71"/>
  <c r="J271" i="71"/>
  <c r="J272" i="71"/>
  <c r="J273" i="71"/>
  <c r="J274" i="71"/>
  <c r="J275" i="71"/>
  <c r="J276" i="71"/>
  <c r="J277" i="71"/>
  <c r="J278" i="71"/>
  <c r="J279" i="71"/>
  <c r="J280" i="71"/>
  <c r="J281" i="71"/>
  <c r="J282" i="71"/>
  <c r="J283" i="71"/>
  <c r="J284" i="71"/>
  <c r="J285" i="71"/>
  <c r="J286" i="71"/>
  <c r="J287" i="71"/>
  <c r="J288" i="71"/>
  <c r="J289" i="71"/>
  <c r="J290" i="71"/>
  <c r="J291" i="71"/>
  <c r="J292" i="71"/>
  <c r="J293" i="71"/>
  <c r="J294" i="71"/>
  <c r="J295" i="71"/>
  <c r="J296" i="71"/>
  <c r="J297" i="71"/>
  <c r="J298" i="71"/>
  <c r="J299" i="71"/>
  <c r="J300" i="71"/>
  <c r="J301" i="71"/>
  <c r="J302" i="71"/>
  <c r="J303" i="71"/>
  <c r="J304" i="71"/>
  <c r="J305" i="71"/>
  <c r="J306" i="71"/>
  <c r="J307" i="71"/>
  <c r="J308" i="71"/>
  <c r="J309" i="71"/>
  <c r="J310" i="71"/>
  <c r="J311" i="71"/>
  <c r="J312" i="71"/>
  <c r="J313" i="71"/>
  <c r="J314" i="71"/>
  <c r="J315" i="71"/>
  <c r="J316" i="71"/>
  <c r="J317" i="71"/>
  <c r="J318" i="71"/>
  <c r="J319" i="71"/>
  <c r="J320" i="71"/>
  <c r="J321" i="71"/>
  <c r="J322" i="71"/>
  <c r="J323" i="71"/>
  <c r="J324" i="71"/>
  <c r="J325" i="71"/>
  <c r="J326" i="71"/>
  <c r="J327" i="71"/>
  <c r="J328" i="71"/>
  <c r="J329" i="71"/>
  <c r="J330" i="71"/>
  <c r="J331" i="71"/>
  <c r="J332" i="71"/>
  <c r="J333" i="71"/>
  <c r="J334" i="71"/>
  <c r="J335" i="71"/>
  <c r="J336" i="71"/>
  <c r="J337" i="71"/>
  <c r="J338" i="71"/>
  <c r="J339" i="71"/>
  <c r="J340" i="71"/>
  <c r="J341" i="71"/>
  <c r="J342" i="71"/>
  <c r="J343" i="71"/>
  <c r="J344" i="71"/>
  <c r="J345" i="71"/>
  <c r="J346" i="71"/>
  <c r="J347" i="71"/>
  <c r="J348" i="71"/>
  <c r="J349" i="71"/>
  <c r="J350" i="71"/>
  <c r="J351" i="71"/>
  <c r="J352" i="71"/>
  <c r="J353" i="71"/>
  <c r="J354" i="71"/>
  <c r="J355" i="71"/>
  <c r="J356" i="71"/>
  <c r="J357" i="71"/>
  <c r="J358" i="71"/>
  <c r="J359" i="71"/>
  <c r="J360" i="71"/>
  <c r="J361" i="71"/>
  <c r="J362" i="71"/>
  <c r="J363" i="71"/>
  <c r="J364" i="71"/>
  <c r="J365" i="71"/>
  <c r="J366" i="71"/>
  <c r="J367" i="71"/>
  <c r="J368" i="71"/>
  <c r="J369" i="71"/>
  <c r="J370" i="71"/>
  <c r="J371" i="71"/>
  <c r="J372" i="71"/>
  <c r="J373" i="71"/>
  <c r="J374" i="71"/>
  <c r="J375" i="71"/>
  <c r="J376" i="71"/>
  <c r="J377" i="71"/>
  <c r="J378" i="71"/>
  <c r="J379" i="71"/>
  <c r="J380" i="71"/>
  <c r="J381" i="71"/>
  <c r="J382" i="71"/>
  <c r="J383" i="71"/>
  <c r="J384" i="71"/>
  <c r="J385" i="71"/>
  <c r="J386" i="71"/>
  <c r="J387" i="71"/>
  <c r="J388" i="71"/>
  <c r="J389" i="71"/>
  <c r="J390" i="71"/>
  <c r="J391" i="71"/>
  <c r="J392" i="71"/>
  <c r="J393" i="71"/>
  <c r="J394" i="71"/>
  <c r="J395" i="71"/>
  <c r="J396" i="71"/>
  <c r="J397" i="71"/>
  <c r="J398" i="71"/>
  <c r="J399" i="71"/>
  <c r="J400" i="71"/>
  <c r="J401" i="71"/>
  <c r="J402" i="71"/>
  <c r="J403" i="71"/>
  <c r="J404" i="71"/>
  <c r="J405" i="71"/>
  <c r="J406" i="71"/>
  <c r="J407" i="71"/>
  <c r="J408" i="71"/>
  <c r="J409" i="71"/>
  <c r="J410" i="71"/>
  <c r="J411" i="71"/>
  <c r="J412" i="71"/>
  <c r="J413" i="71"/>
  <c r="J414" i="71"/>
  <c r="J415" i="71"/>
  <c r="J416" i="71"/>
  <c r="J417" i="71"/>
  <c r="J418" i="71"/>
  <c r="J419" i="71"/>
  <c r="J420" i="71"/>
  <c r="J421" i="71"/>
  <c r="J422" i="71"/>
  <c r="J423" i="71"/>
  <c r="J424" i="71"/>
  <c r="J425" i="71"/>
  <c r="J426" i="71"/>
  <c r="J427" i="71"/>
  <c r="J428" i="71"/>
  <c r="J429" i="71"/>
  <c r="J430" i="71"/>
  <c r="J431" i="71"/>
  <c r="J432" i="71"/>
  <c r="J433" i="71"/>
  <c r="J434" i="71"/>
  <c r="J435" i="71"/>
  <c r="J436" i="71"/>
  <c r="J437" i="71"/>
  <c r="J438" i="71"/>
  <c r="J439" i="71"/>
  <c r="J440" i="71"/>
  <c r="J441" i="71"/>
  <c r="J442" i="71"/>
  <c r="J443" i="71"/>
  <c r="J444" i="71"/>
  <c r="J445" i="71"/>
  <c r="J446" i="71"/>
  <c r="J447" i="71"/>
  <c r="J448" i="71"/>
  <c r="J449" i="71"/>
  <c r="J450" i="71"/>
  <c r="J451" i="71"/>
  <c r="J452" i="71"/>
  <c r="J453" i="71"/>
  <c r="J454" i="71"/>
  <c r="J455" i="71"/>
  <c r="J456" i="71"/>
  <c r="J457" i="71"/>
  <c r="J458" i="71"/>
  <c r="J459" i="71"/>
  <c r="J460" i="71"/>
  <c r="J461" i="71"/>
  <c r="J462" i="71"/>
  <c r="J463" i="71"/>
  <c r="J464" i="71"/>
  <c r="J465" i="71"/>
  <c r="J466" i="71"/>
  <c r="J467" i="71"/>
  <c r="J468" i="71"/>
  <c r="J469" i="71"/>
  <c r="J470" i="71"/>
  <c r="J471" i="71"/>
  <c r="J472" i="71"/>
  <c r="J473" i="71"/>
  <c r="J474" i="71"/>
  <c r="J475" i="71"/>
  <c r="J476" i="71"/>
  <c r="J477" i="71"/>
  <c r="J478" i="71"/>
  <c r="J479" i="71"/>
  <c r="J480" i="71"/>
  <c r="J481" i="71"/>
  <c r="J482" i="71"/>
  <c r="J483" i="71"/>
  <c r="J484" i="71"/>
  <c r="J485" i="71"/>
  <c r="J486" i="71"/>
  <c r="J487" i="71"/>
  <c r="J488" i="71"/>
  <c r="J489" i="71"/>
  <c r="J490" i="71"/>
  <c r="J491" i="71"/>
  <c r="J492" i="71"/>
  <c r="J493" i="71"/>
  <c r="J494" i="71"/>
  <c r="J495" i="71"/>
  <c r="J496" i="71"/>
  <c r="J497" i="71"/>
  <c r="J498" i="71"/>
  <c r="J499" i="71"/>
  <c r="J500" i="71"/>
  <c r="J501" i="71"/>
  <c r="J502" i="71"/>
  <c r="J503" i="71"/>
  <c r="J504" i="71"/>
  <c r="J505" i="71"/>
  <c r="J506" i="71"/>
  <c r="J507" i="71"/>
  <c r="J508" i="71"/>
  <c r="J509" i="71"/>
  <c r="J510" i="71"/>
  <c r="J511" i="71"/>
  <c r="J512" i="71"/>
  <c r="J513" i="71"/>
  <c r="J514" i="71"/>
  <c r="J515" i="71"/>
  <c r="J516" i="71"/>
  <c r="J517" i="71"/>
  <c r="J518" i="71"/>
  <c r="J519" i="71"/>
  <c r="J520" i="71"/>
  <c r="J521" i="71"/>
  <c r="J522" i="71"/>
  <c r="J523" i="71"/>
  <c r="J524" i="71"/>
  <c r="J525" i="71"/>
  <c r="J526" i="71"/>
  <c r="J527" i="71"/>
  <c r="J528" i="71"/>
  <c r="J529" i="71"/>
  <c r="J530" i="71"/>
  <c r="J531" i="71"/>
  <c r="J532" i="71"/>
  <c r="J533" i="71"/>
  <c r="J534" i="71"/>
  <c r="J535" i="71"/>
  <c r="J536" i="71"/>
  <c r="J537" i="71"/>
  <c r="J538" i="71"/>
  <c r="J539" i="71"/>
  <c r="J540" i="71"/>
  <c r="J541" i="71"/>
  <c r="J542" i="71"/>
  <c r="J543" i="71"/>
  <c r="J544" i="71"/>
  <c r="J545" i="71"/>
  <c r="J546" i="71"/>
  <c r="J547" i="71"/>
  <c r="J548" i="71"/>
  <c r="J549" i="71"/>
  <c r="J550" i="71"/>
  <c r="J551" i="71"/>
  <c r="J552" i="71"/>
  <c r="J553" i="71"/>
  <c r="J554" i="71"/>
  <c r="J555" i="71"/>
  <c r="J556" i="71"/>
  <c r="J557" i="71"/>
  <c r="J558" i="71"/>
  <c r="J559" i="71"/>
  <c r="J560" i="71"/>
  <c r="J561" i="71"/>
  <c r="J562" i="71"/>
  <c r="J563" i="71"/>
  <c r="J564" i="71"/>
  <c r="J565" i="71"/>
  <c r="J566" i="71"/>
  <c r="J567" i="71"/>
  <c r="J568" i="71"/>
  <c r="J569" i="71"/>
  <c r="J570" i="71"/>
  <c r="J571" i="71"/>
  <c r="J572" i="71"/>
  <c r="J573" i="71"/>
  <c r="J574" i="71"/>
  <c r="J575" i="71"/>
  <c r="J576" i="71"/>
  <c r="J577" i="71"/>
  <c r="J578" i="71"/>
  <c r="J579" i="71"/>
  <c r="J580" i="71"/>
  <c r="J581" i="71"/>
  <c r="J582" i="71"/>
  <c r="J583" i="71"/>
  <c r="J584" i="71"/>
  <c r="J585" i="71"/>
  <c r="J586" i="71"/>
  <c r="J587" i="71"/>
  <c r="J588" i="71"/>
  <c r="J589" i="71"/>
  <c r="J590" i="71"/>
  <c r="J591" i="71"/>
  <c r="J592" i="71"/>
  <c r="J593" i="71"/>
  <c r="J594" i="71"/>
  <c r="J595" i="71"/>
  <c r="J596" i="71"/>
  <c r="J597" i="71"/>
  <c r="J598" i="71"/>
  <c r="J599" i="71"/>
  <c r="J600" i="71"/>
  <c r="J601" i="71"/>
  <c r="J602" i="71"/>
  <c r="J603" i="71"/>
  <c r="J604" i="71"/>
  <c r="J605" i="71"/>
  <c r="J606" i="71"/>
  <c r="J607" i="71"/>
  <c r="J608" i="71"/>
  <c r="J609" i="71"/>
  <c r="J610" i="71"/>
  <c r="J611" i="71"/>
  <c r="J612" i="71"/>
  <c r="J613" i="71"/>
  <c r="J614" i="71"/>
  <c r="J615" i="71"/>
  <c r="J616" i="71"/>
  <c r="J617" i="71"/>
  <c r="J618" i="71"/>
  <c r="J619" i="71"/>
  <c r="J620" i="71"/>
  <c r="J621" i="71"/>
  <c r="J622" i="71"/>
  <c r="J623" i="71"/>
  <c r="J624" i="71"/>
  <c r="J625" i="71"/>
  <c r="J626" i="71"/>
  <c r="J627" i="71"/>
  <c r="J628" i="71"/>
  <c r="J629" i="71"/>
  <c r="J630" i="71"/>
  <c r="J631" i="71"/>
  <c r="J632" i="71"/>
  <c r="J633" i="71"/>
  <c r="J634" i="71"/>
  <c r="J635" i="71"/>
  <c r="J636" i="71"/>
  <c r="J637" i="71"/>
  <c r="J638" i="71"/>
  <c r="J639" i="71"/>
  <c r="J640" i="71"/>
  <c r="J641" i="71"/>
  <c r="J642" i="71"/>
  <c r="J643" i="71"/>
  <c r="J644" i="71"/>
  <c r="J645" i="71"/>
  <c r="J646" i="71"/>
  <c r="J647" i="71"/>
  <c r="J648" i="71"/>
  <c r="J649" i="71"/>
  <c r="J650" i="71"/>
  <c r="J651" i="71"/>
  <c r="J652" i="71"/>
  <c r="J653" i="71"/>
  <c r="J654" i="71"/>
  <c r="J655" i="71"/>
  <c r="J656" i="71"/>
  <c r="J657" i="71"/>
  <c r="J658" i="71"/>
  <c r="J659" i="71"/>
  <c r="J660" i="71"/>
  <c r="J661" i="71"/>
  <c r="J662" i="71"/>
  <c r="J663" i="71"/>
  <c r="J664" i="71"/>
  <c r="J673" i="71"/>
  <c r="J671" i="71"/>
  <c r="J669" i="71"/>
  <c r="J665" i="71"/>
  <c r="J667"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tc={69D6092B-5AD3-4BA5-8EC3-971B5270794C}</author>
    <author>tc={B811DD19-5DE6-4508-8B69-5E437616D3D4}</author>
  </authors>
  <commentList>
    <comment ref="Y21" authorId="0" shapeId="0" xr:uid="{69D6092B-5AD3-4BA5-8EC3-971B5270794C}">
      <text>
        <t>[Comentário encadeado]
Sua versão do Excel permite que você leia este comentário encadeado, no entanto, as edições serão removidas se o arquivo for aberto em uma versão mais recente do Excel. Saiba mais: https://go.microsoft.com/fwlink/?linkid=870924
Comentário:
    Excel's LINEST function calculates wrongly the ESS if the parameter CONSTANT is FALSE, but X still has a constant.
Responder:
    Controversy: http://web.ist.utl.pt/~ist11038/compute/errtheory/,regression/regrthroughorigin.pdf</t>
      </text>
    </comment>
    <comment ref="Y30" authorId="1" shapeId="0" xr:uid="{B811DD19-5DE6-4508-8B69-5E437616D3D4}">
      <text>
        <t>[Comentário encadeado]
Sua versão do Excel permite que você leia este comentário encadeado, no entanto, as edições serão removidas se o arquivo for aberto em uma versão mais recente do Excel. Saiba mais: https://go.microsoft.com/fwlink/?linkid=870924
Comentário:
    In case of regression without a constant, it returns "non-centered R2".</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cellMetadata count="1">
    <bk>
      <rc t="1" v="0"/>
    </bk>
  </cellMetadata>
  <valueMetadata count="7">
    <bk>
      <rc t="2" v="0"/>
    </bk>
    <bk>
      <rc t="2" v="1"/>
    </bk>
    <bk>
      <rc t="2" v="2"/>
    </bk>
    <bk>
      <rc t="2" v="3"/>
    </bk>
    <bk>
      <rc t="2" v="4"/>
    </bk>
    <bk>
      <rc t="2" v="5"/>
    </bk>
    <bk>
      <rc t="2" v="6"/>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<sst xmlns="http://schemas.openxmlformats.org/spreadsheetml/2006/main" count="3906" uniqueCount="1382">
  <si>
    <t>Lambda functions for matrix calculation</t>
  </si>
  <si>
    <t>x</t>
  </si>
  <si>
    <t>y</t>
  </si>
  <si>
    <t>z</t>
  </si>
  <si>
    <t>Data</t>
  </si>
  <si>
    <t>SLICE (example 1)</t>
  </si>
  <si>
    <t>SLICE (example 2: unbounded)</t>
  </si>
  <si>
    <t>LAMBDA functions</t>
  </si>
  <si>
    <t>LAMBDA functions incorporated as new Excel functions</t>
  </si>
  <si>
    <t>x,y [1:3] ; x,y [10:12]</t>
  </si>
  <si>
    <t>x, y [1:6] , z [7:12]</t>
  </si>
  <si>
    <t>Developed by Eduardo G. C. Amaral</t>
  </si>
  <si>
    <t>Source: https://github.com/edugca/xlMATRIX</t>
  </si>
  <si>
    <t>w</t>
  </si>
  <si>
    <t>EYE</t>
  </si>
  <si>
    <t>Parameters</t>
  </si>
  <si>
    <t>Description</t>
  </si>
  <si>
    <t>Example</t>
  </si>
  <si>
    <t>Dimension of the identity matrix</t>
  </si>
  <si>
    <t>Returns an identity matrix</t>
  </si>
  <si>
    <t>DIAG</t>
  </si>
  <si>
    <t>Returns the diagonal of a matrix</t>
  </si>
  <si>
    <t>matrix</t>
  </si>
  <si>
    <t>ZEROS</t>
  </si>
  <si>
    <t>Returns a matrix of zeros</t>
  </si>
  <si>
    <t>The matrix whose diagonal one wants to extract. If a vector, function returns a matrix with that vector as diagonal.</t>
  </si>
  <si>
    <t>k</t>
  </si>
  <si>
    <t>k=0 (default) is the main diagonal; k&gt;0 is above the main diagonal; k&lt;0 is below the main diagonal</t>
  </si>
  <si>
    <t>The matrix whose lower triangular part one wants to extract.</t>
  </si>
  <si>
    <t>k=0 (default); k&gt; or k&lt;0 returns the elements on and below the kth diagonal of the matrix.</t>
  </si>
  <si>
    <t>TRIL</t>
  </si>
  <si>
    <t>TRIU</t>
  </si>
  <si>
    <t>ONES</t>
  </si>
  <si>
    <t>Returns a matrix of ones</t>
  </si>
  <si>
    <t>Dimension of the matrix of ones to be returned</t>
  </si>
  <si>
    <t>n</t>
  </si>
  <si>
    <t>m</t>
  </si>
  <si>
    <t>[m]</t>
  </si>
  <si>
    <t>Trims or expands (with zeros) the matrix so as it has m columns</t>
  </si>
  <si>
    <t>VEC</t>
  </si>
  <si>
    <t>The matrix that will be turned into a vector.</t>
  </si>
  <si>
    <t>The matrix whose upper triangular part one wants to extract.</t>
  </si>
  <si>
    <t>K</t>
  </si>
  <si>
    <t>FLIPLR</t>
  </si>
  <si>
    <t>The array/matrix that will be flipped.</t>
  </si>
  <si>
    <t>FLIPUD</t>
  </si>
  <si>
    <t>Flip array up to down</t>
  </si>
  <si>
    <t>SLICE</t>
  </si>
  <si>
    <t>REPMAT</t>
  </si>
  <si>
    <t>Repeat copies of array</t>
  </si>
  <si>
    <t>Flip array left to right</t>
  </si>
  <si>
    <t>Returns the upper triangular part of a matrix</t>
  </si>
  <si>
    <t>Returns the lower triangular part of a matrix</t>
  </si>
  <si>
    <t>Matrix to be copied</t>
  </si>
  <si>
    <t>[n]</t>
  </si>
  <si>
    <t>History</t>
  </si>
  <si>
    <t>v. 0.1</t>
  </si>
  <si>
    <t>v. 0.2</t>
  </si>
  <si>
    <t>Functions REVERSEROWS and REVERSECOLS were renamed to FLIPUD and FLIPLR for consistency with MatLab names.</t>
  </si>
  <si>
    <t>First release.</t>
  </si>
  <si>
    <t>[direction]</t>
  </si>
  <si>
    <t>direction</t>
  </si>
  <si>
    <t>last</t>
  </si>
  <si>
    <t>Find indices of nonzero elements</t>
  </si>
  <si>
    <t>Returning the values</t>
  </si>
  <si>
    <t>General functions</t>
  </si>
  <si>
    <t>SAMPLE</t>
  </si>
  <si>
    <t>BLKDIAG</t>
  </si>
  <si>
    <t>Create a block diagonal matrix from existing matrices</t>
  </si>
  <si>
    <t>matrixA</t>
  </si>
  <si>
    <t>matrixB</t>
  </si>
  <si>
    <t>Matrix on the upper-left of the diagonal</t>
  </si>
  <si>
    <t>Matrix on the lower-right of the diagonal</t>
  </si>
  <si>
    <t>VERTCAT</t>
  </si>
  <si>
    <t>HORZCAT</t>
  </si>
  <si>
    <t>MatLab equivalent</t>
  </si>
  <si>
    <t>FIND</t>
  </si>
  <si>
    <t>Known differences</t>
  </si>
  <si>
    <t>xlFunction allows matrices with different number of columns</t>
  </si>
  <si>
    <t>xlFunction allows matrices with different number of rows</t>
  </si>
  <si>
    <t>VEC (add-on)</t>
  </si>
  <si>
    <t>NOZERO</t>
  </si>
  <si>
    <t>NOZERO (MatLab's FIND)</t>
  </si>
  <si>
    <t>ALL</t>
  </si>
  <si>
    <t>[dim]</t>
  </si>
  <si>
    <t>matrix to be tested</t>
  </si>
  <si>
    <t>Determine if all array elements are nonzero or true</t>
  </si>
  <si>
    <t>tests whether all elements along dimension dim are nonzero or logical 1 (true); default is "all" (all dimensions)</t>
  </si>
  <si>
    <t/>
  </si>
  <si>
    <t>ANY</t>
  </si>
  <si>
    <t>Determine if any array elements are nonzero</t>
  </si>
  <si>
    <t>tests whether any element along dimension dim is nonzero or logical 1 (true); default is "all" (all dimensions)</t>
  </si>
  <si>
    <t>M (example 1)</t>
  </si>
  <si>
    <t>M (example 2: unbounded)</t>
  </si>
  <si>
    <t>M</t>
  </si>
  <si>
    <t>SPLIT</t>
  </si>
  <si>
    <t>Main functions</t>
  </si>
  <si>
    <t>Other matrix functions</t>
  </si>
  <si>
    <t>Econometric functions</t>
  </si>
  <si>
    <t>OLS_COEFF</t>
  </si>
  <si>
    <t>OLS_FITTED</t>
  </si>
  <si>
    <t>OLS_RESIDUALS</t>
  </si>
  <si>
    <t>TEXTTOCHAR</t>
  </si>
  <si>
    <t>LINSPACE</t>
  </si>
  <si>
    <t>Generate linearly spaced vector</t>
  </si>
  <si>
    <t>Lower bound of the vector</t>
  </si>
  <si>
    <t>Upper bound of the vector</t>
  </si>
  <si>
    <t>Number of points</t>
  </si>
  <si>
    <t>lb</t>
  </si>
  <si>
    <t>ub</t>
  </si>
  <si>
    <t>LENGTH</t>
  </si>
  <si>
    <t>Length of largest array dimension</t>
  </si>
  <si>
    <t>matrix used for calculation</t>
  </si>
  <si>
    <t>Number of array elements</t>
  </si>
  <si>
    <t>NUMEL</t>
  </si>
  <si>
    <t>NNZ</t>
  </si>
  <si>
    <t>matrix whose nonzero elements will be counted</t>
  </si>
  <si>
    <t>sd</t>
  </si>
  <si>
    <t>fs</t>
  </si>
  <si>
    <t>Number of nonzero (nor FALSE) matrix elements</t>
  </si>
  <si>
    <t>RESHAPE</t>
  </si>
  <si>
    <t>Reshape array</t>
  </si>
  <si>
    <t>Number of rows</t>
  </si>
  <si>
    <t>Number of columns</t>
  </si>
  <si>
    <t>The matrix that will be reshaped.</t>
  </si>
  <si>
    <t>[rowsToCols]</t>
  </si>
  <si>
    <t>Boolean that tells whether individual rows should be transposed before reshape. Default is FALSE.</t>
  </si>
  <si>
    <t>rowsToCols</t>
  </si>
  <si>
    <t>Turns an array into a vector by piling up column or row values</t>
  </si>
  <si>
    <t>xlFunction has an additional parameter for transposing individual rows before reshaping</t>
  </si>
  <si>
    <t>Split strings at delimiters</t>
  </si>
  <si>
    <t>Turn a string into a vector of single characters</t>
  </si>
  <si>
    <t>Regress a vector on a matrix and return ordinary least squares coefficients</t>
  </si>
  <si>
    <t>Regress a vector on a matrix and return ordinary least squares fitted values</t>
  </si>
  <si>
    <t>Regress a vector on a matrix and return ordinary least squares residuals</t>
  </si>
  <si>
    <t>RMMISSING</t>
  </si>
  <si>
    <t>dim</t>
  </si>
  <si>
    <t>Specifies the dimension of the matrix to operate along; default is 1.</t>
  </si>
  <si>
    <t>Remove rows or columns with missing entries</t>
  </si>
  <si>
    <t>The matrix whose rows or columns with missing entries will be removed. Missing entries are empty cells or Excel errors, including #N/A.</t>
  </si>
  <si>
    <t>OLS_COEFF_STDEV</t>
  </si>
  <si>
    <t>OLS_VARCOV</t>
  </si>
  <si>
    <t>Regress a vector on a matrix and return the variance-covariance matrix of ordinary least squares coefficients</t>
  </si>
  <si>
    <t>String functions</t>
  </si>
  <si>
    <t>const</t>
  </si>
  <si>
    <t>Excel's OLS</t>
  </si>
  <si>
    <t>OLS Functions</t>
  </si>
  <si>
    <t>Functions STACK and SHELVE were renamed to VERTCAT and HORZCAT for consistency with MatLab names.</t>
  </si>
  <si>
    <t>Added functions OLS_COEFF, OLS_COEFF_STDEV, OLS_VARCOV, OLS_FITTED, and OLS_RESIDUALS.</t>
  </si>
  <si>
    <t>Added functions M, SLICE, VEC, SAMPLE, NOZERO, EYE, ZEROS, ONES, DIAG, TRIL, TRIU, FLIPLR, FLIPUD, REPMAT, RESHAPE, BLKDIAG, ALL, ANY, NNZ, LINSPACE, LENGTH, NUMEL, and RMMISSING.</t>
  </si>
  <si>
    <t>Added functions SPLIT and TEXTTOCHAR.</t>
  </si>
  <si>
    <t>To use any of these functions in your own spreadsheet, follow instructions on cell I10.
Note that auxiliary functions will be automatically copied as well.
Alternatively, go in the ribbon to Formula / Name Manager and copy all lambda formulas available there.</t>
  </si>
  <si>
    <r>
      <t xml:space="preserve">Copy the formulas you need to your spreadsheet and then delete them at your spreadsheet </t>
    </r>
    <r>
      <rPr>
        <b/>
        <sz val="11"/>
        <color rgb="FFFF0000"/>
        <rFont val="Calibri"/>
        <family val="2"/>
        <scheme val="minor"/>
      </rPr>
      <t>(#VALUE! Is OK!)</t>
    </r>
  </si>
  <si>
    <t>SEASADJ</t>
  </si>
  <si>
    <t>IBGE SA</t>
  </si>
  <si>
    <t>IBGE seasonal adjustment is more sophisticated</t>
  </si>
  <si>
    <t>dates</t>
  </si>
  <si>
    <t>DUMMYVAR</t>
  </si>
  <si>
    <t>categories</t>
  </si>
  <si>
    <t>[exclude]</t>
  </si>
  <si>
    <t>vector with categorical values, i.e. months of a date vector.</t>
  </si>
  <si>
    <t>exclude</t>
  </si>
  <si>
    <t>Create alphabetically ordered dummy variables from categorical ones</t>
  </si>
  <si>
    <t>index of the excluded categorical value. If TRUE, excludes the first alphabetically ordered category.</t>
  </si>
  <si>
    <t>xlFunction has an additional parameter for excluding a specific column</t>
  </si>
  <si>
    <t>values</t>
  </si>
  <si>
    <t>Vector of dates</t>
  </si>
  <si>
    <t>Vector of values</t>
  </si>
  <si>
    <t>Seasonally adjust a (stationarized) time series with seasonal dummies</t>
  </si>
  <si>
    <t>ADDCONST</t>
  </si>
  <si>
    <t>Add a column of ones to a matrix</t>
  </si>
  <si>
    <t>position</t>
  </si>
  <si>
    <t>[position]</t>
  </si>
  <si>
    <t>ADDTREND</t>
  </si>
  <si>
    <t>Add a column with a deterministic trend to a matrix</t>
  </si>
  <si>
    <t>IBGE NSA</t>
  </si>
  <si>
    <t>Brazil IP MoM%</t>
  </si>
  <si>
    <t>Source: IBGE (Table 3653)</t>
  </si>
  <si>
    <t>Added functions ADDCONST, ADDTREND, DUMMYVAR, and SEASADJ.</t>
  </si>
  <si>
    <t>v. 0.3</t>
  </si>
  <si>
    <t>[nPower]</t>
  </si>
  <si>
    <t>v. 0.3.1</t>
  </si>
  <si>
    <t>Added parameter nPower to function ADDTREND.</t>
  </si>
  <si>
    <t>DETREND</t>
  </si>
  <si>
    <t>Detrend a time series</t>
  </si>
  <si>
    <t>nPower</t>
  </si>
  <si>
    <t>Power of the trend; if omitted equals 1</t>
  </si>
  <si>
    <t>SIZE</t>
  </si>
  <si>
    <t>dimension whose length is to be returned; if omitted, returns a row-vector with the length of each dimension in order</t>
  </si>
  <si>
    <t>v. 0.4</t>
  </si>
  <si>
    <t>HPFILTER</t>
  </si>
  <si>
    <t>Hodrick-Prescott filter for trend and cyclical components</t>
  </si>
  <si>
    <t>lambda</t>
  </si>
  <si>
    <t>smoothing</t>
  </si>
  <si>
    <t>Trend component smoothing parameter</t>
  </si>
  <si>
    <t>IBC-Br Seasonally Adjusted</t>
  </si>
  <si>
    <t>Source: BCB (SGS code = )</t>
  </si>
  <si>
    <t>trendCycle</t>
  </si>
  <si>
    <t>If "t" or omitted returns the trend. If "c" returns the cycle</t>
  </si>
  <si>
    <t>c</t>
  </si>
  <si>
    <t>t</t>
  </si>
  <si>
    <t>trend</t>
  </si>
  <si>
    <t>cycle</t>
  </si>
  <si>
    <t>Added functions DETREND, SIZE, and HPFILTER.</t>
  </si>
  <si>
    <t>ANOVA</t>
  </si>
  <si>
    <t>LAG</t>
  </si>
  <si>
    <t>Lag a vector</t>
  </si>
  <si>
    <t>[nLags]</t>
  </si>
  <si>
    <t>Lag shift. If omitted equals 1</t>
  </si>
  <si>
    <t>[fillWithNA]</t>
  </si>
  <si>
    <t>If omitted equals true</t>
  </si>
  <si>
    <t>nLags</t>
  </si>
  <si>
    <t>fillWithNA</t>
  </si>
  <si>
    <t>LEAD</t>
  </si>
  <si>
    <t>Lead a vector</t>
  </si>
  <si>
    <t>[nLeads]</t>
  </si>
  <si>
    <t>Lead shift. If omitted equals 1</t>
  </si>
  <si>
    <t>GRANGER</t>
  </si>
  <si>
    <t>Granger causality</t>
  </si>
  <si>
    <t>predicted</t>
  </si>
  <si>
    <t>predictors</t>
  </si>
  <si>
    <t>lags</t>
  </si>
  <si>
    <t>Source: BCB (SGS code = 24364)</t>
  </si>
  <si>
    <t>Industrial Production Seasonally Adjusted</t>
  </si>
  <si>
    <t>Source: IBGE via BCB (SGS code = 28503)</t>
  </si>
  <si>
    <t>Sales volume index in the retail sector - Hypermarkets and supermarkets - Brazil - Seasonally Adjusted</t>
  </si>
  <si>
    <t>Source: IBGE via BCB (28476)</t>
  </si>
  <si>
    <t>[allLags]</t>
  </si>
  <si>
    <t>[allLeads]</t>
  </si>
  <si>
    <t>If TRUE returns a matrix with shifted leads from nLeads to 1; default is FALSE</t>
  </si>
  <si>
    <t>Date</t>
  </si>
  <si>
    <t>IBCBr</t>
  </si>
  <si>
    <t>Predicted</t>
  </si>
  <si>
    <t>Predictor</t>
  </si>
  <si>
    <t>IndProd</t>
  </si>
  <si>
    <t>Lags</t>
  </si>
  <si>
    <t>RetailSales</t>
  </si>
  <si>
    <t>Vector of predicted values</t>
  </si>
  <si>
    <t>Vector of predictor values</t>
  </si>
  <si>
    <t>Amount of lags to be tested</t>
  </si>
  <si>
    <t>If TRUE returns a matrix with shifted lags from 1 to nLAGS; default is FALSE</t>
  </si>
  <si>
    <t>[descending]</t>
  </si>
  <si>
    <t>returnPValue</t>
  </si>
  <si>
    <t>[returnPValue]</t>
  </si>
  <si>
    <t>A</t>
  </si>
  <si>
    <t>B</t>
  </si>
  <si>
    <t>C</t>
  </si>
  <si>
    <t>D</t>
  </si>
  <si>
    <t>E</t>
  </si>
  <si>
    <t>Lambda</t>
  </si>
  <si>
    <t>Named function</t>
  </si>
  <si>
    <t>groupNames</t>
  </si>
  <si>
    <t>groupVectors</t>
  </si>
  <si>
    <t>[significance]</t>
  </si>
  <si>
    <t>Vector of group names</t>
  </si>
  <si>
    <t>Matrix in which each column is a group vector</t>
  </si>
  <si>
    <t>Significance degree for the F Test. If omitted, equals 5%</t>
  </si>
  <si>
    <t>significance</t>
  </si>
  <si>
    <t>v. 0.5</t>
  </si>
  <si>
    <t>Added functions LAG, LEAD, GRANGER, and ANOVA.</t>
  </si>
  <si>
    <t>Analysis of variance (1 factor or one-way)</t>
  </si>
  <si>
    <t>Example taken from:</t>
  </si>
  <si>
    <t>https://consultglp.com/wp-content/uploads/2018/07/Using-Excel-functions-for-one-way-ANOVA.pdf</t>
  </si>
  <si>
    <t>If TRUE, reverses columns order; default is FALSE</t>
  </si>
  <si>
    <t>If TRUE (or omitted), returns the p-value. If FALSE, returns the F-statistic</t>
  </si>
  <si>
    <t>OLS_COEFF_TSTAT</t>
  </si>
  <si>
    <t>Regress a vector on a matrix and return the t-statistic of ordinary least squares coefficients</t>
  </si>
  <si>
    <t>Regress a vector on a matrix and return the standard deviation of ordinary least squares coefficients</t>
  </si>
  <si>
    <t>SLICE (example 3: patch)</t>
  </si>
  <si>
    <t>Function M now accepts references to negative positions (start counting from the last element) and also interprets "0" in the address as the first or the last element depending on whether it preceeds or not the ":".</t>
  </si>
  <si>
    <t>Extract or patch subarray using "[rLB:rUB,cLB:cUB]" notation</t>
  </si>
  <si>
    <t>COL1</t>
  </si>
  <si>
    <t>COL2</t>
  </si>
  <si>
    <t>COL3</t>
  </si>
  <si>
    <t>MULTIFILTER</t>
  </si>
  <si>
    <t>Function SPLIT now accepts delimeters with more than one character.</t>
  </si>
  <si>
    <t>array</t>
  </si>
  <si>
    <t>include</t>
  </si>
  <si>
    <t>[if_empty]</t>
  </si>
  <si>
    <t>Filter dataset based on (multiple) criteria passed as string</t>
  </si>
  <si>
    <t>The matrix whose rows will be filtered.</t>
  </si>
  <si>
    <t>[headers]</t>
  </si>
  <si>
    <t>The name of the columns of the array. If omitted, headers are set as the first row of [array] which is then excluded from the filtering rows.</t>
  </si>
  <si>
    <t>Value returned in case there are no filtered rows. If omitted, it returns #N/A.</t>
  </si>
  <si>
    <t>ab</t>
  </si>
  <si>
    <t>Criteria passed as string in the format [column name][operator][value], where [operator] is one of =, &lt;&gt;, &gt;, &gt;=, &lt;, or &lt;=. If [value] is a string, then it must be in-between double quotes, as "value" (it is not allowed to have double quotes in the middle of the string). Multiple criteria should be separated by ";".</t>
  </si>
  <si>
    <t>COL1="ab";COL2&gt;=200;COL3&lt;=2000</t>
  </si>
  <si>
    <t>No results!</t>
  </si>
  <si>
    <t>TEXTTOARRAY</t>
  </si>
  <si>
    <t>matrixText</t>
  </si>
  <si>
    <t>The text that represents a matrix.</t>
  </si>
  <si>
    <t>[lineChar]</t>
  </si>
  <si>
    <t>[colChar]</t>
  </si>
  <si>
    <t>The character that breaks the line of a matrix. If omitted, it is used Excel's locale character.</t>
  </si>
  <si>
    <t>The character that breaks the column of a matrix. If omitted, it is used Excel's locale character.</t>
  </si>
  <si>
    <t>v. 0.6</t>
  </si>
  <si>
    <t>Return n indices, default is all. If no indices are found, returns #N/A.</t>
  </si>
  <si>
    <t>OLS_COEFF_PVALUE</t>
  </si>
  <si>
    <t>Regress a vector on a matrix and return the p-value of ordinary least squares coefficients</t>
  </si>
  <si>
    <t>OLS_LOGLIKELIHOOD</t>
  </si>
  <si>
    <t>OLS_AIC</t>
  </si>
  <si>
    <t>OLS_BIC</t>
  </si>
  <si>
    <t>Regress a vector on a matrix and return the log-likelihood of the regression</t>
  </si>
  <si>
    <t>Regress a vector on a matrix and return the Akaike information criterion of the regression</t>
  </si>
  <si>
    <t>Regress a vector on a matrix and return the Bayesian (Schwartz) information criterion of the regression</t>
  </si>
  <si>
    <t>OLS_OPTIMAL_LAG</t>
  </si>
  <si>
    <t>Regress a vector on its lags and a matrix and return the amount of lags which minimizes an information criterion</t>
  </si>
  <si>
    <t>Example 2</t>
  </si>
  <si>
    <t>Example 1</t>
  </si>
  <si>
    <t>COMPLEMENT</t>
  </si>
  <si>
    <t>[minInteger]</t>
  </si>
  <si>
    <t>[maxInteger]</t>
  </si>
  <si>
    <t>the largest integer of the range. If omitted, it is the largest value of the matrix</t>
  </si>
  <si>
    <t>the largest integer of the range. If omitted, it is the smallest value of the matrix</t>
  </si>
  <si>
    <t>matrix used for comparison</t>
  </si>
  <si>
    <t>Observations</t>
  </si>
  <si>
    <t>If all the integers in the range belong to the matrix, then the function returns #N/A</t>
  </si>
  <si>
    <t>SLICE (example 4: remove)</t>
  </si>
  <si>
    <t>M (example 3: patch)</t>
  </si>
  <si>
    <t>Function SLICE has a new parameter. The parameter "remove", which is a boolean that changes the behavior of the function so that indicated lines and columns are actually removed from the original matrix.</t>
  </si>
  <si>
    <t>Return the elements in a continuous range of integers that do not belong to a matrix</t>
  </si>
  <si>
    <t>Function NOZERO returns #N/A when there are no filtered results. In MatLab, the equivalent function returns an empty array.</t>
  </si>
  <si>
    <t>Convert a text that represents a matrix into an array</t>
  </si>
  <si>
    <t>REPLACEALL</t>
  </si>
  <si>
    <t>Replace all occurrences of any specified texts or chars</t>
  </si>
  <si>
    <t>SPLITALL</t>
  </si>
  <si>
    <t>Split strings at (multiple) delimiters</t>
  </si>
  <si>
    <t>a</t>
  </si>
  <si>
    <t>b</t>
  </si>
  <si>
    <t>STATIONARIZE</t>
  </si>
  <si>
    <t>Stationarize a vector</t>
  </si>
  <si>
    <t>[constant]</t>
  </si>
  <si>
    <t>[trend]</t>
  </si>
  <si>
    <t>constant</t>
  </si>
  <si>
    <t>DFTABLE</t>
  </si>
  <si>
    <t>Critical values for the (Augmented) Dicky-Fuller test</t>
  </si>
  <si>
    <t>sampleSize</t>
  </si>
  <si>
    <t>Obs:</t>
  </si>
  <si>
    <t>Significance</t>
  </si>
  <si>
    <t>Includes a constant in the test equation</t>
  </si>
  <si>
    <t>Includes a linear trend in the test. If omitted equals false. If true, constant must be true</t>
  </si>
  <si>
    <t>Values are approximations.</t>
  </si>
  <si>
    <t>Fixed bug in function ADDTREND. When parameter nPower was missing, the function returned a vector of ones.</t>
  </si>
  <si>
    <t>Number of observations</t>
  </si>
  <si>
    <t>nObs</t>
  </si>
  <si>
    <t>maxDiffs</t>
  </si>
  <si>
    <t>Ex1</t>
  </si>
  <si>
    <t>Ex2</t>
  </si>
  <si>
    <t>Ex3</t>
  </si>
  <si>
    <t>DIFF</t>
  </si>
  <si>
    <t>Differences between adjacent elements</t>
  </si>
  <si>
    <t>Times the operator should be applied to the vector. If omitted, it is 1</t>
  </si>
  <si>
    <t>Dimension along the operator should be applied. If omitted, it is 1</t>
  </si>
  <si>
    <t>Is Stationary?</t>
  </si>
  <si>
    <t>SPLITTWO</t>
  </si>
  <si>
    <t>Functions HORZCAT and VERTCAT now return the non-omitted matrix in case either matrixA or matrixB is omitted. Besides, concatenation of matrices with different number of rows or columns is done by filling exceeding cells with #REF! or #N/A.</t>
  </si>
  <si>
    <t>Includes a linear trend in the test. If omitted equals false. If true, constant must be true, otherwise returns #VALUE!</t>
  </si>
  <si>
    <t>Tests whether a vector is stationary according to the Dickey-Fuller test</t>
  </si>
  <si>
    <t>[automatic]</t>
  </si>
  <si>
    <t>If FALSE, uses constant and trend parameters. If AIC or BIC picks the specification that minimizes that information criterion and ignores constant and trend parameters.</t>
  </si>
  <si>
    <t>automatic</t>
  </si>
  <si>
    <t>Obs: Specification with information criteria: https://static.sys.kth.se/itm/wp/cesis/cesiswp213.pdf</t>
  </si>
  <si>
    <t>Maximum number of lags for the Augmented Dickey-Fuller test</t>
  </si>
  <si>
    <t>Function ANOVA code was slightly adjusted to this version changes to HORZCAT.</t>
  </si>
  <si>
    <t>[returnRowAndCol]</t>
  </si>
  <si>
    <t>If TRUE, returns results in two columns, where the first column is the row index and the second column is the column index. Default value is FALSE.</t>
  </si>
  <si>
    <t>returnRowAndCol</t>
  </si>
  <si>
    <t>first</t>
  </si>
  <si>
    <t>Function NOZERO has na additional parameter returnRowAndCol, which is a boolean that when TRUE the function returns two columns: row and column index.</t>
  </si>
  <si>
    <t>SLICE (example 5: byValue (allows wildcard))</t>
  </si>
  <si>
    <t>M (example 4: by values (allows wildcard))</t>
  </si>
  <si>
    <t>ISEMPTY</t>
  </si>
  <si>
    <t>Test for empty values (cells or not)</t>
  </si>
  <si>
    <t>Functions SLICE and M have a new parameter. The parameter "patch", which receives a matrix, induces the function to return the original matrix patched by the "patch" matrix in the address specified.</t>
  </si>
  <si>
    <t>Functions SLICE and M now accept matching texts for the matrix coordinates. That is, if instead of a number for lines and columns the user provides a text, then the function will search for that text in the first row/column and set its position as the coordinate.</t>
  </si>
  <si>
    <t>[header]</t>
  </si>
  <si>
    <t>header</t>
  </si>
  <si>
    <t>col A</t>
  </si>
  <si>
    <t>col B</t>
  </si>
  <si>
    <t>Function ADDCONST has a new parameter. The parameter "header" allows for the user to provide a header name for the column with the constants.</t>
  </si>
  <si>
    <t>[headerFirstRow]</t>
  </si>
  <si>
    <t>If TRUE, ignores first row and adds headers to the lag columns in the format of a suffix "_LAG#" to the variable name; default is FALSE.</t>
  </si>
  <si>
    <t>IP</t>
  </si>
  <si>
    <t>Functions LAG and LEAD have a new parameter. The parameter "headerFirstRow" is a boolean which tells the function to ignore first row values of the input and add a header row to the output matrix.</t>
  </si>
  <si>
    <t>Split strings at two different delimiters; may return each delimeter position</t>
  </si>
  <si>
    <t>SORTRANGE</t>
  </si>
  <si>
    <t>range</t>
  </si>
  <si>
    <t>[sortRows]</t>
  </si>
  <si>
    <t>[asc]</t>
  </si>
  <si>
    <t>If TRUE (default) sorts in ascending order. If FALSE, sorts in descending order.</t>
  </si>
  <si>
    <t>sortRows</t>
  </si>
  <si>
    <t>asc</t>
  </si>
  <si>
    <t>If TRUE (default), sort columns of each row. If FALSE, sort rows of each column.</t>
  </si>
  <si>
    <t>Adapted from: https://www.linkedin.com/pulse/excel-lambda-sort-range-rows-columns-sergei-baklan/</t>
  </si>
  <si>
    <t>Sort each column or row of a range independently. Range may contain text values.</t>
  </si>
  <si>
    <t>ISUNIQUE</t>
  </si>
  <si>
    <t>Checks whether a value is unique in a range</t>
  </si>
  <si>
    <t>value</t>
  </si>
  <si>
    <t>ABC</t>
  </si>
  <si>
    <t>DEF</t>
  </si>
  <si>
    <t>value to be checked uniqueness</t>
  </si>
  <si>
    <t>If value is not in matrix, returns FALSE.</t>
  </si>
  <si>
    <t>OLS_R2</t>
  </si>
  <si>
    <t>OLS_STDEV</t>
  </si>
  <si>
    <t>Regress a vector on a matrix with OLS and return the standard deviation of the residuals</t>
  </si>
  <si>
    <t>OLS_ESS</t>
  </si>
  <si>
    <t>OLS_RSS</t>
  </si>
  <si>
    <t>Regress a vector on a matrix with OLS and return the squared sum of explained variation</t>
  </si>
  <si>
    <t>Regress a vector on a matrix with OLS and return the squared sum of residual variation</t>
  </si>
  <si>
    <t>Regress a vector on a matrix with OLS and return the determination coefficient</t>
  </si>
  <si>
    <t>OLS_TSS</t>
  </si>
  <si>
    <t>Regress a vector on a matrix with OLS and return the squared sum of total variation</t>
  </si>
  <si>
    <t>OLS_R2_ADJUSTED</t>
  </si>
  <si>
    <t>Regress a vector on a matrix with OLS and return the adjusted determination coefficient</t>
  </si>
  <si>
    <t>OLS_VARCOV_HAC</t>
  </si>
  <si>
    <t>OLS_COEFF_STDEV_HAC</t>
  </si>
  <si>
    <t>Regress a vector on a matrix and return the HAC variance-covariance matrix of ordinary least squares coefficients</t>
  </si>
  <si>
    <t>Regress a vector on a matrix and return the HAC standard deviation of ordinary least squares coefficients</t>
  </si>
  <si>
    <t>OLS_COEFF_TSTAT_HAC</t>
  </si>
  <si>
    <t>OLS_COEFF_PVALUE_HAC</t>
  </si>
  <si>
    <t>Regress a vector on a matrix and return the HAC t-statistic of ordinary least squares coefficients</t>
  </si>
  <si>
    <t>Functions OLS_ that allow for coefficients to be provided by the user now accept that these coefficients are passed as a row or as a column vector.</t>
  </si>
  <si>
    <t>GET</t>
  </si>
  <si>
    <t>GET (example 1)</t>
  </si>
  <si>
    <t>GET (example 2: patch)</t>
  </si>
  <si>
    <t>Remove rows or columns with outliers</t>
  </si>
  <si>
    <t>RMOUTLIERS</t>
  </si>
  <si>
    <t>method</t>
  </si>
  <si>
    <t>MAD</t>
  </si>
  <si>
    <t>The matrix whose rows or columns with outliers will be removed.</t>
  </si>
  <si>
    <t>The method for identifying an outlier. Only available is "MAD" = median absolute deviation.</t>
  </si>
  <si>
    <t>Lower-bound parameter for the outlier detection method.</t>
  </si>
  <si>
    <t>Upper-bound parameter for the outlier detection method.</t>
  </si>
  <si>
    <t>ISOUTLIER</t>
  </si>
  <si>
    <t>Detect outliers in a matrix</t>
  </si>
  <si>
    <t>The matrix whose rows or columns with outliers should be detected.</t>
  </si>
  <si>
    <t>OLS_FSTAT</t>
  </si>
  <si>
    <t>Regress a vector on a matrix with OLS and return the F-statistic</t>
  </si>
  <si>
    <t>OLS_FSTAT_PVALUE</t>
  </si>
  <si>
    <t>Regress a vector on a matrix with OLS and return the p-value of the F-statistic</t>
  </si>
  <si>
    <t>Turn an array into a vector by piling up column or row values</t>
  </si>
  <si>
    <t>Matrix of values.</t>
  </si>
  <si>
    <t>"first" or "last", default is "first".</t>
  </si>
  <si>
    <t>Draw a sample of rows or columns, with or without replacement</t>
  </si>
  <si>
    <t>Function SAMPLE had a parameter ("replacement") with misleading behavior. It was fixed.</t>
  </si>
  <si>
    <t>Concatenate arrays vertically (a limited version of Excel's VSTACK)</t>
  </si>
  <si>
    <t>Concatenate arrays horizontally (a limited version of Excel's HSTACK)</t>
  </si>
  <si>
    <t>GET (example 3: remove)</t>
  </si>
  <si>
    <t>Extract, patch, or remove the nth element of a vector or matrix</t>
  </si>
  <si>
    <t>Extract, patch, or remove subarray using [rLB:rUB,cLB:cUB] parameters</t>
  </si>
  <si>
    <t>SAMPLE (rows without replacement)</t>
  </si>
  <si>
    <t>SAMPLE (cols with replacement)</t>
  </si>
  <si>
    <t>if not omitted, adds this argument to the first row of the ones column.</t>
  </si>
  <si>
    <t>position where the column vector of ones should be inserted; if omitted equals 1.</t>
  </si>
  <si>
    <t>matrix to be horizontally concatenated with a column vector of ones.</t>
  </si>
  <si>
    <t>returnIntegrationOrder</t>
  </si>
  <si>
    <t>d(values)</t>
  </si>
  <si>
    <t>DIM</t>
  </si>
  <si>
    <t>DIM (MatLab's SIZE)</t>
  </si>
  <si>
    <t>Array length at specified dimension</t>
  </si>
  <si>
    <t>Function SIZE was renamed to DIM due to the fact that SIZE is a reserved word in Excel when English is set as language.</t>
  </si>
  <si>
    <t>IORDER</t>
  </si>
  <si>
    <t>Returns the integration order of a vector</t>
  </si>
  <si>
    <t>Ex4</t>
  </si>
  <si>
    <t>Ex5</t>
  </si>
  <si>
    <t>Ex6</t>
  </si>
  <si>
    <t>GDP</t>
  </si>
  <si>
    <t>Consumption</t>
  </si>
  <si>
    <t>Residuals</t>
  </si>
  <si>
    <t>Selic</t>
  </si>
  <si>
    <t>SFN rate</t>
  </si>
  <si>
    <t>Test whether two vectors are cointegrated (Engle–Granger method)</t>
  </si>
  <si>
    <t>valuesA</t>
  </si>
  <si>
    <t>valuesB</t>
  </si>
  <si>
    <t>First vector of values</t>
  </si>
  <si>
    <t>Second vector of values</t>
  </si>
  <si>
    <t>Obs: vectors must be integrated at the same order.</t>
  </si>
  <si>
    <t>OLS_LEVERAGE</t>
  </si>
  <si>
    <t>OLS_COOKS_DISTANCE</t>
  </si>
  <si>
    <t>Regress a vector on a matrix with OLS and return the leverage of each dependent variable observation</t>
  </si>
  <si>
    <t>Regress a vector on a matrix with OLS and return the Cook's distance of each dependent variable observation</t>
  </si>
  <si>
    <t>OLS_CONF_INTERVAL</t>
  </si>
  <si>
    <t>OLS_RESIDUALS_STD</t>
  </si>
  <si>
    <t>OLS_PRED_INTERVAL</t>
  </si>
  <si>
    <t>OLS_RESIDUALS_PARTIAL</t>
  </si>
  <si>
    <t>Regress a vector on a matrix and return ordinary least squares standardized residuals</t>
  </si>
  <si>
    <t>Regress a vector on a matrix and return the matrix of ordinary least squares partial residuals</t>
  </si>
  <si>
    <t>Regress a vector on a matrix with OLS and return the confidence interval around a given set of independent variables</t>
  </si>
  <si>
    <t>Regress a vector on a matrix with OLS and return the prediction interval around a given set of independent variables</t>
  </si>
  <si>
    <t>TSOPER</t>
  </si>
  <si>
    <t>Time series operation</t>
  </si>
  <si>
    <t>operation</t>
  </si>
  <si>
    <t>Graph name</t>
  </si>
  <si>
    <t>Other websites with inspiring material:
https://exceluser.com/
https://www.real-statistics.com/
https://www.youtube.com/c/NEDLeducation</t>
  </si>
  <si>
    <t>ISSTATIONARY</t>
  </si>
  <si>
    <t>ISCOINTEGRATED</t>
  </si>
  <si>
    <t>Added functions GET, ISOUTLIER, RMOUTLIERS, ISEMPTY, MULTIFILTER, TEXTTOARRAY, REPLACEALL, SPLITTWO, SPLITALL, COMPLEMENT, DIFF, DFTABLE, ISSTATIONARY, STATIONARIZE, IORDER, ISCOINTEGRATED, TSOPER, OLS_COEFF_TSTAT, OLS_COEFF_TSTAT_HAC, OLS_COEFF_PVALUE, OLS_COEFF_PVALUE_HAC, OLS_STDEV, OLS_STDEV_HAC, OLS_ESS, OLS_RSS, OLS_TSS, OLS_FSTAT, OLS_FSTAT_PVALUE, OLS_R2, OLS_R2_ADJUSTED, OLS_LOGLIKELIHOOD, OLS_AIC, OLS_BIC, OLS_OPTIMAL_LAG, OLS_LEVERAGE, OLS_COOKS_DISTANCE, OLS_RESIDUALS_STD, OLS_RESIDUALS_PARTIAL, OLS_CONF_INTERVAL, and OLS_PRED_INTERVAL.</t>
  </si>
  <si>
    <t>Vector of dates. Frequency must be lower or equal to monthly and greater or equal to yearly.</t>
  </si>
  <si>
    <t>Vector of values.</t>
  </si>
  <si>
    <t>v. 0.7</t>
  </si>
  <si>
    <t>Function SEASADJ's description was updated.</t>
  </si>
  <si>
    <t>APPLYCOLS</t>
  </si>
  <si>
    <t>Apply lambda function to each column</t>
  </si>
  <si>
    <t>func</t>
  </si>
  <si>
    <t>paramArrayPos</t>
  </si>
  <si>
    <t>[param1]</t>
  </si>
  <si>
    <t>[param2]</t>
  </si>
  <si>
    <t>[param3]</t>
  </si>
  <si>
    <t>SEASFACTOR</t>
  </si>
  <si>
    <t>Trend of a time series</t>
  </si>
  <si>
    <t>TSTREND</t>
  </si>
  <si>
    <t>Seasonal factors of a stationarized time series</t>
  </si>
  <si>
    <t>Power of the trend; if omitted equals 1. Use "LOG" for log-detrending.</t>
  </si>
  <si>
    <t>LOG</t>
  </si>
  <si>
    <t>type</t>
  </si>
  <si>
    <t>Function DETREND now allows for log-detrending. Parameter "nPower" was renamed to "type".</t>
  </si>
  <si>
    <t>MOVAVG</t>
  </si>
  <si>
    <t>Moving average of a matrix</t>
  </si>
  <si>
    <t>Window of the operator. If omitted, it is 1</t>
  </si>
  <si>
    <t>[type]</t>
  </si>
  <si>
    <t>SIMPLE</t>
  </si>
  <si>
    <t>If TRUE or omitted, fills initial points with NA. If FALSE, does not include initial points.</t>
  </si>
  <si>
    <t>If omitted, it is "SIMPLE". Only "SIMPLE" is available.</t>
  </si>
  <si>
    <t>MOVSUM</t>
  </si>
  <si>
    <t>MOVPROD</t>
  </si>
  <si>
    <t>Moving product of a matrix</t>
  </si>
  <si>
    <t>Moving sum of a matrix</t>
  </si>
  <si>
    <t>STARTSWITH</t>
  </si>
  <si>
    <t>Checks whether a string starts with a certain sequence of characters</t>
  </si>
  <si>
    <t>text</t>
  </si>
  <si>
    <t>sequence</t>
  </si>
  <si>
    <t>The text whose first characters shall be checked</t>
  </si>
  <si>
    <t>The sequence to be compared with the first characters of the text argument</t>
  </si>
  <si>
    <t>Hello world</t>
  </si>
  <si>
    <t>Hello</t>
  </si>
  <si>
    <t>ENDSWITH</t>
  </si>
  <si>
    <t>Checks whether a string ends with a certain sequence of characters</t>
  </si>
  <si>
    <t>The sequence to be compared with the last characters of the text argument</t>
  </si>
  <si>
    <t>world</t>
  </si>
  <si>
    <t>CONTAINS</t>
  </si>
  <si>
    <t>Checks whether a string contains a certain sequence of characters</t>
  </si>
  <si>
    <t>The text whose content shall be checked</t>
  </si>
  <si>
    <t>The sequence to be found in the text argument</t>
  </si>
  <si>
    <t>start_num</t>
  </si>
  <si>
    <t>llo wO</t>
  </si>
  <si>
    <t>case_sensitive</t>
  </si>
  <si>
    <t>[start_num]</t>
  </si>
  <si>
    <t>[case_sensitive]</t>
  </si>
  <si>
    <t>ISMEMBER</t>
  </si>
  <si>
    <t>Checks whether a matrix contains a certain element</t>
  </si>
  <si>
    <t>element</t>
  </si>
  <si>
    <t>[start_pos]</t>
  </si>
  <si>
    <t>d</t>
  </si>
  <si>
    <t>e</t>
  </si>
  <si>
    <t>AGGREGBYDATE</t>
  </si>
  <si>
    <t>a vector of dates</t>
  </si>
  <si>
    <t>a vector of values</t>
  </si>
  <si>
    <t>highFreq</t>
  </si>
  <si>
    <t>the frequency of the dates vector</t>
  </si>
  <si>
    <t>lowFreq</t>
  </si>
  <si>
    <t>the frequency to which to aggregate the series</t>
  </si>
  <si>
    <t>[method]</t>
  </si>
  <si>
    <t>one of the aggregation types allowed: "avg" (default), "sum" or "eop" (end of period)</t>
  </si>
  <si>
    <t>[onlyValues]</t>
  </si>
  <si>
    <t>a boolean, default is FALSE (return dates and values)</t>
  </si>
  <si>
    <t>High frequency</t>
  </si>
  <si>
    <t>Low frequency</t>
  </si>
  <si>
    <t>Aggregation method</t>
  </si>
  <si>
    <t>avg</t>
  </si>
  <si>
    <t>Dates</t>
  </si>
  <si>
    <t>Values</t>
  </si>
  <si>
    <t>Step</t>
  </si>
  <si>
    <t>Annual fraction</t>
  </si>
  <si>
    <t>Result</t>
  </si>
  <si>
    <t>Aggregate a time series to a lower time frequency</t>
  </si>
  <si>
    <t>EIGENVALUES</t>
  </si>
  <si>
    <t>eigenMin</t>
  </si>
  <si>
    <t>eigenMax</t>
  </si>
  <si>
    <t>eigenStep</t>
  </si>
  <si>
    <t>EIGENVECTORS</t>
  </si>
  <si>
    <t>If not all eigenvalues are found in the the range of candidates to eigenvalues, the function returns all eigenvalues found.</t>
  </si>
  <si>
    <t>squared matrix for which real eigenvalues will be numerically calculated</t>
  </si>
  <si>
    <t>MNORM</t>
  </si>
  <si>
    <t>Returns a matrix p-norm</t>
  </si>
  <si>
    <t>norm</t>
  </si>
  <si>
    <t>[norm]</t>
  </si>
  <si>
    <t>[eigenMin]</t>
  </si>
  <si>
    <t>[eigenMax]</t>
  </si>
  <si>
    <t>[eigenStep]</t>
  </si>
  <si>
    <t>Order of the p-norm. Default is 1.</t>
  </si>
  <si>
    <t>Candidate</t>
  </si>
  <si>
    <t>FZERO</t>
  </si>
  <si>
    <t>[xMin]</t>
  </si>
  <si>
    <t>[xMax]</t>
  </si>
  <si>
    <t>[xStep]</t>
  </si>
  <si>
    <t>expression</t>
  </si>
  <si>
    <t>xMin</t>
  </si>
  <si>
    <t>xMax</t>
  </si>
  <si>
    <t>xStep</t>
  </si>
  <si>
    <t>x^2 - 2</t>
  </si>
  <si>
    <t>EVALS</t>
  </si>
  <si>
    <t>formula to be avaluated</t>
  </si>
  <si>
    <t>1+1</t>
  </si>
  <si>
    <t>=LAMBDA(expression, EVALUATE(expression))($F$7)</t>
  </si>
  <si>
    <t>* Most recent versions of Excel do not accept the EVALUATE function when called from a cell, only from a defined name</t>
  </si>
  <si>
    <t>Expression evaluated</t>
  </si>
  <si>
    <t>function expression in terms of variable x</t>
  </si>
  <si>
    <t>minimum number candidate to expression root. Default is -1.</t>
  </si>
  <si>
    <t>maximum number candidate to expression root. Default is 1.</t>
  </si>
  <si>
    <t>size of the sweeping step between xMin and xMax (precision). Default is 1/500.</t>
  </si>
  <si>
    <t>x^3 - 2*x - 1</t>
  </si>
  <si>
    <t>If not all solutions are found in the the range of candidates, the function returns all solutions found.
This function requires the intermediate function EVALS, which depends on the Excel 4.0 function EVALUATE. In reason of this, FZERO can only be used in workbooks with the .xlsm extension.</t>
  </si>
  <si>
    <t>This function depends on the Excel 4.0 function EVALUATE. In reason of this, EVALS can only be used in workbooks with the .xlsm extension.</t>
  </si>
  <si>
    <t>[normalized]</t>
  </si>
  <si>
    <t>normalized</t>
  </si>
  <si>
    <t>boolean that indicates eigenvectors should be normalized. Default is false</t>
  </si>
  <si>
    <t>order</t>
  </si>
  <si>
    <t>[order]</t>
  </si>
  <si>
    <t>Added functiond MOVAVG, MOVSUM, MOVPROD, SEASFACTOR, TSTREND, STARTSWITH, ENDSWITH, CONTAINS, ISMEMBER, AGGREGBYDATE, EIGENVALUES, EIGENVECTORS, MNORM, EVALS, FZERO.</t>
  </si>
  <si>
    <t>minimum number candidate to eigenvalue. Default is -ROWS(matrix)*MAX(ABS(matrix)).</t>
  </si>
  <si>
    <t>maximum number candidate to eigenvalue. Default is ROWS(matrix)*MAX(ABS(matrix)).</t>
  </si>
  <si>
    <t>size of the sweeping step between eigenMin and eigenMax (precision). Default is ROWS(matrix)*MAX(ABS(matrix))/500.</t>
  </si>
  <si>
    <t>Functions that depend on MACRO 4.0 functions (Workbooks will have to be saved with the .xlsm extension)</t>
  </si>
  <si>
    <t>* FZERO depends on EVALUATE function. Most recent versions of Excel do not accept the EVALUATE function when called from a cell, only from a defined name</t>
  </si>
  <si>
    <t>Find the roots of a function (workbook file will have to be saved with the .xlsm extension)</t>
  </si>
  <si>
    <t>Evaluates a formula expression (workbook file will have to be saved with the .xlsm extension)</t>
  </si>
  <si>
    <t>String with the operation to be applied to the time series. Operations available are: V%(n), VA(n), MA(n), LAG(n), LEAD(n), IDX(refDate), B100(refDate), CR(n), V%ACC(refDate), and VAACC(refDate). Successive operations are separated by ";".</t>
  </si>
  <si>
    <t>Stock index</t>
  </si>
  <si>
    <t>Bond index</t>
  </si>
  <si>
    <t>Stock return</t>
  </si>
  <si>
    <t>Bond return</t>
  </si>
  <si>
    <t>Fry-McKibbin and Hsiao (2018):</t>
  </si>
  <si>
    <t>H0: no contagion from market i to market j</t>
  </si>
  <si>
    <t>H1: there is contagion from market i to market j</t>
  </si>
  <si>
    <t>Forbes and Rigobon (2002)</t>
  </si>
  <si>
    <t>Fry, Martin, and Tang (2010):</t>
  </si>
  <si>
    <t>sampleNonCrisis1</t>
  </si>
  <si>
    <t>sampleNonCrisis2</t>
  </si>
  <si>
    <t>sampleCrisis1</t>
  </si>
  <si>
    <t>sampleCrisis2</t>
  </si>
  <si>
    <t>First sample of returns during non-crisis period</t>
  </si>
  <si>
    <t>Second sample of returns during non-crisis period</t>
  </si>
  <si>
    <t>First sample of returns during crisis period</t>
  </si>
  <si>
    <t>Second sample of returns during crisis period</t>
  </si>
  <si>
    <t>CONTAGION_COVOLATILITY</t>
  </si>
  <si>
    <t>LAMBDA</t>
  </si>
  <si>
    <t>FUNCTION</t>
  </si>
  <si>
    <t>More details are available on the workbook "xlMATRIX - Contagion Tests.xlsx"</t>
  </si>
  <si>
    <t>CONTAGION_FORBESRIGOBON</t>
  </si>
  <si>
    <t>Test for contagion using the Forbes and Rigobon test.</t>
  </si>
  <si>
    <t>returnInverse</t>
  </si>
  <si>
    <t>CONTAGION_COKURTOSIS</t>
  </si>
  <si>
    <t>Test for contagion using the Cokurtosis test.</t>
  </si>
  <si>
    <t>CONTAGION_COSKEWNESS</t>
  </si>
  <si>
    <t>Test for contagion using the Coskewness test.</t>
  </si>
  <si>
    <t>v. 0.8</t>
  </si>
  <si>
    <t>Test for contagion using the Covolatility test.</t>
  </si>
  <si>
    <t>squared matrix for which real eigenvectos will be numerically calculated</t>
  </si>
  <si>
    <t>Country</t>
  </si>
  <si>
    <t>GDP per capita growth</t>
  </si>
  <si>
    <t>Log GDP per capita</t>
  </si>
  <si>
    <t>Gross capital formation</t>
  </si>
  <si>
    <t>FDI</t>
  </si>
  <si>
    <t>Inflation</t>
  </si>
  <si>
    <t>Government spending</t>
  </si>
  <si>
    <t>Algeria</t>
  </si>
  <si>
    <t>Armenia</t>
  </si>
  <si>
    <t>Australia</t>
  </si>
  <si>
    <t>Austria</t>
  </si>
  <si>
    <t>Azerbaijan</t>
  </si>
  <si>
    <t>Bahamas, The</t>
  </si>
  <si>
    <t>Bangladesh</t>
  </si>
  <si>
    <t>Barbados</t>
  </si>
  <si>
    <t>Belarus</t>
  </si>
  <si>
    <t>Belgium</t>
  </si>
  <si>
    <t>Benin</t>
  </si>
  <si>
    <t>Bhutan</t>
  </si>
  <si>
    <t>Bolivia</t>
  </si>
  <si>
    <t>Bosnia and Herzegovina</t>
  </si>
  <si>
    <t>Botswana</t>
  </si>
  <si>
    <t>Brazil</t>
  </si>
  <si>
    <t>Brunei Darussalam</t>
  </si>
  <si>
    <t>Bulgaria</t>
  </si>
  <si>
    <t>Burkina Faso</t>
  </si>
  <si>
    <t>Burundi</t>
  </si>
  <si>
    <t>Cabo Verde</t>
  </si>
  <si>
    <t>Cameroon</t>
  </si>
  <si>
    <t>Canada</t>
  </si>
  <si>
    <t>Chad</t>
  </si>
  <si>
    <t>Chile</t>
  </si>
  <si>
    <t>China</t>
  </si>
  <si>
    <t>Colombia</t>
  </si>
  <si>
    <t>Congo, Rep.</t>
  </si>
  <si>
    <t>Costa Rica</t>
  </si>
  <si>
    <t>Cote d'Ivoire</t>
  </si>
  <si>
    <t>Croatia</t>
  </si>
  <si>
    <t>Cyprus</t>
  </si>
  <si>
    <t>Czech Republic</t>
  </si>
  <si>
    <t>Denmark</t>
  </si>
  <si>
    <t>Dominican Republic</t>
  </si>
  <si>
    <t>Ecuador</t>
  </si>
  <si>
    <t>El Salvador</t>
  </si>
  <si>
    <t>Equatorial Guinea</t>
  </si>
  <si>
    <t>Estonia</t>
  </si>
  <si>
    <t>Eswatini</t>
  </si>
  <si>
    <t>Ethiopia</t>
  </si>
  <si>
    <t>Finland</t>
  </si>
  <si>
    <t>France</t>
  </si>
  <si>
    <t>Gabon</t>
  </si>
  <si>
    <t>Gambia, The</t>
  </si>
  <si>
    <t>Georgia</t>
  </si>
  <si>
    <t>Germany</t>
  </si>
  <si>
    <t>Ghana</t>
  </si>
  <si>
    <t>Greece</t>
  </si>
  <si>
    <t>Guatemala</t>
  </si>
  <si>
    <t>Guinea</t>
  </si>
  <si>
    <t>Haiti</t>
  </si>
  <si>
    <t>Honduras</t>
  </si>
  <si>
    <t>Hong Kong SAR, China</t>
  </si>
  <si>
    <t>Hungary</t>
  </si>
  <si>
    <t>Iceland</t>
  </si>
  <si>
    <t>India</t>
  </si>
  <si>
    <t>Indonesia</t>
  </si>
  <si>
    <t>Ireland</t>
  </si>
  <si>
    <t>Israel</t>
  </si>
  <si>
    <t>Italy</t>
  </si>
  <si>
    <t>Jamaica</t>
  </si>
  <si>
    <t>Jordan</t>
  </si>
  <si>
    <t>Korea, Rep.</t>
  </si>
  <si>
    <t>Kosovo</t>
  </si>
  <si>
    <t>Kyrgyz Republic</t>
  </si>
  <si>
    <t>Latvia</t>
  </si>
  <si>
    <t>Lebanon</t>
  </si>
  <si>
    <t>Lesotho</t>
  </si>
  <si>
    <t>Lithuania</t>
  </si>
  <si>
    <t>Luxembourg</t>
  </si>
  <si>
    <t>Madagascar</t>
  </si>
  <si>
    <t>Malawi</t>
  </si>
  <si>
    <t>Malaysia</t>
  </si>
  <si>
    <t>Mali</t>
  </si>
  <si>
    <t>Malta</t>
  </si>
  <si>
    <t>Mauritania</t>
  </si>
  <si>
    <t>Mauritius</t>
  </si>
  <si>
    <t>Mexico</t>
  </si>
  <si>
    <t>Moldova</t>
  </si>
  <si>
    <t>Mongolia</t>
  </si>
  <si>
    <t>Montenegro</t>
  </si>
  <si>
    <t>Morocco</t>
  </si>
  <si>
    <t>Mozambique</t>
  </si>
  <si>
    <t>Namibia</t>
  </si>
  <si>
    <t>Nepal</t>
  </si>
  <si>
    <t>Netherlands</t>
  </si>
  <si>
    <t>Nicaragua</t>
  </si>
  <si>
    <t>Niger</t>
  </si>
  <si>
    <t>Nigeria</t>
  </si>
  <si>
    <t>North Macedonia</t>
  </si>
  <si>
    <t>Norway</t>
  </si>
  <si>
    <t>Oman</t>
  </si>
  <si>
    <t>Pakistan</t>
  </si>
  <si>
    <t>Panama</t>
  </si>
  <si>
    <t>Paraguay</t>
  </si>
  <si>
    <t>Peru</t>
  </si>
  <si>
    <t>Philippines</t>
  </si>
  <si>
    <t>Poland</t>
  </si>
  <si>
    <t>Portugal</t>
  </si>
  <si>
    <t>Qatar</t>
  </si>
  <si>
    <t>Romania</t>
  </si>
  <si>
    <t>Russian Federation</t>
  </si>
  <si>
    <t>Rwanda</t>
  </si>
  <si>
    <t>Saudi Arabia</t>
  </si>
  <si>
    <t>Senegal</t>
  </si>
  <si>
    <t>Serbia</t>
  </si>
  <si>
    <t>Seychelles</t>
  </si>
  <si>
    <t>Sierra Leone</t>
  </si>
  <si>
    <t>Singapore</t>
  </si>
  <si>
    <t>Slovak Republic</t>
  </si>
  <si>
    <t>Slovenia</t>
  </si>
  <si>
    <t>South Africa</t>
  </si>
  <si>
    <t>Spain</t>
  </si>
  <si>
    <t>Sri Lanka</t>
  </si>
  <si>
    <t>Sudan</t>
  </si>
  <si>
    <t>Sweden</t>
  </si>
  <si>
    <t>Switzerland</t>
  </si>
  <si>
    <t>Thailand</t>
  </si>
  <si>
    <t>Timor-Leste</t>
  </si>
  <si>
    <t>Togo</t>
  </si>
  <si>
    <t>Tunisia</t>
  </si>
  <si>
    <t>Turkey</t>
  </si>
  <si>
    <t>Uganda</t>
  </si>
  <si>
    <t>Ukraine</t>
  </si>
  <si>
    <t>United Arab Emirates</t>
  </si>
  <si>
    <t>United Kingdom</t>
  </si>
  <si>
    <t>United States</t>
  </si>
  <si>
    <t>Uruguay</t>
  </si>
  <si>
    <t>Vietnam</t>
  </si>
  <si>
    <t>Zambia</t>
  </si>
  <si>
    <t>CORRCOEF</t>
  </si>
  <si>
    <t>Correlation coefficients</t>
  </si>
  <si>
    <t>matrix for which correlation coefficients will be calculated</t>
  </si>
  <si>
    <t>[dimension]</t>
  </si>
  <si>
    <t>dimension</t>
  </si>
  <si>
    <t>Function</t>
  </si>
  <si>
    <t>If 2 or omitted it considers each column as a variable. If 1, it considers each row as a variable.</t>
  </si>
  <si>
    <t>Boolean. FALSE or omitted, runs the test from sample 1 to sample 2. TRUE, returns the test from sample 2 to sample 1.</t>
  </si>
  <si>
    <t>Boolean. TRUE or omitted, returns the p-value of the test. FALSE, returns its F-statistic.</t>
  </si>
  <si>
    <t>minEigenvalueCondition</t>
  </si>
  <si>
    <t>maxConditionIndex</t>
  </si>
  <si>
    <t>[minEigenvalueCondition]</t>
  </si>
  <si>
    <t>[maxConditionIndex]</t>
  </si>
  <si>
    <t>Double. Default is 0.01.</t>
  </si>
  <si>
    <t>Double. Default is 50.</t>
  </si>
  <si>
    <t>ISMULTICOLLINEAR</t>
  </si>
  <si>
    <t>X</t>
  </si>
  <si>
    <t>VARINFLATIONFACTOR</t>
  </si>
  <si>
    <t>Calculates the variance inflation factor of a linear regression</t>
  </si>
  <si>
    <t>[returnAllFactors]</t>
  </si>
  <si>
    <t>Explained variable.</t>
  </si>
  <si>
    <t>Explanatory variables.</t>
  </si>
  <si>
    <t>Boolean. If FALSE or omitted, returns a single variance inflation factor. If TRUE, returns the variance inflation factor of all possible regressions among y and X variables in columns order [y X].</t>
  </si>
  <si>
    <t>[returnTest]</t>
  </si>
  <si>
    <t>[maxInflationVarFactor]</t>
  </si>
  <si>
    <t>Double. Default is 5.</t>
  </si>
  <si>
    <t>maxInflationVarFactor</t>
  </si>
  <si>
    <t>returnTest</t>
  </si>
  <si>
    <t>Test for multicollinearity using either the variance inflation factor test, the eigenvalues test or the condition index test</t>
  </si>
  <si>
    <t>matrix in which each column is a variable</t>
  </si>
  <si>
    <t>If 0 or omitted returns returns the result of the variance inflation factor test. If 1, returns the result of the minimum eigenvalues test. If 2, returns the result of the condition index test.</t>
  </si>
  <si>
    <t>matrix for which the norm will be calculated</t>
  </si>
  <si>
    <t>Description of functions EIGENVECTORS and MNORM were updated.</t>
  </si>
  <si>
    <t>[lastCol]</t>
  </si>
  <si>
    <t>[originalMatrix]</t>
  </si>
  <si>
    <t>internal parameter for recursion (you do not need to specify it)</t>
  </si>
  <si>
    <t>2) https://en.wikipedia.org/wiki/QR_decomposition</t>
  </si>
  <si>
    <t>1) https://python.quantecon.org/qr_decomp.html</t>
  </si>
  <si>
    <t>[numIter]</t>
  </si>
  <si>
    <t>numer of iterations until stop the algorithm. If omitted, it is 20.</t>
  </si>
  <si>
    <t>matrix which will be decomposed</t>
  </si>
  <si>
    <t>QR</t>
  </si>
  <si>
    <t>LINSOLVE</t>
  </si>
  <si>
    <t>matrix with the coefficients of the linear system</t>
  </si>
  <si>
    <t>result vector</t>
  </si>
  <si>
    <t>Solve linear system of equations (AX = B) using QR decomposition. Only determined systems.</t>
  </si>
  <si>
    <t>SUBS</t>
  </si>
  <si>
    <t>Evaluates a formula expression after replacing variables with numbers (workbook file will have to be saved with the .xlsm extension)</t>
  </si>
  <si>
    <t>s</t>
  </si>
  <si>
    <t>old</t>
  </si>
  <si>
    <t>new</t>
  </si>
  <si>
    <t>This function depends on the Excel 4.0 function EVALUATE. In reason of this, SUBS can only be used in workbooks with the .xlsm extension.</t>
  </si>
  <si>
    <t>Q</t>
  </si>
  <si>
    <t>Q+2</t>
  </si>
  <si>
    <t>[nSize]</t>
  </si>
  <si>
    <t>Size of the group of columns that should be sorted from left to right. If omitted, it is 1.</t>
  </si>
  <si>
    <t>Size of the group of rows that should be sorted from up to down. If omitted, it is 1.</t>
  </si>
  <si>
    <t>Functions FLIPLR and FLIPUD have a new algorithm and a new optional parameter [nSize].</t>
  </si>
  <si>
    <t>xlFunction has an additional parameter for grouping columns before flipping</t>
  </si>
  <si>
    <t>xlFunction has an additional parameter for grouping rows before flipping</t>
  </si>
  <si>
    <t>Matrix of column-vectors</t>
  </si>
  <si>
    <t>Functions LAG and LEAD contained reference to function REVERSECOLS, old name of function FLIPLR. Now, they accept a matrix of column-vectors as input.</t>
  </si>
  <si>
    <t>OLS_SUMMARY</t>
  </si>
  <si>
    <t>OLS_HQC</t>
  </si>
  <si>
    <t>Regress a vector on a matrix and return the Hannan-Quinn information criterion of the regression</t>
  </si>
  <si>
    <t>OLS_RESIDUALS_AR</t>
  </si>
  <si>
    <t>Regress a vector on a matrix and return a summary of the ordinary least squares regression</t>
  </si>
  <si>
    <t>Regress a vector on a matrix and return the autorregressive coeficient of the ordinary least squares residuals</t>
  </si>
  <si>
    <t>OLS_DURBINWATSON</t>
  </si>
  <si>
    <t>Function OLS_LOGLIKELIHOOD has a new formula to match statistical packages. This change also impacts results of OLS_AIC and OLS_BIC.</t>
  </si>
  <si>
    <t>if not omitted, adds this argument to the first row of the trend column.</t>
  </si>
  <si>
    <t>matrix to be horizontally concatenated with a column vector with a deterministic trend.</t>
  </si>
  <si>
    <t>position where the column vector with the deterministic trend should be inserted; if omitted equals 1.</t>
  </si>
  <si>
    <t>power of the deterministic trend; if omitted equals 1.</t>
  </si>
  <si>
    <t>[power]</t>
  </si>
  <si>
    <t>colA</t>
  </si>
  <si>
    <t>colB</t>
  </si>
  <si>
    <t>Function ADDTREND now has a parameter for header's specification.</t>
  </si>
  <si>
    <t>Function ADDCONST has a new algorithm, but should keep the same functionality.</t>
  </si>
  <si>
    <t>[expandFromWithin]</t>
  </si>
  <si>
    <t>Boolean. If omitted, it is FALSE. If TRUE, the array is expanded by consecutively repeating each element in the [n] and [m] directions.</t>
  </si>
  <si>
    <t>Copies the matrix so as it has n rows of copies. If omitted, it is 1.</t>
  </si>
  <si>
    <t>Copies the matrix so as it has m columns of copies. If omitted, it is 1.</t>
  </si>
  <si>
    <t>Function REPMAT now has a parameter, [expandFromWithin], for expanding arrays by repeating each element on the directions requested.</t>
  </si>
  <si>
    <t>xlFunction has an additional parameter for expanding arrays by repeating each element in the directions requested</t>
  </si>
  <si>
    <t>Real eigenvalues of a squared matrix calculated using QR decomposition</t>
  </si>
  <si>
    <t>Real eigenvectors of a squared matrix calculated using QR decomposition</t>
  </si>
  <si>
    <t>Functions EIGENVALUES and EIGENVECTORS now are calculated through QR decomposition (much faster than previous algorithm based on finding roots of a polynomial).</t>
  </si>
  <si>
    <t>HASCONST</t>
  </si>
  <si>
    <t>Checks whether a matrix has a constant column or row</t>
  </si>
  <si>
    <t>[hasHeader]</t>
  </si>
  <si>
    <t>boolean. If omitted, it is FALSE.</t>
  </si>
  <si>
    <t>It is 1 or 2. If omitted, it is 1 (sweeps row-wise searching for constant columns)</t>
  </si>
  <si>
    <t>Functions OLS_ESS, OLS_RSS, OLS_FSTAT, and OLS_FSTAT_PVALUE had their algorithms mended for regressions without an intercept.</t>
  </si>
  <si>
    <t>Functions ALL and ANY had their algorithm changed to accept arrays as input instead of only arrays of cells.</t>
  </si>
  <si>
    <t>x,y [1:3] ; 1</t>
  </si>
  <si>
    <t>x, y [1:6] ; 1</t>
  </si>
  <si>
    <t>VERTCAT_EX</t>
  </si>
  <si>
    <t>HORZCAT_EX</t>
  </si>
  <si>
    <t>Concatenate arrays vertically but ignore if it is a certain value</t>
  </si>
  <si>
    <t>Concatenate arrays horizontally but ignore if it is a certain value</t>
  </si>
  <si>
    <t>FACTORIZE_QR</t>
  </si>
  <si>
    <t>FACTORIZE_CHOL</t>
  </si>
  <si>
    <t>1) https://algowiki-project.org/en/Cholesky_decomposition</t>
  </si>
  <si>
    <t>positive-definite matrix which will be decomposed</t>
  </si>
  <si>
    <t>[returnObject]</t>
  </si>
  <si>
    <t>If "L" or omitted, returns the lower-triangular matrix. If "U", returns the upper-triangular matrix. If "LU", returns [L | U].</t>
  </si>
  <si>
    <t>Factorizes a positive-definite matrix into a lower-triangular matrix (L) and an upper-triangular matrix (U).</t>
  </si>
  <si>
    <t>L</t>
  </si>
  <si>
    <t>If "QR" or omitted, returns [Q|R]. If "Q", returns [Q]. If "R", returns [R].</t>
  </si>
  <si>
    <t>As other algorithms may generate Q and R matrices with sign differences that cancel out, we require that Q has positive diagonal entries. We do this by adjusting the signs of the columns in and the rows in appropriately. In case of rectangular matrices mxn such that m&gt;n, Q matrix is represented as [Q1 | Q2] where Q1 and Q2 both have orthogonal columns, but Q2 is generally not unique.</t>
  </si>
  <si>
    <t>CHOL</t>
  </si>
  <si>
    <t>nboot</t>
  </si>
  <si>
    <t>bootfun</t>
  </si>
  <si>
    <t>data</t>
  </si>
  <si>
    <t>BOOTSTRP</t>
  </si>
  <si>
    <t>Bootstrap sampling</t>
  </si>
  <si>
    <t>Computes statistics on each sample using bootfun</t>
  </si>
  <si>
    <t>Data which will be sampled</t>
  </si>
  <si>
    <t>LAMBDA(x; MÉDIA(x))</t>
  </si>
  <si>
    <t>RANKRANGE</t>
  </si>
  <si>
    <t>Rank each column or row of a range independently. Range may contain text values.</t>
  </si>
  <si>
    <t>[rankRows]</t>
  </si>
  <si>
    <t>If TRUE (default), rank columns of each row. If FALSE, rank rows of each column.</t>
  </si>
  <si>
    <t>If TRUE (default) ranks in ascending order. If FALSE, ranks in descending order.</t>
  </si>
  <si>
    <t>rankRows</t>
  </si>
  <si>
    <t>[uniqueRanksOnly]</t>
  </si>
  <si>
    <t>uniqueRanksOnly</t>
  </si>
  <si>
    <t>If FALSE (default) repeated values have the same rank. If FALSE, each repeated value has a unique rank in ascending order as it appears from left to right (sorted rows) or from up to down (sorted columns).</t>
  </si>
  <si>
    <t>Added functions CORRCOEF, VARINFLATIONFACTOR, ISMULTICOLLINEAR, CONTAGION_FORBESRIGOBON, CONTAGION_COVOLATILITY, CONTAGION_COKURTOSIS, CONTAGION_COSKEWNESS, FACTORIZE_QR, FACTORIZE_CHOL, LINSOLVE, SUBS, OLS_HQC, OLS_SUMMARY, OLS_RESIDUALS_AR, HASCONST, VERTCAT_EX, HORZCAT_EX, BOOTSTRP, RANKRANGE.</t>
  </si>
  <si>
    <t>Function SAMPLE had its parameter "replacement" renamed to "withoutReplacement" to avoid confusion.</t>
  </si>
  <si>
    <t>Draws nboot bootstrap data samples from data with replacement</t>
  </si>
  <si>
    <t>integer that indicates whether eigenvalues are listed assorted (0) or in ascending (1), descending (-1), absolute ascending (2), or absolute descending (-2) order. Default is 0.</t>
  </si>
  <si>
    <t>integer that indicates whether eigenvectors are combined assorted (0) or in ascending (1), descending (-1), absolute ascending (2), or absolute descending (-2) order of eigenvalues. Default is 0.</t>
  </si>
  <si>
    <t>Function EIGENVALUES and EIGENVECTORS now have 0 as default value of the parameter [order]. This will present results without sorting them.</t>
  </si>
  <si>
    <t>numIter</t>
  </si>
  <si>
    <t>Eigenvalues</t>
  </si>
  <si>
    <t>Transposed</t>
  </si>
  <si>
    <t>Original</t>
  </si>
  <si>
    <t>JACKKNIFE</t>
  </si>
  <si>
    <t>Jackknife sampling (or leave-N-out)</t>
  </si>
  <si>
    <t>nout</t>
  </si>
  <si>
    <t>jackfun</t>
  </si>
  <si>
    <t>Computes statistics on each sample using jackfun</t>
  </si>
  <si>
    <t>It must be either 1 or 2. Draws all possible data samples without replacement leaving nout observations out.</t>
  </si>
  <si>
    <t>xlFunction has an additional parameter for allowing n-out specification</t>
  </si>
  <si>
    <t>CORREL_DIFF_TEST</t>
  </si>
  <si>
    <t>x_sample_1</t>
  </si>
  <si>
    <t>x_sample_2</t>
  </si>
  <si>
    <t>y_sample_1</t>
  </si>
  <si>
    <t>y_sample_2</t>
  </si>
  <si>
    <t>x variable of sample 1</t>
  </si>
  <si>
    <t>y variable of sample 1</t>
  </si>
  <si>
    <t>x variable of sample 2</t>
  </si>
  <si>
    <t>y variable of sample 2</t>
  </si>
  <si>
    <t>[returnZstat]</t>
  </si>
  <si>
    <t>Boolean. Default is False. If False, returns the p-value of the Z-statistic. If True, returns the Z-statistic.</t>
  </si>
  <si>
    <t>Test the difference between the Pearson correlations of two samples. Null hypothesis is that correlations are the same.</t>
  </si>
  <si>
    <t>PCA</t>
  </si>
  <si>
    <t>number of factors to be calculated. Default is 1</t>
  </si>
  <si>
    <t>numer of iterations until stop the eigenvectors algorithm. If omitted, it is 20.</t>
  </si>
  <si>
    <t>[nFactors]</t>
  </si>
  <si>
    <t>[standardize]</t>
  </si>
  <si>
    <t>[isPopulation]</t>
  </si>
  <si>
    <t>matrix for which the factors will be calculated. Columns are variables.</t>
  </si>
  <si>
    <t>all, in order of importance: default is 1 is (eigenvectors, loadings or "feature vector"); 2 is (principal components or scores); 3 is (eigenvalues); 4 is (Hotelling t-squared statistic of each observation calculated with all components); 5 is (percentage of variance explained); 6 is (mean of variables)</t>
  </si>
  <si>
    <t>MAHAL</t>
  </si>
  <si>
    <t>Principal component analysis of raw data</t>
  </si>
  <si>
    <t>Y</t>
  </si>
  <si>
    <t>COV</t>
  </si>
  <si>
    <t>Covariance</t>
  </si>
  <si>
    <t>matrix for which covariance will be calculated</t>
  </si>
  <si>
    <t>[B]</t>
  </si>
  <si>
    <t>if provided, calculates the covariance between A and B</t>
  </si>
  <si>
    <t>[w]</t>
  </si>
  <si>
    <t>specifies the normalization weight for any of the previous syntaxes. When w = 0 (default), C is normalized by the number of observations-1. When w = 1, it is normalized by the number of observations.</t>
  </si>
  <si>
    <t>Mahalanobis distance</t>
  </si>
  <si>
    <t>reference sample</t>
  </si>
  <si>
    <t>sample</t>
  </si>
  <si>
    <t>v. 0.9</t>
  </si>
  <si>
    <t>OLS_VARCOV_HC</t>
  </si>
  <si>
    <t>OLS_COEFF_STDEV_HC</t>
  </si>
  <si>
    <t>OLS_COEFF_TSTAT_HC</t>
  </si>
  <si>
    <t>OLS_COEFF_PVALUE_HC</t>
  </si>
  <si>
    <t>Regress a vector on a matrix and return the HC standard deviation of ordinary least squares coefficients</t>
  </si>
  <si>
    <t>Regress a vector on a matrix and return the HC t-statistic of ordinary least squares coefficients</t>
  </si>
  <si>
    <t>Regress a vector on a matrix and return the HC p-value of ordinary least squares coefficients</t>
  </si>
  <si>
    <t>Regress a vector on a matrix and return the HAC p-value of ordinary least squares coefficients</t>
  </si>
  <si>
    <t>Regress a vector on a matrix and return the HC variance-covariance matrix of ordinary least squares coefficients</t>
  </si>
  <si>
    <t>Added functions JACKKNIFE, CORREL_DIFF_TEST, PCA, COV, MAHAL, OLS_VARCOV_HC, OLS_COEFF_STDEV_HC, OLS_COEFF_TSTAT_HC, and OLS_COEFF_PVALUE_HC.</t>
  </si>
  <si>
    <t>Functions OLS_VARCOV_HAC, OLS_COEFF_STDEV_HAC, OLS_COEFF_TSTAT_HAC, and OLS_COEFF_PVALUE_HAC have two new optional parameters [type] and [lags]. Previously, the amount of lags for the HAC calculation was fixed by a formula, which remains applicable when the argument is omitted. The type can be "Bartlett" (default) or "Parzen".</t>
  </si>
  <si>
    <t>Function OLS_SUMMARY has new optional parameters [robustStd], [robustType], and [lagsHAC]. The parameter [useHAC] was abandoned.</t>
  </si>
  <si>
    <t>Unemployment</t>
  </si>
  <si>
    <t>indexBreak</t>
  </si>
  <si>
    <t>[return]</t>
  </si>
  <si>
    <t>sets the significance of the test. Default is 5%.</t>
  </si>
  <si>
    <t>Const</t>
  </si>
  <si>
    <t>Chow test for structural change</t>
  </si>
  <si>
    <t>CHOWTEST</t>
  </si>
  <si>
    <t>xlFunction first parameter is y and the second one is X</t>
  </si>
  <si>
    <t>https://www.youtube.com/watch?v=GtY8HWqFSgk</t>
  </si>
  <si>
    <t>Example taken from NEDL:</t>
  </si>
  <si>
    <t>dependent variable.</t>
  </si>
  <si>
    <t>independent variables.</t>
  </si>
  <si>
    <t>index of the observation which should be tested for a structural break; if empty or 0 and [return] is 4, iterates all break indexes possible.</t>
  </si>
  <si>
    <t>1 (default) returns the decision; 2 returns the test statistic; 3 returns the p-value of the test statistic; 4 returns a row-vector with {Break Index, N Pre, N After, RSS Pre, RSS After, F-stat, p-value} or, if indexBreak = 0 or empty, iterates all break indexes possible.</t>
  </si>
  <si>
    <t>v. 1.0</t>
  </si>
  <si>
    <t>portfolioPrices</t>
  </si>
  <si>
    <t>HSBC</t>
  </si>
  <si>
    <t>Barclays</t>
  </si>
  <si>
    <t>Lloyds</t>
  </si>
  <si>
    <t>RBS</t>
  </si>
  <si>
    <t>Standard Chartered</t>
  </si>
  <si>
    <t>prices of each asset in the portfolio, where each column is one asset and rows are time observations</t>
  </si>
  <si>
    <t>Function COV had its algorithm improved so it is now much faster.</t>
  </si>
  <si>
    <t>FINANCE_VAR</t>
  </si>
  <si>
    <t>[typeVAR]</t>
  </si>
  <si>
    <t>[confidenceInterval]</t>
  </si>
  <si>
    <t>[typeVaR]</t>
  </si>
  <si>
    <t>[portfolioWeights]</t>
  </si>
  <si>
    <t>weights of each asset in the portfolio. Default is 1 for all assets.</t>
  </si>
  <si>
    <t>Finance functions</t>
  </si>
  <si>
    <t>S&amp;P 500</t>
  </si>
  <si>
    <t>https://www.youtube.com/watch?v=oucbiiHKvGk</t>
  </si>
  <si>
    <t>https://www.youtube.com/watch?v=SFESr6tal2o</t>
  </si>
  <si>
    <t>size of confidence intervals one wants to retrieve. If conditionalVaRsteps = 0, it can be a vector. Default is 95%.</t>
  </si>
  <si>
    <t>[conditionalVaRparam]</t>
  </si>
  <si>
    <t>https://www.youtube.com/watch?v=Oiglkuurb9c</t>
  </si>
  <si>
    <t>https://www.youtube.com/watch?v=JUocSFe-DT0</t>
  </si>
  <si>
    <t>Value at risk, both unconditional and conditional (expected shortfall)</t>
  </si>
  <si>
    <t>[brwLambda]</t>
  </si>
  <si>
    <t>https://www.youtube.com/watch?v=CAsgjA7KodQ</t>
  </si>
  <si>
    <t>type of VaR. It can be "vcv" (variance-covariance), "vcvCond" (exact conditional variance-covariance), "vcvCondSteps" (approximate conditional variance-covariance by averaging intermediate points), "vcvCondSim" (approximate conditional variance-covariance by averaging simulated points), "mvcv" (modified value-at-risk as in Favre and Galeano, 2002), "hist" (historical), or "histBRW" (historical with BRW recency bias adjustment). Default is "vcv".</t>
  </si>
  <si>
    <t>https://www.youtube.com/watch?v=z61iEgUR9V4&amp;t=101s</t>
  </si>
  <si>
    <t>[distribution]</t>
  </si>
  <si>
    <t>distribution name if typeVaR = "vcv", "vcvCondSteps" or "vcvCondSim". It can be "normal" (default), "logistic", "hypersecant", "laplace", or "cauchy".</t>
  </si>
  <si>
    <t>https://www.youtube.com/watch?v=icC5Z5FM_Sw</t>
  </si>
  <si>
    <t xml:space="preserve">number of points used for approximating conditional VaR. The larger, the more precise. Default is 0 (unconditional). If approximate conditional, it should be a positive integer, i.e. 500. </t>
  </si>
  <si>
    <t>Function ISMEMBER had a typo.</t>
  </si>
  <si>
    <t>vcv</t>
  </si>
  <si>
    <t>lambda parameter of the BRW recency bias adjustment. Default is 0,99. Only used if [typeVaR] is "histBRW".</t>
  </si>
  <si>
    <t>logistic</t>
  </si>
  <si>
    <t>Named function 2</t>
  </si>
  <si>
    <t>DRAWDOWN</t>
  </si>
  <si>
    <t>Calculates drawdown for a time series</t>
  </si>
  <si>
    <t>values of the time series</t>
  </si>
  <si>
    <t>[absolute]</t>
  </si>
  <si>
    <t>Boolean. Default is FALSE (relative drawdown). If TRUE, returns the absolute drawdown.</t>
  </si>
  <si>
    <t>SPARSE</t>
  </si>
  <si>
    <t>Create sparse matrix</t>
  </si>
  <si>
    <t>FULL</t>
  </si>
  <si>
    <t>Convert sparse matrix to full matrix</t>
  </si>
  <si>
    <t>S</t>
  </si>
  <si>
    <t>Added functions CHOWTEST, DRAWDOWN, FINANCE_VAR, SPARSE, and FULL.</t>
  </si>
  <si>
    <t>Source: inspired by the walkthroughs of NEDL:</t>
  </si>
  <si>
    <t>Source: inspired by the walkthrough of NEDL: https://www.youtube.com/watch?v=1gdCiPb1_9w</t>
  </si>
  <si>
    <t>Source: inspired by the walkthrough of NEDL: https://www.youtube.com/watch?v=ayEPoK8aJTw</t>
  </si>
  <si>
    <t>Source: inspired by the walkthrough of NEDL: https://www.youtube.com/watch?v=c54srM7fYLw</t>
  </si>
  <si>
    <t>Source: inspired by the walkthrough of NEDL: https://www.youtube.com/watch?v=9KalE2EeWMo</t>
  </si>
  <si>
    <t>Source: inspired by the walkthrough of NEDL: https://www.youtube.com/watch?v=WAttgmejKhY  and   https://www.youtube.com/watch?v=uFt0M3TnQ-Q</t>
  </si>
  <si>
    <t>Source: inspired by the walkthrough of NEDL: https://www.youtube.com/watch?v=uFt0M3TnQ-Q</t>
  </si>
  <si>
    <t>Source: inspired by</t>
  </si>
  <si>
    <t>Source: inspired by https://en.wikipedia.org/wiki/QR_decomposition</t>
  </si>
  <si>
    <t>Returns the diagonal of a sparse matrix as a sparse matrix</t>
  </si>
  <si>
    <t>[k]</t>
  </si>
  <si>
    <t>v. 1.1</t>
  </si>
  <si>
    <t>[default]</t>
  </si>
  <si>
    <t>Default element. If omitted, it is 0.</t>
  </si>
  <si>
    <t>The first character position from which the text shall be checked for the presence of the sequece. If omitted, it is 1 (first character).</t>
  </si>
  <si>
    <t>Boolean that indicates whether comparison shall be case sensitive. If omitted, it is FALSE.</t>
  </si>
  <si>
    <t>The first character position, counting from the last character, from which the text shall be checked for the presence of the sequece. If omitted, it is 1 (first character).</t>
  </si>
  <si>
    <t>The first matrix position from which the element shall be searched. If omitted, it is 1.</t>
  </si>
  <si>
    <t>Boolean that indicates whether comparison shall be case sensitive in case of string values. If omitted, it is FALSE.</t>
  </si>
  <si>
    <t>boolean. If omitted, FALSE. If TRUE, standardizes matrix before analysis.</t>
  </si>
  <si>
    <t>boolean. If omitted, FALSE. If TRUE, treats matrix as population data, applying population covariance and population standand deviation methods.</t>
  </si>
  <si>
    <t>The matrix in sparse form that will be converted to full. Sparse format is a 3-column matrix in which first column is row index, second column is column index, and third column is element value; all default elements are squeezed out; and first row is the dimension of matrix A as [number of rows, number of columns, default value]. When converting to full form, all remaining elements are filled in with the default value.</t>
  </si>
  <si>
    <t>Function SPARSE now has an optional parameter [default] which is the default element value.</t>
  </si>
  <si>
    <t>Bug fix: function SPARSE failed when all elements of full matrix were zero.</t>
  </si>
  <si>
    <t>Bug fix: function FULL failed when all elements of sparse matrix were zero.</t>
  </si>
  <si>
    <t>xlFunction has an additional parameter for allowing a different default value</t>
  </si>
  <si>
    <t>Returns the transpose of a sparse matrix as a sparse matrix</t>
  </si>
  <si>
    <t>The sparse matrix whose diagonal matrix one wants to extract.</t>
  </si>
  <si>
    <t>The sparse matrix which will be transposed.</t>
  </si>
  <si>
    <t>Functions ZEROS and ONES now have a faster algorithm using Excel's EXPAND.</t>
  </si>
  <si>
    <t>EVERY</t>
  </si>
  <si>
    <t>Create alternate sequence of consecutive integers</t>
  </si>
  <si>
    <t>[spacing]</t>
  </si>
  <si>
    <t>Each subsequence length</t>
  </si>
  <si>
    <t>Lower bound of the sequence</t>
  </si>
  <si>
    <t>Upper bound of the sequence</t>
  </si>
  <si>
    <t>[sameLagsTogether]</t>
  </si>
  <si>
    <t>If TRUE or omitted, keeps columns with same lags together. If FALSE, places all lags of the same variable side by side.</t>
  </si>
  <si>
    <t>[sameLeadsTogether]</t>
  </si>
  <si>
    <t>If TRUE or omitted, keeps columns with same leads together. If FALSE, places all leads of the same variable side by side.</t>
  </si>
  <si>
    <t>If TRUE, ignores first row and adds headers to the lag columns in the format of a suffix "_LEAD#" to the variable name; default is FALSE.</t>
  </si>
  <si>
    <t>Functions LAG and LEAD had their algorithm improved and now have an aditional parameter: [sameLagsTogether] and [sameLeadsTogether], respectively.</t>
  </si>
  <si>
    <t>Function LINSPACE was optimized.</t>
  </si>
  <si>
    <t>The following functions and the ones that depend on them were optimized by replacing VERTCAT and HORZCAT by VSTACK and HSTACK, respectively: SLICE, HORZCAT_EX, VERTCAT_EX, VEC, EYE, RESHAPE, ADDCONST, ADDTREND, SPLITTWO, HPFILTER, GRANGER, DIM, ISSTATIONARY, OLS_OPTIMAL_LAG, OLS_PRED_INTERVAL, OLS_CONF_INTERVAL, ANOVA, NOZERO.</t>
  </si>
  <si>
    <t>HFILTER</t>
  </si>
  <si>
    <t>Hamilton filter for trend and cyclical components</t>
  </si>
  <si>
    <t>[leadLength]</t>
  </si>
  <si>
    <t>[lagLength]</t>
  </si>
  <si>
    <t>AR_FORECAST</t>
  </si>
  <si>
    <t>AR_COEFF</t>
  </si>
  <si>
    <t>Regress a vector on its lags and/or leads and return ordinary least squares coefficients</t>
  </si>
  <si>
    <t>Forecast a vector on its lags through ordinary least squares regression</t>
  </si>
  <si>
    <t>date</t>
  </si>
  <si>
    <t>Filter weight regression response variable lead h. Default is 8. Usually one should use twice the periodicity of the data. This means: annual data, 2; quarterly data, 8; monthly data, 24.</t>
  </si>
  <si>
    <t>Number of consecutive lags p. Default is 4. Usually one should use the periodicity of the data. This means: annual data, 1; quarterly data, 4; monthly data, 12.</t>
  </si>
  <si>
    <t>If "t" or omitted returns the trend. If "c" returns the cycle.</t>
  </si>
  <si>
    <t>BKFILTER</t>
  </si>
  <si>
    <t>Baxter-King filter for trend and cyclical components</t>
  </si>
  <si>
    <t>Source: filter proposed on Baxter, Marianne, and Robert G. King (1999). "Measuring Business Cycles: Approximate Band-Pass Filters for Economic Time Series." Review of Economics and Statistics 81, no. 4 (November 1999): 575–93. https://doi.org/10.1162/003465399558454.</t>
  </si>
  <si>
    <t>[lowerCutoff]</t>
  </si>
  <si>
    <t>[upperCutoff]</t>
  </si>
  <si>
    <t>Upper cutoff period for the cyclical component, in units of data periodicity, specified as a numeric scalar. Usually one should use: annual data, 8; quarterly data, 32; monthly data, 96. Default is 32.</t>
  </si>
  <si>
    <t>Number of lags of the symmetric moving average, specified as a positive integer less than (numObs−1)/2 or vector of such positive integers. Usually one should use: annual data, 3; quarterly data, 12; monthly data, 36. Default is 12.</t>
  </si>
  <si>
    <t>Lower cutoff period for the cyclical component, in units of data periodicity, specified as a numeric scalar. Usually one should use: annual data, 2; quarterly data, 6; monthly data, 18. Default is 6.</t>
  </si>
  <si>
    <t>CIRCSHIFT</t>
  </si>
  <si>
    <t>Shift array circularly</t>
  </si>
  <si>
    <t>position of the array parameter inside of the lambda function func.</t>
  </si>
  <si>
    <t>lambda function.</t>
  </si>
  <si>
    <t>array to whose columns will be applied the lambda function func.</t>
  </si>
  <si>
    <t>argument of the 1st parameter of the lambda function, excluding the array parameter position.</t>
  </si>
  <si>
    <t>argument of the 2nd parameter of the lambda function, excluding the array parameter position.</t>
  </si>
  <si>
    <t>argument of the 3rd parameter of the lambda function, excluding the array parameter position.</t>
  </si>
  <si>
    <t>matrix that will be shifted.</t>
  </si>
  <si>
    <t>positions to be shifted.</t>
  </si>
  <si>
    <t>Source: inspired by https://www.vertex42.com/lambda/circshift.html</t>
  </si>
  <si>
    <t>dimension that will be shifted. If omitted, it is the first dimension of A whose size does not equal 1, that is, if number of rows is not equal to 1, then it is 1.</t>
  </si>
  <si>
    <t>APPLYROWS</t>
  </si>
  <si>
    <t>Apply lambda function to each row</t>
  </si>
  <si>
    <t>array to whose rows will be applied the lambda function func.</t>
  </si>
  <si>
    <t>[paramArrayPos]</t>
  </si>
  <si>
    <t>named function</t>
  </si>
  <si>
    <t>[filterType]</t>
  </si>
  <si>
    <t>[trendCycle]</t>
  </si>
  <si>
    <t>Source: adapted from Alexander Meyer-Gohde, 2010. "Matlab code for one-sided HP-filters," QM&amp;RBC Codes 181, Quantitative Macroeconomics &amp; Real Business Cycles.</t>
  </si>
  <si>
    <t>Source: for one-sided, adapted from Stock, James H. &amp; Watson, Mark W., 1999. "Forecasting inflation," Journal of Monetary Economics, Elsevier, vol. 44(2), pages 293-335, October.</t>
  </si>
  <si>
    <t>F</t>
  </si>
  <si>
    <t>H</t>
  </si>
  <si>
    <t>R</t>
  </si>
  <si>
    <t>obs</t>
  </si>
  <si>
    <t>KFILTER_UPDATE</t>
  </si>
  <si>
    <t>Updates the Kalman filter estimation of the state and MSE</t>
  </si>
  <si>
    <t>named</t>
  </si>
  <si>
    <t>It can be 1 (one-sided by Kalman filter) or 2 (two-sided). Default is 2.</t>
  </si>
  <si>
    <t xml:space="preserve"> y_t = tau_t + epsilon_t</t>
  </si>
  <si>
    <t>(1-L)^2 tau_t = eta_t</t>
  </si>
  <si>
    <t>Example: One-Sided HP Filter</t>
  </si>
  <si>
    <t>Functions HPFILTER now has a new parameter [filterType], which allows for one-sided HP filter.</t>
  </si>
  <si>
    <t>Known issues: functions FACTORIZE_QR, EIGENVALUES, and EIGENVECTORS return error when there are columns perfectly or no-correlated.</t>
  </si>
  <si>
    <t>The state transition matrix.</t>
  </si>
  <si>
    <t>The observation matrix.</t>
  </si>
  <si>
    <t>The variance-covariance matrix of the errors in the state equation.</t>
  </si>
  <si>
    <t>The variance of the error in the observation equation.</t>
  </si>
  <si>
    <t>If "ALL" (default), returns [x, P, Kgain] updated. If "x", returns x updated. If "P", returns P updated. If "Kgain", returns optimal Kalman gain. If "xP", returns [x, P].</t>
  </si>
  <si>
    <t>KFILTER</t>
  </si>
  <si>
    <t>Kalman filter estimation</t>
  </si>
  <si>
    <t>If "ALL" (default), returns [x, P, Kgain] updated. If "x", returns x updated. If "P", returns P updated. If "Kgain", returns optimal Kalman gain. If "xP", returns [x, P]. All results are flatted in the sense that each row represents one period so that x, P and Kgain are squeezed column-wise into a row.</t>
  </si>
  <si>
    <t>CFFILTER</t>
  </si>
  <si>
    <t>Christiano-Fitzgerald filter for trend and cyclical components</t>
  </si>
  <si>
    <t>Source: filter proposed on  Christiano, Lawrence J., and Terry J. Fitzgerald. "The Band Pass Filter." International Economic Review 44 (May 2003): 435–65. https://doi.org/10.1111/1468-2354.t01-1-00076.</t>
  </si>
  <si>
    <t>Number of lags of the symmetric moving average, specified as a positive integer less than (numObs−1)/2 or vector of such positive integers. Usually one should use: annual data, 3; quarterly data, 12; monthly data, 36. Default is 12. Only used when [filterType] is "fixed".</t>
  </si>
  <si>
    <t>Finite-sample approximation of ideal bandpass filter. It can be "asymmetric", "symmetric" or "fixed" (fixed-length). Default is "asymmetric".</t>
  </si>
  <si>
    <t>[root]</t>
  </si>
  <si>
    <t>Boolean. If TRUE, there is unit root in the time series. If FALSE, there is no unit root in the time series. Default is TRUE.</t>
  </si>
  <si>
    <t>[drift]</t>
  </si>
  <si>
    <t>RWFILTER</t>
  </si>
  <si>
    <t>Source:</t>
  </si>
  <si>
    <t>Random walk filter for trend and cyclical components</t>
  </si>
  <si>
    <t>xlFunction "drift" parameter default value is TRUE, whereas in MatLab is FALSE</t>
  </si>
  <si>
    <t>SHIFT</t>
  </si>
  <si>
    <t>[shiftRows]</t>
  </si>
  <si>
    <t>[shiftCols]</t>
  </si>
  <si>
    <t>Shift array by rows and/or columns</t>
  </si>
  <si>
    <t>[fill]</t>
  </si>
  <si>
    <t>Fillling value for expanded rows and columns. Default is 0.</t>
  </si>
  <si>
    <t>Matrix that will be shifted.</t>
  </si>
  <si>
    <t>Rows to be shifted, default is 0. Positive integers shift downward, negative ones shift upwards.</t>
  </si>
  <si>
    <t>Columns to be shifted, default is 0.  Positive integers shift to the right, negative ones shift to the left.</t>
  </si>
  <si>
    <t>HENDFILTER</t>
  </si>
  <si>
    <t>Henderson filter for trend and cyclical components</t>
  </si>
  <si>
    <t>Source: filter proposed on Henderson, R.,(1916), Note on Graduation by Adjusted Average, Transactions
of the Actuarial Society of America, 17, 43–48 and Henderson, R., (1924), A New Method of Graduation, Transactions of the
Actuarial Society of America 25, 29–40.</t>
  </si>
  <si>
    <t>[nTerms]</t>
  </si>
  <si>
    <t>Number of terms for the filter. It should be either 5, 7, 9, 13 or 23.</t>
  </si>
  <si>
    <t>HENDFILTER_WEIGHTS</t>
  </si>
  <si>
    <t>Henderson filter weights</t>
  </si>
  <si>
    <t>[asymmetric]</t>
  </si>
  <si>
    <t>Boolean. If FALSE (default), returns weights of the symmetrical filter. If TRUE, returns weights of the asymmetrical filter.</t>
  </si>
  <si>
    <t>nTerms</t>
  </si>
  <si>
    <t>[nWeights]</t>
  </si>
  <si>
    <t>Number of asymmetrical weights to be returned.</t>
  </si>
  <si>
    <t>[endPointAsymmetric]</t>
  </si>
  <si>
    <t>Boolean. If FALSE (default), returns N/A for end points. If TRUE, calculates end points with asymmetric filter.</t>
  </si>
  <si>
    <t>Number of terms for the filter. It is usually either 5, 7 (quarterly data), 9, 13 (monthly data) or 23.</t>
  </si>
  <si>
    <t>MAFILTER</t>
  </si>
  <si>
    <t>Moving average filter for trend and cyclical components</t>
  </si>
  <si>
    <t>[windowLength]</t>
  </si>
  <si>
    <t>Type of moving average. Only "simple" is available.</t>
  </si>
  <si>
    <t>simple</t>
  </si>
  <si>
    <t>The length of the window. Default is 1.</t>
  </si>
  <si>
    <t>[centered]</t>
  </si>
  <si>
    <t>Boolean. If FALSE (default), returns trailing moving average. If TRUE, returns centered.</t>
  </si>
  <si>
    <t>CONV</t>
  </si>
  <si>
    <t>Convolution and polynomial multiplication</t>
  </si>
  <si>
    <t>u</t>
  </si>
  <si>
    <t>v</t>
  </si>
  <si>
    <t>first vector</t>
  </si>
  <si>
    <t>second vector</t>
  </si>
  <si>
    <t>[shape]</t>
  </si>
  <si>
    <t>full</t>
  </si>
  <si>
    <t>Source: adapted from Marco Antônio Sanches Cerignoni's code available on https://techcommunity.microsoft.com/t5/excel/convolution-of-a-vector-and-a-kernel-with-offsetting-using/m-p/3780518</t>
  </si>
  <si>
    <t>Subsection of the convolution to be returned. It can be "full" (default), "same" (central part of the convolution of the same size as u) or "valid" (only those parts of the convolution that are computed without the zero-padded edges). Using the "valid" option, length(w) is max(length(u)-length(v)+1, 0), except when length(v) is zero. If length(v) = 0, then length(w) = length(u).</t>
  </si>
  <si>
    <t>Boolean. If TRUE, time series is random walk with possibly a nonzero drift or time series is stationary about a linear time trend. If FALSE, there is no drift or time trend in time series. Default is TRUE.</t>
  </si>
  <si>
    <t>The second sparse matrix.</t>
  </si>
  <si>
    <t>The first sparse matrix.</t>
  </si>
  <si>
    <t>Default element. If omitted, it is the default element of matrix A.</t>
  </si>
  <si>
    <t>SPARSEWISE</t>
  </si>
  <si>
    <t>Run element-wise operations between two sparse matrices</t>
  </si>
  <si>
    <t>[operation]</t>
  </si>
  <si>
    <t>Name of the operation that will take place. It can be any eta Excel function or a lambda function that takes 1 argument.</t>
  </si>
  <si>
    <t>Sum two sparse matrices</t>
  </si>
  <si>
    <t>SPARSEPLUS</t>
  </si>
  <si>
    <t>SPARSEMINUS</t>
  </si>
  <si>
    <t>Subtract two sparse matrices</t>
  </si>
  <si>
    <t>The sparse matrix that will be subtracted.</t>
  </si>
  <si>
    <t>The sparse matrix that will subtract.</t>
  </si>
  <si>
    <t>SPARSEDOT</t>
  </si>
  <si>
    <t>SPARSEPOWER</t>
  </si>
  <si>
    <t>Raise sparse matrix elements to a specific power</t>
  </si>
  <si>
    <t>power</t>
  </si>
  <si>
    <t>The power each element will be raised.</t>
  </si>
  <si>
    <t>The sparse matrix.</t>
  </si>
  <si>
    <t>Boolean. If TRUE (default), all elements are raised to [power]. If FALSE, only sparse elements are raised to [power].</t>
  </si>
  <si>
    <t>[raiseDefault]</t>
  </si>
  <si>
    <t>SPARSEMULT</t>
  </si>
  <si>
    <t>Multiply two sparse matrices</t>
  </si>
  <si>
    <t>SPARSET</t>
  </si>
  <si>
    <t>SPARSEEYE</t>
  </si>
  <si>
    <t>Returns a sparse identity matrix</t>
  </si>
  <si>
    <t>Dimension of the sparse identity matrix</t>
  </si>
  <si>
    <t>Trims or expands (with zeros) the matrix so as it has m columns. If omitted, it is n.</t>
  </si>
  <si>
    <t>If provided, it sets the number of columns of the matrix. If omitted, it is n.</t>
  </si>
  <si>
    <t>Dimension of the matrix of zeros to be returned.</t>
  </si>
  <si>
    <t>SPARSEDIAG</t>
  </si>
  <si>
    <t>[A]</t>
  </si>
  <si>
    <t>The matrix in full form that will be converted to sparse. Sparse format is a 3-column matrix in which first column is row index, second column is column index, and third column is default element value; all default elements are squeezed out; and first row is the dimension of matrix A as [number of rows, number of columns, default element]. If A is omitted or is empty, it returns an empty sparse matrix.</t>
  </si>
  <si>
    <t>Functions SPARSE and FULL can now handle empty matrices.</t>
  </si>
  <si>
    <t>SPARSEVSTACK</t>
  </si>
  <si>
    <t>Pile up two sparse matrices</t>
  </si>
  <si>
    <t>SPARSEHSTACK</t>
  </si>
  <si>
    <t>Concatenate horizontally two sparse matrices</t>
  </si>
  <si>
    <t>Returns a sparse matrix of zeros</t>
  </si>
  <si>
    <t>SPARSEZEROS</t>
  </si>
  <si>
    <t>SPARSEONES</t>
  </si>
  <si>
    <t>Returns a sparse matrix of ones</t>
  </si>
  <si>
    <t>Dimension of the matrix of ones to be returned.</t>
  </si>
  <si>
    <t>SPARSESLICE</t>
  </si>
  <si>
    <t>Slice a sparse matrix</t>
  </si>
  <si>
    <t>[lin_start]</t>
  </si>
  <si>
    <t>[lin_end]</t>
  </si>
  <si>
    <t>[col_start]</t>
  </si>
  <si>
    <t>[col_end]</t>
  </si>
  <si>
    <t>Sparse matrix.</t>
  </si>
  <si>
    <t>lin_start</t>
  </si>
  <si>
    <t>lin_end</t>
  </si>
  <si>
    <t>First row.</t>
  </si>
  <si>
    <t>Last row.</t>
  </si>
  <si>
    <t>col_start</t>
  </si>
  <si>
    <t>col_end</t>
  </si>
  <si>
    <t>First column.</t>
  </si>
  <si>
    <t>Last column.</t>
  </si>
  <si>
    <t>Added functions SHIFT, EVERY, AR_COEFF, AR_FORECAST, HFILTER, BKFILTER, CFFILTER, RWFILTER, CIRCSHIFT, APPLYROWS, APPLYCOLS, KFILTER, KFILTER_UPDATE, HENDFILTER, HENDFILTER_WEIGHTS, MAFILTER, CONV, SPARSEWISE, SPARSEPLUS, SPARSEMINUS, SPARSEDOT, SPARSEPOWER, SPARSET, SPARSEMULT, SPARSEEYE, SPARSEDIAG, SPARSEVSTACK, SPARSEHSTACK, SPARSESLICE.</t>
  </si>
  <si>
    <t>Function SLICE had its algorithm optimized. The "remove" parameter was not working properly when resulting matrix had only 1 column.</t>
  </si>
  <si>
    <t>asymmetric</t>
  </si>
  <si>
    <t>[x]</t>
  </si>
  <si>
    <t>[P]</t>
  </si>
  <si>
    <t>r</t>
  </si>
  <si>
    <t>Initial value vector for state estimation. If omitted, it sets zero for all states.</t>
  </si>
  <si>
    <t>Intial value for the MSE. If omitted, it sets an identity matrix multiplied by 10,000.</t>
  </si>
  <si>
    <t>Intial value for the MSE.  If omitted, it sets an identity matrix multiplied by 10,000.</t>
  </si>
  <si>
    <t>Vector of observations. Limited to 1 variable.</t>
  </si>
  <si>
    <t>The new observation. Limited to 1 variable.</t>
  </si>
  <si>
    <t>Multiply two sparse matrices element-wise or a scalar and a sparse matrix</t>
  </si>
  <si>
    <t>The first sparse matrix or a scalar. If B is a scalar then A must be a sparse matrix.</t>
  </si>
  <si>
    <t>The second sparse matrix or a scalar. If A is a scalar then B must be a sparse matrix.</t>
  </si>
  <si>
    <t>Functions SPARSEPLUS, SPARSEMINUS and SPARSEDOT now allow that one of the sparse matrices is actually a scalar.</t>
  </si>
  <si>
    <t>Bug fix: function SPARSEWISE was not operating properly when a non-sparse element in a matrix was matched with the sparse element of the other matrix.</t>
  </si>
  <si>
    <t>v. 1.2</t>
  </si>
  <si>
    <t>SPARSEDIV</t>
  </si>
  <si>
    <t>Divide two sparse matrices element-wise or a scalar and a sparse matrix</t>
  </si>
  <si>
    <t>Bug fix: function SLICE was retuning an array of errors when either rows or columns were not provided or were zero and parameter "remove" was TRUE.</t>
  </si>
  <si>
    <t>Bug fix: function JACKKNIFE was not working due to a bug in the SLICE function.</t>
  </si>
  <si>
    <t>FLATTEN</t>
  </si>
  <si>
    <t>Flatten one or more matrices into a single matrix</t>
  </si>
  <si>
    <t>First matrix.</t>
  </si>
  <si>
    <t>Second matrix.</t>
  </si>
  <si>
    <t>matrix_1</t>
  </si>
  <si>
    <t>[matrix_2]</t>
  </si>
  <si>
    <t>[matrix_3]</t>
  </si>
  <si>
    <t>[matrix_4]</t>
  </si>
  <si>
    <t>[matrix_5]</t>
  </si>
  <si>
    <t>matrix_names</t>
  </si>
  <si>
    <t>Array of names of each matrix in order.</t>
  </si>
  <si>
    <t>Third matrix.</t>
  </si>
  <si>
    <t>Fourth matrix.</t>
  </si>
  <si>
    <t>Fifth matrix.</t>
  </si>
  <si>
    <t>UNFLATTEN</t>
  </si>
  <si>
    <t>Unflatten a flattened matrix to extract a specific component</t>
  </si>
  <si>
    <t>flattenedMatrix</t>
  </si>
  <si>
    <t>component</t>
  </si>
  <si>
    <t>Component name or index to extract.</t>
  </si>
  <si>
    <t>Flattened matrix.</t>
  </si>
  <si>
    <t>AR_FITTED</t>
  </si>
  <si>
    <t>Regress a vector on its lags and/or leads and return ordinary least squares fitted values</t>
  </si>
  <si>
    <t>AR_BACKCAST</t>
  </si>
  <si>
    <t>Backcast a vector on its lags through ordinary least squares regression</t>
  </si>
  <si>
    <t>Modified Hamilton filter for trend and cyclical components</t>
  </si>
  <si>
    <t>MHFILTER</t>
  </si>
  <si>
    <t>Source: filter proposed on Quast and Wolters (2022): Reliable Real-Time Output Gap Estimates Based on a Modified Hamilton Filter, Journal of Business and Economic Statistics, Volume 40, 2022 | Issue 1, p.152-168 (https://www.tandfonline.com/doi/full/10.1080/07350015.2020.1784747)</t>
  </si>
  <si>
    <t>Source: filter proposed on James D. Hamilton (2018): Why You Should Never Use the Hodrick-Prescott Filter, Review of Economics and Statistics, Volume 100 | Issue 5 (December), p.831-843 (https://doi.org/10.1162/rest_a_00706)</t>
  </si>
  <si>
    <t>Filter weight regression response variable starting at lead h. Default is 4. Usually one should use the periodicity of the data. This means: annual data, 1; quarterly data, 4; monthly data, 12.</t>
  </si>
  <si>
    <t>Filter weight regression response variable until lead h. Default is 12. Usually one should use the triple of the periodicity of the data. This means: annual data, 3; quarterly data, 12; monthly data, 36.</t>
  </si>
  <si>
    <t>[lowerLead]</t>
  </si>
  <si>
    <t>[upperLead]</t>
  </si>
  <si>
    <t>xlMATRIX v. 1.2</t>
  </si>
  <si>
    <t>COMBINATIONS</t>
  </si>
  <si>
    <t>Generate all element combinations of arrays</t>
  </si>
  <si>
    <t>first array</t>
  </si>
  <si>
    <t>second array</t>
  </si>
  <si>
    <t>Bug fix: function EYE returned error when number of columns were smaller than number of rows.</t>
  </si>
  <si>
    <t>3) https://homel.vsb.cz/~dom033/predmety/parisLA/05_orthogonalization.pdf</t>
  </si>
  <si>
    <t>Factorizes a matrix into its QR decomposition (Q is orthogonal and R is upper-triangular) using the Gram-Schmidt algorithm with householder transformation.</t>
  </si>
  <si>
    <t>[full]</t>
  </si>
  <si>
    <t>Boolean. If TRUE, returns the full form of [returnObject]. If FALSE, returns the reduced form of [returnObject].</t>
  </si>
  <si>
    <t>Bug fix: functions QR_FACTORIZE, EIGENVALUES and EIGENVECTORS work even if the matrix has zero-collinear or perfectly-collinear columns.</t>
  </si>
  <si>
    <t>Function QR_FACTORIZE now has an additional parameter that allows returnin full (default) or reduced versions of the decomposition elements.</t>
  </si>
  <si>
    <t>Bug fix: function GET was not working with [remove]=TRUE in the case of a single column matrix.</t>
  </si>
  <si>
    <t>Function SPLITALL has now a different algorithm that relies on TEXTSPLIT instead of FILTERXML for Mac compatibility.</t>
  </si>
  <si>
    <t>formula to be evaluated</t>
  </si>
  <si>
    <t>variable name</t>
  </si>
  <si>
    <t>variable value</t>
  </si>
  <si>
    <t>Complex functions</t>
  </si>
  <si>
    <t>1+5i</t>
  </si>
  <si>
    <t>2+6i</t>
  </si>
  <si>
    <t>3+9i</t>
  </si>
  <si>
    <t>12+3i</t>
  </si>
  <si>
    <t>CMSUM</t>
  </si>
  <si>
    <t>CMSUB</t>
  </si>
  <si>
    <t>CMPROD</t>
  </si>
  <si>
    <t>CMMULT</t>
  </si>
  <si>
    <t>CMCONJ</t>
  </si>
  <si>
    <t>CMREAL</t>
  </si>
  <si>
    <t>CMIMAGINARY</t>
  </si>
  <si>
    <t>CMABS</t>
  </si>
  <si>
    <t>CMDIV</t>
  </si>
  <si>
    <t>CMARG</t>
  </si>
  <si>
    <t>CMPOWER</t>
  </si>
  <si>
    <t>CMCOS</t>
  </si>
  <si>
    <t>CMSIN</t>
  </si>
  <si>
    <t>Sum complex matrices</t>
  </si>
  <si>
    <t>Subtract complex matrices</t>
  </si>
  <si>
    <t>Multiply complex matrices</t>
  </si>
  <si>
    <t>Dot divide complex matrices</t>
  </si>
  <si>
    <t>Arguments of complex matrix elements</t>
  </si>
  <si>
    <t>Absolute value of complex matrix elements</t>
  </si>
  <si>
    <t>Imaginary parts of complex matrix elements</t>
  </si>
  <si>
    <t>Real parts of complex matrix elements</t>
  </si>
  <si>
    <t>Conjugates of complex matrix elements</t>
  </si>
  <si>
    <t>Cosine of complex matrix elements</t>
  </si>
  <si>
    <t>Sine of complex matrix elements</t>
  </si>
  <si>
    <t>Dot multiply complex matrices or multiply a complex matrix by a complex scalar</t>
  </si>
  <si>
    <t>CMSIGN</t>
  </si>
  <si>
    <t>Sign of complex matrix elements</t>
  </si>
  <si>
    <t>CMROUND</t>
  </si>
  <si>
    <t>Round complex matrix elements</t>
  </si>
  <si>
    <t>Dot power complex matrix elements</t>
  </si>
  <si>
    <t>CMINVERSE</t>
  </si>
  <si>
    <t>CMATRIX</t>
  </si>
  <si>
    <t>Create a complex matrix from real and imaginary part matrices</t>
  </si>
  <si>
    <t>Invert complex matrix</t>
  </si>
  <si>
    <t>CMFORMAT</t>
  </si>
  <si>
    <t>Format how complex matrix elements are displayed</t>
  </si>
  <si>
    <t>Added functions AR_FITTED, AR_BACKCAST, MHFILTER, SPARSEDIV, FLATTEN, UNFLATTEN, COMBINATIONS, CMATRIX, CMSUM, CMSUB, CMPROD, CMMULT, CMDIV, CMCONJ, CMREAL, CMIMAGINARY, CMABS, CMARG, CMPOWER, CMCOS, CMSIN, CMSIGN, CMROUND, CMFORMAT, CMINVERSE.</t>
  </si>
  <si>
    <t>Date: May 25th,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</si>
</sst>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0.0"/>
    <numFmt numFmtId="165" formatCode="0.000"/>
    <numFmt numFmtId="166" formatCode="[$-416]mmm\-yy;@"/>
    <numFmt numFmtId="167" formatCode="0.0000"/>
    <numFmt numFmtId="168" formatCode="0.0000000"/>
    <numFmt numFmtId="169" formatCode="0.000000"/>
    <numFmt numFmtId="170" formatCode="0.0%"/>
    <numFmt numFmtId="171" formatCode="0.00000E+00"/>
    <numFmt numFmtId="172" formatCode="0.0000000%"/>
    <numFmt numFmtId="173" formatCode="dd/mm/yy;@"/>
    <numFmt numFmtId="174" formatCode="0.00000"/>
    <numFmt numFmtId="175" formatCode="0.0000000000"/>
  </numFmts>
  <fonts count="31"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0"/>
      <color theme="1"/>
      <name val="Arial"/>
      <family val="2"/>
    </font>
    <font>
      <sz val="12"/>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sz val="18"/>
      <color theme="1"/>
      <name val="Calibri"/>
      <family val="2"/>
      <scheme val="minor"/>
    </font>
    <font>
      <sz val="12"/>
      <color theme="1"/>
      <name val="Calibri"/>
      <family val="2"/>
      <scheme val="minor"/>
    </font>
    <font>
      <sz val="11"/>
      <color rgb="FF3F3F76"/>
      <name val="Calibri"/>
      <family val="2"/>
      <scheme val="minor"/>
    </font>
    <font>
      <b/>
      <sz val="11"/>
      <color rgb="FF3F3F3F"/>
      <name val="Calibri"/>
      <family val="2"/>
      <scheme val="minor"/>
    </font>
    <font>
      <b/>
      <sz val="14"/>
      <color theme="1"/>
      <name val="Calibri"/>
      <family val="2"/>
      <scheme val="minor"/>
    </font>
    <font>
      <sz val="14"/>
      <color theme="1"/>
      <name val="Calibri"/>
      <family val="2"/>
      <scheme val="minor"/>
    </font>
    <font>
      <b/>
      <sz val="11"/>
      <name val="Calibri"/>
      <family val="2"/>
      <scheme val="minor"/>
    </font>
    <font>
      <b/>
      <sz val="11"/>
      <color rgb="FFFF0000"/>
      <name val="Calibri"/>
      <family val="2"/>
      <scheme val="minor"/>
    </font>
    <font>
      <b/>
      <sz val="11"/>
      <color rgb="FFFA7D00"/>
      <name val="Calibri"/>
      <family val="2"/>
      <scheme val="minor"/>
    </font>
    <font>
      <u/>
      <sz val="11"/>
      <color theme="10"/>
      <name val="Calibri"/>
      <family val="2"/>
      <scheme val="minor"/>
    </font>
    <font>
      <sz val="11"/>
      <color rgb="FFFF0000"/>
      <name val="Calibri"/>
      <family val="2"/>
      <scheme val="minor"/>
    </font>
    <font>
      <sz val="11"/>
      <color theme="1"/>
      <name val="Calibri"/>
      <family val="2"/>
      <scheme val="minor"/>
    </font>
    <font>
      <i/>
      <sz val="11"/>
      <color theme="1"/>
      <name val="Calibri"/>
      <family val="2"/>
      <scheme val="minor"/>
    </font>
    <font>
      <b/>
      <sz val="14"/>
      <name val="Calibri"/>
      <family val="2"/>
      <scheme val="minor"/>
    </font>
    <font>
      <sz val="14"/>
      <name val="Calibri"/>
      <family val="2"/>
      <scheme val="minor"/>
    </font>
    <font>
      <sz val="11"/>
      <color rgb="FF333333"/>
      <name val="Times New Roman"/>
      <family val="1"/>
    </font>
    <font>
      <sz val="11"/>
      <color theme="1"/>
      <name val="Calibri"/>
      <family val="2"/>
      <charset val="204"/>
      <scheme val="minor"/>
    </font>
    <font>
      <sz val="8"/>
      <name val="Calibri"/>
      <family val="2"/>
      <scheme val="minor"/>
    </font>
    <font>
      <sz val="11"/>
      <name val="Calibri"/>
      <family val="2"/>
      <scheme val="minor"/>
    </font>
    <font>
      <b/>
      <sz val="11"/>
      <color theme="0"/>
      <name val="Calibri"/>
      <family val="2"/>
      <scheme val="minor"/>
    </font>
    <font>
      <sz val="12"/>
      <name val="Calibri"/>
      <family val="2"/>
      <scheme val="minor"/>
    </font>
    <font>
      <sz val="11"/>
      <color rgb="FF00000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A5A5A5"/>
      </patternFill>
    </fill>
  </fills>
  <borders count="19">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right/>
      <top style="medium">
        <color auto="1"/>
      </top>
      <bottom style="thin">
        <color auto="1"/>
      </bottom>
      <diagonal/>
    </border>
    <border>
      <left/>
      <right/>
      <top/>
      <bottom style="medium">
        <color auto="1"/>
      </bottom>
      <diagonal/>
    </border>
    <border>
      <left style="thin">
        <color rgb="FF3F3F3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indexed="64"/>
      </left>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11">
    <xf numFmtId="0" fontId="0" fillId="0" borderId="0"/>
    <xf numFmtId="0" fontId="11" fillId="4" borderId="2" applyNumberFormat="0" applyAlignment="0" applyProtection="0"/>
    <xf numFmtId="0" fontId="12" fillId="5" borderId="3" applyNumberFormat="0" applyAlignment="0" applyProtection="0"/>
    <xf numFmtId="0" fontId="5" fillId="0" borderId="0"/>
    <xf numFmtId="0" fontId="17" fillId="5" borderId="2" applyNumberFormat="0" applyAlignment="0" applyProtection="0"/>
    <xf numFmtId="0" fontId="18" fillId="0" borderId="0" applyNumberFormat="0" applyFill="0" applyBorder="0" applyAlignment="0" applyProtection="0"/>
    <xf numFmtId="9" fontId="20" fillId="0" borderId="0" applyFont="0" applyFill="0" applyBorder="0" applyAlignment="0" applyProtection="0"/>
    <xf numFmtId="0" fontId="4" fillId="0" borderId="0"/>
    <xf numFmtId="0" fontId="25" fillId="0" borderId="0"/>
    <xf numFmtId="9" fontId="25" fillId="0" borderId="0" applyFont="0" applyFill="0" applyBorder="0" applyAlignment="0" applyProtection="0"/>
    <xf numFmtId="0" fontId="28" fillId="13" borderId="18" applyNumberFormat="0" applyAlignment="0" applyProtection="0"/>
  </cellStyleXfs>
  <cellXfs count="186">
    <xf numFmtId="0" fontId="0" fillId="0" borderId="0" xfId="0"/>
    <xf numFmtId="0" fontId="6" fillId="0" borderId="0" xfId="0" applyFont="1"/>
    <xf numFmtId="0" fontId="7" fillId="0" borderId="0" xfId="0" applyFont="1"/>
    <xf numFmtId="0" fontId="8" fillId="0" borderId="0" xfId="0" applyFont="1"/>
    <xf numFmtId="0" fontId="9" fillId="0" borderId="0" xfId="0" applyFont="1"/>
    <xf numFmtId="0" fontId="6" fillId="0" borderId="1" xfId="0" applyFont="1" applyBorder="1" applyAlignment="1">
      <alignment horizontal="center"/>
    </xf>
    <xf numFmtId="0" fontId="0" fillId="2" borderId="0" xfId="0" applyFill="1"/>
    <xf numFmtId="0" fontId="6" fillId="2" borderId="0" xfId="0" applyFont="1" applyFill="1"/>
    <xf numFmtId="0" fontId="6" fillId="0" borderId="1" xfId="0" applyFont="1" applyBorder="1" applyAlignment="1">
      <alignment horizontal="left"/>
    </xf>
    <xf numFmtId="0" fontId="10" fillId="0" borderId="0" xfId="0" applyFont="1"/>
    <xf numFmtId="0" fontId="0" fillId="3" borderId="0" xfId="0" applyFill="1"/>
    <xf numFmtId="164" fontId="0" fillId="3" borderId="0" xfId="0" applyNumberFormat="1" applyFill="1"/>
    <xf numFmtId="0" fontId="11" fillId="4" borderId="2" xfId="1"/>
    <xf numFmtId="0" fontId="12" fillId="5" borderId="3" xfId="2"/>
    <xf numFmtId="0" fontId="0" fillId="6" borderId="0" xfId="0" applyFill="1" applyAlignment="1">
      <alignment horizontal="center"/>
    </xf>
    <xf numFmtId="0" fontId="0" fillId="3" borderId="0" xfId="0" applyFill="1" applyAlignment="1">
      <alignment horizontal="center"/>
    </xf>
    <xf numFmtId="0" fontId="13" fillId="0" borderId="0" xfId="0" applyFont="1"/>
    <xf numFmtId="0" fontId="14" fillId="0" borderId="0" xfId="0" applyFont="1"/>
    <xf numFmtId="0" fontId="10" fillId="0" borderId="0" xfId="0" applyFont="1" applyAlignment="1">
      <alignment wrapText="1"/>
    </xf>
    <xf numFmtId="0" fontId="10" fillId="0" borderId="0" xfId="0" applyFont="1" applyAlignment="1">
      <alignment vertical="top"/>
    </xf>
    <xf numFmtId="0" fontId="10" fillId="0" borderId="0" xfId="0" applyFont="1" applyAlignment="1">
      <alignment vertical="top" wrapText="1"/>
    </xf>
    <xf numFmtId="0" fontId="0" fillId="0" borderId="0" xfId="0" applyAlignment="1">
      <alignment horizontal="center"/>
    </xf>
    <xf numFmtId="0" fontId="11" fillId="4" borderId="2" xfId="1" applyAlignment="1">
      <alignment horizontal="right"/>
    </xf>
    <xf numFmtId="0" fontId="5" fillId="0" borderId="0" xfId="0" applyFont="1" applyAlignment="1">
      <alignment vertical="top"/>
    </xf>
    <xf numFmtId="0" fontId="5" fillId="0" borderId="0" xfId="0" applyFont="1" applyAlignment="1">
      <alignment wrapText="1"/>
    </xf>
    <xf numFmtId="0" fontId="0" fillId="0" borderId="0" xfId="0" quotePrefix="1"/>
    <xf numFmtId="0" fontId="5" fillId="0" borderId="0" xfId="0" applyFont="1" applyAlignment="1">
      <alignment vertical="top" wrapText="1"/>
    </xf>
    <xf numFmtId="2" fontId="0" fillId="3" borderId="0" xfId="0" applyNumberFormat="1" applyFill="1" applyAlignment="1">
      <alignment horizontal="center"/>
    </xf>
    <xf numFmtId="1" fontId="0" fillId="3" borderId="0" xfId="0" applyNumberFormat="1" applyFill="1" applyAlignment="1">
      <alignment horizontal="center"/>
    </xf>
    <xf numFmtId="0" fontId="0" fillId="8" borderId="0" xfId="0" applyFill="1" applyAlignment="1">
      <alignment vertical="top" wrapText="1"/>
    </xf>
    <xf numFmtId="0" fontId="0" fillId="7" borderId="0" xfId="0" applyFill="1" applyAlignment="1">
      <alignment vertical="top" wrapText="1"/>
    </xf>
    <xf numFmtId="0" fontId="0" fillId="0" borderId="0" xfId="0" applyAlignment="1">
      <alignment vertical="top"/>
    </xf>
    <xf numFmtId="0" fontId="0" fillId="3" borderId="0" xfId="0" applyFill="1" applyAlignment="1">
      <alignment vertical="top"/>
    </xf>
    <xf numFmtId="0" fontId="15" fillId="2" borderId="0" xfId="0" applyFont="1" applyFill="1" applyAlignment="1">
      <alignment wrapText="1"/>
    </xf>
    <xf numFmtId="0" fontId="0" fillId="7" borderId="0" xfId="0" applyFill="1"/>
    <xf numFmtId="165" fontId="0" fillId="7" borderId="0" xfId="0" applyNumberFormat="1" applyFill="1"/>
    <xf numFmtId="164" fontId="0" fillId="7" borderId="0" xfId="0" applyNumberFormat="1" applyFill="1"/>
    <xf numFmtId="164" fontId="0" fillId="0" borderId="0" xfId="0" applyNumberFormat="1"/>
    <xf numFmtId="164" fontId="0" fillId="9" borderId="0" xfId="0" applyNumberFormat="1" applyFill="1"/>
    <xf numFmtId="11" fontId="0" fillId="9" borderId="0" xfId="0" applyNumberFormat="1" applyFill="1"/>
    <xf numFmtId="0" fontId="6" fillId="0" borderId="0" xfId="0" applyFont="1" applyAlignment="1">
      <alignment horizontal="left"/>
    </xf>
    <xf numFmtId="165" fontId="0" fillId="9" borderId="0" xfId="0" applyNumberFormat="1" applyFill="1"/>
    <xf numFmtId="165" fontId="0" fillId="0" borderId="0" xfId="0" applyNumberFormat="1"/>
    <xf numFmtId="0" fontId="5" fillId="0" borderId="0" xfId="0" applyFont="1"/>
    <xf numFmtId="166" fontId="11" fillId="4" borderId="2" xfId="1" applyNumberFormat="1"/>
    <xf numFmtId="0" fontId="17" fillId="5" borderId="2" xfId="4"/>
    <xf numFmtId="0" fontId="0" fillId="0" borderId="0" xfId="0" applyAlignment="1">
      <alignment vertical="top" wrapText="1"/>
    </xf>
    <xf numFmtId="0" fontId="11" fillId="4" borderId="2" xfId="1" applyNumberFormat="1"/>
    <xf numFmtId="0" fontId="12" fillId="5" borderId="3" xfId="2" applyAlignment="1">
      <alignment horizontal="center"/>
    </xf>
    <xf numFmtId="166" fontId="17" fillId="5" borderId="2" xfId="4" applyNumberFormat="1"/>
    <xf numFmtId="0" fontId="0" fillId="3" borderId="0" xfId="0" applyFill="1" applyAlignment="1">
      <alignment horizontal="left"/>
    </xf>
    <xf numFmtId="0" fontId="0" fillId="6" borderId="0" xfId="0" applyFill="1" applyAlignment="1">
      <alignment horizontal="left"/>
    </xf>
    <xf numFmtId="164" fontId="11" fillId="4" borderId="2" xfId="1" applyNumberFormat="1"/>
    <xf numFmtId="164" fontId="0" fillId="3" borderId="0" xfId="0" applyNumberFormat="1" applyFill="1" applyAlignment="1">
      <alignment horizontal="center"/>
    </xf>
    <xf numFmtId="1" fontId="11" fillId="4" borderId="2" xfId="1" applyNumberFormat="1"/>
    <xf numFmtId="0" fontId="18" fillId="0" borderId="0" xfId="5" applyAlignment="1">
      <alignment horizontal="left" vertical="top" wrapText="1"/>
    </xf>
    <xf numFmtId="0" fontId="19" fillId="0" borderId="0" xfId="0" applyFont="1"/>
    <xf numFmtId="0" fontId="19" fillId="6" borderId="0" xfId="0" applyFont="1" applyFill="1" applyAlignment="1">
      <alignment horizontal="center"/>
    </xf>
    <xf numFmtId="167" fontId="0" fillId="3" borderId="0" xfId="0" applyNumberFormat="1" applyFill="1" applyAlignment="1">
      <alignment horizontal="center"/>
    </xf>
    <xf numFmtId="168" fontId="0" fillId="3" borderId="0" xfId="0" applyNumberFormat="1" applyFill="1" applyAlignment="1">
      <alignment horizontal="center"/>
    </xf>
    <xf numFmtId="0" fontId="6" fillId="3" borderId="0" xfId="0" applyFont="1" applyFill="1" applyAlignment="1">
      <alignment horizontal="center"/>
    </xf>
    <xf numFmtId="164" fontId="0" fillId="0" borderId="0" xfId="0" applyNumberFormat="1" applyAlignment="1">
      <alignment horizontal="center"/>
    </xf>
    <xf numFmtId="165" fontId="0" fillId="3" borderId="0" xfId="0" applyNumberFormat="1" applyFill="1" applyAlignment="1">
      <alignment horizontal="center"/>
    </xf>
    <xf numFmtId="165" fontId="0" fillId="3" borderId="0" xfId="0" applyNumberFormat="1" applyFill="1"/>
    <xf numFmtId="1" fontId="0" fillId="3" borderId="0" xfId="0" applyNumberFormat="1" applyFill="1"/>
    <xf numFmtId="164" fontId="0" fillId="3" borderId="7" xfId="0" applyNumberFormat="1" applyFill="1" applyBorder="1"/>
    <xf numFmtId="0" fontId="0" fillId="3" borderId="7" xfId="0" applyFill="1" applyBorder="1"/>
    <xf numFmtId="0" fontId="0" fillId="3" borderId="7" xfId="0" applyFill="1" applyBorder="1" applyAlignment="1">
      <alignment horizontal="center"/>
    </xf>
    <xf numFmtId="165" fontId="0" fillId="3" borderId="7" xfId="0" applyNumberFormat="1" applyFill="1" applyBorder="1" applyAlignment="1">
      <alignment horizontal="center"/>
    </xf>
    <xf numFmtId="164" fontId="21" fillId="3" borderId="0" xfId="0" applyNumberFormat="1" applyFont="1" applyFill="1" applyAlignment="1">
      <alignment horizontal="center"/>
    </xf>
    <xf numFmtId="165" fontId="21" fillId="3" borderId="0" xfId="0" applyNumberFormat="1" applyFont="1" applyFill="1" applyAlignment="1">
      <alignment horizontal="center"/>
    </xf>
    <xf numFmtId="0" fontId="21" fillId="3" borderId="0" xfId="0" applyFont="1" applyFill="1" applyAlignment="1">
      <alignment horizontal="center"/>
    </xf>
    <xf numFmtId="164" fontId="21" fillId="3" borderId="6" xfId="0" applyNumberFormat="1" applyFont="1" applyFill="1" applyBorder="1" applyAlignment="1">
      <alignment horizontal="center"/>
    </xf>
    <xf numFmtId="1" fontId="21" fillId="3" borderId="6" xfId="0" applyNumberFormat="1" applyFont="1" applyFill="1" applyBorder="1" applyAlignment="1">
      <alignment horizontal="center"/>
    </xf>
    <xf numFmtId="169" fontId="21" fillId="3" borderId="6" xfId="0" applyNumberFormat="1" applyFont="1" applyFill="1" applyBorder="1" applyAlignment="1">
      <alignment horizontal="center"/>
    </xf>
    <xf numFmtId="0" fontId="21" fillId="3" borderId="6" xfId="0" applyFont="1" applyFill="1" applyBorder="1" applyAlignment="1">
      <alignment horizontal="center"/>
    </xf>
    <xf numFmtId="164" fontId="0" fillId="3" borderId="0" xfId="0" applyNumberFormat="1" applyFill="1" applyAlignment="1">
      <alignment horizontal="left"/>
    </xf>
    <xf numFmtId="164" fontId="0" fillId="3" borderId="7" xfId="0" applyNumberFormat="1" applyFill="1" applyBorder="1" applyAlignment="1">
      <alignment horizontal="left"/>
    </xf>
    <xf numFmtId="1" fontId="0" fillId="3" borderId="7" xfId="0" applyNumberFormat="1" applyFill="1" applyBorder="1"/>
    <xf numFmtId="0" fontId="11" fillId="4" borderId="2" xfId="1" applyAlignment="1">
      <alignment horizontal="center"/>
    </xf>
    <xf numFmtId="164" fontId="11" fillId="4" borderId="2" xfId="1" applyNumberFormat="1" applyAlignment="1">
      <alignment horizontal="center"/>
    </xf>
    <xf numFmtId="9" fontId="11" fillId="4" borderId="2" xfId="1" applyNumberFormat="1" applyAlignment="1">
      <alignment horizontal="center"/>
    </xf>
    <xf numFmtId="0" fontId="6" fillId="0" borderId="0" xfId="0" applyFont="1" applyAlignment="1">
      <alignment horizontal="right"/>
    </xf>
    <xf numFmtId="0" fontId="22" fillId="0" borderId="0" xfId="0" applyFont="1"/>
    <xf numFmtId="0" fontId="23" fillId="0" borderId="0" xfId="0" applyFont="1"/>
    <xf numFmtId="0" fontId="18" fillId="0" borderId="0" xfId="5"/>
    <xf numFmtId="169" fontId="0" fillId="3" borderId="0" xfId="0" applyNumberFormat="1" applyFill="1" applyAlignment="1">
      <alignment horizontal="center"/>
    </xf>
    <xf numFmtId="169" fontId="0" fillId="3" borderId="7" xfId="0" applyNumberFormat="1" applyFill="1" applyBorder="1" applyAlignment="1">
      <alignment horizontal="center"/>
    </xf>
    <xf numFmtId="165" fontId="0" fillId="3" borderId="7" xfId="0" applyNumberFormat="1" applyFill="1" applyBorder="1"/>
    <xf numFmtId="0" fontId="6" fillId="3" borderId="0" xfId="0" applyFont="1" applyFill="1" applyAlignment="1">
      <alignment horizontal="left"/>
    </xf>
    <xf numFmtId="170" fontId="0" fillId="0" borderId="0" xfId="6" applyNumberFormat="1" applyFont="1" applyFill="1" applyAlignment="1">
      <alignment horizontal="center"/>
    </xf>
    <xf numFmtId="0" fontId="0" fillId="0" borderId="0" xfId="0" quotePrefix="1" applyAlignment="1">
      <alignment wrapText="1"/>
    </xf>
    <xf numFmtId="2" fontId="11" fillId="4" borderId="2" xfId="1" applyNumberFormat="1"/>
    <xf numFmtId="0" fontId="7" fillId="0" borderId="0" xfId="0" applyFont="1" applyAlignment="1">
      <alignment vertical="top"/>
    </xf>
    <xf numFmtId="1" fontId="17" fillId="5" borderId="2" xfId="4" applyNumberFormat="1"/>
    <xf numFmtId="2" fontId="0" fillId="0" borderId="0" xfId="0" applyNumberFormat="1"/>
    <xf numFmtId="0" fontId="14" fillId="0" borderId="0" xfId="0" applyFont="1" applyAlignment="1">
      <alignment wrapText="1"/>
    </xf>
    <xf numFmtId="0" fontId="0" fillId="0" borderId="1" xfId="0" applyBorder="1"/>
    <xf numFmtId="171" fontId="0" fillId="9" borderId="0" xfId="0" applyNumberFormat="1" applyFill="1"/>
    <xf numFmtId="172" fontId="0" fillId="7" borderId="0" xfId="6" applyNumberFormat="1" applyFont="1" applyFill="1"/>
    <xf numFmtId="164" fontId="11" fillId="10" borderId="2" xfId="1" applyNumberFormat="1" applyFill="1"/>
    <xf numFmtId="164" fontId="11" fillId="6" borderId="2" xfId="1" applyNumberFormat="1" applyFill="1"/>
    <xf numFmtId="1" fontId="11" fillId="6" borderId="2" xfId="1" applyNumberFormat="1" applyFill="1"/>
    <xf numFmtId="14" fontId="17" fillId="5" borderId="2" xfId="4" applyNumberFormat="1"/>
    <xf numFmtId="0" fontId="0" fillId="3" borderId="0" xfId="0" quotePrefix="1" applyFill="1" applyAlignment="1">
      <alignment horizontal="center"/>
    </xf>
    <xf numFmtId="172" fontId="0" fillId="0" borderId="0" xfId="6" applyNumberFormat="1" applyFont="1"/>
    <xf numFmtId="170" fontId="0" fillId="3" borderId="0" xfId="6" applyNumberFormat="1" applyFont="1" applyFill="1" applyAlignment="1">
      <alignment horizontal="center"/>
    </xf>
    <xf numFmtId="0" fontId="6" fillId="3" borderId="0" xfId="0" applyFont="1" applyFill="1" applyAlignment="1">
      <alignment horizontal="right"/>
    </xf>
    <xf numFmtId="0" fontId="6" fillId="2" borderId="0" xfId="0" applyFont="1" applyFill="1" applyAlignment="1">
      <alignment horizontal="right"/>
    </xf>
    <xf numFmtId="0" fontId="0" fillId="6" borderId="0" xfId="0" applyFill="1"/>
    <xf numFmtId="0" fontId="12" fillId="5" borderId="4" xfId="2" applyBorder="1" applyAlignment="1">
      <alignment horizontal="center"/>
    </xf>
    <xf numFmtId="0" fontId="11" fillId="4" borderId="2" xfId="1" applyAlignment="1">
      <alignment horizontal="left"/>
    </xf>
    <xf numFmtId="0" fontId="24" fillId="0" borderId="0" xfId="0" applyFont="1" applyAlignment="1">
      <alignment vertical="center" wrapText="1"/>
    </xf>
    <xf numFmtId="14" fontId="11" fillId="4" borderId="2" xfId="1" applyNumberFormat="1"/>
    <xf numFmtId="14" fontId="0" fillId="0" borderId="0" xfId="0" applyNumberFormat="1"/>
    <xf numFmtId="1" fontId="0" fillId="3" borderId="0" xfId="0" quotePrefix="1" applyNumberFormat="1" applyFill="1" applyAlignment="1">
      <alignment horizontal="left"/>
    </xf>
    <xf numFmtId="165" fontId="0" fillId="6" borderId="0" xfId="0" applyNumberFormat="1" applyFill="1" applyAlignment="1">
      <alignment horizontal="center"/>
    </xf>
    <xf numFmtId="0" fontId="16" fillId="3" borderId="0" xfId="0" applyFont="1" applyFill="1" applyAlignment="1">
      <alignment horizontal="left"/>
    </xf>
    <xf numFmtId="0" fontId="25" fillId="0" borderId="0" xfId="8" applyAlignment="1">
      <alignment horizontal="left" vertical="center"/>
    </xf>
    <xf numFmtId="173" fontId="17" fillId="5" borderId="2" xfId="4" applyNumberFormat="1"/>
    <xf numFmtId="10" fontId="11" fillId="4" borderId="2" xfId="6" applyNumberFormat="1" applyFont="1" applyFill="1" applyBorder="1"/>
    <xf numFmtId="2" fontId="0" fillId="3" borderId="0" xfId="6" applyNumberFormat="1" applyFont="1" applyFill="1" applyAlignment="1">
      <alignment horizontal="center"/>
    </xf>
    <xf numFmtId="0" fontId="12" fillId="5" borderId="12" xfId="2" applyBorder="1" applyAlignment="1">
      <alignment horizontal="center"/>
    </xf>
    <xf numFmtId="0" fontId="12" fillId="5" borderId="3" xfId="2" applyAlignment="1">
      <alignment wrapText="1"/>
    </xf>
    <xf numFmtId="165" fontId="6" fillId="3" borderId="0" xfId="0" applyNumberFormat="1" applyFont="1" applyFill="1" applyAlignment="1">
      <alignment horizontal="center"/>
    </xf>
    <xf numFmtId="2" fontId="12" fillId="5" borderId="3" xfId="2" applyNumberFormat="1"/>
    <xf numFmtId="0" fontId="14" fillId="0" borderId="0" xfId="0" applyFont="1" applyAlignment="1">
      <alignment horizontal="left" vertical="top" wrapText="1"/>
    </xf>
    <xf numFmtId="1" fontId="0" fillId="3" borderId="0" xfId="0" applyNumberFormat="1" applyFill="1" applyAlignment="1">
      <alignment horizontal="left"/>
    </xf>
    <xf numFmtId="2" fontId="0" fillId="0" borderId="0" xfId="0" applyNumberFormat="1" applyAlignment="1">
      <alignment horizontal="center"/>
    </xf>
    <xf numFmtId="0" fontId="0" fillId="0" borderId="0" xfId="0" quotePrefix="1" applyAlignment="1">
      <alignment horizontal="center"/>
    </xf>
    <xf numFmtId="2" fontId="11" fillId="4" borderId="12" xfId="1" applyNumberFormat="1" applyBorder="1"/>
    <xf numFmtId="2" fontId="12" fillId="0" borderId="0" xfId="2" applyNumberFormat="1" applyFill="1" applyBorder="1"/>
    <xf numFmtId="10" fontId="0" fillId="3" borderId="0" xfId="6" applyNumberFormat="1" applyFont="1" applyFill="1" applyAlignment="1">
      <alignment horizontal="center"/>
    </xf>
    <xf numFmtId="165" fontId="11" fillId="4" borderId="2" xfId="1" applyNumberFormat="1"/>
    <xf numFmtId="9" fontId="11" fillId="4" borderId="2" xfId="6" applyFont="1" applyFill="1" applyBorder="1"/>
    <xf numFmtId="2" fontId="11" fillId="4" borderId="16" xfId="1" applyNumberFormat="1" applyBorder="1"/>
    <xf numFmtId="0" fontId="27" fillId="0" borderId="0" xfId="0" applyFont="1" applyAlignment="1">
      <alignment vertical="top"/>
    </xf>
    <xf numFmtId="0" fontId="27" fillId="8" borderId="0" xfId="0" applyFont="1" applyFill="1" applyAlignment="1">
      <alignment vertical="top" wrapText="1"/>
    </xf>
    <xf numFmtId="0" fontId="0" fillId="11" borderId="0" xfId="0" applyFill="1" applyAlignment="1">
      <alignment wrapText="1"/>
    </xf>
    <xf numFmtId="165" fontId="11" fillId="4" borderId="2" xfId="1" applyNumberFormat="1" applyAlignment="1">
      <alignment horizontal="center"/>
    </xf>
    <xf numFmtId="1" fontId="11" fillId="4" borderId="2" xfId="1" applyNumberFormat="1" applyAlignment="1">
      <alignment horizontal="center"/>
    </xf>
    <xf numFmtId="170" fontId="11" fillId="4" borderId="2" xfId="1" applyNumberFormat="1"/>
    <xf numFmtId="0" fontId="11" fillId="4" borderId="2" xfId="1" applyAlignment="1">
      <alignment horizontal="center" vertical="center"/>
    </xf>
    <xf numFmtId="14" fontId="12" fillId="5" borderId="3" xfId="2" applyNumberFormat="1" applyAlignment="1">
      <alignment horizontal="center" vertical="center"/>
    </xf>
    <xf numFmtId="2" fontId="11" fillId="4" borderId="2" xfId="1" applyNumberFormat="1" applyAlignment="1">
      <alignment horizontal="center"/>
    </xf>
    <xf numFmtId="0" fontId="0" fillId="0" borderId="0" xfId="0" applyAlignment="1">
      <alignment horizontal="left"/>
    </xf>
    <xf numFmtId="2" fontId="0" fillId="7" borderId="0" xfId="0" applyNumberFormat="1" applyFill="1"/>
    <xf numFmtId="3" fontId="0" fillId="3" borderId="0" xfId="6" applyNumberFormat="1" applyFont="1" applyFill="1" applyAlignment="1">
      <alignment horizontal="center"/>
    </xf>
    <xf numFmtId="164" fontId="11" fillId="11" borderId="2" xfId="1" applyNumberFormat="1" applyFill="1" applyAlignment="1">
      <alignment horizontal="center"/>
    </xf>
    <xf numFmtId="0" fontId="28" fillId="13" borderId="18" xfId="10"/>
    <xf numFmtId="169" fontId="11" fillId="4" borderId="2" xfId="1" applyNumberFormat="1"/>
    <xf numFmtId="174" fontId="0" fillId="3" borderId="0" xfId="0" applyNumberFormat="1" applyFill="1" applyAlignment="1">
      <alignment horizontal="center"/>
    </xf>
    <xf numFmtId="0" fontId="29" fillId="0" borderId="0" xfId="0" applyFont="1" applyAlignment="1">
      <alignment vertical="top" wrapText="1"/>
    </xf>
    <xf numFmtId="0" fontId="12" fillId="5" borderId="3" xfId="2" applyAlignment="1"/>
    <xf numFmtId="1" fontId="11" fillId="4" borderId="2" xfId="1" applyNumberFormat="1" applyAlignment="1"/>
    <xf numFmtId="167" fontId="0" fillId="0" borderId="0" xfId="0" applyNumberFormat="1"/>
    <xf numFmtId="0" fontId="11" fillId="6" borderId="2" xfId="1" applyFill="1"/>
    <xf numFmtId="10" fontId="0" fillId="0" borderId="0" xfId="0" applyNumberFormat="1"/>
    <xf numFmtId="10" fontId="30" fillId="0" borderId="0" xfId="0" applyNumberFormat="1" applyFont="1" applyAlignment="1">
      <alignment horizontal="center"/>
    </xf>
    <xf numFmtId="0" fontId="3" fillId="0" borderId="0" xfId="0" applyFont="1" applyAlignment="1">
      <alignment vertical="top"/>
    </xf>
    <xf numFmtId="0" fontId="3" fillId="0" borderId="0" xfId="0" applyFont="1" applyAlignment="1">
      <alignment wrapText="1"/>
    </xf>
    <xf numFmtId="0" fontId="2" fillId="0" borderId="0" xfId="0" applyFont="1" applyAlignment="1">
      <alignment vertical="top" wrapText="1"/>
    </xf>
    <xf numFmtId="175" fontId="0" fillId="3" borderId="0" xfId="0" applyNumberFormat="1" applyFill="1" applyAlignment="1">
      <alignment horizontal="center"/>
    </xf>
    <xf numFmtId="0" fontId="1" fillId="0" borderId="0" xfId="0" applyFont="1" applyAlignment="1">
      <alignment vertical="top"/>
    </xf>
    <xf numFmtId="0" fontId="1" fillId="0" borderId="0" xfId="0" applyFont="1" applyAlignment="1">
      <alignment vertical="top" wrapText="1"/>
    </xf>
    <xf numFmtId="0" fontId="1" fillId="0" borderId="0" xfId="0" applyFont="1"/>
    <xf numFmtId="0" fontId="5" fillId="0" borderId="0" xfId="0" applyFont="1" applyAlignment="1">
      <alignment horizontal="left" vertical="top" wrapText="1"/>
    </xf>
    <xf numFmtId="0" fontId="7" fillId="0" borderId="0" xfId="0" applyFont="1" applyAlignment="1">
      <alignment horizontal="left" vertical="top" wrapText="1"/>
    </xf>
    <xf numFmtId="0" fontId="13" fillId="12" borderId="0" xfId="0" applyFont="1" applyFill="1" applyAlignment="1">
      <alignment horizontal="center"/>
    </xf>
    <xf numFmtId="0" fontId="12" fillId="5" borderId="17" xfId="2" applyBorder="1" applyAlignment="1">
      <alignment horizontal="center"/>
    </xf>
    <xf numFmtId="0" fontId="12" fillId="5" borderId="5" xfId="2" applyBorder="1" applyAlignment="1">
      <alignment horizontal="center"/>
    </xf>
    <xf numFmtId="0" fontId="12" fillId="5" borderId="4" xfId="2" applyBorder="1" applyAlignment="1">
      <alignment horizontal="center"/>
    </xf>
    <xf numFmtId="0" fontId="14" fillId="0" borderId="0" xfId="0" applyFont="1" applyAlignment="1">
      <alignment horizontal="left" vertical="top" wrapText="1"/>
    </xf>
    <xf numFmtId="0" fontId="18" fillId="0" borderId="0" xfId="5" applyAlignment="1">
      <alignment horizontal="left" vertical="top" wrapText="1"/>
    </xf>
    <xf numFmtId="0" fontId="12" fillId="5" borderId="11" xfId="2" applyBorder="1" applyAlignment="1">
      <alignment horizontal="center"/>
    </xf>
    <xf numFmtId="0" fontId="18" fillId="0" borderId="0" xfId="5" applyFill="1" applyAlignment="1">
      <alignment horizontal="left" vertical="top" wrapText="1"/>
    </xf>
    <xf numFmtId="0" fontId="11" fillId="4" borderId="8" xfId="1" applyBorder="1" applyAlignment="1">
      <alignment horizontal="center"/>
    </xf>
    <xf numFmtId="0" fontId="11" fillId="4" borderId="9" xfId="1" applyBorder="1" applyAlignment="1">
      <alignment horizontal="center"/>
    </xf>
    <xf numFmtId="0" fontId="11" fillId="4" borderId="10" xfId="1" applyBorder="1" applyAlignment="1">
      <alignment horizontal="center"/>
    </xf>
    <xf numFmtId="0" fontId="11" fillId="4" borderId="2" xfId="1" applyAlignment="1">
      <alignment horizontal="center"/>
    </xf>
    <xf numFmtId="0" fontId="0" fillId="0" borderId="0" xfId="0" applyAlignment="1">
      <alignment horizontal="center"/>
    </xf>
    <xf numFmtId="0" fontId="14" fillId="0" borderId="0" xfId="0" applyFont="1" applyAlignment="1">
      <alignment horizontal="left" wrapText="1"/>
    </xf>
    <xf numFmtId="0" fontId="12" fillId="5" borderId="12" xfId="2" applyBorder="1" applyAlignment="1">
      <alignment horizontal="center"/>
    </xf>
    <xf numFmtId="0" fontId="12" fillId="5" borderId="13" xfId="2" applyBorder="1" applyAlignment="1">
      <alignment horizontal="center"/>
    </xf>
    <xf numFmtId="0" fontId="12" fillId="5" borderId="14" xfId="2" applyBorder="1" applyAlignment="1">
      <alignment horizontal="center"/>
    </xf>
    <xf numFmtId="0" fontId="12" fillId="5" borderId="15" xfId="2" applyBorder="1" applyAlignment="1">
      <alignment horizontal="center"/>
    </xf>
  </cellXfs>
  <cellStyles count="11">
    <cellStyle name="Cálculo" xfId="4" builtinId="22"/>
    <cellStyle name="Célula de Verificação" xfId="10" builtinId="23"/>
    <cellStyle name="Entrada" xfId="1" builtinId="20"/>
    <cellStyle name="Hiperlink" xfId="5" builtinId="8"/>
    <cellStyle name="Normal" xfId="0" builtinId="0"/>
    <cellStyle name="Normal 2" xfId="3" xr:uid="{2D409E80-94B7-4113-BD19-F4D0B37EE06E}"/>
    <cellStyle name="Normal 3" xfId="7" xr:uid="{7FBC1235-5E2A-4381-9C8B-3DA0318A7E35}"/>
    <cellStyle name="Normal 3 2" xfId="8" xr:uid="{4CEA5090-5BB4-4E93-B5A6-2C39883C638C}"/>
    <cellStyle name="Porcentagem" xfId="6" builtinId="5"/>
    <cellStyle name="Porcentagem 2" xfId="9" xr:uid="{C7F467D0-4A16-4B64-93D6-113506DB39D3}"/>
    <cellStyle name="Saída" xfId="2" builtinId="21"/>
  </cellStyles>
  <dxfs count="1">
    <dxf>
      <fill>
        <patternFill>
          <bgColor theme="9" tint="0.59996337778862885"/>
        </patternFill>
      </fill>
    </dxf>
  </dxfs>
  <tableStyles count="1" defaultTableStyle="TableStyleMedium2" defaultPivotStyle="PivotStyleLight16">
    <tableStyle name="Invisible" pivot="0" table="0" count="0" xr9:uid="{EAB1178B-3905-417C-9B4C-68A3774C072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theme" Target="theme/theme1.xml"/><Relationship Id="rId128" Type="http://schemas.microsoft.com/office/2017/06/relationships/rdRichValueStructure" Target="richData/rdrichvaluestructure.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microsoft.com/office/2006/relationships/vbaProject" Target="vbaProject.bin"/><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styles" Target="styles.xml"/><Relationship Id="rId129" Type="http://schemas.microsoft.com/office/2017/06/relationships/rdRichValueTypes" Target="richData/rdRichValueType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microsoft.com/office/2017/10/relationships/person" Target="persons/person.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customXml" Target="../customXml/item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microsoft.com/office/2017/06/relationships/rdRichValue" Target="richData/rdrichvalue.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Series1</c:v>
          </c:tx>
          <c:spPr>
            <a:ln w="12700" cap="rnd">
              <a:solidFill>
                <a:schemeClr val="accent1"/>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2B80-4FB9-BDCF-E4E72684429F}"/>
            </c:ext>
          </c:extLst>
        </c:ser>
        <c:ser>
          <c:idx val="1"/>
          <c:order val="1"/>
          <c:tx>
            <c:v>Series2</c:v>
          </c:tx>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STATIONARIZE!$G$14:$G$34</c:f>
              <c:numCache>
                <c:formatCode>0.0</c:formatCode>
                <c:ptCount val="21"/>
                <c:pt idx="0">
                  <c:v>72.400000000000006</c:v>
                </c:pt>
                <c:pt idx="1">
                  <c:v>72.664707558285698</c:v>
                </c:pt>
                <c:pt idx="2">
                  <c:v>73.187809811138379</c:v>
                </c:pt>
                <c:pt idx="3">
                  <c:v>74.425144252887847</c:v>
                </c:pt>
                <c:pt idx="4">
                  <c:v>75.66349800150536</c:v>
                </c:pt>
                <c:pt idx="5">
                  <c:v>76.84433743789036</c:v>
                </c:pt>
                <c:pt idx="6">
                  <c:v>77.942750874853147</c:v>
                </c:pt>
                <c:pt idx="7">
                  <c:v>79.080586052051743</c:v>
                </c:pt>
                <c:pt idx="8">
                  <c:v>80.615484402641044</c:v>
                </c:pt>
                <c:pt idx="9">
                  <c:v>81.79706859365686</c:v>
                </c:pt>
                <c:pt idx="10">
                  <c:v>82.815968182787913</c:v>
                </c:pt>
                <c:pt idx="11">
                  <c:v>84.854362902107667</c:v>
                </c:pt>
                <c:pt idx="12">
                  <c:v>86.332095321080672</c:v>
                </c:pt>
                <c:pt idx="13">
                  <c:v>88.420760101394237</c:v>
                </c:pt>
                <c:pt idx="14">
                  <c:v>89.887183071794396</c:v>
                </c:pt>
                <c:pt idx="15">
                  <c:v>92.060187045964199</c:v>
                </c:pt>
                <c:pt idx="16">
                  <c:v>94.345800264610688</c:v>
                </c:pt>
                <c:pt idx="17">
                  <c:v>97.02430865758042</c:v>
                </c:pt>
                <c:pt idx="18">
                  <c:v>99.351060349901942</c:v>
                </c:pt>
                <c:pt idx="19">
                  <c:v>101.36791696411855</c:v>
                </c:pt>
                <c:pt idx="20">
                  <c:v>103.79804955452634</c:v>
                </c:pt>
              </c:numCache>
            </c:numRef>
          </c:val>
          <c:smooth val="0"/>
          <c:extLst>
            <c:ext xmlns:c16="http://schemas.microsoft.com/office/drawing/2014/chart" uri="{C3380CC4-5D6E-409C-BE32-E72D297353CC}">
              <c16:uniqueId val="{00000001-2B80-4FB9-BDCF-E4E72684429F}"/>
            </c:ext>
          </c:extLst>
        </c:ser>
        <c:ser>
          <c:idx val="2"/>
          <c:order val="2"/>
          <c:tx>
            <c:v>Series3</c:v>
          </c:tx>
          <c:spPr>
            <a:ln w="28575" cap="rnd">
              <a:solidFill>
                <a:schemeClr val="accent3"/>
              </a:solidFill>
              <a:round/>
            </a:ln>
            <a:effectLst/>
          </c:spPr>
          <c:marker>
            <c:symbol val="none"/>
          </c:marker>
          <c:val>
            <c:numRef>
              <c:f>STATIONARIZE!$H$14:$H$34</c:f>
              <c:numCache>
                <c:formatCode>0.0</c:formatCode>
                <c:ptCount val="21"/>
                <c:pt idx="0">
                  <c:v>72.400000000000006</c:v>
                </c:pt>
                <c:pt idx="1">
                  <c:v>73.148465437328468</c:v>
                </c:pt>
                <c:pt idx="2">
                  <c:v>73.218001417436682</c:v>
                </c:pt>
                <c:pt idx="3">
                  <c:v>73.687344623910249</c:v>
                </c:pt>
                <c:pt idx="4">
                  <c:v>74.127531529290579</c:v>
                </c:pt>
                <c:pt idx="5">
                  <c:v>75.308987452543391</c:v>
                </c:pt>
                <c:pt idx="6">
                  <c:v>75.682993729837932</c:v>
                </c:pt>
                <c:pt idx="7">
                  <c:v>76.92665184859959</c:v>
                </c:pt>
                <c:pt idx="8">
                  <c:v>78.027810011846213</c:v>
                </c:pt>
                <c:pt idx="9">
                  <c:v>79.513147112754851</c:v>
                </c:pt>
                <c:pt idx="10">
                  <c:v>81.080740266297894</c:v>
                </c:pt>
                <c:pt idx="11">
                  <c:v>82.587966894685948</c:v>
                </c:pt>
                <c:pt idx="12">
                  <c:v>84.690286806318937</c:v>
                </c:pt>
                <c:pt idx="13">
                  <c:v>86.948279398813483</c:v>
                </c:pt>
                <c:pt idx="14">
                  <c:v>89.752357113510456</c:v>
                </c:pt>
                <c:pt idx="15">
                  <c:v>92.602223620321695</c:v>
                </c:pt>
                <c:pt idx="16">
                  <c:v>95.407499654503013</c:v>
                </c:pt>
                <c:pt idx="17">
                  <c:v>98.793510152682444</c:v>
                </c:pt>
                <c:pt idx="18">
                  <c:v>102.07989231797038</c:v>
                </c:pt>
                <c:pt idx="19">
                  <c:v>106.403255967616</c:v>
                </c:pt>
                <c:pt idx="20">
                  <c:v>110.45766179411709</c:v>
                </c:pt>
              </c:numCache>
            </c:numRef>
          </c:val>
          <c:smooth val="0"/>
          <c:extLst>
            <c:ext xmlns:c16="http://schemas.microsoft.com/office/drawing/2014/chart" uri="{C3380CC4-5D6E-409C-BE32-E72D297353CC}">
              <c16:uniqueId val="{00000000-81AD-4A9D-8836-383DA0629345}"/>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Stationarized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STATIONARIZE!$U$14:$U$34</c:f>
              <c:numCache>
                <c:formatCode>0.0</c:formatCode>
                <c:ptCount val="21"/>
                <c:pt idx="0">
                  <c:v>-2.7000000000000028</c:v>
                </c:pt>
                <c:pt idx="1">
                  <c:v>7.7000000000000028</c:v>
                </c:pt>
                <c:pt idx="2">
                  <c:v>2.1999999999999886</c:v>
                </c:pt>
                <c:pt idx="3">
                  <c:v>0.80000000000001137</c:v>
                </c:pt>
                <c:pt idx="4">
                  <c:v>-2.9000000000000057</c:v>
                </c:pt>
                <c:pt idx="5">
                  <c:v>5.7999999999999972</c:v>
                </c:pt>
                <c:pt idx="6">
                  <c:v>0.29999999999999716</c:v>
                </c:pt>
                <c:pt idx="7">
                  <c:v>-1.5</c:v>
                </c:pt>
                <c:pt idx="8">
                  <c:v>7.1000000000000085</c:v>
                </c:pt>
                <c:pt idx="9">
                  <c:v>-5.2999999999999972</c:v>
                </c:pt>
                <c:pt idx="10">
                  <c:v>-9.3000000000000114</c:v>
                </c:pt>
                <c:pt idx="11">
                  <c:v>-0.59999999999999432</c:v>
                </c:pt>
                <c:pt idx="12">
                  <c:v>-2.2000000000000028</c:v>
                </c:pt>
                <c:pt idx="13">
                  <c:v>5.6000000000000085</c:v>
                </c:pt>
                <c:pt idx="14">
                  <c:v>-0.90000000000000568</c:v>
                </c:pt>
                <c:pt idx="15">
                  <c:v>3.2000000000000028</c:v>
                </c:pt>
                <c:pt idx="16">
                  <c:v>-3.4000000000000057</c:v>
                </c:pt>
                <c:pt idx="17">
                  <c:v>5</c:v>
                </c:pt>
                <c:pt idx="18">
                  <c:v>0.29999999999999716</c:v>
                </c:pt>
                <c:pt idx="19">
                  <c:v>4.1000000000000085</c:v>
                </c:pt>
                <c:pt idx="20">
                  <c:v>#N/A</c:v>
                </c:pt>
              </c:numCache>
            </c:numRef>
          </c:val>
          <c:smooth val="0"/>
          <c:extLst>
            <c:ext xmlns:c16="http://schemas.microsoft.com/office/drawing/2014/chart" uri="{C3380CC4-5D6E-409C-BE32-E72D297353CC}">
              <c16:uniqueId val="{00000001-B883-404E-AD08-932430E9CFA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1"/>
          <c:spPr>
            <a:ln w="28575" cap="rnd">
              <a:solidFill>
                <a:schemeClr val="accent2"/>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STATIONARIZE!$V$14:$V$34</c:f>
              <c:numCache>
                <c:formatCode>0.00</c:formatCode>
                <c:ptCount val="21"/>
                <c:pt idx="0" formatCode="0.0">
                  <c:v>0.26470755828569281</c:v>
                </c:pt>
                <c:pt idx="1">
                  <c:v>0.52310225285268075</c:v>
                </c:pt>
                <c:pt idx="2">
                  <c:v>1.2373344417494678</c:v>
                </c:pt>
                <c:pt idx="3">
                  <c:v>1.2383537486175129</c:v>
                </c:pt>
                <c:pt idx="4">
                  <c:v>1.1808394363849999</c:v>
                </c:pt>
                <c:pt idx="5">
                  <c:v>1.0984134369627867</c:v>
                </c:pt>
                <c:pt idx="6">
                  <c:v>1.1378351771985962</c:v>
                </c:pt>
                <c:pt idx="7">
                  <c:v>1.5348983505893017</c:v>
                </c:pt>
                <c:pt idx="8">
                  <c:v>1.1815841910158156</c:v>
                </c:pt>
                <c:pt idx="9">
                  <c:v>1.0188995891310526</c:v>
                </c:pt>
                <c:pt idx="10">
                  <c:v>2.0383947193197542</c:v>
                </c:pt>
                <c:pt idx="11">
                  <c:v>1.4777324189730052</c:v>
                </c:pt>
                <c:pt idx="12">
                  <c:v>2.0886647803135645</c:v>
                </c:pt>
                <c:pt idx="13">
                  <c:v>1.4664229704001599</c:v>
                </c:pt>
                <c:pt idx="14">
                  <c:v>2.1730039741698022</c:v>
                </c:pt>
                <c:pt idx="15">
                  <c:v>2.285613218646489</c:v>
                </c:pt>
                <c:pt idx="16">
                  <c:v>2.6785083929697322</c:v>
                </c:pt>
                <c:pt idx="17">
                  <c:v>2.3267516923215226</c:v>
                </c:pt>
                <c:pt idx="18">
                  <c:v>2.0168566142166071</c:v>
                </c:pt>
                <c:pt idx="19">
                  <c:v>2.4301325904077942</c:v>
                </c:pt>
                <c:pt idx="20">
                  <c:v>#N/A</c:v>
                </c:pt>
              </c:numCache>
            </c:numRef>
          </c:val>
          <c:smooth val="0"/>
          <c:extLst>
            <c:ext xmlns:c16="http://schemas.microsoft.com/office/drawing/2014/chart" uri="{C3380CC4-5D6E-409C-BE32-E72D297353CC}">
              <c16:uniqueId val="{00000002-B883-404E-AD08-932430E9CFAE}"/>
            </c:ext>
          </c:extLst>
        </c:ser>
        <c:ser>
          <c:idx val="0"/>
          <c:order val="2"/>
          <c:spPr>
            <a:ln w="28575" cap="rnd">
              <a:solidFill>
                <a:schemeClr val="accent3"/>
              </a:solidFill>
              <a:round/>
            </a:ln>
            <a:effectLst/>
          </c:spPr>
          <c:marker>
            <c:symbol val="none"/>
          </c:marker>
          <c:cat>
            <c:numRef>
              <c:f>STATIONARIZE!$E$14:$E$34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STATIONARIZE!$W$14:$W$34</c:f>
              <c:numCache>
                <c:formatCode>0.00</c:formatCode>
                <c:ptCount val="21"/>
                <c:pt idx="0" formatCode="0.0">
                  <c:v>0.74846543732846271</c:v>
                </c:pt>
                <c:pt idx="1">
                  <c:v>6.953598010821338E-2</c:v>
                </c:pt>
                <c:pt idx="2">
                  <c:v>0.46934320647356742</c:v>
                </c:pt>
                <c:pt idx="3">
                  <c:v>0.44018690538032956</c:v>
                </c:pt>
                <c:pt idx="4">
                  <c:v>1.1814559232528126</c:v>
                </c:pt>
                <c:pt idx="5">
                  <c:v>0.37400627729454072</c:v>
                </c:pt>
                <c:pt idx="6">
                  <c:v>1.2436581187616582</c:v>
                </c:pt>
                <c:pt idx="7">
                  <c:v>1.1011581632466232</c:v>
                </c:pt>
                <c:pt idx="8">
                  <c:v>1.4853371009086374</c:v>
                </c:pt>
                <c:pt idx="9">
                  <c:v>1.5675931535430436</c:v>
                </c:pt>
                <c:pt idx="10">
                  <c:v>1.5072266283880538</c:v>
                </c:pt>
                <c:pt idx="11">
                  <c:v>2.1023199116329891</c:v>
                </c:pt>
                <c:pt idx="12">
                  <c:v>2.2579925924945456</c:v>
                </c:pt>
                <c:pt idx="13">
                  <c:v>2.8040777146969731</c:v>
                </c:pt>
                <c:pt idx="14">
                  <c:v>2.8498665068112388</c:v>
                </c:pt>
                <c:pt idx="15">
                  <c:v>2.8052760341813183</c:v>
                </c:pt>
                <c:pt idx="16">
                  <c:v>3.3860104981794308</c:v>
                </c:pt>
                <c:pt idx="17">
                  <c:v>3.2863821652879324</c:v>
                </c:pt>
                <c:pt idx="18">
                  <c:v>4.3233636496456285</c:v>
                </c:pt>
                <c:pt idx="19">
                  <c:v>4.0544058265010818</c:v>
                </c:pt>
                <c:pt idx="20">
                  <c:v>#N/A</c:v>
                </c:pt>
              </c:numCache>
            </c:numRef>
          </c:val>
          <c:smooth val="0"/>
          <c:extLst>
            <c:ext xmlns:c16="http://schemas.microsoft.com/office/drawing/2014/chart" uri="{C3380CC4-5D6E-409C-BE32-E72D297353CC}">
              <c16:uniqueId val="{00000000-0448-4E21-B92F-FE335DA8542D}"/>
            </c:ext>
          </c:extLst>
        </c:ser>
        <c:dLbls>
          <c:showLegendKey val="0"/>
          <c:showVal val="0"/>
          <c:showCatName val="0"/>
          <c:showSerName val="0"/>
          <c:showPercent val="0"/>
          <c:showBubbleSize val="0"/>
        </c:dLbls>
        <c:marker val="1"/>
        <c:smooth val="0"/>
        <c:axId val="1404022895"/>
        <c:axId val="1404033711"/>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404033711"/>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4022895"/>
        <c:crosses val="max"/>
        <c:crossBetween val="between"/>
      </c:valAx>
      <c:catAx>
        <c:axId val="1404022895"/>
        <c:scaling>
          <c:orientation val="minMax"/>
        </c:scaling>
        <c:delete val="1"/>
        <c:axPos val="b"/>
        <c:numFmt formatCode="0" sourceLinked="1"/>
        <c:majorTickMark val="out"/>
        <c:minorTickMark val="none"/>
        <c:tickLblPos val="nextTo"/>
        <c:crossAx val="1404033711"/>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ISSTATIONARY!$G$14</c:f>
              <c:strCache>
                <c:ptCount val="1"/>
                <c:pt idx="0">
                  <c:v>values</c:v>
                </c:pt>
              </c:strCache>
            </c:strRef>
          </c:tx>
          <c:spPr>
            <a:ln w="28575" cap="rnd">
              <a:solidFill>
                <a:schemeClr val="accent1"/>
              </a:solidFill>
              <a:round/>
            </a:ln>
            <a:effectLst/>
          </c:spPr>
          <c:marker>
            <c:symbol val="none"/>
          </c:marker>
          <c:val>
            <c:numRef>
              <c:f>ISSTATIONARY!$G$15:$G$254</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c:v>83.3</c:v>
                </c:pt>
                <c:pt idx="228">
                  <c:v>81.900000000000006</c:v>
                </c:pt>
                <c:pt idx="229">
                  <c:v>79.099999999999994</c:v>
                </c:pt>
                <c:pt idx="230">
                  <c:v>86.1</c:v>
                </c:pt>
                <c:pt idx="231">
                  <c:v>81.3</c:v>
                </c:pt>
                <c:pt idx="232">
                  <c:v>88.4</c:v>
                </c:pt>
                <c:pt idx="233">
                  <c:v>87.9</c:v>
                </c:pt>
                <c:pt idx="234">
                  <c:v>92.2</c:v>
                </c:pt>
                <c:pt idx="235">
                  <c:v>93.4</c:v>
                </c:pt>
                <c:pt idx="236">
                  <c:v>91.5</c:v>
                </c:pt>
                <c:pt idx="237">
                  <c:v>89.7</c:v>
                </c:pt>
                <c:pt idx="238">
                  <c:v>86.3</c:v>
                </c:pt>
                <c:pt idx="239">
                  <c:v>79.2</c:v>
                </c:pt>
              </c:numCache>
            </c:numRef>
          </c:val>
          <c:smooth val="0"/>
          <c:extLst>
            <c:ext xmlns:c16="http://schemas.microsoft.com/office/drawing/2014/chart" uri="{C3380CC4-5D6E-409C-BE32-E72D297353CC}">
              <c16:uniqueId val="{00000000-AF83-4283-9C80-C1B8E8FC64B9}"/>
            </c:ext>
          </c:extLst>
        </c:ser>
        <c:ser>
          <c:idx val="1"/>
          <c:order val="1"/>
          <c:tx>
            <c:strRef>
              <c:f>ISSTATIONARY!$H$14</c:f>
              <c:strCache>
                <c:ptCount val="1"/>
                <c:pt idx="0">
                  <c:v>d(values)</c:v>
                </c:pt>
              </c:strCache>
            </c:strRef>
          </c:tx>
          <c:spPr>
            <a:ln w="28575" cap="rnd">
              <a:solidFill>
                <a:schemeClr val="accent2"/>
              </a:solidFill>
              <a:round/>
            </a:ln>
            <a:effectLst/>
          </c:spPr>
          <c:marker>
            <c:symbol val="none"/>
          </c:marker>
          <c:val>
            <c:numRef>
              <c:f>ISSTATIONARY!$H$15:$H$254</c:f>
              <c:numCache>
                <c:formatCode>0.0</c:formatCode>
                <c:ptCount val="240"/>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pt idx="21">
                  <c:v>4.2999999999999972</c:v>
                </c:pt>
                <c:pt idx="22">
                  <c:v>-5.4000000000000057</c:v>
                </c:pt>
                <c:pt idx="23">
                  <c:v>-6.6999999999999886</c:v>
                </c:pt>
                <c:pt idx="24">
                  <c:v>-1.1000000000000085</c:v>
                </c:pt>
                <c:pt idx="25">
                  <c:v>-2.7999999999999972</c:v>
                </c:pt>
                <c:pt idx="26">
                  <c:v>12.900000000000006</c:v>
                </c:pt>
                <c:pt idx="27">
                  <c:v>-4.7000000000000028</c:v>
                </c:pt>
                <c:pt idx="28">
                  <c:v>4.0999999999999943</c:v>
                </c:pt>
                <c:pt idx="29">
                  <c:v>-0.20000000000000284</c:v>
                </c:pt>
                <c:pt idx="30">
                  <c:v>4</c:v>
                </c:pt>
                <c:pt idx="31">
                  <c:v>2</c:v>
                </c:pt>
                <c:pt idx="32">
                  <c:v>0</c:v>
                </c:pt>
                <c:pt idx="33">
                  <c:v>1.4000000000000057</c:v>
                </c:pt>
                <c:pt idx="34">
                  <c:v>-1.7000000000000028</c:v>
                </c:pt>
                <c:pt idx="35">
                  <c:v>-7.0999999999999943</c:v>
                </c:pt>
                <c:pt idx="36">
                  <c:v>-3.7000000000000028</c:v>
                </c:pt>
                <c:pt idx="37">
                  <c:v>-4.5999999999999943</c:v>
                </c:pt>
                <c:pt idx="38">
                  <c:v>11.599999999999994</c:v>
                </c:pt>
                <c:pt idx="39">
                  <c:v>-1</c:v>
                </c:pt>
                <c:pt idx="40">
                  <c:v>4.0999999999999943</c:v>
                </c:pt>
                <c:pt idx="41">
                  <c:v>0.30000000000001137</c:v>
                </c:pt>
                <c:pt idx="42">
                  <c:v>-0.90000000000000568</c:v>
                </c:pt>
                <c:pt idx="43">
                  <c:v>5.0999999999999943</c:v>
                </c:pt>
                <c:pt idx="44">
                  <c:v>-3.5999999999999943</c:v>
                </c:pt>
                <c:pt idx="45">
                  <c:v>1.7000000000000028</c:v>
                </c:pt>
                <c:pt idx="46">
                  <c:v>-1.2999999999999972</c:v>
                </c:pt>
                <c:pt idx="47">
                  <c:v>-5.8000000000000114</c:v>
                </c:pt>
                <c:pt idx="48">
                  <c:v>-2.8999999999999915</c:v>
                </c:pt>
                <c:pt idx="49">
                  <c:v>-3.5</c:v>
                </c:pt>
                <c:pt idx="50">
                  <c:v>12.200000000000003</c:v>
                </c:pt>
                <c:pt idx="51">
                  <c:v>-6.7000000000000028</c:v>
                </c:pt>
                <c:pt idx="52">
                  <c:v>9.7000000000000028</c:v>
                </c:pt>
                <c:pt idx="53">
                  <c:v>-4.3000000000000114</c:v>
                </c:pt>
                <c:pt idx="54">
                  <c:v>2.7000000000000028</c:v>
                </c:pt>
                <c:pt idx="55">
                  <c:v>4.7999999999999972</c:v>
                </c:pt>
                <c:pt idx="56">
                  <c:v>-5.3999999999999915</c:v>
                </c:pt>
                <c:pt idx="57">
                  <c:v>4.2999999999999972</c:v>
                </c:pt>
                <c:pt idx="58">
                  <c:v>-1.5999999999999943</c:v>
                </c:pt>
                <c:pt idx="59">
                  <c:v>-8.9000000000000057</c:v>
                </c:pt>
                <c:pt idx="60">
                  <c:v>0</c:v>
                </c:pt>
                <c:pt idx="61">
                  <c:v>-4.4000000000000057</c:v>
                </c:pt>
                <c:pt idx="62">
                  <c:v>13.800000000000011</c:v>
                </c:pt>
                <c:pt idx="63">
                  <c:v>-5.8000000000000114</c:v>
                </c:pt>
                <c:pt idx="64">
                  <c:v>9.3000000000000114</c:v>
                </c:pt>
                <c:pt idx="65">
                  <c:v>-3</c:v>
                </c:pt>
                <c:pt idx="66">
                  <c:v>2.8999999999999915</c:v>
                </c:pt>
                <c:pt idx="67">
                  <c:v>5.1000000000000085</c:v>
                </c:pt>
                <c:pt idx="68">
                  <c:v>-6.5</c:v>
                </c:pt>
                <c:pt idx="69">
                  <c:v>9.3999999999999915</c:v>
                </c:pt>
                <c:pt idx="70">
                  <c:v>-5.3999999999999915</c:v>
                </c:pt>
                <c:pt idx="71">
                  <c:v>-9.8000000000000114</c:v>
                </c:pt>
                <c:pt idx="72">
                  <c:v>2.2000000000000028</c:v>
                </c:pt>
                <c:pt idx="73">
                  <c:v>-3.7000000000000028</c:v>
                </c:pt>
                <c:pt idx="74">
                  <c:v>6.6000000000000085</c:v>
                </c:pt>
                <c:pt idx="75">
                  <c:v>1.5</c:v>
                </c:pt>
                <c:pt idx="76">
                  <c:v>3.2999999999999972</c:v>
                </c:pt>
                <c:pt idx="77">
                  <c:v>0.79999999999999716</c:v>
                </c:pt>
                <c:pt idx="78">
                  <c:v>5.2000000000000028</c:v>
                </c:pt>
                <c:pt idx="79">
                  <c:v>-1.5999999999999943</c:v>
                </c:pt>
                <c:pt idx="80">
                  <c:v>0.39999999999999147</c:v>
                </c:pt>
                <c:pt idx="81">
                  <c:v>1.1000000000000085</c:v>
                </c:pt>
                <c:pt idx="82">
                  <c:v>-12.200000000000003</c:v>
                </c:pt>
                <c:pt idx="83">
                  <c:v>-17.100000000000009</c:v>
                </c:pt>
                <c:pt idx="84">
                  <c:v>-0.39999999999999147</c:v>
                </c:pt>
                <c:pt idx="85">
                  <c:v>-2.6000000000000085</c:v>
                </c:pt>
                <c:pt idx="86">
                  <c:v>12.5</c:v>
                </c:pt>
                <c:pt idx="87">
                  <c:v>-3.3999999999999915</c:v>
                </c:pt>
                <c:pt idx="88">
                  <c:v>6.0999999999999943</c:v>
                </c:pt>
                <c:pt idx="89">
                  <c:v>0.90000000000000568</c:v>
                </c:pt>
                <c:pt idx="90">
                  <c:v>5.5</c:v>
                </c:pt>
                <c:pt idx="91">
                  <c:v>1.8999999999999915</c:v>
                </c:pt>
                <c:pt idx="92">
                  <c:v>-0.19999999999998863</c:v>
                </c:pt>
                <c:pt idx="93">
                  <c:v>6.1999999999999886</c:v>
                </c:pt>
                <c:pt idx="94">
                  <c:v>-4.1999999999999886</c:v>
                </c:pt>
                <c:pt idx="95">
                  <c:v>-7.3000000000000114</c:v>
                </c:pt>
                <c:pt idx="96">
                  <c:v>-2.8999999999999915</c:v>
                </c:pt>
                <c:pt idx="97">
                  <c:v>-2.2000000000000028</c:v>
                </c:pt>
                <c:pt idx="98">
                  <c:v>16.099999999999994</c:v>
                </c:pt>
                <c:pt idx="99">
                  <c:v>-5.7999999999999972</c:v>
                </c:pt>
                <c:pt idx="100">
                  <c:v>5</c:v>
                </c:pt>
                <c:pt idx="101">
                  <c:v>-1.7999999999999972</c:v>
                </c:pt>
                <c:pt idx="102">
                  <c:v>4.4000000000000057</c:v>
                </c:pt>
                <c:pt idx="103">
                  <c:v>1.1999999999999886</c:v>
                </c:pt>
                <c:pt idx="104">
                  <c:v>-2.2999999999999972</c:v>
                </c:pt>
                <c:pt idx="105">
                  <c:v>1.9000000000000057</c:v>
                </c:pt>
                <c:pt idx="106">
                  <c:v>-0.90000000000000568</c:v>
                </c:pt>
                <c:pt idx="107">
                  <c:v>-10.200000000000003</c:v>
                </c:pt>
                <c:pt idx="108">
                  <c:v>-3.3999999999999915</c:v>
                </c:pt>
                <c:pt idx="109">
                  <c:v>2.2000000000000028</c:v>
                </c:pt>
                <c:pt idx="110">
                  <c:v>9</c:v>
                </c:pt>
                <c:pt idx="111">
                  <c:v>-6.9000000000000057</c:v>
                </c:pt>
                <c:pt idx="112">
                  <c:v>9.5999999999999943</c:v>
                </c:pt>
                <c:pt idx="113">
                  <c:v>-4.2999999999999972</c:v>
                </c:pt>
                <c:pt idx="114">
                  <c:v>3.2999999999999972</c:v>
                </c:pt>
                <c:pt idx="115">
                  <c:v>4.7000000000000028</c:v>
                </c:pt>
                <c:pt idx="116">
                  <c:v>-6</c:v>
                </c:pt>
                <c:pt idx="117">
                  <c:v>1.5</c:v>
                </c:pt>
                <c:pt idx="118">
                  <c:v>-2.0999999999999943</c:v>
                </c:pt>
                <c:pt idx="119">
                  <c:v>-8.5</c:v>
                </c:pt>
                <c:pt idx="120">
                  <c:v>-7</c:v>
                </c:pt>
                <c:pt idx="121">
                  <c:v>1.0999999999999943</c:v>
                </c:pt>
                <c:pt idx="122">
                  <c:v>9.9000000000000057</c:v>
                </c:pt>
                <c:pt idx="123">
                  <c:v>-6.9000000000000057</c:v>
                </c:pt>
                <c:pt idx="124">
                  <c:v>9.7000000000000028</c:v>
                </c:pt>
                <c:pt idx="125">
                  <c:v>-4.2000000000000028</c:v>
                </c:pt>
                <c:pt idx="126">
                  <c:v>6.2000000000000028</c:v>
                </c:pt>
                <c:pt idx="127">
                  <c:v>7</c:v>
                </c:pt>
                <c:pt idx="128">
                  <c:v>-8.0999999999999943</c:v>
                </c:pt>
                <c:pt idx="129">
                  <c:v>8.3999999999999915</c:v>
                </c:pt>
                <c:pt idx="130">
                  <c:v>-7</c:v>
                </c:pt>
                <c:pt idx="131">
                  <c:v>-12.599999999999994</c:v>
                </c:pt>
                <c:pt idx="132">
                  <c:v>2.2999999999999972</c:v>
                </c:pt>
                <c:pt idx="133">
                  <c:v>-6.4000000000000057</c:v>
                </c:pt>
                <c:pt idx="134">
                  <c:v>9.6000000000000085</c:v>
                </c:pt>
                <c:pt idx="135">
                  <c:v>4.0999999999999943</c:v>
                </c:pt>
                <c:pt idx="136">
                  <c:v>3.2000000000000028</c:v>
                </c:pt>
                <c:pt idx="137">
                  <c:v>-3.2999999999999972</c:v>
                </c:pt>
                <c:pt idx="138">
                  <c:v>6.2999999999999972</c:v>
                </c:pt>
                <c:pt idx="139">
                  <c:v>4</c:v>
                </c:pt>
                <c:pt idx="140">
                  <c:v>-4.7000000000000028</c:v>
                </c:pt>
                <c:pt idx="141">
                  <c:v>5.2999999999999972</c:v>
                </c:pt>
                <c:pt idx="142">
                  <c:v>-6.5</c:v>
                </c:pt>
                <c:pt idx="143">
                  <c:v>-16</c:v>
                </c:pt>
                <c:pt idx="144">
                  <c:v>2.5</c:v>
                </c:pt>
                <c:pt idx="145">
                  <c:v>-0.29999999999999716</c:v>
                </c:pt>
                <c:pt idx="146">
                  <c:v>5</c:v>
                </c:pt>
                <c:pt idx="147">
                  <c:v>-1.2999999999999972</c:v>
                </c:pt>
                <c:pt idx="148">
                  <c:v>5.7000000000000028</c:v>
                </c:pt>
                <c:pt idx="149">
                  <c:v>-6.7999999999999972</c:v>
                </c:pt>
                <c:pt idx="150">
                  <c:v>9.5</c:v>
                </c:pt>
                <c:pt idx="151">
                  <c:v>1.8999999999999915</c:v>
                </c:pt>
                <c:pt idx="152">
                  <c:v>-0.70000000000000284</c:v>
                </c:pt>
                <c:pt idx="153">
                  <c:v>3.7000000000000028</c:v>
                </c:pt>
                <c:pt idx="154">
                  <c:v>-9.5</c:v>
                </c:pt>
                <c:pt idx="155">
                  <c:v>-12.099999999999994</c:v>
                </c:pt>
                <c:pt idx="156">
                  <c:v>0.39999999999999147</c:v>
                </c:pt>
                <c:pt idx="157">
                  <c:v>-4.3999999999999915</c:v>
                </c:pt>
                <c:pt idx="158">
                  <c:v>10.599999999999994</c:v>
                </c:pt>
                <c:pt idx="159">
                  <c:v>-5.5</c:v>
                </c:pt>
                <c:pt idx="160">
                  <c:v>4.2999999999999972</c:v>
                </c:pt>
                <c:pt idx="161">
                  <c:v>-0.59999999999999432</c:v>
                </c:pt>
                <c:pt idx="162">
                  <c:v>3</c:v>
                </c:pt>
                <c:pt idx="163">
                  <c:v>2.0999999999999943</c:v>
                </c:pt>
                <c:pt idx="164">
                  <c:v>-3.2999999999999972</c:v>
                </c:pt>
                <c:pt idx="165">
                  <c:v>2.9000000000000057</c:v>
                </c:pt>
                <c:pt idx="166">
                  <c:v>-9.6000000000000085</c:v>
                </c:pt>
                <c:pt idx="167">
                  <c:v>-10.399999999999991</c:v>
                </c:pt>
                <c:pt idx="168">
                  <c:v>-0.90000000000000568</c:v>
                </c:pt>
                <c:pt idx="169">
                  <c:v>-0.5</c:v>
                </c:pt>
                <c:pt idx="170">
                  <c:v>7.9000000000000057</c:v>
                </c:pt>
                <c:pt idx="171">
                  <c:v>-0.70000000000000284</c:v>
                </c:pt>
                <c:pt idx="172">
                  <c:v>3.2999999999999972</c:v>
                </c:pt>
                <c:pt idx="173">
                  <c:v>1.4000000000000057</c:v>
                </c:pt>
                <c:pt idx="174">
                  <c:v>1.8999999999999915</c:v>
                </c:pt>
                <c:pt idx="175">
                  <c:v>3.4000000000000057</c:v>
                </c:pt>
                <c:pt idx="176">
                  <c:v>-2.2999999999999972</c:v>
                </c:pt>
                <c:pt idx="177">
                  <c:v>-0.5</c:v>
                </c:pt>
                <c:pt idx="178">
                  <c:v>-3.7000000000000028</c:v>
                </c:pt>
                <c:pt idx="179">
                  <c:v>-9.2999999999999972</c:v>
                </c:pt>
                <c:pt idx="180">
                  <c:v>0.70000000000000284</c:v>
                </c:pt>
                <c:pt idx="181">
                  <c:v>-2</c:v>
                </c:pt>
                <c:pt idx="182">
                  <c:v>9.5</c:v>
                </c:pt>
                <c:pt idx="183">
                  <c:v>-6.1000000000000085</c:v>
                </c:pt>
                <c:pt idx="184">
                  <c:v>10.799999999999997</c:v>
                </c:pt>
                <c:pt idx="185">
                  <c:v>-1.6999999999999886</c:v>
                </c:pt>
                <c:pt idx="186">
                  <c:v>3.6999999999999886</c:v>
                </c:pt>
                <c:pt idx="187">
                  <c:v>4.6000000000000085</c:v>
                </c:pt>
                <c:pt idx="188">
                  <c:v>-3.7000000000000028</c:v>
                </c:pt>
                <c:pt idx="189">
                  <c:v>2.0999999999999943</c:v>
                </c:pt>
                <c:pt idx="190">
                  <c:v>-4.5</c:v>
                </c:pt>
                <c:pt idx="191">
                  <c:v>-9.5999999999999943</c:v>
                </c:pt>
                <c:pt idx="192">
                  <c:v>1.2999999999999972</c:v>
                </c:pt>
                <c:pt idx="193">
                  <c:v>-5</c:v>
                </c:pt>
                <c:pt idx="194">
                  <c:v>8.9000000000000057</c:v>
                </c:pt>
                <c:pt idx="195">
                  <c:v>0.29999999999999716</c:v>
                </c:pt>
                <c:pt idx="196">
                  <c:v>-2.0999999999999943</c:v>
                </c:pt>
                <c:pt idx="197">
                  <c:v>6.6999999999999886</c:v>
                </c:pt>
                <c:pt idx="198">
                  <c:v>4.7000000000000028</c:v>
                </c:pt>
                <c:pt idx="199">
                  <c:v>2.4000000000000057</c:v>
                </c:pt>
                <c:pt idx="200">
                  <c:v>-7.5</c:v>
                </c:pt>
                <c:pt idx="201">
                  <c:v>5.0999999999999943</c:v>
                </c:pt>
                <c:pt idx="202">
                  <c:v>-6.2999999999999972</c:v>
                </c:pt>
                <c:pt idx="203">
                  <c:v>-11.5</c:v>
                </c:pt>
                <c:pt idx="204">
                  <c:v>2.7000000000000028</c:v>
                </c:pt>
                <c:pt idx="205">
                  <c:v>-1.6000000000000085</c:v>
                </c:pt>
                <c:pt idx="206">
                  <c:v>1.9000000000000057</c:v>
                </c:pt>
                <c:pt idx="207">
                  <c:v>2.2999999999999972</c:v>
                </c:pt>
                <c:pt idx="208">
                  <c:v>7.7000000000000028</c:v>
                </c:pt>
                <c:pt idx="209">
                  <c:v>-5.2000000000000028</c:v>
                </c:pt>
                <c:pt idx="210">
                  <c:v>7.6000000000000085</c:v>
                </c:pt>
                <c:pt idx="211">
                  <c:v>2.7999999999999972</c:v>
                </c:pt>
                <c:pt idx="212">
                  <c:v>-4.4000000000000057</c:v>
                </c:pt>
                <c:pt idx="213">
                  <c:v>5.2000000000000028</c:v>
                </c:pt>
                <c:pt idx="214">
                  <c:v>-9</c:v>
                </c:pt>
                <c:pt idx="215">
                  <c:v>-11.099999999999994</c:v>
                </c:pt>
                <c:pt idx="216">
                  <c:v>3.0999999999999943</c:v>
                </c:pt>
                <c:pt idx="217">
                  <c:v>-1.0999999999999943</c:v>
                </c:pt>
                <c:pt idx="218">
                  <c:v>-1</c:v>
                </c:pt>
                <c:pt idx="219">
                  <c:v>-17.600000000000009</c:v>
                </c:pt>
                <c:pt idx="220">
                  <c:v>10.900000000000006</c:v>
                </c:pt>
                <c:pt idx="221">
                  <c:v>7.2000000000000028</c:v>
                </c:pt>
                <c:pt idx="222">
                  <c:v>12.599999999999994</c:v>
                </c:pt>
                <c:pt idx="223">
                  <c:v>2.9000000000000057</c:v>
                </c:pt>
                <c:pt idx="224">
                  <c:v>1.5</c:v>
                </c:pt>
                <c:pt idx="225">
                  <c:v>1.8999999999999915</c:v>
                </c:pt>
                <c:pt idx="226">
                  <c:v>-7.0999999999999943</c:v>
                </c:pt>
                <c:pt idx="227">
                  <c:v>-6.9000000000000057</c:v>
                </c:pt>
                <c:pt idx="228">
                  <c:v>-1.3999999999999915</c:v>
                </c:pt>
                <c:pt idx="229">
                  <c:v>-2.8000000000000114</c:v>
                </c:pt>
                <c:pt idx="230">
                  <c:v>7</c:v>
                </c:pt>
                <c:pt idx="231">
                  <c:v>-4.7999999999999972</c:v>
                </c:pt>
                <c:pt idx="232">
                  <c:v>7.1000000000000085</c:v>
                </c:pt>
                <c:pt idx="233">
                  <c:v>-0.5</c:v>
                </c:pt>
                <c:pt idx="234">
                  <c:v>4.2999999999999972</c:v>
                </c:pt>
                <c:pt idx="235">
                  <c:v>1.2000000000000028</c:v>
                </c:pt>
                <c:pt idx="236">
                  <c:v>-1.9000000000000057</c:v>
                </c:pt>
                <c:pt idx="237">
                  <c:v>-1.7999999999999972</c:v>
                </c:pt>
                <c:pt idx="238">
                  <c:v>-3.4000000000000057</c:v>
                </c:pt>
                <c:pt idx="239">
                  <c:v>-7.0999999999999943</c:v>
                </c:pt>
              </c:numCache>
            </c:numRef>
          </c:val>
          <c:smooth val="0"/>
          <c:extLst>
            <c:ext xmlns:c16="http://schemas.microsoft.com/office/drawing/2014/chart" uri="{C3380CC4-5D6E-409C-BE32-E72D297353CC}">
              <c16:uniqueId val="{00000001-AF83-4283-9C80-C1B8E8FC64B9}"/>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2824346965527419"/>
          <c:y val="0.11729939237047422"/>
          <c:w val="0.83537411127412253"/>
          <c:h val="0.74099248552835006"/>
        </c:manualLayout>
      </c:layout>
      <c:scatterChart>
        <c:scatterStyle val="lineMarker"/>
        <c:varyColors val="0"/>
        <c:ser>
          <c:idx val="0"/>
          <c:order val="0"/>
          <c:tx>
            <c:v>Phillips curve</c:v>
          </c:tx>
          <c:spPr>
            <a:ln w="25400" cap="rnd">
              <a:noFill/>
              <a:round/>
            </a:ln>
            <a:effectLst/>
          </c:spPr>
          <c:marker>
            <c:symbol val="circle"/>
            <c:size val="5"/>
            <c:spPr>
              <a:solidFill>
                <a:schemeClr val="accent1"/>
              </a:solidFill>
              <a:ln w="9525">
                <a:solidFill>
                  <a:schemeClr val="accent1"/>
                </a:solidFill>
              </a:ln>
              <a:effectLst/>
            </c:spPr>
          </c:marker>
          <c:xVal>
            <c:numRef>
              <c:f>CHOWTEST!$G$16:$G$177</c:f>
              <c:numCache>
                <c:formatCode>0.00</c:formatCode>
                <c:ptCount val="162"/>
                <c:pt idx="0">
                  <c:v>3.49</c:v>
                </c:pt>
                <c:pt idx="1">
                  <c:v>3.58</c:v>
                </c:pt>
                <c:pt idx="2">
                  <c:v>5.13</c:v>
                </c:pt>
                <c:pt idx="3">
                  <c:v>3.19</c:v>
                </c:pt>
                <c:pt idx="4">
                  <c:v>3.65</c:v>
                </c:pt>
                <c:pt idx="5">
                  <c:v>3.05</c:v>
                </c:pt>
                <c:pt idx="6">
                  <c:v>3.93</c:v>
                </c:pt>
                <c:pt idx="7">
                  <c:v>4.57</c:v>
                </c:pt>
                <c:pt idx="8">
                  <c:v>2.57</c:v>
                </c:pt>
                <c:pt idx="9">
                  <c:v>3.8</c:v>
                </c:pt>
                <c:pt idx="10">
                  <c:v>2.87</c:v>
                </c:pt>
                <c:pt idx="11">
                  <c:v>3.67</c:v>
                </c:pt>
                <c:pt idx="12">
                  <c:v>4.55</c:v>
                </c:pt>
                <c:pt idx="13">
                  <c:v>3.2</c:v>
                </c:pt>
                <c:pt idx="14">
                  <c:v>3.87</c:v>
                </c:pt>
                <c:pt idx="15">
                  <c:v>4.03</c:v>
                </c:pt>
                <c:pt idx="16">
                  <c:v>2.65</c:v>
                </c:pt>
                <c:pt idx="17">
                  <c:v>2.48</c:v>
                </c:pt>
                <c:pt idx="18">
                  <c:v>2.36</c:v>
                </c:pt>
                <c:pt idx="19">
                  <c:v>3.03</c:v>
                </c:pt>
                <c:pt idx="20">
                  <c:v>3.46</c:v>
                </c:pt>
                <c:pt idx="21">
                  <c:v>5.04</c:v>
                </c:pt>
                <c:pt idx="22">
                  <c:v>7.06</c:v>
                </c:pt>
                <c:pt idx="23">
                  <c:v>6.43</c:v>
                </c:pt>
                <c:pt idx="24">
                  <c:v>5.31</c:v>
                </c:pt>
                <c:pt idx="25">
                  <c:v>5.31</c:v>
                </c:pt>
                <c:pt idx="26">
                  <c:v>4.34</c:v>
                </c:pt>
                <c:pt idx="27">
                  <c:v>4.6500000000000004</c:v>
                </c:pt>
                <c:pt idx="28">
                  <c:v>4.63</c:v>
                </c:pt>
                <c:pt idx="29">
                  <c:v>6.5</c:v>
                </c:pt>
                <c:pt idx="30">
                  <c:v>6.84</c:v>
                </c:pt>
                <c:pt idx="31">
                  <c:v>6.6</c:v>
                </c:pt>
                <c:pt idx="32">
                  <c:v>5.93</c:v>
                </c:pt>
                <c:pt idx="33">
                  <c:v>4.24</c:v>
                </c:pt>
                <c:pt idx="34">
                  <c:v>3.35</c:v>
                </c:pt>
                <c:pt idx="35">
                  <c:v>3.79</c:v>
                </c:pt>
                <c:pt idx="36">
                  <c:v>4.38</c:v>
                </c:pt>
                <c:pt idx="37">
                  <c:v>6.55</c:v>
                </c:pt>
                <c:pt idx="38">
                  <c:v>6.1</c:v>
                </c:pt>
                <c:pt idx="39">
                  <c:v>6.21</c:v>
                </c:pt>
                <c:pt idx="40">
                  <c:v>5.74</c:v>
                </c:pt>
                <c:pt idx="41">
                  <c:v>4.99</c:v>
                </c:pt>
                <c:pt idx="42">
                  <c:v>5.16</c:v>
                </c:pt>
                <c:pt idx="43">
                  <c:v>3.81</c:v>
                </c:pt>
                <c:pt idx="44">
                  <c:v>3.47</c:v>
                </c:pt>
                <c:pt idx="45">
                  <c:v>4.1900000000000004</c:v>
                </c:pt>
                <c:pt idx="46">
                  <c:v>5.09</c:v>
                </c:pt>
                <c:pt idx="47">
                  <c:v>5.19</c:v>
                </c:pt>
                <c:pt idx="48">
                  <c:v>6.21</c:v>
                </c:pt>
                <c:pt idx="49">
                  <c:v>7.07</c:v>
                </c:pt>
                <c:pt idx="50">
                  <c:v>5.8</c:v>
                </c:pt>
                <c:pt idx="51">
                  <c:v>4.7</c:v>
                </c:pt>
                <c:pt idx="52">
                  <c:v>5.17</c:v>
                </c:pt>
                <c:pt idx="53">
                  <c:v>7.64</c:v>
                </c:pt>
                <c:pt idx="54">
                  <c:v>6.56</c:v>
                </c:pt>
                <c:pt idx="55">
                  <c:v>5.49</c:v>
                </c:pt>
                <c:pt idx="56">
                  <c:v>4.0599999999999996</c:v>
                </c:pt>
                <c:pt idx="57">
                  <c:v>3.86</c:v>
                </c:pt>
                <c:pt idx="58">
                  <c:v>3.54</c:v>
                </c:pt>
                <c:pt idx="59">
                  <c:v>2.09</c:v>
                </c:pt>
                <c:pt idx="60">
                  <c:v>0.5</c:v>
                </c:pt>
                <c:pt idx="61">
                  <c:v>0.35</c:v>
                </c:pt>
                <c:pt idx="62">
                  <c:v>0.34</c:v>
                </c:pt>
                <c:pt idx="63">
                  <c:v>1.56</c:v>
                </c:pt>
                <c:pt idx="64">
                  <c:v>3.08</c:v>
                </c:pt>
                <c:pt idx="65">
                  <c:v>4.9800000000000004</c:v>
                </c:pt>
                <c:pt idx="66">
                  <c:v>11.81</c:v>
                </c:pt>
                <c:pt idx="67">
                  <c:v>8.58</c:v>
                </c:pt>
                <c:pt idx="68">
                  <c:v>7.4</c:v>
                </c:pt>
                <c:pt idx="69">
                  <c:v>7.3</c:v>
                </c:pt>
                <c:pt idx="70">
                  <c:v>7.89</c:v>
                </c:pt>
                <c:pt idx="71">
                  <c:v>8.1199999999999992</c:v>
                </c:pt>
                <c:pt idx="72">
                  <c:v>6.81</c:v>
                </c:pt>
                <c:pt idx="73">
                  <c:v>7.45</c:v>
                </c:pt>
                <c:pt idx="74">
                  <c:v>7.98</c:v>
                </c:pt>
                <c:pt idx="75">
                  <c:v>13.67</c:v>
                </c:pt>
                <c:pt idx="76">
                  <c:v>15.16</c:v>
                </c:pt>
                <c:pt idx="77">
                  <c:v>15.19</c:v>
                </c:pt>
                <c:pt idx="78">
                  <c:v>12.65</c:v>
                </c:pt>
                <c:pt idx="79">
                  <c:v>11.24</c:v>
                </c:pt>
                <c:pt idx="80">
                  <c:v>10.09</c:v>
                </c:pt>
                <c:pt idx="81">
                  <c:v>8.19</c:v>
                </c:pt>
                <c:pt idx="82">
                  <c:v>8.4</c:v>
                </c:pt>
                <c:pt idx="83">
                  <c:v>8.2799999999999994</c:v>
                </c:pt>
                <c:pt idx="84">
                  <c:v>4.18</c:v>
                </c:pt>
                <c:pt idx="85">
                  <c:v>1.96</c:v>
                </c:pt>
                <c:pt idx="86">
                  <c:v>0.56000000000000005</c:v>
                </c:pt>
                <c:pt idx="87">
                  <c:v>0.31</c:v>
                </c:pt>
                <c:pt idx="88">
                  <c:v>0.32</c:v>
                </c:pt>
                <c:pt idx="89">
                  <c:v>0.14000000000000001</c:v>
                </c:pt>
                <c:pt idx="90">
                  <c:v>1.25</c:v>
                </c:pt>
                <c:pt idx="91">
                  <c:v>1.82</c:v>
                </c:pt>
                <c:pt idx="92">
                  <c:v>1.27</c:v>
                </c:pt>
                <c:pt idx="93">
                  <c:v>1.6</c:v>
                </c:pt>
                <c:pt idx="94">
                  <c:v>1.65</c:v>
                </c:pt>
                <c:pt idx="95">
                  <c:v>1.71</c:v>
                </c:pt>
                <c:pt idx="96">
                  <c:v>1.86</c:v>
                </c:pt>
                <c:pt idx="97">
                  <c:v>2.34</c:v>
                </c:pt>
                <c:pt idx="98">
                  <c:v>1.91</c:v>
                </c:pt>
                <c:pt idx="99">
                  <c:v>1.64</c:v>
                </c:pt>
                <c:pt idx="100">
                  <c:v>1.51</c:v>
                </c:pt>
                <c:pt idx="101">
                  <c:v>1.75</c:v>
                </c:pt>
                <c:pt idx="102">
                  <c:v>2.1</c:v>
                </c:pt>
                <c:pt idx="103">
                  <c:v>2.74</c:v>
                </c:pt>
                <c:pt idx="104">
                  <c:v>2.39</c:v>
                </c:pt>
                <c:pt idx="105">
                  <c:v>2.0499999999999998</c:v>
                </c:pt>
                <c:pt idx="106">
                  <c:v>2.2000000000000002</c:v>
                </c:pt>
                <c:pt idx="107">
                  <c:v>2.96</c:v>
                </c:pt>
                <c:pt idx="108">
                  <c:v>2.76</c:v>
                </c:pt>
                <c:pt idx="109">
                  <c:v>2.2200000000000002</c:v>
                </c:pt>
                <c:pt idx="110">
                  <c:v>2.25</c:v>
                </c:pt>
                <c:pt idx="111">
                  <c:v>3.01</c:v>
                </c:pt>
                <c:pt idx="112">
                  <c:v>3.49</c:v>
                </c:pt>
                <c:pt idx="113">
                  <c:v>3.46</c:v>
                </c:pt>
                <c:pt idx="114">
                  <c:v>3.6</c:v>
                </c:pt>
                <c:pt idx="115">
                  <c:v>3.85</c:v>
                </c:pt>
                <c:pt idx="116">
                  <c:v>4.5</c:v>
                </c:pt>
                <c:pt idx="117">
                  <c:v>4.0999999999999996</c:v>
                </c:pt>
                <c:pt idx="118">
                  <c:v>3.4</c:v>
                </c:pt>
                <c:pt idx="119">
                  <c:v>3.8</c:v>
                </c:pt>
                <c:pt idx="120">
                  <c:v>5.0999999999999996</c:v>
                </c:pt>
                <c:pt idx="121">
                  <c:v>5.5</c:v>
                </c:pt>
                <c:pt idx="122">
                  <c:v>5.7</c:v>
                </c:pt>
                <c:pt idx="123">
                  <c:v>5.3</c:v>
                </c:pt>
                <c:pt idx="124">
                  <c:v>5.6</c:v>
                </c:pt>
                <c:pt idx="125">
                  <c:v>8.3000000000000007</c:v>
                </c:pt>
                <c:pt idx="126">
                  <c:v>10.3</c:v>
                </c:pt>
                <c:pt idx="127">
                  <c:v>11.2</c:v>
                </c:pt>
                <c:pt idx="128">
                  <c:v>11.7</c:v>
                </c:pt>
                <c:pt idx="129">
                  <c:v>11.6</c:v>
                </c:pt>
                <c:pt idx="130">
                  <c:v>11.3</c:v>
                </c:pt>
                <c:pt idx="131">
                  <c:v>11.2</c:v>
                </c:pt>
                <c:pt idx="132">
                  <c:v>9.5</c:v>
                </c:pt>
                <c:pt idx="133">
                  <c:v>7.9</c:v>
                </c:pt>
                <c:pt idx="134">
                  <c:v>7</c:v>
                </c:pt>
                <c:pt idx="135">
                  <c:v>7.6</c:v>
                </c:pt>
                <c:pt idx="136">
                  <c:v>9.5</c:v>
                </c:pt>
                <c:pt idx="137">
                  <c:v>10.5</c:v>
                </c:pt>
                <c:pt idx="138">
                  <c:v>10.3</c:v>
                </c:pt>
                <c:pt idx="139">
                  <c:v>8.9</c:v>
                </c:pt>
                <c:pt idx="140">
                  <c:v>8.4</c:v>
                </c:pt>
                <c:pt idx="141">
                  <c:v>7.7</c:v>
                </c:pt>
                <c:pt idx="142">
                  <c:v>6.4</c:v>
                </c:pt>
                <c:pt idx="143">
                  <c:v>6.2</c:v>
                </c:pt>
                <c:pt idx="144">
                  <c:v>5.9</c:v>
                </c:pt>
                <c:pt idx="145">
                  <c:v>5.2</c:v>
                </c:pt>
                <c:pt idx="146">
                  <c:v>5.2</c:v>
                </c:pt>
                <c:pt idx="147">
                  <c:v>5</c:v>
                </c:pt>
                <c:pt idx="148">
                  <c:v>4.8</c:v>
                </c:pt>
                <c:pt idx="149">
                  <c:v>4.7</c:v>
                </c:pt>
                <c:pt idx="150">
                  <c:v>5.0999999999999996</c:v>
                </c:pt>
                <c:pt idx="151">
                  <c:v>5.5</c:v>
                </c:pt>
                <c:pt idx="152">
                  <c:v>5.2</c:v>
                </c:pt>
                <c:pt idx="153">
                  <c:v>6.5</c:v>
                </c:pt>
                <c:pt idx="154">
                  <c:v>7.7</c:v>
                </c:pt>
                <c:pt idx="155">
                  <c:v>7.9</c:v>
                </c:pt>
                <c:pt idx="156">
                  <c:v>8.3000000000000007</c:v>
                </c:pt>
                <c:pt idx="157">
                  <c:v>7.8</c:v>
                </c:pt>
                <c:pt idx="158">
                  <c:v>7.2</c:v>
                </c:pt>
                <c:pt idx="159">
                  <c:v>5.7</c:v>
                </c:pt>
                <c:pt idx="160">
                  <c:v>5.0999999999999996</c:v>
                </c:pt>
                <c:pt idx="161">
                  <c:v>4.7</c:v>
                </c:pt>
              </c:numCache>
            </c:numRef>
          </c:xVal>
          <c:yVal>
            <c:numRef>
              <c:f>CHOWTEST!$I$16:$I$177</c:f>
              <c:numCache>
                <c:formatCode>0.00</c:formatCode>
                <c:ptCount val="162"/>
                <c:pt idx="0">
                  <c:v>1.97</c:v>
                </c:pt>
                <c:pt idx="1">
                  <c:v>0.53</c:v>
                </c:pt>
                <c:pt idx="2">
                  <c:v>-2.3199999999999998</c:v>
                </c:pt>
                <c:pt idx="3">
                  <c:v>-10.16</c:v>
                </c:pt>
                <c:pt idx="4">
                  <c:v>0.98</c:v>
                </c:pt>
                <c:pt idx="5">
                  <c:v>7.84</c:v>
                </c:pt>
                <c:pt idx="6">
                  <c:v>1.18</c:v>
                </c:pt>
                <c:pt idx="7">
                  <c:v>-0.62</c:v>
                </c:pt>
                <c:pt idx="8">
                  <c:v>-3.99</c:v>
                </c:pt>
                <c:pt idx="9">
                  <c:v>-1.1499999999999999</c:v>
                </c:pt>
                <c:pt idx="10">
                  <c:v>1.74</c:v>
                </c:pt>
                <c:pt idx="11">
                  <c:v>6.35</c:v>
                </c:pt>
                <c:pt idx="12">
                  <c:v>5.3</c:v>
                </c:pt>
                <c:pt idx="13">
                  <c:v>-2.99</c:v>
                </c:pt>
                <c:pt idx="14">
                  <c:v>-6.57</c:v>
                </c:pt>
                <c:pt idx="15">
                  <c:v>0.42</c:v>
                </c:pt>
                <c:pt idx="16">
                  <c:v>2.8</c:v>
                </c:pt>
                <c:pt idx="17">
                  <c:v>4.22</c:v>
                </c:pt>
                <c:pt idx="18">
                  <c:v>0.78</c:v>
                </c:pt>
                <c:pt idx="19">
                  <c:v>-4.54</c:v>
                </c:pt>
                <c:pt idx="20">
                  <c:v>-1.49</c:v>
                </c:pt>
                <c:pt idx="21">
                  <c:v>0.21</c:v>
                </c:pt>
                <c:pt idx="22">
                  <c:v>-7.0000000000000007E-2</c:v>
                </c:pt>
                <c:pt idx="23">
                  <c:v>-3.03</c:v>
                </c:pt>
                <c:pt idx="24">
                  <c:v>-4.47</c:v>
                </c:pt>
                <c:pt idx="25">
                  <c:v>2.0099999999999998</c:v>
                </c:pt>
                <c:pt idx="26">
                  <c:v>-1.24</c:v>
                </c:pt>
                <c:pt idx="27">
                  <c:v>0.15</c:v>
                </c:pt>
                <c:pt idx="28">
                  <c:v>0</c:v>
                </c:pt>
                <c:pt idx="29">
                  <c:v>-3.44</c:v>
                </c:pt>
                <c:pt idx="30">
                  <c:v>-3.47</c:v>
                </c:pt>
                <c:pt idx="31">
                  <c:v>-0.9</c:v>
                </c:pt>
                <c:pt idx="32">
                  <c:v>-2.0099999999999998</c:v>
                </c:pt>
                <c:pt idx="33">
                  <c:v>-0.21</c:v>
                </c:pt>
                <c:pt idx="34">
                  <c:v>0.82</c:v>
                </c:pt>
                <c:pt idx="35">
                  <c:v>0.41</c:v>
                </c:pt>
                <c:pt idx="36">
                  <c:v>0.81</c:v>
                </c:pt>
                <c:pt idx="37">
                  <c:v>0.4</c:v>
                </c:pt>
                <c:pt idx="38">
                  <c:v>-1.91</c:v>
                </c:pt>
                <c:pt idx="39">
                  <c:v>-2.66</c:v>
                </c:pt>
                <c:pt idx="40">
                  <c:v>-1.37</c:v>
                </c:pt>
                <c:pt idx="41">
                  <c:v>-0.21</c:v>
                </c:pt>
                <c:pt idx="42">
                  <c:v>2.0299999999999998</c:v>
                </c:pt>
                <c:pt idx="43">
                  <c:v>1.78</c:v>
                </c:pt>
                <c:pt idx="44">
                  <c:v>-1.03</c:v>
                </c:pt>
                <c:pt idx="45">
                  <c:v>4.0599999999999996</c:v>
                </c:pt>
                <c:pt idx="46">
                  <c:v>-0.3</c:v>
                </c:pt>
                <c:pt idx="47">
                  <c:v>0</c:v>
                </c:pt>
                <c:pt idx="48">
                  <c:v>1.1000000000000001</c:v>
                </c:pt>
                <c:pt idx="49">
                  <c:v>-0.4</c:v>
                </c:pt>
                <c:pt idx="50">
                  <c:v>0.4</c:v>
                </c:pt>
                <c:pt idx="51">
                  <c:v>-0.1</c:v>
                </c:pt>
                <c:pt idx="52">
                  <c:v>1.59</c:v>
                </c:pt>
                <c:pt idx="53">
                  <c:v>1.27</c:v>
                </c:pt>
                <c:pt idx="54">
                  <c:v>0.19</c:v>
                </c:pt>
                <c:pt idx="55">
                  <c:v>2.12</c:v>
                </c:pt>
                <c:pt idx="56">
                  <c:v>0.28000000000000003</c:v>
                </c:pt>
                <c:pt idx="57">
                  <c:v>2.82</c:v>
                </c:pt>
                <c:pt idx="58">
                  <c:v>0.64</c:v>
                </c:pt>
                <c:pt idx="59">
                  <c:v>2.5499999999999998</c:v>
                </c:pt>
                <c:pt idx="60">
                  <c:v>12.5</c:v>
                </c:pt>
                <c:pt idx="61">
                  <c:v>18.100000000000001</c:v>
                </c:pt>
                <c:pt idx="62">
                  <c:v>25.2</c:v>
                </c:pt>
                <c:pt idx="63">
                  <c:v>22</c:v>
                </c:pt>
                <c:pt idx="64">
                  <c:v>10.1</c:v>
                </c:pt>
                <c:pt idx="65">
                  <c:v>15.4</c:v>
                </c:pt>
                <c:pt idx="66">
                  <c:v>-8.6</c:v>
                </c:pt>
                <c:pt idx="67">
                  <c:v>-14</c:v>
                </c:pt>
                <c:pt idx="68">
                  <c:v>-6</c:v>
                </c:pt>
                <c:pt idx="69">
                  <c:v>-0.7</c:v>
                </c:pt>
                <c:pt idx="70">
                  <c:v>0.3</c:v>
                </c:pt>
                <c:pt idx="71">
                  <c:v>-0.8</c:v>
                </c:pt>
                <c:pt idx="72">
                  <c:v>-2.4</c:v>
                </c:pt>
                <c:pt idx="73">
                  <c:v>-0.3</c:v>
                </c:pt>
                <c:pt idx="74">
                  <c:v>-0.9</c:v>
                </c:pt>
                <c:pt idx="75">
                  <c:v>-2.8</c:v>
                </c:pt>
                <c:pt idx="76">
                  <c:v>-4.3</c:v>
                </c:pt>
                <c:pt idx="77">
                  <c:v>-2.6</c:v>
                </c:pt>
                <c:pt idx="78">
                  <c:v>-2.1</c:v>
                </c:pt>
                <c:pt idx="79">
                  <c:v>0</c:v>
                </c:pt>
                <c:pt idx="80">
                  <c:v>0.7</c:v>
                </c:pt>
                <c:pt idx="81">
                  <c:v>0.7</c:v>
                </c:pt>
                <c:pt idx="82">
                  <c:v>3.4</c:v>
                </c:pt>
                <c:pt idx="83">
                  <c:v>1.6</c:v>
                </c:pt>
                <c:pt idx="84">
                  <c:v>2.8</c:v>
                </c:pt>
                <c:pt idx="85">
                  <c:v>16.8</c:v>
                </c:pt>
                <c:pt idx="86">
                  <c:v>10.8</c:v>
                </c:pt>
                <c:pt idx="87">
                  <c:v>7.1</c:v>
                </c:pt>
                <c:pt idx="88">
                  <c:v>3.4</c:v>
                </c:pt>
                <c:pt idx="89">
                  <c:v>2.7</c:v>
                </c:pt>
                <c:pt idx="90">
                  <c:v>2.8</c:v>
                </c:pt>
                <c:pt idx="91">
                  <c:v>3.1</c:v>
                </c:pt>
                <c:pt idx="92">
                  <c:v>7</c:v>
                </c:pt>
                <c:pt idx="93">
                  <c:v>7.7</c:v>
                </c:pt>
                <c:pt idx="94">
                  <c:v>2.8</c:v>
                </c:pt>
                <c:pt idx="95">
                  <c:v>3.92</c:v>
                </c:pt>
                <c:pt idx="96">
                  <c:v>9.0500000000000007</c:v>
                </c:pt>
                <c:pt idx="97">
                  <c:v>10.65</c:v>
                </c:pt>
                <c:pt idx="98">
                  <c:v>3.63</c:v>
                </c:pt>
                <c:pt idx="99">
                  <c:v>2.29</c:v>
                </c:pt>
                <c:pt idx="100">
                  <c:v>5.07</c:v>
                </c:pt>
                <c:pt idx="101">
                  <c:v>5.16</c:v>
                </c:pt>
                <c:pt idx="102">
                  <c:v>3.84</c:v>
                </c:pt>
                <c:pt idx="103">
                  <c:v>2.88</c:v>
                </c:pt>
                <c:pt idx="104">
                  <c:v>0.6</c:v>
                </c:pt>
                <c:pt idx="105">
                  <c:v>0.79</c:v>
                </c:pt>
                <c:pt idx="106">
                  <c:v>3.25</c:v>
                </c:pt>
                <c:pt idx="107">
                  <c:v>4.2</c:v>
                </c:pt>
                <c:pt idx="108">
                  <c:v>2.11</c:v>
                </c:pt>
                <c:pt idx="109">
                  <c:v>3.23</c:v>
                </c:pt>
                <c:pt idx="110">
                  <c:v>4.26</c:v>
                </c:pt>
                <c:pt idx="111">
                  <c:v>4</c:v>
                </c:pt>
                <c:pt idx="112">
                  <c:v>2.2400000000000002</c:v>
                </c:pt>
                <c:pt idx="113">
                  <c:v>4</c:v>
                </c:pt>
                <c:pt idx="114">
                  <c:v>5.2</c:v>
                </c:pt>
                <c:pt idx="115">
                  <c:v>6.52</c:v>
                </c:pt>
                <c:pt idx="116">
                  <c:v>9.41</c:v>
                </c:pt>
                <c:pt idx="117">
                  <c:v>7.19</c:v>
                </c:pt>
                <c:pt idx="118">
                  <c:v>9.35</c:v>
                </c:pt>
                <c:pt idx="119">
                  <c:v>15.73</c:v>
                </c:pt>
                <c:pt idx="120">
                  <c:v>22.7</c:v>
                </c:pt>
                <c:pt idx="121">
                  <c:v>15.66</c:v>
                </c:pt>
                <c:pt idx="122">
                  <c:v>14.94</c:v>
                </c:pt>
                <c:pt idx="123">
                  <c:v>7.47</c:v>
                </c:pt>
                <c:pt idx="124">
                  <c:v>11.37</c:v>
                </c:pt>
                <c:pt idx="125">
                  <c:v>15.15</c:v>
                </c:pt>
                <c:pt idx="126">
                  <c:v>11.81</c:v>
                </c:pt>
                <c:pt idx="127">
                  <c:v>8.11</c:v>
                </c:pt>
                <c:pt idx="128">
                  <c:v>4.93</c:v>
                </c:pt>
                <c:pt idx="129">
                  <c:v>4.26</c:v>
                </c:pt>
                <c:pt idx="130">
                  <c:v>4.92</c:v>
                </c:pt>
                <c:pt idx="131">
                  <c:v>3.33</c:v>
                </c:pt>
                <c:pt idx="132">
                  <c:v>3.2</c:v>
                </c:pt>
                <c:pt idx="133">
                  <c:v>3.76</c:v>
                </c:pt>
                <c:pt idx="134">
                  <c:v>5.24</c:v>
                </c:pt>
                <c:pt idx="135">
                  <c:v>6.97</c:v>
                </c:pt>
                <c:pt idx="136">
                  <c:v>7.53</c:v>
                </c:pt>
                <c:pt idx="137">
                  <c:v>4.26</c:v>
                </c:pt>
                <c:pt idx="138">
                  <c:v>2.5099999999999998</c:v>
                </c:pt>
                <c:pt idx="139">
                  <c:v>1.98</c:v>
                </c:pt>
                <c:pt idx="140">
                  <c:v>2.66</c:v>
                </c:pt>
                <c:pt idx="141">
                  <c:v>2.4</c:v>
                </c:pt>
                <c:pt idx="142">
                  <c:v>1.82</c:v>
                </c:pt>
                <c:pt idx="143">
                  <c:v>1.56</c:v>
                </c:pt>
                <c:pt idx="144">
                  <c:v>1.33</c:v>
                </c:pt>
                <c:pt idx="145">
                  <c:v>0.8</c:v>
                </c:pt>
                <c:pt idx="146">
                  <c:v>1.23</c:v>
                </c:pt>
                <c:pt idx="147">
                  <c:v>1.26</c:v>
                </c:pt>
                <c:pt idx="148">
                  <c:v>1.36</c:v>
                </c:pt>
                <c:pt idx="149">
                  <c:v>1.34</c:v>
                </c:pt>
                <c:pt idx="150">
                  <c:v>2.06</c:v>
                </c:pt>
                <c:pt idx="151">
                  <c:v>2.33</c:v>
                </c:pt>
                <c:pt idx="152">
                  <c:v>2.3199999999999998</c:v>
                </c:pt>
                <c:pt idx="153">
                  <c:v>3.6</c:v>
                </c:pt>
                <c:pt idx="154">
                  <c:v>2.17</c:v>
                </c:pt>
                <c:pt idx="155">
                  <c:v>3.3</c:v>
                </c:pt>
                <c:pt idx="156">
                  <c:v>4.46</c:v>
                </c:pt>
                <c:pt idx="157">
                  <c:v>2.83</c:v>
                </c:pt>
                <c:pt idx="158">
                  <c:v>2.56</c:v>
                </c:pt>
                <c:pt idx="159">
                  <c:v>1.46</c:v>
                </c:pt>
                <c:pt idx="160">
                  <c:v>0.04</c:v>
                </c:pt>
                <c:pt idx="161">
                  <c:v>0.66</c:v>
                </c:pt>
              </c:numCache>
            </c:numRef>
          </c:yVal>
          <c:smooth val="0"/>
          <c:extLst>
            <c:ext xmlns:c16="http://schemas.microsoft.com/office/drawing/2014/chart" uri="{C3380CC4-5D6E-409C-BE32-E72D297353CC}">
              <c16:uniqueId val="{00000000-B203-4DE1-8F32-5284CEE9073C}"/>
            </c:ext>
          </c:extLst>
        </c:ser>
        <c:dLbls>
          <c:showLegendKey val="0"/>
          <c:showVal val="0"/>
          <c:showCatName val="0"/>
          <c:showSerName val="0"/>
          <c:showPercent val="0"/>
          <c:showBubbleSize val="0"/>
        </c:dLbls>
        <c:axId val="1123039919"/>
        <c:axId val="1123044079"/>
      </c:scatterChart>
      <c:valAx>
        <c:axId val="112303991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Unemployment</a:t>
                </a:r>
              </a:p>
            </c:rich>
          </c:tx>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crossBetween val="midCat"/>
      </c:val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Inflation</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2897194807425E-2"/>
          <c:y val="0.11703729341524616"/>
          <c:w val="0.91018055677154919"/>
          <c:h val="0.77014219376424098"/>
        </c:manualLayout>
      </c:layout>
      <c:lineChart>
        <c:grouping val="standard"/>
        <c:varyColors val="0"/>
        <c:ser>
          <c:idx val="0"/>
          <c:order val="0"/>
          <c:tx>
            <c:strRef>
              <c:f>CHOWTEST!$G$14</c:f>
              <c:strCache>
                <c:ptCount val="1"/>
                <c:pt idx="0">
                  <c:v>Unemployment</c:v>
                </c:pt>
              </c:strCache>
            </c:strRef>
          </c:tx>
          <c:spPr>
            <a:ln w="28575" cap="rnd">
              <a:solidFill>
                <a:schemeClr val="accent1"/>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CHOWTEST!$G$16:$G$177</c:f>
              <c:numCache>
                <c:formatCode>0.00</c:formatCode>
                <c:ptCount val="162"/>
                <c:pt idx="0">
                  <c:v>3.49</c:v>
                </c:pt>
                <c:pt idx="1">
                  <c:v>3.58</c:v>
                </c:pt>
                <c:pt idx="2">
                  <c:v>5.13</c:v>
                </c:pt>
                <c:pt idx="3">
                  <c:v>3.19</c:v>
                </c:pt>
                <c:pt idx="4">
                  <c:v>3.65</c:v>
                </c:pt>
                <c:pt idx="5">
                  <c:v>3.05</c:v>
                </c:pt>
                <c:pt idx="6">
                  <c:v>3.93</c:v>
                </c:pt>
                <c:pt idx="7">
                  <c:v>4.57</c:v>
                </c:pt>
                <c:pt idx="8">
                  <c:v>2.57</c:v>
                </c:pt>
                <c:pt idx="9">
                  <c:v>3.8</c:v>
                </c:pt>
                <c:pt idx="10">
                  <c:v>2.87</c:v>
                </c:pt>
                <c:pt idx="11">
                  <c:v>3.67</c:v>
                </c:pt>
                <c:pt idx="12">
                  <c:v>4.55</c:v>
                </c:pt>
                <c:pt idx="13">
                  <c:v>3.2</c:v>
                </c:pt>
                <c:pt idx="14">
                  <c:v>3.87</c:v>
                </c:pt>
                <c:pt idx="15">
                  <c:v>4.03</c:v>
                </c:pt>
                <c:pt idx="16">
                  <c:v>2.65</c:v>
                </c:pt>
                <c:pt idx="17">
                  <c:v>2.48</c:v>
                </c:pt>
                <c:pt idx="18">
                  <c:v>2.36</c:v>
                </c:pt>
                <c:pt idx="19">
                  <c:v>3.03</c:v>
                </c:pt>
                <c:pt idx="20">
                  <c:v>3.46</c:v>
                </c:pt>
                <c:pt idx="21">
                  <c:v>5.04</c:v>
                </c:pt>
                <c:pt idx="22">
                  <c:v>7.06</c:v>
                </c:pt>
                <c:pt idx="23">
                  <c:v>6.43</c:v>
                </c:pt>
                <c:pt idx="24">
                  <c:v>5.31</c:v>
                </c:pt>
                <c:pt idx="25">
                  <c:v>5.31</c:v>
                </c:pt>
                <c:pt idx="26">
                  <c:v>4.34</c:v>
                </c:pt>
                <c:pt idx="27">
                  <c:v>4.6500000000000004</c:v>
                </c:pt>
                <c:pt idx="28">
                  <c:v>4.63</c:v>
                </c:pt>
                <c:pt idx="29">
                  <c:v>6.5</c:v>
                </c:pt>
                <c:pt idx="30">
                  <c:v>6.84</c:v>
                </c:pt>
                <c:pt idx="31">
                  <c:v>6.6</c:v>
                </c:pt>
                <c:pt idx="32">
                  <c:v>5.93</c:v>
                </c:pt>
                <c:pt idx="33">
                  <c:v>4.24</c:v>
                </c:pt>
                <c:pt idx="34">
                  <c:v>3.35</c:v>
                </c:pt>
                <c:pt idx="35">
                  <c:v>3.79</c:v>
                </c:pt>
                <c:pt idx="36">
                  <c:v>4.38</c:v>
                </c:pt>
                <c:pt idx="37">
                  <c:v>6.55</c:v>
                </c:pt>
                <c:pt idx="38">
                  <c:v>6.1</c:v>
                </c:pt>
                <c:pt idx="39">
                  <c:v>6.21</c:v>
                </c:pt>
                <c:pt idx="40">
                  <c:v>5.74</c:v>
                </c:pt>
                <c:pt idx="41">
                  <c:v>4.99</c:v>
                </c:pt>
                <c:pt idx="42">
                  <c:v>5.16</c:v>
                </c:pt>
                <c:pt idx="43">
                  <c:v>3.81</c:v>
                </c:pt>
                <c:pt idx="44">
                  <c:v>3.47</c:v>
                </c:pt>
                <c:pt idx="45">
                  <c:v>4.1900000000000004</c:v>
                </c:pt>
                <c:pt idx="46">
                  <c:v>5.09</c:v>
                </c:pt>
                <c:pt idx="47">
                  <c:v>5.19</c:v>
                </c:pt>
                <c:pt idx="48">
                  <c:v>6.21</c:v>
                </c:pt>
                <c:pt idx="49">
                  <c:v>7.07</c:v>
                </c:pt>
                <c:pt idx="50">
                  <c:v>5.8</c:v>
                </c:pt>
                <c:pt idx="51">
                  <c:v>4.7</c:v>
                </c:pt>
                <c:pt idx="52">
                  <c:v>5.17</c:v>
                </c:pt>
                <c:pt idx="53">
                  <c:v>7.64</c:v>
                </c:pt>
                <c:pt idx="54">
                  <c:v>6.56</c:v>
                </c:pt>
                <c:pt idx="55">
                  <c:v>5.49</c:v>
                </c:pt>
                <c:pt idx="56">
                  <c:v>4.0599999999999996</c:v>
                </c:pt>
                <c:pt idx="57">
                  <c:v>3.86</c:v>
                </c:pt>
                <c:pt idx="58">
                  <c:v>3.54</c:v>
                </c:pt>
                <c:pt idx="59">
                  <c:v>2.09</c:v>
                </c:pt>
                <c:pt idx="60">
                  <c:v>0.5</c:v>
                </c:pt>
                <c:pt idx="61">
                  <c:v>0.35</c:v>
                </c:pt>
                <c:pt idx="62">
                  <c:v>0.34</c:v>
                </c:pt>
                <c:pt idx="63">
                  <c:v>1.56</c:v>
                </c:pt>
                <c:pt idx="64">
                  <c:v>3.08</c:v>
                </c:pt>
                <c:pt idx="65">
                  <c:v>4.9800000000000004</c:v>
                </c:pt>
                <c:pt idx="66">
                  <c:v>11.81</c:v>
                </c:pt>
                <c:pt idx="67">
                  <c:v>8.58</c:v>
                </c:pt>
                <c:pt idx="68">
                  <c:v>7.4</c:v>
                </c:pt>
                <c:pt idx="69">
                  <c:v>7.3</c:v>
                </c:pt>
                <c:pt idx="70">
                  <c:v>7.89</c:v>
                </c:pt>
                <c:pt idx="71">
                  <c:v>8.1199999999999992</c:v>
                </c:pt>
                <c:pt idx="72">
                  <c:v>6.81</c:v>
                </c:pt>
                <c:pt idx="73">
                  <c:v>7.45</c:v>
                </c:pt>
                <c:pt idx="74">
                  <c:v>7.98</c:v>
                </c:pt>
                <c:pt idx="75">
                  <c:v>13.67</c:v>
                </c:pt>
                <c:pt idx="76">
                  <c:v>15.16</c:v>
                </c:pt>
                <c:pt idx="77">
                  <c:v>15.19</c:v>
                </c:pt>
                <c:pt idx="78">
                  <c:v>12.65</c:v>
                </c:pt>
                <c:pt idx="79">
                  <c:v>11.24</c:v>
                </c:pt>
                <c:pt idx="80">
                  <c:v>10.09</c:v>
                </c:pt>
                <c:pt idx="81">
                  <c:v>8.19</c:v>
                </c:pt>
                <c:pt idx="82">
                  <c:v>8.4</c:v>
                </c:pt>
                <c:pt idx="83">
                  <c:v>8.2799999999999994</c:v>
                </c:pt>
                <c:pt idx="84">
                  <c:v>4.18</c:v>
                </c:pt>
                <c:pt idx="85">
                  <c:v>1.96</c:v>
                </c:pt>
                <c:pt idx="86">
                  <c:v>0.56000000000000005</c:v>
                </c:pt>
                <c:pt idx="87">
                  <c:v>0.31</c:v>
                </c:pt>
                <c:pt idx="88">
                  <c:v>0.32</c:v>
                </c:pt>
                <c:pt idx="89">
                  <c:v>0.14000000000000001</c:v>
                </c:pt>
                <c:pt idx="90">
                  <c:v>1.25</c:v>
                </c:pt>
                <c:pt idx="91">
                  <c:v>1.82</c:v>
                </c:pt>
                <c:pt idx="92">
                  <c:v>1.27</c:v>
                </c:pt>
                <c:pt idx="93">
                  <c:v>1.6</c:v>
                </c:pt>
                <c:pt idx="94">
                  <c:v>1.65</c:v>
                </c:pt>
                <c:pt idx="95">
                  <c:v>1.71</c:v>
                </c:pt>
                <c:pt idx="96">
                  <c:v>1.86</c:v>
                </c:pt>
                <c:pt idx="97">
                  <c:v>2.34</c:v>
                </c:pt>
                <c:pt idx="98">
                  <c:v>1.91</c:v>
                </c:pt>
                <c:pt idx="99">
                  <c:v>1.64</c:v>
                </c:pt>
                <c:pt idx="100">
                  <c:v>1.51</c:v>
                </c:pt>
                <c:pt idx="101">
                  <c:v>1.75</c:v>
                </c:pt>
                <c:pt idx="102">
                  <c:v>2.1</c:v>
                </c:pt>
                <c:pt idx="103">
                  <c:v>2.74</c:v>
                </c:pt>
                <c:pt idx="104">
                  <c:v>2.39</c:v>
                </c:pt>
                <c:pt idx="105">
                  <c:v>2.0499999999999998</c:v>
                </c:pt>
                <c:pt idx="106">
                  <c:v>2.2000000000000002</c:v>
                </c:pt>
                <c:pt idx="107">
                  <c:v>2.96</c:v>
                </c:pt>
                <c:pt idx="108">
                  <c:v>2.76</c:v>
                </c:pt>
                <c:pt idx="109">
                  <c:v>2.2200000000000002</c:v>
                </c:pt>
                <c:pt idx="110">
                  <c:v>2.25</c:v>
                </c:pt>
                <c:pt idx="111">
                  <c:v>3.01</c:v>
                </c:pt>
                <c:pt idx="112">
                  <c:v>3.49</c:v>
                </c:pt>
                <c:pt idx="113">
                  <c:v>3.46</c:v>
                </c:pt>
                <c:pt idx="114">
                  <c:v>3.6</c:v>
                </c:pt>
                <c:pt idx="115">
                  <c:v>3.85</c:v>
                </c:pt>
                <c:pt idx="116">
                  <c:v>4.5</c:v>
                </c:pt>
                <c:pt idx="117">
                  <c:v>4.0999999999999996</c:v>
                </c:pt>
                <c:pt idx="118">
                  <c:v>3.4</c:v>
                </c:pt>
                <c:pt idx="119">
                  <c:v>3.8</c:v>
                </c:pt>
                <c:pt idx="120">
                  <c:v>5.0999999999999996</c:v>
                </c:pt>
                <c:pt idx="121">
                  <c:v>5.5</c:v>
                </c:pt>
                <c:pt idx="122">
                  <c:v>5.7</c:v>
                </c:pt>
                <c:pt idx="123">
                  <c:v>5.3</c:v>
                </c:pt>
                <c:pt idx="124">
                  <c:v>5.6</c:v>
                </c:pt>
                <c:pt idx="125">
                  <c:v>8.3000000000000007</c:v>
                </c:pt>
                <c:pt idx="126">
                  <c:v>10.3</c:v>
                </c:pt>
                <c:pt idx="127">
                  <c:v>11.2</c:v>
                </c:pt>
                <c:pt idx="128">
                  <c:v>11.7</c:v>
                </c:pt>
                <c:pt idx="129">
                  <c:v>11.6</c:v>
                </c:pt>
                <c:pt idx="130">
                  <c:v>11.3</c:v>
                </c:pt>
                <c:pt idx="131">
                  <c:v>11.2</c:v>
                </c:pt>
                <c:pt idx="132">
                  <c:v>9.5</c:v>
                </c:pt>
                <c:pt idx="133">
                  <c:v>7.9</c:v>
                </c:pt>
                <c:pt idx="134">
                  <c:v>7</c:v>
                </c:pt>
                <c:pt idx="135">
                  <c:v>7.6</c:v>
                </c:pt>
                <c:pt idx="136">
                  <c:v>9.5</c:v>
                </c:pt>
                <c:pt idx="137">
                  <c:v>10.5</c:v>
                </c:pt>
                <c:pt idx="138">
                  <c:v>10.3</c:v>
                </c:pt>
                <c:pt idx="139">
                  <c:v>8.9</c:v>
                </c:pt>
                <c:pt idx="140">
                  <c:v>8.4</c:v>
                </c:pt>
                <c:pt idx="141">
                  <c:v>7.7</c:v>
                </c:pt>
                <c:pt idx="142">
                  <c:v>6.4</c:v>
                </c:pt>
                <c:pt idx="143">
                  <c:v>6.2</c:v>
                </c:pt>
                <c:pt idx="144">
                  <c:v>5.9</c:v>
                </c:pt>
                <c:pt idx="145">
                  <c:v>5.2</c:v>
                </c:pt>
                <c:pt idx="146">
                  <c:v>5.2</c:v>
                </c:pt>
                <c:pt idx="147">
                  <c:v>5</c:v>
                </c:pt>
                <c:pt idx="148">
                  <c:v>4.8</c:v>
                </c:pt>
                <c:pt idx="149">
                  <c:v>4.7</c:v>
                </c:pt>
                <c:pt idx="150">
                  <c:v>5.0999999999999996</c:v>
                </c:pt>
                <c:pt idx="151">
                  <c:v>5.5</c:v>
                </c:pt>
                <c:pt idx="152">
                  <c:v>5.2</c:v>
                </c:pt>
                <c:pt idx="153">
                  <c:v>6.5</c:v>
                </c:pt>
                <c:pt idx="154">
                  <c:v>7.7</c:v>
                </c:pt>
                <c:pt idx="155">
                  <c:v>7.9</c:v>
                </c:pt>
                <c:pt idx="156">
                  <c:v>8.3000000000000007</c:v>
                </c:pt>
                <c:pt idx="157">
                  <c:v>7.8</c:v>
                </c:pt>
                <c:pt idx="158">
                  <c:v>7.2</c:v>
                </c:pt>
                <c:pt idx="159">
                  <c:v>5.7</c:v>
                </c:pt>
                <c:pt idx="160">
                  <c:v>5.0999999999999996</c:v>
                </c:pt>
                <c:pt idx="161">
                  <c:v>4.7</c:v>
                </c:pt>
              </c:numCache>
            </c:numRef>
          </c:val>
          <c:smooth val="0"/>
          <c:extLst>
            <c:ext xmlns:c16="http://schemas.microsoft.com/office/drawing/2014/chart" uri="{C3380CC4-5D6E-409C-BE32-E72D297353CC}">
              <c16:uniqueId val="{00000000-DDEC-4283-B59C-12F350CE4A48}"/>
            </c:ext>
          </c:extLst>
        </c:ser>
        <c:ser>
          <c:idx val="1"/>
          <c:order val="1"/>
          <c:tx>
            <c:strRef>
              <c:f>CHOWTEST!$I$14</c:f>
              <c:strCache>
                <c:ptCount val="1"/>
                <c:pt idx="0">
                  <c:v>Inflation</c:v>
                </c:pt>
              </c:strCache>
            </c:strRef>
          </c:tx>
          <c:spPr>
            <a:ln w="28575" cap="rnd">
              <a:solidFill>
                <a:schemeClr val="accent2"/>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CHOWTEST!$I$16:$I$177</c:f>
              <c:numCache>
                <c:formatCode>0.00</c:formatCode>
                <c:ptCount val="162"/>
                <c:pt idx="0">
                  <c:v>1.97</c:v>
                </c:pt>
                <c:pt idx="1">
                  <c:v>0.53</c:v>
                </c:pt>
                <c:pt idx="2">
                  <c:v>-2.3199999999999998</c:v>
                </c:pt>
                <c:pt idx="3">
                  <c:v>-10.16</c:v>
                </c:pt>
                <c:pt idx="4">
                  <c:v>0.98</c:v>
                </c:pt>
                <c:pt idx="5">
                  <c:v>7.84</c:v>
                </c:pt>
                <c:pt idx="6">
                  <c:v>1.18</c:v>
                </c:pt>
                <c:pt idx="7">
                  <c:v>-0.62</c:v>
                </c:pt>
                <c:pt idx="8">
                  <c:v>-3.99</c:v>
                </c:pt>
                <c:pt idx="9">
                  <c:v>-1.1499999999999999</c:v>
                </c:pt>
                <c:pt idx="10">
                  <c:v>1.74</c:v>
                </c:pt>
                <c:pt idx="11">
                  <c:v>6.35</c:v>
                </c:pt>
                <c:pt idx="12">
                  <c:v>5.3</c:v>
                </c:pt>
                <c:pt idx="13">
                  <c:v>-2.99</c:v>
                </c:pt>
                <c:pt idx="14">
                  <c:v>-6.57</c:v>
                </c:pt>
                <c:pt idx="15">
                  <c:v>0.42</c:v>
                </c:pt>
                <c:pt idx="16">
                  <c:v>2.8</c:v>
                </c:pt>
                <c:pt idx="17">
                  <c:v>4.22</c:v>
                </c:pt>
                <c:pt idx="18">
                  <c:v>0.78</c:v>
                </c:pt>
                <c:pt idx="19">
                  <c:v>-4.54</c:v>
                </c:pt>
                <c:pt idx="20">
                  <c:v>-1.49</c:v>
                </c:pt>
                <c:pt idx="21">
                  <c:v>0.21</c:v>
                </c:pt>
                <c:pt idx="22">
                  <c:v>-7.0000000000000007E-2</c:v>
                </c:pt>
                <c:pt idx="23">
                  <c:v>-3.03</c:v>
                </c:pt>
                <c:pt idx="24">
                  <c:v>-4.47</c:v>
                </c:pt>
                <c:pt idx="25">
                  <c:v>2.0099999999999998</c:v>
                </c:pt>
                <c:pt idx="26">
                  <c:v>-1.24</c:v>
                </c:pt>
                <c:pt idx="27">
                  <c:v>0.15</c:v>
                </c:pt>
                <c:pt idx="28">
                  <c:v>0</c:v>
                </c:pt>
                <c:pt idx="29">
                  <c:v>-3.44</c:v>
                </c:pt>
                <c:pt idx="30">
                  <c:v>-3.47</c:v>
                </c:pt>
                <c:pt idx="31">
                  <c:v>-0.9</c:v>
                </c:pt>
                <c:pt idx="32">
                  <c:v>-2.0099999999999998</c:v>
                </c:pt>
                <c:pt idx="33">
                  <c:v>-0.21</c:v>
                </c:pt>
                <c:pt idx="34">
                  <c:v>0.82</c:v>
                </c:pt>
                <c:pt idx="35">
                  <c:v>0.41</c:v>
                </c:pt>
                <c:pt idx="36">
                  <c:v>0.81</c:v>
                </c:pt>
                <c:pt idx="37">
                  <c:v>0.4</c:v>
                </c:pt>
                <c:pt idx="38">
                  <c:v>-1.91</c:v>
                </c:pt>
                <c:pt idx="39">
                  <c:v>-2.66</c:v>
                </c:pt>
                <c:pt idx="40">
                  <c:v>-1.37</c:v>
                </c:pt>
                <c:pt idx="41">
                  <c:v>-0.21</c:v>
                </c:pt>
                <c:pt idx="42">
                  <c:v>2.0299999999999998</c:v>
                </c:pt>
                <c:pt idx="43">
                  <c:v>1.78</c:v>
                </c:pt>
                <c:pt idx="44">
                  <c:v>-1.03</c:v>
                </c:pt>
                <c:pt idx="45">
                  <c:v>4.0599999999999996</c:v>
                </c:pt>
                <c:pt idx="46">
                  <c:v>-0.3</c:v>
                </c:pt>
                <c:pt idx="47">
                  <c:v>0</c:v>
                </c:pt>
                <c:pt idx="48">
                  <c:v>1.1000000000000001</c:v>
                </c:pt>
                <c:pt idx="49">
                  <c:v>-0.4</c:v>
                </c:pt>
                <c:pt idx="50">
                  <c:v>0.4</c:v>
                </c:pt>
                <c:pt idx="51">
                  <c:v>-0.1</c:v>
                </c:pt>
                <c:pt idx="52">
                  <c:v>1.59</c:v>
                </c:pt>
                <c:pt idx="53">
                  <c:v>1.27</c:v>
                </c:pt>
                <c:pt idx="54">
                  <c:v>0.19</c:v>
                </c:pt>
                <c:pt idx="55">
                  <c:v>2.12</c:v>
                </c:pt>
                <c:pt idx="56">
                  <c:v>0.28000000000000003</c:v>
                </c:pt>
                <c:pt idx="57">
                  <c:v>2.82</c:v>
                </c:pt>
                <c:pt idx="58">
                  <c:v>0.64</c:v>
                </c:pt>
                <c:pt idx="59">
                  <c:v>2.5499999999999998</c:v>
                </c:pt>
                <c:pt idx="60">
                  <c:v>12.5</c:v>
                </c:pt>
                <c:pt idx="61">
                  <c:v>18.100000000000001</c:v>
                </c:pt>
                <c:pt idx="62">
                  <c:v>25.2</c:v>
                </c:pt>
                <c:pt idx="63">
                  <c:v>22</c:v>
                </c:pt>
                <c:pt idx="64">
                  <c:v>10.1</c:v>
                </c:pt>
                <c:pt idx="65">
                  <c:v>15.4</c:v>
                </c:pt>
                <c:pt idx="66">
                  <c:v>-8.6</c:v>
                </c:pt>
                <c:pt idx="67">
                  <c:v>-14</c:v>
                </c:pt>
                <c:pt idx="68">
                  <c:v>-6</c:v>
                </c:pt>
                <c:pt idx="69">
                  <c:v>-0.7</c:v>
                </c:pt>
                <c:pt idx="70">
                  <c:v>0.3</c:v>
                </c:pt>
                <c:pt idx="71">
                  <c:v>-0.8</c:v>
                </c:pt>
                <c:pt idx="72">
                  <c:v>-2.4</c:v>
                </c:pt>
                <c:pt idx="73">
                  <c:v>-0.3</c:v>
                </c:pt>
                <c:pt idx="74">
                  <c:v>-0.9</c:v>
                </c:pt>
                <c:pt idx="75">
                  <c:v>-2.8</c:v>
                </c:pt>
                <c:pt idx="76">
                  <c:v>-4.3</c:v>
                </c:pt>
                <c:pt idx="77">
                  <c:v>-2.6</c:v>
                </c:pt>
                <c:pt idx="78">
                  <c:v>-2.1</c:v>
                </c:pt>
                <c:pt idx="79">
                  <c:v>0</c:v>
                </c:pt>
                <c:pt idx="80">
                  <c:v>0.7</c:v>
                </c:pt>
                <c:pt idx="81">
                  <c:v>0.7</c:v>
                </c:pt>
                <c:pt idx="82">
                  <c:v>3.4</c:v>
                </c:pt>
                <c:pt idx="83">
                  <c:v>1.6</c:v>
                </c:pt>
                <c:pt idx="84">
                  <c:v>2.8</c:v>
                </c:pt>
                <c:pt idx="85">
                  <c:v>16.8</c:v>
                </c:pt>
                <c:pt idx="86">
                  <c:v>10.8</c:v>
                </c:pt>
                <c:pt idx="87">
                  <c:v>7.1</c:v>
                </c:pt>
                <c:pt idx="88">
                  <c:v>3.4</c:v>
                </c:pt>
                <c:pt idx="89">
                  <c:v>2.7</c:v>
                </c:pt>
                <c:pt idx="90">
                  <c:v>2.8</c:v>
                </c:pt>
                <c:pt idx="91">
                  <c:v>3.1</c:v>
                </c:pt>
                <c:pt idx="92">
                  <c:v>7</c:v>
                </c:pt>
                <c:pt idx="93">
                  <c:v>7.7</c:v>
                </c:pt>
                <c:pt idx="94">
                  <c:v>2.8</c:v>
                </c:pt>
                <c:pt idx="95">
                  <c:v>3.92</c:v>
                </c:pt>
                <c:pt idx="96">
                  <c:v>9.0500000000000007</c:v>
                </c:pt>
                <c:pt idx="97">
                  <c:v>10.65</c:v>
                </c:pt>
                <c:pt idx="98">
                  <c:v>3.63</c:v>
                </c:pt>
                <c:pt idx="99">
                  <c:v>2.29</c:v>
                </c:pt>
                <c:pt idx="100">
                  <c:v>5.07</c:v>
                </c:pt>
                <c:pt idx="101">
                  <c:v>5.16</c:v>
                </c:pt>
                <c:pt idx="102">
                  <c:v>3.84</c:v>
                </c:pt>
                <c:pt idx="103">
                  <c:v>2.88</c:v>
                </c:pt>
                <c:pt idx="104">
                  <c:v>0.6</c:v>
                </c:pt>
                <c:pt idx="105">
                  <c:v>0.79</c:v>
                </c:pt>
                <c:pt idx="106">
                  <c:v>3.25</c:v>
                </c:pt>
                <c:pt idx="107">
                  <c:v>4.2</c:v>
                </c:pt>
                <c:pt idx="108">
                  <c:v>2.11</c:v>
                </c:pt>
                <c:pt idx="109">
                  <c:v>3.23</c:v>
                </c:pt>
                <c:pt idx="110">
                  <c:v>4.26</c:v>
                </c:pt>
                <c:pt idx="111">
                  <c:v>4</c:v>
                </c:pt>
                <c:pt idx="112">
                  <c:v>2.2400000000000002</c:v>
                </c:pt>
                <c:pt idx="113">
                  <c:v>4</c:v>
                </c:pt>
                <c:pt idx="114">
                  <c:v>5.2</c:v>
                </c:pt>
                <c:pt idx="115">
                  <c:v>6.52</c:v>
                </c:pt>
                <c:pt idx="116">
                  <c:v>9.41</c:v>
                </c:pt>
                <c:pt idx="117">
                  <c:v>7.19</c:v>
                </c:pt>
                <c:pt idx="118">
                  <c:v>9.35</c:v>
                </c:pt>
                <c:pt idx="119">
                  <c:v>15.73</c:v>
                </c:pt>
                <c:pt idx="120">
                  <c:v>22.7</c:v>
                </c:pt>
                <c:pt idx="121">
                  <c:v>15.66</c:v>
                </c:pt>
                <c:pt idx="122">
                  <c:v>14.94</c:v>
                </c:pt>
                <c:pt idx="123">
                  <c:v>7.47</c:v>
                </c:pt>
                <c:pt idx="124">
                  <c:v>11.37</c:v>
                </c:pt>
                <c:pt idx="125">
                  <c:v>15.15</c:v>
                </c:pt>
                <c:pt idx="126">
                  <c:v>11.81</c:v>
                </c:pt>
                <c:pt idx="127">
                  <c:v>8.11</c:v>
                </c:pt>
                <c:pt idx="128">
                  <c:v>4.93</c:v>
                </c:pt>
                <c:pt idx="129">
                  <c:v>4.26</c:v>
                </c:pt>
                <c:pt idx="130">
                  <c:v>4.92</c:v>
                </c:pt>
                <c:pt idx="131">
                  <c:v>3.33</c:v>
                </c:pt>
                <c:pt idx="132">
                  <c:v>3.2</c:v>
                </c:pt>
                <c:pt idx="133">
                  <c:v>3.76</c:v>
                </c:pt>
                <c:pt idx="134">
                  <c:v>5.24</c:v>
                </c:pt>
                <c:pt idx="135">
                  <c:v>6.97</c:v>
                </c:pt>
                <c:pt idx="136">
                  <c:v>7.53</c:v>
                </c:pt>
                <c:pt idx="137">
                  <c:v>4.26</c:v>
                </c:pt>
                <c:pt idx="138">
                  <c:v>2.5099999999999998</c:v>
                </c:pt>
                <c:pt idx="139">
                  <c:v>1.98</c:v>
                </c:pt>
                <c:pt idx="140">
                  <c:v>2.66</c:v>
                </c:pt>
                <c:pt idx="141">
                  <c:v>2.4</c:v>
                </c:pt>
                <c:pt idx="142">
                  <c:v>1.82</c:v>
                </c:pt>
                <c:pt idx="143">
                  <c:v>1.56</c:v>
                </c:pt>
                <c:pt idx="144">
                  <c:v>1.33</c:v>
                </c:pt>
                <c:pt idx="145">
                  <c:v>0.8</c:v>
                </c:pt>
                <c:pt idx="146">
                  <c:v>1.23</c:v>
                </c:pt>
                <c:pt idx="147">
                  <c:v>1.26</c:v>
                </c:pt>
                <c:pt idx="148">
                  <c:v>1.36</c:v>
                </c:pt>
                <c:pt idx="149">
                  <c:v>1.34</c:v>
                </c:pt>
                <c:pt idx="150">
                  <c:v>2.06</c:v>
                </c:pt>
                <c:pt idx="151">
                  <c:v>2.33</c:v>
                </c:pt>
                <c:pt idx="152">
                  <c:v>2.3199999999999998</c:v>
                </c:pt>
                <c:pt idx="153">
                  <c:v>3.6</c:v>
                </c:pt>
                <c:pt idx="154">
                  <c:v>2.17</c:v>
                </c:pt>
                <c:pt idx="155">
                  <c:v>3.3</c:v>
                </c:pt>
                <c:pt idx="156">
                  <c:v>4.46</c:v>
                </c:pt>
                <c:pt idx="157">
                  <c:v>2.83</c:v>
                </c:pt>
                <c:pt idx="158">
                  <c:v>2.56</c:v>
                </c:pt>
                <c:pt idx="159">
                  <c:v>1.46</c:v>
                </c:pt>
                <c:pt idx="160">
                  <c:v>0.04</c:v>
                </c:pt>
                <c:pt idx="161">
                  <c:v>0.66</c:v>
                </c:pt>
              </c:numCache>
            </c:numRef>
          </c:val>
          <c:smooth val="0"/>
          <c:extLst>
            <c:ext xmlns:c16="http://schemas.microsoft.com/office/drawing/2014/chart" uri="{C3380CC4-5D6E-409C-BE32-E72D297353CC}">
              <c16:uniqueId val="{00000001-DDEC-4283-B59C-12F350CE4A48}"/>
            </c:ext>
          </c:extLst>
        </c:ser>
        <c:dLbls>
          <c:showLegendKey val="0"/>
          <c:showVal val="0"/>
          <c:showCatName val="0"/>
          <c:showSerName val="0"/>
          <c:showPercent val="0"/>
          <c:showBubbleSize val="0"/>
        </c:dLbls>
        <c:smooth val="0"/>
        <c:axId val="1123039919"/>
        <c:axId val="1123044079"/>
      </c:lineChart>
      <c:catAx>
        <c:axId val="1123039919"/>
        <c:scaling>
          <c:orientation val="minMax"/>
        </c:scaling>
        <c:delete val="0"/>
        <c:axPos val="b"/>
        <c:numFmt formatCode="0"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44079"/>
        <c:crosses val="autoZero"/>
        <c:auto val="1"/>
        <c:lblAlgn val="ctr"/>
        <c:lblOffset val="100"/>
        <c:noMultiLvlLbl val="0"/>
      </c:catAx>
      <c:valAx>
        <c:axId val="112304407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12303991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Chow Test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CHOWTEST!$S$15</c:f>
              <c:strCache>
                <c:ptCount val="1"/>
                <c:pt idx="0">
                  <c:v>F-stat</c:v>
                </c:pt>
              </c:strCache>
            </c:strRef>
          </c:tx>
          <c:spPr>
            <a:ln w="28575" cap="rnd">
              <a:solidFill>
                <a:schemeClr val="accent1"/>
              </a:solidFill>
              <a:round/>
            </a:ln>
            <a:effectLst/>
          </c:spPr>
          <c:marker>
            <c:symbol val="none"/>
          </c:marker>
          <c:cat>
            <c:numRef>
              <c:f>CHOWTEST!$F$16:$F$177</c:f>
              <c:numCache>
                <c:formatCode>0</c:formatCode>
                <c:ptCount val="162"/>
                <c:pt idx="0">
                  <c:v>1855</c:v>
                </c:pt>
                <c:pt idx="1">
                  <c:v>1856</c:v>
                </c:pt>
                <c:pt idx="2">
                  <c:v>1857</c:v>
                </c:pt>
                <c:pt idx="3">
                  <c:v>1858</c:v>
                </c:pt>
                <c:pt idx="4">
                  <c:v>1859</c:v>
                </c:pt>
                <c:pt idx="5">
                  <c:v>1860</c:v>
                </c:pt>
                <c:pt idx="6">
                  <c:v>1861</c:v>
                </c:pt>
                <c:pt idx="7">
                  <c:v>1862</c:v>
                </c:pt>
                <c:pt idx="8">
                  <c:v>1863</c:v>
                </c:pt>
                <c:pt idx="9">
                  <c:v>1864</c:v>
                </c:pt>
                <c:pt idx="10">
                  <c:v>1865</c:v>
                </c:pt>
                <c:pt idx="11">
                  <c:v>1866</c:v>
                </c:pt>
                <c:pt idx="12">
                  <c:v>1867</c:v>
                </c:pt>
                <c:pt idx="13">
                  <c:v>1868</c:v>
                </c:pt>
                <c:pt idx="14">
                  <c:v>1869</c:v>
                </c:pt>
                <c:pt idx="15">
                  <c:v>1870</c:v>
                </c:pt>
                <c:pt idx="16">
                  <c:v>1871</c:v>
                </c:pt>
                <c:pt idx="17">
                  <c:v>1872</c:v>
                </c:pt>
                <c:pt idx="18">
                  <c:v>1873</c:v>
                </c:pt>
                <c:pt idx="19">
                  <c:v>1874</c:v>
                </c:pt>
                <c:pt idx="20">
                  <c:v>1875</c:v>
                </c:pt>
                <c:pt idx="21">
                  <c:v>1876</c:v>
                </c:pt>
                <c:pt idx="22">
                  <c:v>1877</c:v>
                </c:pt>
                <c:pt idx="23">
                  <c:v>1878</c:v>
                </c:pt>
                <c:pt idx="24">
                  <c:v>1879</c:v>
                </c:pt>
                <c:pt idx="25">
                  <c:v>1880</c:v>
                </c:pt>
                <c:pt idx="26">
                  <c:v>1881</c:v>
                </c:pt>
                <c:pt idx="27">
                  <c:v>1882</c:v>
                </c:pt>
                <c:pt idx="28">
                  <c:v>1883</c:v>
                </c:pt>
                <c:pt idx="29">
                  <c:v>1884</c:v>
                </c:pt>
                <c:pt idx="30">
                  <c:v>1885</c:v>
                </c:pt>
                <c:pt idx="31">
                  <c:v>1886</c:v>
                </c:pt>
                <c:pt idx="32">
                  <c:v>1887</c:v>
                </c:pt>
                <c:pt idx="33">
                  <c:v>1888</c:v>
                </c:pt>
                <c:pt idx="34">
                  <c:v>1889</c:v>
                </c:pt>
                <c:pt idx="35">
                  <c:v>1890</c:v>
                </c:pt>
                <c:pt idx="36">
                  <c:v>1891</c:v>
                </c:pt>
                <c:pt idx="37">
                  <c:v>1892</c:v>
                </c:pt>
                <c:pt idx="38">
                  <c:v>1893</c:v>
                </c:pt>
                <c:pt idx="39">
                  <c:v>1894</c:v>
                </c:pt>
                <c:pt idx="40">
                  <c:v>1895</c:v>
                </c:pt>
                <c:pt idx="41">
                  <c:v>1896</c:v>
                </c:pt>
                <c:pt idx="42">
                  <c:v>1897</c:v>
                </c:pt>
                <c:pt idx="43">
                  <c:v>1898</c:v>
                </c:pt>
                <c:pt idx="44">
                  <c:v>1899</c:v>
                </c:pt>
                <c:pt idx="45">
                  <c:v>1900</c:v>
                </c:pt>
                <c:pt idx="46">
                  <c:v>1901</c:v>
                </c:pt>
                <c:pt idx="47">
                  <c:v>1902</c:v>
                </c:pt>
                <c:pt idx="48">
                  <c:v>1903</c:v>
                </c:pt>
                <c:pt idx="49">
                  <c:v>1904</c:v>
                </c:pt>
                <c:pt idx="50">
                  <c:v>1905</c:v>
                </c:pt>
                <c:pt idx="51">
                  <c:v>1906</c:v>
                </c:pt>
                <c:pt idx="52">
                  <c:v>1907</c:v>
                </c:pt>
                <c:pt idx="53">
                  <c:v>1908</c:v>
                </c:pt>
                <c:pt idx="54">
                  <c:v>1909</c:v>
                </c:pt>
                <c:pt idx="55">
                  <c:v>1910</c:v>
                </c:pt>
                <c:pt idx="56">
                  <c:v>1911</c:v>
                </c:pt>
                <c:pt idx="57">
                  <c:v>1912</c:v>
                </c:pt>
                <c:pt idx="58">
                  <c:v>1913</c:v>
                </c:pt>
                <c:pt idx="59">
                  <c:v>1914</c:v>
                </c:pt>
                <c:pt idx="60">
                  <c:v>1915</c:v>
                </c:pt>
                <c:pt idx="61">
                  <c:v>1916</c:v>
                </c:pt>
                <c:pt idx="62">
                  <c:v>1917</c:v>
                </c:pt>
                <c:pt idx="63">
                  <c:v>1918</c:v>
                </c:pt>
                <c:pt idx="64">
                  <c:v>1919</c:v>
                </c:pt>
                <c:pt idx="65">
                  <c:v>1920</c:v>
                </c:pt>
                <c:pt idx="66">
                  <c:v>1921</c:v>
                </c:pt>
                <c:pt idx="67">
                  <c:v>1922</c:v>
                </c:pt>
                <c:pt idx="68">
                  <c:v>1923</c:v>
                </c:pt>
                <c:pt idx="69">
                  <c:v>1924</c:v>
                </c:pt>
                <c:pt idx="70">
                  <c:v>1925</c:v>
                </c:pt>
                <c:pt idx="71">
                  <c:v>1926</c:v>
                </c:pt>
                <c:pt idx="72">
                  <c:v>1927</c:v>
                </c:pt>
                <c:pt idx="73">
                  <c:v>1928</c:v>
                </c:pt>
                <c:pt idx="74">
                  <c:v>1929</c:v>
                </c:pt>
                <c:pt idx="75">
                  <c:v>1930</c:v>
                </c:pt>
                <c:pt idx="76">
                  <c:v>1931</c:v>
                </c:pt>
                <c:pt idx="77">
                  <c:v>1932</c:v>
                </c:pt>
                <c:pt idx="78">
                  <c:v>1933</c:v>
                </c:pt>
                <c:pt idx="79">
                  <c:v>1934</c:v>
                </c:pt>
                <c:pt idx="80">
                  <c:v>1935</c:v>
                </c:pt>
                <c:pt idx="81">
                  <c:v>1936</c:v>
                </c:pt>
                <c:pt idx="82">
                  <c:v>1937</c:v>
                </c:pt>
                <c:pt idx="83">
                  <c:v>1938</c:v>
                </c:pt>
                <c:pt idx="84">
                  <c:v>1939</c:v>
                </c:pt>
                <c:pt idx="85">
                  <c:v>1940</c:v>
                </c:pt>
                <c:pt idx="86">
                  <c:v>1941</c:v>
                </c:pt>
                <c:pt idx="87">
                  <c:v>1942</c:v>
                </c:pt>
                <c:pt idx="88">
                  <c:v>1943</c:v>
                </c:pt>
                <c:pt idx="89">
                  <c:v>1944</c:v>
                </c:pt>
                <c:pt idx="90">
                  <c:v>1945</c:v>
                </c:pt>
                <c:pt idx="91">
                  <c:v>1946</c:v>
                </c:pt>
                <c:pt idx="92">
                  <c:v>1947</c:v>
                </c:pt>
                <c:pt idx="93">
                  <c:v>1948</c:v>
                </c:pt>
                <c:pt idx="94">
                  <c:v>1949</c:v>
                </c:pt>
                <c:pt idx="95">
                  <c:v>1950</c:v>
                </c:pt>
                <c:pt idx="96">
                  <c:v>1951</c:v>
                </c:pt>
                <c:pt idx="97">
                  <c:v>1952</c:v>
                </c:pt>
                <c:pt idx="98">
                  <c:v>1953</c:v>
                </c:pt>
                <c:pt idx="99">
                  <c:v>1954</c:v>
                </c:pt>
                <c:pt idx="100">
                  <c:v>1955</c:v>
                </c:pt>
                <c:pt idx="101">
                  <c:v>1956</c:v>
                </c:pt>
                <c:pt idx="102">
                  <c:v>1957</c:v>
                </c:pt>
                <c:pt idx="103">
                  <c:v>1958</c:v>
                </c:pt>
                <c:pt idx="104">
                  <c:v>1959</c:v>
                </c:pt>
                <c:pt idx="105">
                  <c:v>1960</c:v>
                </c:pt>
                <c:pt idx="106">
                  <c:v>1961</c:v>
                </c:pt>
                <c:pt idx="107">
                  <c:v>1962</c:v>
                </c:pt>
                <c:pt idx="108">
                  <c:v>1963</c:v>
                </c:pt>
                <c:pt idx="109">
                  <c:v>1964</c:v>
                </c:pt>
                <c:pt idx="110">
                  <c:v>1965</c:v>
                </c:pt>
                <c:pt idx="111">
                  <c:v>1966</c:v>
                </c:pt>
                <c:pt idx="112">
                  <c:v>1967</c:v>
                </c:pt>
                <c:pt idx="113">
                  <c:v>1968</c:v>
                </c:pt>
                <c:pt idx="114">
                  <c:v>1969</c:v>
                </c:pt>
                <c:pt idx="115">
                  <c:v>1970</c:v>
                </c:pt>
                <c:pt idx="116">
                  <c:v>1971</c:v>
                </c:pt>
                <c:pt idx="117">
                  <c:v>1972</c:v>
                </c:pt>
                <c:pt idx="118">
                  <c:v>1973</c:v>
                </c:pt>
                <c:pt idx="119">
                  <c:v>1974</c:v>
                </c:pt>
                <c:pt idx="120">
                  <c:v>1975</c:v>
                </c:pt>
                <c:pt idx="121">
                  <c:v>1976</c:v>
                </c:pt>
                <c:pt idx="122">
                  <c:v>1977</c:v>
                </c:pt>
                <c:pt idx="123">
                  <c:v>1978</c:v>
                </c:pt>
                <c:pt idx="124">
                  <c:v>1979</c:v>
                </c:pt>
                <c:pt idx="125">
                  <c:v>1980</c:v>
                </c:pt>
                <c:pt idx="126">
                  <c:v>1981</c:v>
                </c:pt>
                <c:pt idx="127">
                  <c:v>1982</c:v>
                </c:pt>
                <c:pt idx="128">
                  <c:v>1983</c:v>
                </c:pt>
                <c:pt idx="129">
                  <c:v>1984</c:v>
                </c:pt>
                <c:pt idx="130">
                  <c:v>1985</c:v>
                </c:pt>
                <c:pt idx="131">
                  <c:v>1986</c:v>
                </c:pt>
                <c:pt idx="132">
                  <c:v>1987</c:v>
                </c:pt>
                <c:pt idx="133">
                  <c:v>1988</c:v>
                </c:pt>
                <c:pt idx="134">
                  <c:v>1989</c:v>
                </c:pt>
                <c:pt idx="135">
                  <c:v>1990</c:v>
                </c:pt>
                <c:pt idx="136">
                  <c:v>1991</c:v>
                </c:pt>
                <c:pt idx="137">
                  <c:v>1992</c:v>
                </c:pt>
                <c:pt idx="138">
                  <c:v>1993</c:v>
                </c:pt>
                <c:pt idx="139">
                  <c:v>1994</c:v>
                </c:pt>
                <c:pt idx="140">
                  <c:v>1995</c:v>
                </c:pt>
                <c:pt idx="141">
                  <c:v>1996</c:v>
                </c:pt>
                <c:pt idx="142">
                  <c:v>1997</c:v>
                </c:pt>
                <c:pt idx="143">
                  <c:v>1998</c:v>
                </c:pt>
                <c:pt idx="144">
                  <c:v>1999</c:v>
                </c:pt>
                <c:pt idx="145">
                  <c:v>2000</c:v>
                </c:pt>
                <c:pt idx="146">
                  <c:v>2001</c:v>
                </c:pt>
                <c:pt idx="147">
                  <c:v>2002</c:v>
                </c:pt>
                <c:pt idx="148">
                  <c:v>2003</c:v>
                </c:pt>
                <c:pt idx="149">
                  <c:v>2004</c:v>
                </c:pt>
                <c:pt idx="150">
                  <c:v>2005</c:v>
                </c:pt>
                <c:pt idx="151">
                  <c:v>2006</c:v>
                </c:pt>
                <c:pt idx="152">
                  <c:v>2007</c:v>
                </c:pt>
                <c:pt idx="153">
                  <c:v>2008</c:v>
                </c:pt>
                <c:pt idx="154">
                  <c:v>2009</c:v>
                </c:pt>
                <c:pt idx="155">
                  <c:v>2010</c:v>
                </c:pt>
                <c:pt idx="156">
                  <c:v>2011</c:v>
                </c:pt>
                <c:pt idx="157">
                  <c:v>2012</c:v>
                </c:pt>
                <c:pt idx="158">
                  <c:v>2013</c:v>
                </c:pt>
                <c:pt idx="159">
                  <c:v>2014</c:v>
                </c:pt>
                <c:pt idx="160">
                  <c:v>2015</c:v>
                </c:pt>
                <c:pt idx="161">
                  <c:v>2016</c:v>
                </c:pt>
              </c:numCache>
            </c:numRef>
          </c:cat>
          <c:val>
            <c:numRef>
              <c:f>CHOWTEST!$S$16:$S$177</c:f>
              <c:numCache>
                <c:formatCode>0.0</c:formatCode>
                <c:ptCount val="162"/>
                <c:pt idx="0">
                  <c:v>0</c:v>
                </c:pt>
                <c:pt idx="1">
                  <c:v>0</c:v>
                </c:pt>
                <c:pt idx="2">
                  <c:v>0.46533824802536067</c:v>
                </c:pt>
                <c:pt idx="3">
                  <c:v>0.51144390902176451</c:v>
                </c:pt>
                <c:pt idx="4">
                  <c:v>1.422055302778406</c:v>
                </c:pt>
                <c:pt idx="5">
                  <c:v>1.6587154374687376</c:v>
                </c:pt>
                <c:pt idx="6">
                  <c:v>1.7670631463563777</c:v>
                </c:pt>
                <c:pt idx="7">
                  <c:v>1.9401520983244092</c:v>
                </c:pt>
                <c:pt idx="8">
                  <c:v>2.0176364169998413</c:v>
                </c:pt>
                <c:pt idx="9">
                  <c:v>2.8912260987445366</c:v>
                </c:pt>
                <c:pt idx="10">
                  <c:v>3.2200981908803343</c:v>
                </c:pt>
                <c:pt idx="11">
                  <c:v>3.6594617203952873</c:v>
                </c:pt>
                <c:pt idx="12">
                  <c:v>3.7469926970564433</c:v>
                </c:pt>
                <c:pt idx="13">
                  <c:v>3.7143355993288245</c:v>
                </c:pt>
                <c:pt idx="14">
                  <c:v>4.3886431903791578</c:v>
                </c:pt>
                <c:pt idx="15">
                  <c:v>5.0914468548682041</c:v>
                </c:pt>
                <c:pt idx="16">
                  <c:v>5.3271197489798068</c:v>
                </c:pt>
                <c:pt idx="17">
                  <c:v>5.8072325624898085</c:v>
                </c:pt>
                <c:pt idx="18">
                  <c:v>6.2555268848966818</c:v>
                </c:pt>
                <c:pt idx="19">
                  <c:v>7.0363639899437809</c:v>
                </c:pt>
                <c:pt idx="20">
                  <c:v>8.1046836105053046</c:v>
                </c:pt>
                <c:pt idx="21">
                  <c:v>8.7420087568685965</c:v>
                </c:pt>
                <c:pt idx="22">
                  <c:v>8.6659054990725917</c:v>
                </c:pt>
                <c:pt idx="23">
                  <c:v>7.8890700802718099</c:v>
                </c:pt>
                <c:pt idx="24">
                  <c:v>7.422075786824065</c:v>
                </c:pt>
                <c:pt idx="25">
                  <c:v>7.5218905701142456</c:v>
                </c:pt>
                <c:pt idx="26">
                  <c:v>7.3878085705616314</c:v>
                </c:pt>
                <c:pt idx="27">
                  <c:v>7.6976972810404183</c:v>
                </c:pt>
                <c:pt idx="28">
                  <c:v>7.8369410088925555</c:v>
                </c:pt>
                <c:pt idx="29">
                  <c:v>7.9963532315386203</c:v>
                </c:pt>
                <c:pt idx="30">
                  <c:v>7.6354339172584638</c:v>
                </c:pt>
                <c:pt idx="31">
                  <c:v>7.1962476486614504</c:v>
                </c:pt>
                <c:pt idx="32">
                  <c:v>6.8169924116479166</c:v>
                </c:pt>
                <c:pt idx="33">
                  <c:v>6.6965811087947502</c:v>
                </c:pt>
                <c:pt idx="34">
                  <c:v>7.0016779116564027</c:v>
                </c:pt>
                <c:pt idx="35">
                  <c:v>7.5005212309041092</c:v>
                </c:pt>
                <c:pt idx="36">
                  <c:v>7.9207488147811294</c:v>
                </c:pt>
                <c:pt idx="37">
                  <c:v>8.1543488525723529</c:v>
                </c:pt>
                <c:pt idx="38">
                  <c:v>7.7813361663138734</c:v>
                </c:pt>
                <c:pt idx="39">
                  <c:v>7.6303707656329349</c:v>
                </c:pt>
                <c:pt idx="40">
                  <c:v>7.4881882857835462</c:v>
                </c:pt>
                <c:pt idx="41">
                  <c:v>7.450386421805522</c:v>
                </c:pt>
                <c:pt idx="42">
                  <c:v>7.5837199519541141</c:v>
                </c:pt>
                <c:pt idx="43">
                  <c:v>7.5756623666580101</c:v>
                </c:pt>
                <c:pt idx="44">
                  <c:v>7.9202068177914322</c:v>
                </c:pt>
                <c:pt idx="45">
                  <c:v>8.5961450364767629</c:v>
                </c:pt>
                <c:pt idx="46">
                  <c:v>8.7412848756964632</c:v>
                </c:pt>
                <c:pt idx="47">
                  <c:v>8.8781670631362797</c:v>
                </c:pt>
                <c:pt idx="48">
                  <c:v>8.9733282646575478</c:v>
                </c:pt>
                <c:pt idx="49">
                  <c:v>8.7311292765174588</c:v>
                </c:pt>
                <c:pt idx="50">
                  <c:v>8.2869516550317499</c:v>
                </c:pt>
                <c:pt idx="51">
                  <c:v>8.202982929696871</c:v>
                </c:pt>
                <c:pt idx="52">
                  <c:v>8.4625217230128698</c:v>
                </c:pt>
                <c:pt idx="53">
                  <c:v>8.5077294464217399</c:v>
                </c:pt>
                <c:pt idx="54">
                  <c:v>7.9391908450454158</c:v>
                </c:pt>
                <c:pt idx="55">
                  <c:v>7.6811181209051682</c:v>
                </c:pt>
                <c:pt idx="56">
                  <c:v>7.6465288175247768</c:v>
                </c:pt>
                <c:pt idx="57">
                  <c:v>8.061327895645384</c:v>
                </c:pt>
                <c:pt idx="58">
                  <c:v>8.3583736183272528</c:v>
                </c:pt>
                <c:pt idx="59">
                  <c:v>8.9205809960668851</c:v>
                </c:pt>
                <c:pt idx="60">
                  <c:v>9.706634110310306</c:v>
                </c:pt>
                <c:pt idx="61">
                  <c:v>9.986004862035248</c:v>
                </c:pt>
                <c:pt idx="62">
                  <c:v>10.230685696419204</c:v>
                </c:pt>
                <c:pt idx="63">
                  <c:v>10.283552199296272</c:v>
                </c:pt>
                <c:pt idx="64">
                  <c:v>10.266786512358461</c:v>
                </c:pt>
                <c:pt idx="65">
                  <c:v>10.43118903292322</c:v>
                </c:pt>
                <c:pt idx="66">
                  <c:v>10.051328685561682</c:v>
                </c:pt>
                <c:pt idx="67">
                  <c:v>8.3853252902273887</c:v>
                </c:pt>
                <c:pt idx="68">
                  <c:v>8.3041954750685054</c:v>
                </c:pt>
                <c:pt idx="69">
                  <c:v>8.1511618110355588</c:v>
                </c:pt>
                <c:pt idx="70">
                  <c:v>7.7635310211518069</c:v>
                </c:pt>
                <c:pt idx="71">
                  <c:v>7.1975003321278059</c:v>
                </c:pt>
                <c:pt idx="72">
                  <c:v>6.6514245728587085</c:v>
                </c:pt>
                <c:pt idx="73">
                  <c:v>6.5135531994230531</c:v>
                </c:pt>
                <c:pt idx="74">
                  <c:v>6.1401024189374764</c:v>
                </c:pt>
                <c:pt idx="75">
                  <c:v>5.6912852868223833</c:v>
                </c:pt>
                <c:pt idx="76">
                  <c:v>4.304286300508692</c:v>
                </c:pt>
                <c:pt idx="77">
                  <c:v>3.3739849435834537</c:v>
                </c:pt>
                <c:pt idx="78">
                  <c:v>2.9524135730566505</c:v>
                </c:pt>
                <c:pt idx="79">
                  <c:v>2.9831837172242559</c:v>
                </c:pt>
                <c:pt idx="80">
                  <c:v>2.9682041053259272</c:v>
                </c:pt>
                <c:pt idx="81">
                  <c:v>2.9942233645583136</c:v>
                </c:pt>
                <c:pt idx="82">
                  <c:v>3.0595427339392995</c:v>
                </c:pt>
                <c:pt idx="83">
                  <c:v>2.9317257778925216</c:v>
                </c:pt>
                <c:pt idx="84">
                  <c:v>3.0054328771660499</c:v>
                </c:pt>
                <c:pt idx="85">
                  <c:v>3.009549157390087</c:v>
                </c:pt>
                <c:pt idx="86">
                  <c:v>3.6159961029287273</c:v>
                </c:pt>
                <c:pt idx="87">
                  <c:v>4.6152921573482617</c:v>
                </c:pt>
                <c:pt idx="88">
                  <c:v>5.3762719166011772</c:v>
                </c:pt>
                <c:pt idx="89">
                  <c:v>5.641805422031843</c:v>
                </c:pt>
                <c:pt idx="90">
                  <c:v>5.8823770835137141</c:v>
                </c:pt>
                <c:pt idx="91">
                  <c:v>6.1505621651377114</c:v>
                </c:pt>
                <c:pt idx="92">
                  <c:v>6.4601223569576067</c:v>
                </c:pt>
                <c:pt idx="93">
                  <c:v>7.3173875183046073</c:v>
                </c:pt>
                <c:pt idx="94">
                  <c:v>8.2192785812469467</c:v>
                </c:pt>
                <c:pt idx="95">
                  <c:v>8.6473197252927552</c:v>
                </c:pt>
                <c:pt idx="96">
                  <c:v>9.2591731628022309</c:v>
                </c:pt>
                <c:pt idx="97">
                  <c:v>10.334348388429417</c:v>
                </c:pt>
                <c:pt idx="98">
                  <c:v>11.353120418092447</c:v>
                </c:pt>
                <c:pt idx="99">
                  <c:v>12.032531291594504</c:v>
                </c:pt>
                <c:pt idx="100">
                  <c:v>12.637270859129096</c:v>
                </c:pt>
                <c:pt idx="101">
                  <c:v>13.757193974849892</c:v>
                </c:pt>
                <c:pt idx="102">
                  <c:v>14.89571287459086</c:v>
                </c:pt>
                <c:pt idx="103">
                  <c:v>15.834423079968312</c:v>
                </c:pt>
                <c:pt idx="104">
                  <c:v>16.540748553352813</c:v>
                </c:pt>
                <c:pt idx="105">
                  <c:v>17.120711553985299</c:v>
                </c:pt>
                <c:pt idx="106">
                  <c:v>17.909186509709038</c:v>
                </c:pt>
                <c:pt idx="107">
                  <c:v>19.073069378456992</c:v>
                </c:pt>
                <c:pt idx="108">
                  <c:v>20.080179766719006</c:v>
                </c:pt>
                <c:pt idx="109">
                  <c:v>21.104700998607601</c:v>
                </c:pt>
                <c:pt idx="110">
                  <c:v>22.562050898154084</c:v>
                </c:pt>
                <c:pt idx="111">
                  <c:v>24.221388274444745</c:v>
                </c:pt>
                <c:pt idx="112">
                  <c:v>25.564231245716591</c:v>
                </c:pt>
                <c:pt idx="113">
                  <c:v>26.687336852879838</c:v>
                </c:pt>
                <c:pt idx="114">
                  <c:v>27.944880300679493</c:v>
                </c:pt>
                <c:pt idx="115">
                  <c:v>29.172118652216671</c:v>
                </c:pt>
                <c:pt idx="116">
                  <c:v>30.216837809983733</c:v>
                </c:pt>
                <c:pt idx="117">
                  <c:v>30.427393416848346</c:v>
                </c:pt>
                <c:pt idx="118">
                  <c:v>31.336035298044493</c:v>
                </c:pt>
                <c:pt idx="119">
                  <c:v>32.874445904742771</c:v>
                </c:pt>
                <c:pt idx="120">
                  <c:v>33.382655431092651</c:v>
                </c:pt>
                <c:pt idx="121">
                  <c:v>31.010460531138978</c:v>
                </c:pt>
                <c:pt idx="122">
                  <c:v>30.566991749918227</c:v>
                </c:pt>
                <c:pt idx="123">
                  <c:v>30.811283253223873</c:v>
                </c:pt>
                <c:pt idx="124">
                  <c:v>31.669568323776527</c:v>
                </c:pt>
                <c:pt idx="125">
                  <c:v>33.209655676657412</c:v>
                </c:pt>
                <c:pt idx="126">
                  <c:v>31.836783670462264</c:v>
                </c:pt>
                <c:pt idx="127">
                  <c:v>27.277994769842998</c:v>
                </c:pt>
                <c:pt idx="128">
                  <c:v>21.855887858372515</c:v>
                </c:pt>
                <c:pt idx="129">
                  <c:v>17.662382877816903</c:v>
                </c:pt>
                <c:pt idx="130">
                  <c:v>14.398661875912889</c:v>
                </c:pt>
                <c:pt idx="131">
                  <c:v>11.355134828643855</c:v>
                </c:pt>
                <c:pt idx="132">
                  <c:v>9.4073954451055162</c:v>
                </c:pt>
                <c:pt idx="133">
                  <c:v>8.2586556510645064</c:v>
                </c:pt>
                <c:pt idx="134">
                  <c:v>7.6090869597618855</c:v>
                </c:pt>
                <c:pt idx="135">
                  <c:v>7.3691057519978393</c:v>
                </c:pt>
                <c:pt idx="136">
                  <c:v>7.0949748684549068</c:v>
                </c:pt>
                <c:pt idx="137">
                  <c:v>5.6620123053805997</c:v>
                </c:pt>
                <c:pt idx="138">
                  <c:v>3.7627882292902979</c:v>
                </c:pt>
                <c:pt idx="139">
                  <c:v>2.8396402807056851</c:v>
                </c:pt>
                <c:pt idx="140">
                  <c:v>2.4654243469398529</c:v>
                </c:pt>
                <c:pt idx="141">
                  <c:v>2.0039989000278786</c:v>
                </c:pt>
                <c:pt idx="142">
                  <c:v>1.7395746234874796</c:v>
                </c:pt>
                <c:pt idx="143">
                  <c:v>1.6897581199596603</c:v>
                </c:pt>
                <c:pt idx="144">
                  <c:v>1.6703863472266769</c:v>
                </c:pt>
                <c:pt idx="145">
                  <c:v>1.6723538871071404</c:v>
                </c:pt>
                <c:pt idx="146">
                  <c:v>1.6710545839469799</c:v>
                </c:pt>
                <c:pt idx="147">
                  <c:v>1.66730330061472</c:v>
                </c:pt>
                <c:pt idx="148">
                  <c:v>1.6613030987999566</c:v>
                </c:pt>
                <c:pt idx="149">
                  <c:v>1.6641367418138344</c:v>
                </c:pt>
                <c:pt idx="150">
                  <c:v>1.6750958097466413</c:v>
                </c:pt>
                <c:pt idx="151">
                  <c:v>1.7498804019205147</c:v>
                </c:pt>
                <c:pt idx="152">
                  <c:v>1.8135477296076921</c:v>
                </c:pt>
                <c:pt idx="153">
                  <c:v>1.9436352845596294</c:v>
                </c:pt>
                <c:pt idx="154">
                  <c:v>1.9439037851805165</c:v>
                </c:pt>
                <c:pt idx="155">
                  <c:v>1.6604840355505985</c:v>
                </c:pt>
                <c:pt idx="156">
                  <c:v>1.2183702426920546</c:v>
                </c:pt>
                <c:pt idx="157">
                  <c:v>0.60039229738908928</c:v>
                </c:pt>
                <c:pt idx="158">
                  <c:v>0.24014018827781658</c:v>
                </c:pt>
                <c:pt idx="159">
                  <c:v>5.5456752211923678E-2</c:v>
                </c:pt>
                <c:pt idx="160">
                  <c:v>0</c:v>
                </c:pt>
                <c:pt idx="161">
                  <c:v>0</c:v>
                </c:pt>
              </c:numCache>
            </c:numRef>
          </c:val>
          <c:smooth val="0"/>
          <c:extLst>
            <c:ext xmlns:c16="http://schemas.microsoft.com/office/drawing/2014/chart" uri="{C3380CC4-5D6E-409C-BE32-E72D297353CC}">
              <c16:uniqueId val="{00000000-4E27-4C5B-9DEA-8F7FA3C8490F}"/>
            </c:ext>
          </c:extLst>
        </c:ser>
        <c:dLbls>
          <c:showLegendKey val="0"/>
          <c:showVal val="0"/>
          <c:showCatName val="0"/>
          <c:showSerName val="0"/>
          <c:showPercent val="0"/>
          <c:showBubbleSize val="0"/>
        </c:dLbls>
        <c:marker val="1"/>
        <c:smooth val="0"/>
        <c:axId val="268845232"/>
        <c:axId val="1390741664"/>
      </c:lineChart>
      <c:lineChart>
        <c:grouping val="standard"/>
        <c:varyColors val="0"/>
        <c:ser>
          <c:idx val="1"/>
          <c:order val="1"/>
          <c:tx>
            <c:strRef>
              <c:f>CHOWTEST!$T$15</c:f>
              <c:strCache>
                <c:ptCount val="1"/>
                <c:pt idx="0">
                  <c:v>p-value</c:v>
                </c:pt>
              </c:strCache>
            </c:strRef>
          </c:tx>
          <c:spPr>
            <a:ln w="28575" cap="rnd">
              <a:solidFill>
                <a:schemeClr val="accent2"/>
              </a:solidFill>
              <a:round/>
            </a:ln>
            <a:effectLst/>
          </c:spPr>
          <c:marker>
            <c:symbol val="none"/>
          </c:marker>
          <c:cat>
            <c:numRef>
              <c:f>CHOWTEST!$N$16:$N$177</c:f>
              <c:numCache>
                <c:formatCode>General</c:formatCode>
                <c:ptCount val="16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numCache>
            </c:numRef>
          </c:cat>
          <c:val>
            <c:numRef>
              <c:f>CHOWTEST!$T$16:$T$177</c:f>
              <c:numCache>
                <c:formatCode>General</c:formatCode>
                <c:ptCount val="162"/>
                <c:pt idx="0">
                  <c:v>0</c:v>
                </c:pt>
                <c:pt idx="1">
                  <c:v>0</c:v>
                </c:pt>
                <c:pt idx="2" formatCode="0.00">
                  <c:v>0.62878046726115144</c:v>
                </c:pt>
                <c:pt idx="3" formatCode="0.00">
                  <c:v>0.60061840315962201</c:v>
                </c:pt>
                <c:pt idx="4" formatCode="0.00">
                  <c:v>0.24428789368838466</c:v>
                </c:pt>
                <c:pt idx="5" formatCode="0.00">
                  <c:v>0.19368117778197946</c:v>
                </c:pt>
                <c:pt idx="6" formatCode="0.00">
                  <c:v>0.17419319936600119</c:v>
                </c:pt>
                <c:pt idx="7" formatCode="0.00">
                  <c:v>0.14708992800534326</c:v>
                </c:pt>
                <c:pt idx="8" formatCode="0.00">
                  <c:v>0.13638112106025679</c:v>
                </c:pt>
                <c:pt idx="9" formatCode="0.00">
                  <c:v>5.8450428868735416E-2</c:v>
                </c:pt>
                <c:pt idx="10" formatCode="0.00">
                  <c:v>4.2587183125819106E-2</c:v>
                </c:pt>
                <c:pt idx="11" formatCode="0.00">
                  <c:v>2.79529056690897E-2</c:v>
                </c:pt>
                <c:pt idx="12" formatCode="0.00">
                  <c:v>2.5710759710508846E-2</c:v>
                </c:pt>
                <c:pt idx="13" formatCode="0.00">
                  <c:v>2.6525168209867611E-2</c:v>
                </c:pt>
                <c:pt idx="14" formatCode="0.00">
                  <c:v>1.3966722920637609E-2</c:v>
                </c:pt>
                <c:pt idx="15" formatCode="0.00">
                  <c:v>7.1969095567178121E-3</c:v>
                </c:pt>
                <c:pt idx="16" formatCode="0.00">
                  <c:v>5.7693398545901609E-3</c:v>
                </c:pt>
                <c:pt idx="17" formatCode="0.00">
                  <c:v>3.6841879966064139E-3</c:v>
                </c:pt>
                <c:pt idx="18" formatCode="0.00">
                  <c:v>2.4291779912283262E-3</c:v>
                </c:pt>
                <c:pt idx="19" formatCode="0.00">
                  <c:v>1.1821113860903676E-3</c:v>
                </c:pt>
                <c:pt idx="20" formatCode="0.00">
                  <c:v>4.4592427088963049E-4</c:v>
                </c:pt>
                <c:pt idx="21" formatCode="0.00">
                  <c:v>2.5069285402345987E-4</c:v>
                </c:pt>
                <c:pt idx="22" formatCode="0.00">
                  <c:v>2.6848071533414064E-4</c:v>
                </c:pt>
                <c:pt idx="23" formatCode="0.00">
                  <c:v>5.4236720335631983E-4</c:v>
                </c:pt>
                <c:pt idx="24" formatCode="0.00">
                  <c:v>8.3021280174400136E-4</c:v>
                </c:pt>
                <c:pt idx="25" formatCode="0.00">
                  <c:v>7.5785508550907377E-4</c:v>
                </c:pt>
                <c:pt idx="26" formatCode="0.00">
                  <c:v>8.5663554219228555E-4</c:v>
                </c:pt>
                <c:pt idx="27" formatCode="0.00">
                  <c:v>6.4556914398083975E-4</c:v>
                </c:pt>
                <c:pt idx="28" formatCode="0.00">
                  <c:v>5.687002639715999E-4</c:v>
                </c:pt>
                <c:pt idx="29" formatCode="0.00">
                  <c:v>4.9199129929777818E-4</c:v>
                </c:pt>
                <c:pt idx="30" formatCode="0.00">
                  <c:v>6.8326845902377809E-4</c:v>
                </c:pt>
                <c:pt idx="31" formatCode="0.00">
                  <c:v>1.0208448744346565E-3</c:v>
                </c:pt>
                <c:pt idx="32" formatCode="0.00">
                  <c:v>1.4462730920360434E-3</c:v>
                </c:pt>
                <c:pt idx="33" formatCode="0.00">
                  <c:v>1.6159355346458959E-3</c:v>
                </c:pt>
                <c:pt idx="34" formatCode="0.00">
                  <c:v>1.2203746447125852E-3</c:v>
                </c:pt>
                <c:pt idx="35" formatCode="0.00">
                  <c:v>7.7278909033029475E-4</c:v>
                </c:pt>
                <c:pt idx="36" formatCode="0.00">
                  <c:v>5.2697127796796916E-4</c:v>
                </c:pt>
                <c:pt idx="37" formatCode="0.00">
                  <c:v>4.2628914264963846E-4</c:v>
                </c:pt>
                <c:pt idx="38" formatCode="0.00">
                  <c:v>5.982186285019564E-4</c:v>
                </c:pt>
                <c:pt idx="39" formatCode="0.00">
                  <c:v>6.8643044180505264E-4</c:v>
                </c:pt>
                <c:pt idx="40" formatCode="0.00">
                  <c:v>7.8154326945467645E-4</c:v>
                </c:pt>
                <c:pt idx="41" formatCode="0.00">
                  <c:v>8.0900655877891303E-4</c:v>
                </c:pt>
                <c:pt idx="42" formatCode="0.00">
                  <c:v>7.1627071073876447E-4</c:v>
                </c:pt>
                <c:pt idx="43" formatCode="0.00">
                  <c:v>7.2155626635150849E-4</c:v>
                </c:pt>
                <c:pt idx="44" formatCode="0.00">
                  <c:v>5.2723093242312835E-4</c:v>
                </c:pt>
                <c:pt idx="45" formatCode="0.00">
                  <c:v>2.8590759096935869E-4</c:v>
                </c:pt>
                <c:pt idx="46" formatCode="0.00">
                  <c:v>2.5085629918975005E-4</c:v>
                </c:pt>
                <c:pt idx="47" formatCode="0.00">
                  <c:v>2.2179002269306488E-4</c:v>
                </c:pt>
                <c:pt idx="48" formatCode="0.00">
                  <c:v>2.036148323778646E-4</c:v>
                </c:pt>
                <c:pt idx="49" formatCode="0.00">
                  <c:v>2.5316074227732521E-4</c:v>
                </c:pt>
                <c:pt idx="50" formatCode="0.00">
                  <c:v>3.7804491119475259E-4</c:v>
                </c:pt>
                <c:pt idx="51" formatCode="0.00">
                  <c:v>4.0790992662698144E-4</c:v>
                </c:pt>
                <c:pt idx="52" formatCode="0.00">
                  <c:v>3.2255414253867798E-4</c:v>
                </c:pt>
                <c:pt idx="53" formatCode="0.00">
                  <c:v>3.0965164797858158E-4</c:v>
                </c:pt>
                <c:pt idx="54" formatCode="0.00">
                  <c:v>5.1821299446142E-4</c:v>
                </c:pt>
                <c:pt idx="55" formatCode="0.00">
                  <c:v>6.5539682980508829E-4</c:v>
                </c:pt>
                <c:pt idx="56" formatCode="0.00">
                  <c:v>6.7639106981487451E-4</c:v>
                </c:pt>
                <c:pt idx="57" formatCode="0.00">
                  <c:v>4.6381260353112186E-4</c:v>
                </c:pt>
                <c:pt idx="58" formatCode="0.00">
                  <c:v>3.5439007466642192E-4</c:v>
                </c:pt>
                <c:pt idx="59" formatCode="0.00">
                  <c:v>2.1349456089529828E-4</c:v>
                </c:pt>
                <c:pt idx="60" formatCode="0.00">
                  <c:v>1.0568376082803531E-4</c:v>
                </c:pt>
                <c:pt idx="61" formatCode="0.00">
                  <c:v>8.2437573445320658E-5</c:v>
                </c:pt>
                <c:pt idx="62" formatCode="0.00">
                  <c:v>6.6361472531800903E-5</c:v>
                </c:pt>
                <c:pt idx="63" formatCode="0.00">
                  <c:v>6.3327861746137785E-5</c:v>
                </c:pt>
                <c:pt idx="64" formatCode="0.00">
                  <c:v>6.427440000567E-5</c:v>
                </c:pt>
                <c:pt idx="65" formatCode="0.00">
                  <c:v>5.5578755816035594E-5</c:v>
                </c:pt>
                <c:pt idx="66" formatCode="0.00">
                  <c:v>7.7794396929900048E-5</c:v>
                </c:pt>
                <c:pt idx="67" formatCode="0.00">
                  <c:v>3.4585825104371803E-4</c:v>
                </c:pt>
                <c:pt idx="68" formatCode="0.00">
                  <c:v>3.7219125061815905E-4</c:v>
                </c:pt>
                <c:pt idx="69" formatCode="0.00">
                  <c:v>4.2752243328569861E-4</c:v>
                </c:pt>
                <c:pt idx="70" formatCode="0.00">
                  <c:v>6.0799495150309912E-4</c:v>
                </c:pt>
                <c:pt idx="71" formatCode="0.00">
                  <c:v>1.0196735225195264E-3</c:v>
                </c:pt>
                <c:pt idx="72" formatCode="0.00">
                  <c:v>1.6846417184083196E-3</c:v>
                </c:pt>
                <c:pt idx="73" formatCode="0.00">
                  <c:v>1.9132819723922667E-3</c:v>
                </c:pt>
                <c:pt idx="74" formatCode="0.00">
                  <c:v>2.7035905407924998E-3</c:v>
                </c:pt>
                <c:pt idx="75" formatCode="0.00">
                  <c:v>4.1046962948015908E-3</c:v>
                </c:pt>
                <c:pt idx="76" formatCode="0.00">
                  <c:v>1.5129330922467488E-2</c:v>
                </c:pt>
                <c:pt idx="77" formatCode="0.00">
                  <c:v>3.6738735631767327E-2</c:v>
                </c:pt>
                <c:pt idx="78" formatCode="0.00">
                  <c:v>5.5101330221834277E-2</c:v>
                </c:pt>
                <c:pt idx="79" formatCode="0.00">
                  <c:v>5.349123476839901E-2</c:v>
                </c:pt>
                <c:pt idx="80" formatCode="0.00">
                  <c:v>5.4269027092570532E-2</c:v>
                </c:pt>
                <c:pt idx="81" formatCode="0.00">
                  <c:v>5.292525214262056E-2</c:v>
                </c:pt>
                <c:pt idx="82" formatCode="0.00">
                  <c:v>4.9698341667781087E-2</c:v>
                </c:pt>
                <c:pt idx="83" formatCode="0.00">
                  <c:v>5.6211360075201444E-2</c:v>
                </c:pt>
                <c:pt idx="84" formatCode="0.00">
                  <c:v>5.2356764721952165E-2</c:v>
                </c:pt>
                <c:pt idx="85" formatCode="0.00">
                  <c:v>5.2149564351763655E-2</c:v>
                </c:pt>
                <c:pt idx="86" formatCode="0.00">
                  <c:v>2.9138881233488956E-2</c:v>
                </c:pt>
                <c:pt idx="87" formatCode="0.00">
                  <c:v>1.1271169969178096E-2</c:v>
                </c:pt>
                <c:pt idx="88" formatCode="0.00">
                  <c:v>5.5097759275255509E-3</c:v>
                </c:pt>
                <c:pt idx="89" formatCode="0.00">
                  <c:v>4.2986458036496922E-3</c:v>
                </c:pt>
                <c:pt idx="90" formatCode="0.00">
                  <c:v>3.4352241968484964E-3</c:v>
                </c:pt>
                <c:pt idx="91" formatCode="0.00">
                  <c:v>2.677479592663734E-3</c:v>
                </c:pt>
                <c:pt idx="92" formatCode="0.00">
                  <c:v>2.0101242358082638E-3</c:v>
                </c:pt>
                <c:pt idx="93" formatCode="0.00">
                  <c:v>9.1364082641565147E-4</c:v>
                </c:pt>
                <c:pt idx="94" formatCode="0.00">
                  <c:v>4.0193283753531261E-4</c:v>
                </c:pt>
                <c:pt idx="95" formatCode="0.00">
                  <c:v>2.7301572810689567E-4</c:v>
                </c:pt>
                <c:pt idx="96" formatCode="0.00">
                  <c:v>1.5758384889394972E-4</c:v>
                </c:pt>
                <c:pt idx="97" formatCode="0.00">
                  <c:v>6.0545346328606673E-5</c:v>
                </c:pt>
                <c:pt idx="98" formatCode="0.00">
                  <c:v>2.4719000052689591E-5</c:v>
                </c:pt>
                <c:pt idx="99" formatCode="0.00">
                  <c:v>1.3677518285412805E-5</c:v>
                </c:pt>
                <c:pt idx="100" formatCode="0.00">
                  <c:v>8.1066352766762924E-6</c:v>
                </c:pt>
                <c:pt idx="101" formatCode="0.00">
                  <c:v>3.1051289376683445E-6</c:v>
                </c:pt>
                <c:pt idx="102" formatCode="0.00">
                  <c:v>1.1844722550501044E-6</c:v>
                </c:pt>
                <c:pt idx="103" formatCode="0.00">
                  <c:v>5.3979106989946334E-7</c:v>
                </c:pt>
                <c:pt idx="104" formatCode="0.00">
                  <c:v>3.0035694750397535E-7</c:v>
                </c:pt>
                <c:pt idx="105" formatCode="0.00">
                  <c:v>1.8620829389749867E-7</c:v>
                </c:pt>
                <c:pt idx="106" formatCode="0.00">
                  <c:v>9.7658336634180689E-8</c:v>
                </c:pt>
                <c:pt idx="107" formatCode="0.00">
                  <c:v>3.8028445626702308E-8</c:v>
                </c:pt>
                <c:pt idx="108" formatCode="0.00">
                  <c:v>1.6966182234985266E-8</c:v>
                </c:pt>
                <c:pt idx="109" formatCode="0.00">
                  <c:v>7.5272590439814314E-9</c:v>
                </c:pt>
                <c:pt idx="110" formatCode="0.00">
                  <c:v>2.4030051150365223E-9</c:v>
                </c:pt>
                <c:pt idx="111" formatCode="0.00">
                  <c:v>6.6793506417297563E-10</c:v>
                </c:pt>
                <c:pt idx="112" formatCode="0.00">
                  <c:v>2.4058660876124341E-10</c:v>
                </c:pt>
                <c:pt idx="113" formatCode="0.00">
                  <c:v>1.0344912078034822E-10</c:v>
                </c:pt>
                <c:pt idx="114" formatCode="0.00">
                  <c:v>4.0635004570439285E-11</c:v>
                </c:pt>
                <c:pt idx="115" formatCode="0.00">
                  <c:v>1.6497900476724722E-11</c:v>
                </c:pt>
                <c:pt idx="116" formatCode="0.00">
                  <c:v>7.7207939249387439E-12</c:v>
                </c:pt>
                <c:pt idx="117" formatCode="0.00">
                  <c:v>6.6310441186548275E-12</c:v>
                </c:pt>
                <c:pt idx="118" formatCode="0.00">
                  <c:v>3.4503856076095112E-12</c:v>
                </c:pt>
                <c:pt idx="119" formatCode="0.00">
                  <c:v>1.1555781511738367E-12</c:v>
                </c:pt>
                <c:pt idx="120" formatCode="0.00">
                  <c:v>8.0778602180978073E-13</c:v>
                </c:pt>
                <c:pt idx="121" formatCode="0.00">
                  <c:v>4.3576824031965343E-12</c:v>
                </c:pt>
                <c:pt idx="122" formatCode="0.00">
                  <c:v>5.9957141206742708E-12</c:v>
                </c:pt>
                <c:pt idx="123" formatCode="0.00">
                  <c:v>5.0284002576586989E-12</c:v>
                </c:pt>
                <c:pt idx="124" formatCode="0.00">
                  <c:v>2.718386170884488E-12</c:v>
                </c:pt>
                <c:pt idx="125" formatCode="0.00">
                  <c:v>9.1233022934152241E-13</c:v>
                </c:pt>
                <c:pt idx="126" formatCode="0.00">
                  <c:v>2.4127423816527817E-12</c:v>
                </c:pt>
                <c:pt idx="127" formatCode="0.00">
                  <c:v>6.6606318884523407E-11</c:v>
                </c:pt>
                <c:pt idx="128" formatCode="0.00">
                  <c:v>4.1700466569993536E-9</c:v>
                </c:pt>
                <c:pt idx="129" formatCode="0.00">
                  <c:v>1.1945324484007326E-7</c:v>
                </c:pt>
                <c:pt idx="130" formatCode="0.00">
                  <c:v>1.8014762279767436E-6</c:v>
                </c:pt>
                <c:pt idx="131" formatCode="0.00">
                  <c:v>2.4675501422541817E-5</c:v>
                </c:pt>
                <c:pt idx="132" formatCode="0.00">
                  <c:v>1.380197134208647E-4</c:v>
                </c:pt>
                <c:pt idx="133" formatCode="0.00">
                  <c:v>3.8785313799383214E-4</c:v>
                </c:pt>
                <c:pt idx="134" formatCode="0.00">
                  <c:v>6.9988526746112001E-4</c:v>
                </c:pt>
                <c:pt idx="135" formatCode="0.00">
                  <c:v>8.7141452169781086E-4</c:v>
                </c:pt>
                <c:pt idx="136" formatCode="0.00">
                  <c:v>1.1201952528860915E-3</c:v>
                </c:pt>
                <c:pt idx="137" formatCode="0.00">
                  <c:v>4.2183426016725312E-3</c:v>
                </c:pt>
                <c:pt idx="138" formatCode="0.00">
                  <c:v>2.5325979803058285E-2</c:v>
                </c:pt>
                <c:pt idx="139" formatCode="0.00">
                  <c:v>6.1433743412810271E-2</c:v>
                </c:pt>
                <c:pt idx="140" formatCode="0.00">
                  <c:v>8.8236365547033513E-2</c:v>
                </c:pt>
                <c:pt idx="141" formatCode="0.00">
                  <c:v>0.13820696931643051</c:v>
                </c:pt>
                <c:pt idx="142" formatCode="0.00">
                  <c:v>0.17894110257163232</c:v>
                </c:pt>
                <c:pt idx="143" formatCode="0.00">
                  <c:v>0.18788215689715826</c:v>
                </c:pt>
                <c:pt idx="144" formatCode="0.00">
                  <c:v>0.19147999120820991</c:v>
                </c:pt>
                <c:pt idx="145" formatCode="0.00">
                  <c:v>0.19111140738190358</c:v>
                </c:pt>
                <c:pt idx="146" formatCode="0.00">
                  <c:v>0.19135472821111044</c:v>
                </c:pt>
                <c:pt idx="147" formatCode="0.00">
                  <c:v>0.19205899383403147</c:v>
                </c:pt>
                <c:pt idx="148" formatCode="0.00">
                  <c:v>0.19319093246476982</c:v>
                </c:pt>
                <c:pt idx="149" formatCode="0.00">
                  <c:v>0.19265552600158442</c:v>
                </c:pt>
                <c:pt idx="150" formatCode="0.00">
                  <c:v>0.19059895457982323</c:v>
                </c:pt>
                <c:pt idx="151" formatCode="0.00">
                  <c:v>0.17714588887524196</c:v>
                </c:pt>
                <c:pt idx="152" formatCode="0.00">
                  <c:v>0.16645259161607551</c:v>
                </c:pt>
                <c:pt idx="153" formatCode="0.00">
                  <c:v>0.14659072711371368</c:v>
                </c:pt>
                <c:pt idx="154" formatCode="0.00">
                  <c:v>0.14655231762233301</c:v>
                </c:pt>
                <c:pt idx="155" formatCode="0.00">
                  <c:v>0.19334597199642545</c:v>
                </c:pt>
                <c:pt idx="156" formatCode="0.00">
                  <c:v>0.29847454261960382</c:v>
                </c:pt>
                <c:pt idx="157" formatCode="0.00">
                  <c:v>0.54984309146904953</c:v>
                </c:pt>
                <c:pt idx="158" formatCode="0.00">
                  <c:v>0.78680413008816763</c:v>
                </c:pt>
                <c:pt idx="159" formatCode="0.00">
                  <c:v>0.94607134385716729</c:v>
                </c:pt>
                <c:pt idx="160" formatCode="0.00">
                  <c:v>0</c:v>
                </c:pt>
                <c:pt idx="161" formatCode="0.00">
                  <c:v>0</c:v>
                </c:pt>
              </c:numCache>
            </c:numRef>
          </c:val>
          <c:smooth val="0"/>
          <c:extLst>
            <c:ext xmlns:c16="http://schemas.microsoft.com/office/drawing/2014/chart" uri="{C3380CC4-5D6E-409C-BE32-E72D297353CC}">
              <c16:uniqueId val="{00000001-4E27-4C5B-9DEA-8F7FA3C8490F}"/>
            </c:ext>
          </c:extLst>
        </c:ser>
        <c:dLbls>
          <c:showLegendKey val="0"/>
          <c:showVal val="0"/>
          <c:showCatName val="0"/>
          <c:showSerName val="0"/>
          <c:showPercent val="0"/>
          <c:showBubbleSize val="0"/>
        </c:dLbls>
        <c:marker val="1"/>
        <c:smooth val="0"/>
        <c:axId val="185081168"/>
        <c:axId val="185077200"/>
      </c:lineChart>
      <c:catAx>
        <c:axId val="26884523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90741664"/>
        <c:crosses val="autoZero"/>
        <c:auto val="1"/>
        <c:lblAlgn val="ctr"/>
        <c:lblOffset val="100"/>
        <c:noMultiLvlLbl val="0"/>
      </c:catAx>
      <c:valAx>
        <c:axId val="1390741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F-stat</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268845232"/>
        <c:crosses val="autoZero"/>
        <c:crossBetween val="between"/>
      </c:valAx>
      <c:valAx>
        <c:axId val="185077200"/>
        <c:scaling>
          <c:orientation val="minMax"/>
        </c:scaling>
        <c:delete val="0"/>
        <c:axPos val="r"/>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pt-BR" sz="1100"/>
                  <a:t>p-value</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85081168"/>
        <c:crosses val="max"/>
        <c:crossBetween val="between"/>
      </c:valAx>
      <c:catAx>
        <c:axId val="185081168"/>
        <c:scaling>
          <c:orientation val="minMax"/>
        </c:scaling>
        <c:delete val="1"/>
        <c:axPos val="b"/>
        <c:numFmt formatCode="General" sourceLinked="1"/>
        <c:majorTickMark val="out"/>
        <c:minorTickMark val="none"/>
        <c:tickLblPos val="nextTo"/>
        <c:crossAx val="1850772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2"/>
          <c:tx>
            <c:v>Series3</c:v>
          </c:tx>
          <c:spPr>
            <a:ln w="28575" cap="rnd">
              <a:solidFill>
                <a:schemeClr val="accent3"/>
              </a:solidFill>
              <a:round/>
            </a:ln>
            <a:effectLst/>
          </c:spPr>
          <c:marker>
            <c:symbol val="none"/>
          </c:marker>
          <c:val>
            <c:numRef>
              <c:f>IORDER!$H$14:$H$34</c:f>
              <c:numCache>
                <c:formatCode>0.0</c:formatCode>
                <c:ptCount val="21"/>
                <c:pt idx="0">
                  <c:v>73.400000000000006</c:v>
                </c:pt>
                <c:pt idx="1">
                  <c:v>77.7</c:v>
                </c:pt>
                <c:pt idx="2">
                  <c:v>104.4</c:v>
                </c:pt>
                <c:pt idx="3">
                  <c:v>143.6</c:v>
                </c:pt>
                <c:pt idx="4">
                  <c:v>205.4</c:v>
                </c:pt>
                <c:pt idx="5">
                  <c:v>293.5</c:v>
                </c:pt>
                <c:pt idx="6">
                  <c:v>426.3</c:v>
                </c:pt>
                <c:pt idx="7">
                  <c:v>595.6</c:v>
                </c:pt>
                <c:pt idx="8">
                  <c:v>811.1</c:v>
                </c:pt>
                <c:pt idx="9">
                  <c:v>1089.2</c:v>
                </c:pt>
                <c:pt idx="10">
                  <c:v>1414.9</c:v>
                </c:pt>
                <c:pt idx="11">
                  <c:v>1802.6</c:v>
                </c:pt>
                <c:pt idx="12">
                  <c:v>2271</c:v>
                </c:pt>
                <c:pt idx="13">
                  <c:v>2815.8</c:v>
                </c:pt>
                <c:pt idx="14">
                  <c:v>3452.4</c:v>
                </c:pt>
                <c:pt idx="15">
                  <c:v>4172.5</c:v>
                </c:pt>
                <c:pt idx="16">
                  <c:v>4992.7</c:v>
                </c:pt>
                <c:pt idx="17">
                  <c:v>5908.3</c:v>
                </c:pt>
                <c:pt idx="18">
                  <c:v>6940.3</c:v>
                </c:pt>
                <c:pt idx="19">
                  <c:v>8081.6</c:v>
                </c:pt>
                <c:pt idx="20">
                  <c:v>9346.7000000000007</c:v>
                </c:pt>
              </c:numCache>
            </c:numRef>
          </c:val>
          <c:smooth val="0"/>
          <c:extLst>
            <c:ext xmlns:c16="http://schemas.microsoft.com/office/drawing/2014/chart" uri="{C3380CC4-5D6E-409C-BE32-E72D297353CC}">
              <c16:uniqueId val="{00000002-DE69-4C67-AF75-96A3D40EDD99}"/>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0"/>
          <c:order val="0"/>
          <c:tx>
            <c:v>Series1</c:v>
          </c:tx>
          <c:spPr>
            <a:ln w="12700" cap="rnd">
              <a:solidFill>
                <a:schemeClr val="accent1"/>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IORDER!$F$14:$F$34</c:f>
              <c:numCache>
                <c:formatCode>0.0</c:formatCode>
                <c:ptCount val="21"/>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numCache>
            </c:numRef>
          </c:val>
          <c:smooth val="0"/>
          <c:extLst>
            <c:ext xmlns:c16="http://schemas.microsoft.com/office/drawing/2014/chart" uri="{C3380CC4-5D6E-409C-BE32-E72D297353CC}">
              <c16:uniqueId val="{00000000-DE69-4C67-AF75-96A3D40EDD99}"/>
            </c:ext>
          </c:extLst>
        </c:ser>
        <c:ser>
          <c:idx val="1"/>
          <c:order val="1"/>
          <c:tx>
            <c:v>Series2</c:v>
          </c:tx>
          <c:spPr>
            <a:ln w="28575" cap="rnd">
              <a:solidFill>
                <a:schemeClr val="accent2"/>
              </a:solidFill>
              <a:round/>
            </a:ln>
            <a:effectLst/>
          </c:spPr>
          <c:marker>
            <c:symbol val="none"/>
          </c:marker>
          <c:cat>
            <c:numRef>
              <c:f>IORDER!$E$14:$E$34</c:f>
              <c:numCache>
                <c:formatCode>0</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IORDER!$G$14:$G$34</c:f>
              <c:numCache>
                <c:formatCode>0.0</c:formatCode>
                <c:ptCount val="21"/>
                <c:pt idx="1">
                  <c:v>-2.7000000000000028</c:v>
                </c:pt>
                <c:pt idx="2">
                  <c:v>7.7000000000000028</c:v>
                </c:pt>
                <c:pt idx="3">
                  <c:v>2.1999999999999886</c:v>
                </c:pt>
                <c:pt idx="4">
                  <c:v>0.80000000000001137</c:v>
                </c:pt>
                <c:pt idx="5">
                  <c:v>-2.9000000000000057</c:v>
                </c:pt>
                <c:pt idx="6">
                  <c:v>5.7999999999999972</c:v>
                </c:pt>
                <c:pt idx="7">
                  <c:v>0.29999999999999716</c:v>
                </c:pt>
                <c:pt idx="8">
                  <c:v>-1.5</c:v>
                </c:pt>
                <c:pt idx="9">
                  <c:v>7.1000000000000085</c:v>
                </c:pt>
                <c:pt idx="10">
                  <c:v>-5.2999999999999972</c:v>
                </c:pt>
                <c:pt idx="11">
                  <c:v>-9.3000000000000114</c:v>
                </c:pt>
                <c:pt idx="12">
                  <c:v>-0.59999999999999432</c:v>
                </c:pt>
                <c:pt idx="13">
                  <c:v>-2.2000000000000028</c:v>
                </c:pt>
                <c:pt idx="14">
                  <c:v>5.6000000000000085</c:v>
                </c:pt>
                <c:pt idx="15">
                  <c:v>-0.90000000000000568</c:v>
                </c:pt>
                <c:pt idx="16">
                  <c:v>3.2000000000000028</c:v>
                </c:pt>
                <c:pt idx="17">
                  <c:v>-3.4000000000000057</c:v>
                </c:pt>
                <c:pt idx="18">
                  <c:v>5</c:v>
                </c:pt>
                <c:pt idx="19">
                  <c:v>0.29999999999999716</c:v>
                </c:pt>
                <c:pt idx="20">
                  <c:v>4.1000000000000085</c:v>
                </c:pt>
              </c:numCache>
            </c:numRef>
          </c:val>
          <c:smooth val="0"/>
          <c:extLst>
            <c:ext xmlns:c16="http://schemas.microsoft.com/office/drawing/2014/chart" uri="{C3380CC4-5D6E-409C-BE32-E72D297353CC}">
              <c16:uniqueId val="{00000001-DE69-4C67-AF75-96A3D40EDD99}"/>
            </c:ext>
          </c:extLst>
        </c:ser>
        <c:dLbls>
          <c:showLegendKey val="0"/>
          <c:showVal val="0"/>
          <c:showCatName val="0"/>
          <c:showSerName val="0"/>
          <c:showPercent val="0"/>
          <c:showBubbleSize val="0"/>
        </c:dLbls>
        <c:marker val="1"/>
        <c:smooth val="0"/>
        <c:axId val="321932208"/>
        <c:axId val="321930288"/>
      </c:lineChart>
      <c:catAx>
        <c:axId val="2040515792"/>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32193028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21932208"/>
        <c:crosses val="max"/>
        <c:crossBetween val="between"/>
      </c:valAx>
      <c:catAx>
        <c:axId val="321932208"/>
        <c:scaling>
          <c:orientation val="minMax"/>
        </c:scaling>
        <c:delete val="1"/>
        <c:axPos val="b"/>
        <c:numFmt formatCode="0" sourceLinked="1"/>
        <c:majorTickMark val="out"/>
        <c:minorTickMark val="none"/>
        <c:tickLblPos val="nextTo"/>
        <c:crossAx val="32193028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ISCOINTEGRATED!$F$15</c:f>
              <c:strCache>
                <c:ptCount val="1"/>
                <c:pt idx="0">
                  <c:v>GDP</c:v>
                </c:pt>
              </c:strCache>
            </c:strRef>
          </c:tx>
          <c:spPr>
            <a:ln w="12700" cap="rnd">
              <a:solidFill>
                <a:schemeClr val="accent1"/>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ISCOINTEGRATED!$F$16:$F$121</c:f>
              <c:numCache>
                <c:formatCode>0.0</c:formatCode>
                <c:ptCount val="106"/>
                <c:pt idx="0">
                  <c:v>175528</c:v>
                </c:pt>
                <c:pt idx="1">
                  <c:v>177502</c:v>
                </c:pt>
                <c:pt idx="2">
                  <c:v>184128</c:v>
                </c:pt>
                <c:pt idx="3">
                  <c:v>182357</c:v>
                </c:pt>
                <c:pt idx="4">
                  <c:v>184248</c:v>
                </c:pt>
                <c:pt idx="5">
                  <c:v>185273</c:v>
                </c:pt>
                <c:pt idx="6">
                  <c:v>187587</c:v>
                </c:pt>
                <c:pt idx="7">
                  <c:v>189150</c:v>
                </c:pt>
                <c:pt idx="8">
                  <c:v>185427</c:v>
                </c:pt>
                <c:pt idx="9">
                  <c:v>188539</c:v>
                </c:pt>
                <c:pt idx="10">
                  <c:v>188547</c:v>
                </c:pt>
                <c:pt idx="11">
                  <c:v>186374</c:v>
                </c:pt>
                <c:pt idx="12">
                  <c:v>186713</c:v>
                </c:pt>
                <c:pt idx="13">
                  <c:v>187665</c:v>
                </c:pt>
                <c:pt idx="14">
                  <c:v>187707</c:v>
                </c:pt>
                <c:pt idx="15">
                  <c:v>190360</c:v>
                </c:pt>
                <c:pt idx="16">
                  <c:v>192374</c:v>
                </c:pt>
                <c:pt idx="17">
                  <c:v>195058</c:v>
                </c:pt>
                <c:pt idx="18">
                  <c:v>197337</c:v>
                </c:pt>
                <c:pt idx="19">
                  <c:v>199746</c:v>
                </c:pt>
                <c:pt idx="20">
                  <c:v>200577</c:v>
                </c:pt>
                <c:pt idx="21">
                  <c:v>199542</c:v>
                </c:pt>
                <c:pt idx="22">
                  <c:v>198477</c:v>
                </c:pt>
                <c:pt idx="23">
                  <c:v>197956</c:v>
                </c:pt>
                <c:pt idx="24">
                  <c:v>202731</c:v>
                </c:pt>
                <c:pt idx="25">
                  <c:v>203437</c:v>
                </c:pt>
                <c:pt idx="26">
                  <c:v>206179</c:v>
                </c:pt>
                <c:pt idx="27">
                  <c:v>208262</c:v>
                </c:pt>
                <c:pt idx="28">
                  <c:v>207329</c:v>
                </c:pt>
                <c:pt idx="29">
                  <c:v>205607</c:v>
                </c:pt>
                <c:pt idx="30">
                  <c:v>207530</c:v>
                </c:pt>
                <c:pt idx="31">
                  <c:v>209685</c:v>
                </c:pt>
                <c:pt idx="32">
                  <c:v>212590</c:v>
                </c:pt>
                <c:pt idx="33">
                  <c:v>218480</c:v>
                </c:pt>
                <c:pt idx="34">
                  <c:v>221209</c:v>
                </c:pt>
                <c:pt idx="35">
                  <c:v>222910</c:v>
                </c:pt>
                <c:pt idx="36">
                  <c:v>224747</c:v>
                </c:pt>
                <c:pt idx="37">
                  <c:v>227413</c:v>
                </c:pt>
                <c:pt idx="38">
                  <c:v>225926</c:v>
                </c:pt>
                <c:pt idx="39">
                  <c:v>228736</c:v>
                </c:pt>
                <c:pt idx="40">
                  <c:v>232628</c:v>
                </c:pt>
                <c:pt idx="41">
                  <c:v>233263</c:v>
                </c:pt>
                <c:pt idx="42">
                  <c:v>237002</c:v>
                </c:pt>
                <c:pt idx="43">
                  <c:v>239834</c:v>
                </c:pt>
                <c:pt idx="44">
                  <c:v>244548</c:v>
                </c:pt>
                <c:pt idx="45">
                  <c:v>248523</c:v>
                </c:pt>
                <c:pt idx="46">
                  <c:v>250953</c:v>
                </c:pt>
                <c:pt idx="47">
                  <c:v>254918</c:v>
                </c:pt>
                <c:pt idx="48">
                  <c:v>258056</c:v>
                </c:pt>
                <c:pt idx="49">
                  <c:v>263463</c:v>
                </c:pt>
                <c:pt idx="50">
                  <c:v>267615</c:v>
                </c:pt>
                <c:pt idx="51">
                  <c:v>257534</c:v>
                </c:pt>
                <c:pt idx="52">
                  <c:v>253940</c:v>
                </c:pt>
                <c:pt idx="53">
                  <c:v>258488</c:v>
                </c:pt>
                <c:pt idx="54">
                  <c:v>264566</c:v>
                </c:pt>
                <c:pt idx="55">
                  <c:v>271334</c:v>
                </c:pt>
                <c:pt idx="56">
                  <c:v>277127</c:v>
                </c:pt>
                <c:pt idx="57">
                  <c:v>280479</c:v>
                </c:pt>
                <c:pt idx="58">
                  <c:v>283006</c:v>
                </c:pt>
                <c:pt idx="59">
                  <c:v>286939</c:v>
                </c:pt>
                <c:pt idx="60">
                  <c:v>291050</c:v>
                </c:pt>
                <c:pt idx="61">
                  <c:v>293790</c:v>
                </c:pt>
                <c:pt idx="62">
                  <c:v>293200</c:v>
                </c:pt>
                <c:pt idx="63">
                  <c:v>295631</c:v>
                </c:pt>
                <c:pt idx="64">
                  <c:v>291791</c:v>
                </c:pt>
                <c:pt idx="65">
                  <c:v>296859</c:v>
                </c:pt>
                <c:pt idx="66">
                  <c:v>301930</c:v>
                </c:pt>
                <c:pt idx="67">
                  <c:v>301992</c:v>
                </c:pt>
                <c:pt idx="68">
                  <c:v>303650</c:v>
                </c:pt>
                <c:pt idx="69">
                  <c:v>308049</c:v>
                </c:pt>
                <c:pt idx="70">
                  <c:v>309415</c:v>
                </c:pt>
                <c:pt idx="71">
                  <c:v>309812</c:v>
                </c:pt>
                <c:pt idx="72">
                  <c:v>312525</c:v>
                </c:pt>
                <c:pt idx="73">
                  <c:v>307822</c:v>
                </c:pt>
                <c:pt idx="74">
                  <c:v>307733</c:v>
                </c:pt>
                <c:pt idx="75">
                  <c:v>309305</c:v>
                </c:pt>
                <c:pt idx="76">
                  <c:v>306840</c:v>
                </c:pt>
                <c:pt idx="77">
                  <c:v>299543</c:v>
                </c:pt>
                <c:pt idx="78">
                  <c:v>294788</c:v>
                </c:pt>
                <c:pt idx="79">
                  <c:v>292448</c:v>
                </c:pt>
                <c:pt idx="80">
                  <c:v>288021</c:v>
                </c:pt>
                <c:pt idx="81">
                  <c:v>289087</c:v>
                </c:pt>
                <c:pt idx="82">
                  <c:v>287640</c:v>
                </c:pt>
                <c:pt idx="83">
                  <c:v>287013</c:v>
                </c:pt>
                <c:pt idx="84">
                  <c:v>290171</c:v>
                </c:pt>
                <c:pt idx="85">
                  <c:v>292416</c:v>
                </c:pt>
                <c:pt idx="86">
                  <c:v>293328</c:v>
                </c:pt>
                <c:pt idx="87">
                  <c:v>294518</c:v>
                </c:pt>
                <c:pt idx="88">
                  <c:v>296385</c:v>
                </c:pt>
                <c:pt idx="89">
                  <c:v>296231</c:v>
                </c:pt>
                <c:pt idx="90">
                  <c:v>299292</c:v>
                </c:pt>
                <c:pt idx="91">
                  <c:v>298262</c:v>
                </c:pt>
                <c:pt idx="92">
                  <c:v>299482</c:v>
                </c:pt>
                <c:pt idx="93">
                  <c:v>301159</c:v>
                </c:pt>
                <c:pt idx="94">
                  <c:v>301480</c:v>
                </c:pt>
                <c:pt idx="95">
                  <c:v>302539</c:v>
                </c:pt>
                <c:pt idx="96">
                  <c:v>295396</c:v>
                </c:pt>
                <c:pt idx="97">
                  <c:v>268915</c:v>
                </c:pt>
                <c:pt idx="98">
                  <c:v>290404</c:v>
                </c:pt>
                <c:pt idx="99">
                  <c:v>299623</c:v>
                </c:pt>
                <c:pt idx="100">
                  <c:v>302823</c:v>
                </c:pt>
                <c:pt idx="101">
                  <c:v>301977</c:v>
                </c:pt>
                <c:pt idx="102">
                  <c:v>302157</c:v>
                </c:pt>
                <c:pt idx="103">
                  <c:v>304498</c:v>
                </c:pt>
                <c:pt idx="104">
                  <c:v>307915</c:v>
                </c:pt>
                <c:pt idx="105">
                  <c:v>311711</c:v>
                </c:pt>
              </c:numCache>
            </c:numRef>
          </c:val>
          <c:smooth val="0"/>
          <c:extLst>
            <c:ext xmlns:c16="http://schemas.microsoft.com/office/drawing/2014/chart" uri="{C3380CC4-5D6E-409C-BE32-E72D297353CC}">
              <c16:uniqueId val="{00000000-5C44-4BC4-B9A2-E07E8B826D6D}"/>
            </c:ext>
          </c:extLst>
        </c:ser>
        <c:ser>
          <c:idx val="1"/>
          <c:order val="1"/>
          <c:tx>
            <c:strRef>
              <c:f>ISCOINTEGRATED!$G$15</c:f>
              <c:strCache>
                <c:ptCount val="1"/>
                <c:pt idx="0">
                  <c:v>Consumption</c:v>
                </c:pt>
              </c:strCache>
            </c:strRef>
          </c:tx>
          <c:spPr>
            <a:ln w="28575" cap="rnd">
              <a:solidFill>
                <a:schemeClr val="accent2"/>
              </a:solidFill>
              <a:round/>
            </a:ln>
            <a:effectLst/>
          </c:spPr>
          <c:marker>
            <c:symbol val="none"/>
          </c:marker>
          <c:cat>
            <c:numRef>
              <c:f>ISCOINTEGRATED!$E$16:$E$121</c:f>
              <c:numCache>
                <c:formatCode>m/d/yyyy</c:formatCode>
                <c:ptCount val="10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ISCOINTEGRATED!$G$16:$G$121</c:f>
              <c:numCache>
                <c:formatCode>0.0</c:formatCode>
                <c:ptCount val="106"/>
                <c:pt idx="0">
                  <c:v>110899</c:v>
                </c:pt>
                <c:pt idx="1">
                  <c:v>113427</c:v>
                </c:pt>
                <c:pt idx="2">
                  <c:v>116861</c:v>
                </c:pt>
                <c:pt idx="3">
                  <c:v>122759</c:v>
                </c:pt>
                <c:pt idx="4">
                  <c:v>119659</c:v>
                </c:pt>
                <c:pt idx="5">
                  <c:v>120224</c:v>
                </c:pt>
                <c:pt idx="6">
                  <c:v>119282</c:v>
                </c:pt>
                <c:pt idx="7">
                  <c:v>119244</c:v>
                </c:pt>
                <c:pt idx="8">
                  <c:v>119078</c:v>
                </c:pt>
                <c:pt idx="9">
                  <c:v>118897</c:v>
                </c:pt>
                <c:pt idx="10">
                  <c:v>119368</c:v>
                </c:pt>
                <c:pt idx="11">
                  <c:v>117666</c:v>
                </c:pt>
                <c:pt idx="12">
                  <c:v>117950</c:v>
                </c:pt>
                <c:pt idx="13">
                  <c:v>118127</c:v>
                </c:pt>
                <c:pt idx="14">
                  <c:v>119301</c:v>
                </c:pt>
                <c:pt idx="15">
                  <c:v>121311</c:v>
                </c:pt>
                <c:pt idx="16">
                  <c:v>121439</c:v>
                </c:pt>
                <c:pt idx="17">
                  <c:v>123093</c:v>
                </c:pt>
                <c:pt idx="18">
                  <c:v>125087</c:v>
                </c:pt>
                <c:pt idx="19">
                  <c:v>126257</c:v>
                </c:pt>
                <c:pt idx="20">
                  <c:v>126235</c:v>
                </c:pt>
                <c:pt idx="21">
                  <c:v>126890</c:v>
                </c:pt>
                <c:pt idx="22">
                  <c:v>122915</c:v>
                </c:pt>
                <c:pt idx="23">
                  <c:v>123882</c:v>
                </c:pt>
                <c:pt idx="24">
                  <c:v>126457</c:v>
                </c:pt>
                <c:pt idx="25">
                  <c:v>127792</c:v>
                </c:pt>
                <c:pt idx="26">
                  <c:v>126346</c:v>
                </c:pt>
                <c:pt idx="27">
                  <c:v>125845</c:v>
                </c:pt>
                <c:pt idx="28">
                  <c:v>126385</c:v>
                </c:pt>
                <c:pt idx="29">
                  <c:v>125199</c:v>
                </c:pt>
                <c:pt idx="30">
                  <c:v>125492</c:v>
                </c:pt>
                <c:pt idx="31">
                  <c:v>126554</c:v>
                </c:pt>
                <c:pt idx="32">
                  <c:v>127481</c:v>
                </c:pt>
                <c:pt idx="33">
                  <c:v>129113</c:v>
                </c:pt>
                <c:pt idx="34">
                  <c:v>131668</c:v>
                </c:pt>
                <c:pt idx="35">
                  <c:v>134910</c:v>
                </c:pt>
                <c:pt idx="36">
                  <c:v>134255</c:v>
                </c:pt>
                <c:pt idx="37">
                  <c:v>135298</c:v>
                </c:pt>
                <c:pt idx="38">
                  <c:v>137416</c:v>
                </c:pt>
                <c:pt idx="39">
                  <c:v>139408</c:v>
                </c:pt>
                <c:pt idx="40">
                  <c:v>140918</c:v>
                </c:pt>
                <c:pt idx="41">
                  <c:v>143104</c:v>
                </c:pt>
                <c:pt idx="42">
                  <c:v>144584</c:v>
                </c:pt>
                <c:pt idx="43">
                  <c:v>146671</c:v>
                </c:pt>
                <c:pt idx="44">
                  <c:v>149916</c:v>
                </c:pt>
                <c:pt idx="45">
                  <c:v>151883</c:v>
                </c:pt>
                <c:pt idx="46">
                  <c:v>152842</c:v>
                </c:pt>
                <c:pt idx="47">
                  <c:v>157284</c:v>
                </c:pt>
                <c:pt idx="48">
                  <c:v>160679</c:v>
                </c:pt>
                <c:pt idx="49">
                  <c:v>162514</c:v>
                </c:pt>
                <c:pt idx="50">
                  <c:v>165550</c:v>
                </c:pt>
                <c:pt idx="51">
                  <c:v>162886</c:v>
                </c:pt>
                <c:pt idx="52">
                  <c:v>164299</c:v>
                </c:pt>
                <c:pt idx="53">
                  <c:v>169014</c:v>
                </c:pt>
                <c:pt idx="54">
                  <c:v>172926</c:v>
                </c:pt>
                <c:pt idx="55">
                  <c:v>174170</c:v>
                </c:pt>
                <c:pt idx="56">
                  <c:v>176537</c:v>
                </c:pt>
                <c:pt idx="57">
                  <c:v>178218</c:v>
                </c:pt>
                <c:pt idx="58">
                  <c:v>182109</c:v>
                </c:pt>
                <c:pt idx="59">
                  <c:v>185966</c:v>
                </c:pt>
                <c:pt idx="60">
                  <c:v>187699</c:v>
                </c:pt>
                <c:pt idx="61">
                  <c:v>190212</c:v>
                </c:pt>
                <c:pt idx="62">
                  <c:v>189488</c:v>
                </c:pt>
                <c:pt idx="63">
                  <c:v>190477</c:v>
                </c:pt>
                <c:pt idx="64">
                  <c:v>193125</c:v>
                </c:pt>
                <c:pt idx="65">
                  <c:v>194617</c:v>
                </c:pt>
                <c:pt idx="66">
                  <c:v>197195</c:v>
                </c:pt>
                <c:pt idx="67">
                  <c:v>199345</c:v>
                </c:pt>
                <c:pt idx="68">
                  <c:v>200312</c:v>
                </c:pt>
                <c:pt idx="69">
                  <c:v>202908</c:v>
                </c:pt>
                <c:pt idx="70">
                  <c:v>204254</c:v>
                </c:pt>
                <c:pt idx="71">
                  <c:v>204060</c:v>
                </c:pt>
                <c:pt idx="72">
                  <c:v>207390</c:v>
                </c:pt>
                <c:pt idx="73">
                  <c:v>206268</c:v>
                </c:pt>
                <c:pt idx="74">
                  <c:v>206575</c:v>
                </c:pt>
                <c:pt idx="75">
                  <c:v>209584</c:v>
                </c:pt>
                <c:pt idx="76">
                  <c:v>206003</c:v>
                </c:pt>
                <c:pt idx="77">
                  <c:v>202079</c:v>
                </c:pt>
                <c:pt idx="78">
                  <c:v>198448</c:v>
                </c:pt>
                <c:pt idx="79">
                  <c:v>196912</c:v>
                </c:pt>
                <c:pt idx="80">
                  <c:v>194431</c:v>
                </c:pt>
                <c:pt idx="81">
                  <c:v>193295</c:v>
                </c:pt>
                <c:pt idx="82">
                  <c:v>192681</c:v>
                </c:pt>
                <c:pt idx="83">
                  <c:v>191993</c:v>
                </c:pt>
                <c:pt idx="84">
                  <c:v>193424</c:v>
                </c:pt>
                <c:pt idx="85">
                  <c:v>196608</c:v>
                </c:pt>
                <c:pt idx="86">
                  <c:v>198577</c:v>
                </c:pt>
                <c:pt idx="87">
                  <c:v>198797</c:v>
                </c:pt>
                <c:pt idx="88">
                  <c:v>200553</c:v>
                </c:pt>
                <c:pt idx="89">
                  <c:v>201053</c:v>
                </c:pt>
                <c:pt idx="90">
                  <c:v>202323</c:v>
                </c:pt>
                <c:pt idx="91">
                  <c:v>202195</c:v>
                </c:pt>
                <c:pt idx="92">
                  <c:v>205674</c:v>
                </c:pt>
                <c:pt idx="93">
                  <c:v>206556</c:v>
                </c:pt>
                <c:pt idx="94">
                  <c:v>207474</c:v>
                </c:pt>
                <c:pt idx="95">
                  <c:v>207375</c:v>
                </c:pt>
                <c:pt idx="96">
                  <c:v>204776</c:v>
                </c:pt>
                <c:pt idx="97">
                  <c:v>181601</c:v>
                </c:pt>
                <c:pt idx="98">
                  <c:v>194704</c:v>
                </c:pt>
                <c:pt idx="99">
                  <c:v>200720</c:v>
                </c:pt>
                <c:pt idx="100">
                  <c:v>201441</c:v>
                </c:pt>
                <c:pt idx="101">
                  <c:v>200796</c:v>
                </c:pt>
                <c:pt idx="102">
                  <c:v>202890</c:v>
                </c:pt>
                <c:pt idx="103">
                  <c:v>204883</c:v>
                </c:pt>
                <c:pt idx="104">
                  <c:v>205962</c:v>
                </c:pt>
                <c:pt idx="105">
                  <c:v>211400</c:v>
                </c:pt>
              </c:numCache>
            </c:numRef>
          </c:val>
          <c:smooth val="0"/>
          <c:extLst>
            <c:ext xmlns:c16="http://schemas.microsoft.com/office/drawing/2014/chart" uri="{C3380CC4-5D6E-409C-BE32-E72D297353CC}">
              <c16:uniqueId val="{00000001-5C44-4BC4-B9A2-E07E8B826D6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spPr>
            <a:ln w="28575" cap="rnd">
              <a:solidFill>
                <a:schemeClr val="accent2"/>
              </a:solidFill>
              <a:round/>
            </a:ln>
            <a:effectLst/>
          </c:spPr>
          <c:marker>
            <c:symbol val="none"/>
          </c:marker>
          <c:cat>
            <c:strRef>
              <c:f>ISCOINTEGRATED!$E$15:$E$121</c:f>
              <c:strCache>
                <c:ptCount val="107"/>
                <c:pt idx="0">
                  <c:v>t</c:v>
                </c:pt>
                <c:pt idx="1">
                  <c:v>01/01/1996</c:v>
                </c:pt>
                <c:pt idx="2">
                  <c:v>01/04/1996</c:v>
                </c:pt>
                <c:pt idx="3">
                  <c:v>01/07/1996</c:v>
                </c:pt>
                <c:pt idx="4">
                  <c:v>01/10/1996</c:v>
                </c:pt>
                <c:pt idx="5">
                  <c:v>01/01/1997</c:v>
                </c:pt>
                <c:pt idx="6">
                  <c:v>01/04/1997</c:v>
                </c:pt>
                <c:pt idx="7">
                  <c:v>01/07/1997</c:v>
                </c:pt>
                <c:pt idx="8">
                  <c:v>01/10/1997</c:v>
                </c:pt>
                <c:pt idx="9">
                  <c:v>01/01/1998</c:v>
                </c:pt>
                <c:pt idx="10">
                  <c:v>01/04/1998</c:v>
                </c:pt>
                <c:pt idx="11">
                  <c:v>01/07/1998</c:v>
                </c:pt>
                <c:pt idx="12">
                  <c:v>01/10/1998</c:v>
                </c:pt>
                <c:pt idx="13">
                  <c:v>01/01/1999</c:v>
                </c:pt>
                <c:pt idx="14">
                  <c:v>01/04/1999</c:v>
                </c:pt>
                <c:pt idx="15">
                  <c:v>01/07/1999</c:v>
                </c:pt>
                <c:pt idx="16">
                  <c:v>01/10/1999</c:v>
                </c:pt>
                <c:pt idx="17">
                  <c:v>01/01/2000</c:v>
                </c:pt>
                <c:pt idx="18">
                  <c:v>01/04/2000</c:v>
                </c:pt>
                <c:pt idx="19">
                  <c:v>01/07/2000</c:v>
                </c:pt>
                <c:pt idx="20">
                  <c:v>01/10/2000</c:v>
                </c:pt>
                <c:pt idx="21">
                  <c:v>01/01/2001</c:v>
                </c:pt>
                <c:pt idx="22">
                  <c:v>01/04/2001</c:v>
                </c:pt>
                <c:pt idx="23">
                  <c:v>01/07/2001</c:v>
                </c:pt>
                <c:pt idx="24">
                  <c:v>01/10/2001</c:v>
                </c:pt>
                <c:pt idx="25">
                  <c:v>01/01/2002</c:v>
                </c:pt>
                <c:pt idx="26">
                  <c:v>01/04/2002</c:v>
                </c:pt>
                <c:pt idx="27">
                  <c:v>01/07/2002</c:v>
                </c:pt>
                <c:pt idx="28">
                  <c:v>01/10/2002</c:v>
                </c:pt>
                <c:pt idx="29">
                  <c:v>01/01/2003</c:v>
                </c:pt>
                <c:pt idx="30">
                  <c:v>01/04/2003</c:v>
                </c:pt>
                <c:pt idx="31">
                  <c:v>01/07/2003</c:v>
                </c:pt>
                <c:pt idx="32">
                  <c:v>01/10/2003</c:v>
                </c:pt>
                <c:pt idx="33">
                  <c:v>01/01/2004</c:v>
                </c:pt>
                <c:pt idx="34">
                  <c:v>01/04/2004</c:v>
                </c:pt>
                <c:pt idx="35">
                  <c:v>01/07/2004</c:v>
                </c:pt>
                <c:pt idx="36">
                  <c:v>01/10/2004</c:v>
                </c:pt>
                <c:pt idx="37">
                  <c:v>01/01/2005</c:v>
                </c:pt>
                <c:pt idx="38">
                  <c:v>01/04/2005</c:v>
                </c:pt>
                <c:pt idx="39">
                  <c:v>01/07/2005</c:v>
                </c:pt>
                <c:pt idx="40">
                  <c:v>01/10/2005</c:v>
                </c:pt>
                <c:pt idx="41">
                  <c:v>01/01/2006</c:v>
                </c:pt>
                <c:pt idx="42">
                  <c:v>01/04/2006</c:v>
                </c:pt>
                <c:pt idx="43">
                  <c:v>01/07/2006</c:v>
                </c:pt>
                <c:pt idx="44">
                  <c:v>01/10/2006</c:v>
                </c:pt>
                <c:pt idx="45">
                  <c:v>01/01/2007</c:v>
                </c:pt>
                <c:pt idx="46">
                  <c:v>01/04/2007</c:v>
                </c:pt>
                <c:pt idx="47">
                  <c:v>01/07/2007</c:v>
                </c:pt>
                <c:pt idx="48">
                  <c:v>01/10/2007</c:v>
                </c:pt>
                <c:pt idx="49">
                  <c:v>01/01/2008</c:v>
                </c:pt>
                <c:pt idx="50">
                  <c:v>01/04/2008</c:v>
                </c:pt>
                <c:pt idx="51">
                  <c:v>01/07/2008</c:v>
                </c:pt>
                <c:pt idx="52">
                  <c:v>01/10/2008</c:v>
                </c:pt>
                <c:pt idx="53">
                  <c:v>01/01/2009</c:v>
                </c:pt>
                <c:pt idx="54">
                  <c:v>01/04/2009</c:v>
                </c:pt>
                <c:pt idx="55">
                  <c:v>01/07/2009</c:v>
                </c:pt>
                <c:pt idx="56">
                  <c:v>01/10/2009</c:v>
                </c:pt>
                <c:pt idx="57">
                  <c:v>01/01/2010</c:v>
                </c:pt>
                <c:pt idx="58">
                  <c:v>01/04/2010</c:v>
                </c:pt>
                <c:pt idx="59">
                  <c:v>01/07/2010</c:v>
                </c:pt>
                <c:pt idx="60">
                  <c:v>01/10/2010</c:v>
                </c:pt>
                <c:pt idx="61">
                  <c:v>01/01/2011</c:v>
                </c:pt>
                <c:pt idx="62">
                  <c:v>01/04/2011</c:v>
                </c:pt>
                <c:pt idx="63">
                  <c:v>01/07/2011</c:v>
                </c:pt>
                <c:pt idx="64">
                  <c:v>01/10/2011</c:v>
                </c:pt>
                <c:pt idx="65">
                  <c:v>01/01/2012</c:v>
                </c:pt>
                <c:pt idx="66">
                  <c:v>01/04/2012</c:v>
                </c:pt>
                <c:pt idx="67">
                  <c:v>01/07/2012</c:v>
                </c:pt>
                <c:pt idx="68">
                  <c:v>01/10/2012</c:v>
                </c:pt>
                <c:pt idx="69">
                  <c:v>01/01/2013</c:v>
                </c:pt>
                <c:pt idx="70">
                  <c:v>01/04/2013</c:v>
                </c:pt>
                <c:pt idx="71">
                  <c:v>01/07/2013</c:v>
                </c:pt>
                <c:pt idx="72">
                  <c:v>01/10/2013</c:v>
                </c:pt>
                <c:pt idx="73">
                  <c:v>01/01/2014</c:v>
                </c:pt>
                <c:pt idx="74">
                  <c:v>01/04/2014</c:v>
                </c:pt>
                <c:pt idx="75">
                  <c:v>01/07/2014</c:v>
                </c:pt>
                <c:pt idx="76">
                  <c:v>01/10/2014</c:v>
                </c:pt>
                <c:pt idx="77">
                  <c:v>01/01/2015</c:v>
                </c:pt>
                <c:pt idx="78">
                  <c:v>01/04/2015</c:v>
                </c:pt>
                <c:pt idx="79">
                  <c:v>01/07/2015</c:v>
                </c:pt>
                <c:pt idx="80">
                  <c:v>01/10/2015</c:v>
                </c:pt>
                <c:pt idx="81">
                  <c:v>01/01/2016</c:v>
                </c:pt>
                <c:pt idx="82">
                  <c:v>01/04/2016</c:v>
                </c:pt>
                <c:pt idx="83">
                  <c:v>01/07/2016</c:v>
                </c:pt>
                <c:pt idx="84">
                  <c:v>01/10/2016</c:v>
                </c:pt>
                <c:pt idx="85">
                  <c:v>01/01/2017</c:v>
                </c:pt>
                <c:pt idx="86">
                  <c:v>01/04/2017</c:v>
                </c:pt>
                <c:pt idx="87">
                  <c:v>01/07/2017</c:v>
                </c:pt>
                <c:pt idx="88">
                  <c:v>01/10/2017</c:v>
                </c:pt>
                <c:pt idx="89">
                  <c:v>01/01/2018</c:v>
                </c:pt>
                <c:pt idx="90">
                  <c:v>01/04/2018</c:v>
                </c:pt>
                <c:pt idx="91">
                  <c:v>01/07/2018</c:v>
                </c:pt>
                <c:pt idx="92">
                  <c:v>01/10/2018</c:v>
                </c:pt>
                <c:pt idx="93">
                  <c:v>01/01/2019</c:v>
                </c:pt>
                <c:pt idx="94">
                  <c:v>01/04/2019</c:v>
                </c:pt>
                <c:pt idx="95">
                  <c:v>01/07/2019</c:v>
                </c:pt>
                <c:pt idx="96">
                  <c:v>01/10/2019</c:v>
                </c:pt>
                <c:pt idx="97">
                  <c:v>01/01/2020</c:v>
                </c:pt>
                <c:pt idx="98">
                  <c:v>01/04/2020</c:v>
                </c:pt>
                <c:pt idx="99">
                  <c:v>01/07/2020</c:v>
                </c:pt>
                <c:pt idx="100">
                  <c:v>01/10/2020</c:v>
                </c:pt>
                <c:pt idx="101">
                  <c:v>01/01/2021</c:v>
                </c:pt>
                <c:pt idx="102">
                  <c:v>01/04/2021</c:v>
                </c:pt>
                <c:pt idx="103">
                  <c:v>01/07/2021</c:v>
                </c:pt>
                <c:pt idx="104">
                  <c:v>01/10/2021</c:v>
                </c:pt>
                <c:pt idx="105">
                  <c:v>01/01/2022</c:v>
                </c:pt>
                <c:pt idx="106">
                  <c:v>01/04/2022</c:v>
                </c:pt>
              </c:strCache>
            </c:strRef>
          </c:cat>
          <c:val>
            <c:numRef>
              <c:f>ISCOINTEGRATED!$H$15:$H$121</c:f>
              <c:numCache>
                <c:formatCode>0</c:formatCode>
                <c:ptCount val="107"/>
                <c:pt idx="0" formatCode="General">
                  <c:v>0</c:v>
                </c:pt>
                <c:pt idx="1">
                  <c:v>-8161.4722316855041</c:v>
                </c:pt>
                <c:pt idx="2">
                  <c:v>-9503.2918967638107</c:v>
                </c:pt>
                <c:pt idx="3">
                  <c:v>-7381.4551601652638</c:v>
                </c:pt>
                <c:pt idx="4">
                  <c:v>-16888.493286997429</c:v>
                </c:pt>
                <c:pt idx="5">
                  <c:v>-10931.41695719416</c:v>
                </c:pt>
                <c:pt idx="6">
                  <c:v>-10647.492159238929</c:v>
                </c:pt>
                <c:pt idx="7">
                  <c:v>-7097.9296099890489</c:v>
                </c:pt>
                <c:pt idx="8">
                  <c:v>-5485.0873840108106</c:v>
                </c:pt>
                <c:pt idx="9">
                  <c:v>-8990.3555547374708</c:v>
                </c:pt>
                <c:pt idx="10">
                  <c:v>-5640.9491625779774</c:v>
                </c:pt>
                <c:pt idx="11">
                  <c:v>-6250.7304372029321</c:v>
                </c:pt>
                <c:pt idx="12">
                  <c:v>-6191.3233683883736</c:v>
                </c:pt>
                <c:pt idx="13">
                  <c:v>-6224.8284256993793</c:v>
                </c:pt>
                <c:pt idx="14">
                  <c:v>-5504.9882677558926</c:v>
                </c:pt>
                <c:pt idx="15">
                  <c:v>-7002.8507229781535</c:v>
                </c:pt>
                <c:pt idx="16">
                  <c:v>-6986.2421497215691</c:v>
                </c:pt>
                <c:pt idx="17">
                  <c:v>-5140.1317530166707</c:v>
                </c:pt>
                <c:pt idx="18">
                  <c:v>-4625.5802205955843</c:v>
                </c:pt>
                <c:pt idx="19">
                  <c:v>-4961.9854469271377</c:v>
                </c:pt>
                <c:pt idx="20">
                  <c:v>-4087.6013520464185</c:v>
                </c:pt>
                <c:pt idx="21">
                  <c:v>-3227.7453264800715</c:v>
                </c:pt>
                <c:pt idx="22">
                  <c:v>-5121.867905841762</c:v>
                </c:pt>
                <c:pt idx="23">
                  <c:v>-973.1087410133332</c:v>
                </c:pt>
                <c:pt idx="24">
                  <c:v>-2762.4622284068319</c:v>
                </c:pt>
                <c:pt idx="25">
                  <c:v>-1364.9288571950165</c:v>
                </c:pt>
                <c:pt idx="26">
                  <c:v>-2409.9649540619284</c:v>
                </c:pt>
                <c:pt idx="27">
                  <c:v>2228.662908162456</c:v>
                </c:pt>
                <c:pt idx="28">
                  <c:v>4968.7933085596887</c:v>
                </c:pt>
                <c:pt idx="29">
                  <c:v>3327.5090446584509</c:v>
                </c:pt>
                <c:pt idx="30">
                  <c:v>3161.1111501896521</c:v>
                </c:pt>
                <c:pt idx="31">
                  <c:v>4699.8013551469485</c:v>
                </c:pt>
                <c:pt idx="32">
                  <c:v>5461.8423028078978</c:v>
                </c:pt>
                <c:pt idx="33">
                  <c:v>7150.954316444142</c:v>
                </c:pt>
                <c:pt idx="34">
                  <c:v>10900.361874431575</c:v>
                </c:pt>
                <c:pt idx="35">
                  <c:v>10278.127996158233</c:v>
                </c:pt>
                <c:pt idx="36">
                  <c:v>7726.7991376994178</c:v>
                </c:pt>
                <c:pt idx="37">
                  <c:v>10422.921717061108</c:v>
                </c:pt>
                <c:pt idx="38">
                  <c:v>11720.883777711162</c:v>
                </c:pt>
                <c:pt idx="39">
                  <c:v>7455.8354981874872</c:v>
                </c:pt>
                <c:pt idx="40">
                  <c:v>7653.0535469074384</c:v>
                </c:pt>
                <c:pt idx="41">
                  <c:v>9564.4808830355178</c:v>
                </c:pt>
                <c:pt idx="42">
                  <c:v>7332.2412517613266</c:v>
                </c:pt>
                <c:pt idx="43">
                  <c:v>9130.017713661684</c:v>
                </c:pt>
                <c:pt idx="44">
                  <c:v>9224.630197436054</c:v>
                </c:pt>
                <c:pt idx="45">
                  <c:v>9682.3664264000545</c:v>
                </c:pt>
                <c:pt idx="46">
                  <c:v>11077.375413263566</c:v>
                </c:pt>
                <c:pt idx="47">
                  <c:v>12249.515026076057</c:v>
                </c:pt>
                <c:pt idx="48">
                  <c:v>10388.221136725653</c:v>
                </c:pt>
                <c:pt idx="49">
                  <c:v>9073.2117368282052</c:v>
                </c:pt>
                <c:pt idx="50">
                  <c:v>12073.356877089798</c:v>
                </c:pt>
                <c:pt idx="51">
                  <c:v>12243.225348934066</c:v>
                </c:pt>
                <c:pt idx="52">
                  <c:v>5656.4277175134048</c:v>
                </c:pt>
                <c:pt idx="53">
                  <c:v>209.08389363854076</c:v>
                </c:pt>
                <c:pt idx="54">
                  <c:v>-1427.2870402396657</c:v>
                </c:pt>
                <c:pt idx="55">
                  <c:v>-480.41304094623774</c:v>
                </c:pt>
                <c:pt idx="56">
                  <c:v>4655.9098770294804</c:v>
                </c:pt>
                <c:pt idx="57">
                  <c:v>7344.2638535957667</c:v>
                </c:pt>
                <c:pt idx="58">
                  <c:v>8491.4011728217592</c:v>
                </c:pt>
                <c:pt idx="59">
                  <c:v>5914.8195601557964</c:v>
                </c:pt>
                <c:pt idx="60">
                  <c:v>4788.8336233650334</c:v>
                </c:pt>
                <c:pt idx="61">
                  <c:v>6626.7657912524883</c:v>
                </c:pt>
                <c:pt idx="62">
                  <c:v>6070.6206890603062</c:v>
                </c:pt>
                <c:pt idx="63">
                  <c:v>6430.2462576982798</c:v>
                </c:pt>
                <c:pt idx="64">
                  <c:v>7564.0367447384633</c:v>
                </c:pt>
                <c:pt idx="65">
                  <c:v>250.8205765709863</c:v>
                </c:pt>
                <c:pt idx="66">
                  <c:v>3361.8573881624034</c:v>
                </c:pt>
                <c:pt idx="67">
                  <c:v>5051.4558467969764</c:v>
                </c:pt>
                <c:pt idx="68">
                  <c:v>2293.4351664495189</c:v>
                </c:pt>
                <c:pt idx="69">
                  <c:v>2683.0816790560493</c:v>
                </c:pt>
                <c:pt idx="70">
                  <c:v>3677.0706622272264</c:v>
                </c:pt>
                <c:pt idx="71">
                  <c:v>3277.6065525771701</c:v>
                </c:pt>
                <c:pt idx="72">
                  <c:v>3929.0642325713416</c:v>
                </c:pt>
                <c:pt idx="73">
                  <c:v>2274.3112718471675</c:v>
                </c:pt>
                <c:pt idx="74">
                  <c:v>-957.03142426919658</c:v>
                </c:pt>
                <c:pt idx="75">
                  <c:v>-1448.704144672316</c:v>
                </c:pt>
                <c:pt idx="76">
                  <c:v>-3823.4214596329839</c:v>
                </c:pt>
                <c:pt idx="77">
                  <c:v>-1591.4474799472955</c:v>
                </c:pt>
                <c:pt idx="78">
                  <c:v>-3741.5818289318122</c:v>
                </c:pt>
                <c:pt idx="79">
                  <c:v>-3734.0259729590034</c:v>
                </c:pt>
                <c:pt idx="80">
                  <c:v>-4059.3507334177848</c:v>
                </c:pt>
                <c:pt idx="81">
                  <c:v>-5232.1780320493854</c:v>
                </c:pt>
                <c:pt idx="82">
                  <c:v>-2676.1578028053045</c:v>
                </c:pt>
                <c:pt idx="83">
                  <c:v>-3317.8123619991238</c:v>
                </c:pt>
                <c:pt idx="84">
                  <c:v>-3042.4057442879421</c:v>
                </c:pt>
                <c:pt idx="85">
                  <c:v>-1761.3590436261729</c:v>
                </c:pt>
                <c:pt idx="86">
                  <c:v>-3692.6129255918786</c:v>
                </c:pt>
                <c:pt idx="87">
                  <c:v>-5363.2272137798136</c:v>
                </c:pt>
                <c:pt idx="88">
                  <c:v>-4461.787469443283</c:v>
                </c:pt>
                <c:pt idx="89">
                  <c:v>-4898.0229646479711</c:v>
                </c:pt>
                <c:pt idx="90">
                  <c:v>-5707.8417275194661</c:v>
                </c:pt>
                <c:pt idx="91">
                  <c:v>-4312.6213852131041</c:v>
                </c:pt>
                <c:pt idx="92">
                  <c:v>-5174.7317819179734</c:v>
                </c:pt>
                <c:pt idx="93">
                  <c:v>-8517.9187339778873</c:v>
                </c:pt>
                <c:pt idx="94">
                  <c:v>-7997.7830316831823</c:v>
                </c:pt>
                <c:pt idx="95">
                  <c:v>-8880.8662803152693</c:v>
                </c:pt>
                <c:pt idx="96">
                  <c:v>-7692.014165266708</c:v>
                </c:pt>
                <c:pt idx="97">
                  <c:v>-11426.068235860672</c:v>
                </c:pt>
                <c:pt idx="98">
                  <c:v>-7509.8685767667484</c:v>
                </c:pt>
                <c:pt idx="99">
                  <c:v>-3207.2550765771884</c:v>
                </c:pt>
                <c:pt idx="100">
                  <c:v>-1879.0664314470487</c:v>
                </c:pt>
                <c:pt idx="101">
                  <c:v>375.24291249224916</c:v>
                </c:pt>
                <c:pt idx="102">
                  <c:v>375.24911659647478</c:v>
                </c:pt>
                <c:pt idx="103">
                  <c:v>-2191.3198623093776</c:v>
                </c:pt>
                <c:pt idx="104">
                  <c:v>-2464.4134511151351</c:v>
                </c:pt>
                <c:pt idx="105">
                  <c:v>-462.67034139187308</c:v>
                </c:pt>
                <c:pt idx="106">
                  <c:v>-3799.3552063822863</c:v>
                </c:pt>
              </c:numCache>
            </c:numRef>
          </c:val>
          <c:smooth val="0"/>
          <c:extLst>
            <c:ext xmlns:c16="http://schemas.microsoft.com/office/drawing/2014/chart" uri="{C3380CC4-5D6E-409C-BE32-E72D297353CC}">
              <c16:uniqueId val="{00000000-E60E-4434-9639-70E3DC7A460F}"/>
            </c:ext>
          </c:extLst>
        </c:ser>
        <c:dLbls>
          <c:showLegendKey val="0"/>
          <c:showVal val="0"/>
          <c:showCatName val="0"/>
          <c:showSerName val="0"/>
          <c:showPercent val="0"/>
          <c:showBubbleSize val="0"/>
        </c:dLbls>
        <c:smooth val="0"/>
        <c:axId val="2040515792"/>
        <c:axId val="2040519952"/>
      </c:lineChart>
      <c:catAx>
        <c:axId val="204051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Algn val="ctr"/>
        <c:lblOffset val="100"/>
        <c:noMultiLvlLbl val="1"/>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Original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ISCOINTEGRATED!$J$15</c:f>
              <c:strCache>
                <c:ptCount val="1"/>
                <c:pt idx="0">
                  <c:v>Selic</c:v>
                </c:pt>
              </c:strCache>
            </c:strRef>
          </c:tx>
          <c:spPr>
            <a:ln w="28575" cap="rnd">
              <a:solidFill>
                <a:schemeClr val="accent1"/>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ISCOINTEGRATED!$J$16:$J$151</c:f>
              <c:numCache>
                <c:formatCode>0.0</c:formatCode>
                <c:ptCount val="136"/>
                <c:pt idx="0">
                  <c:v>11.62</c:v>
                </c:pt>
                <c:pt idx="1">
                  <c:v>11.74</c:v>
                </c:pt>
                <c:pt idx="2">
                  <c:v>11.92</c:v>
                </c:pt>
                <c:pt idx="3">
                  <c:v>12.1</c:v>
                </c:pt>
                <c:pt idx="4">
                  <c:v>12.25</c:v>
                </c:pt>
                <c:pt idx="5">
                  <c:v>12.42</c:v>
                </c:pt>
                <c:pt idx="6">
                  <c:v>11.91</c:v>
                </c:pt>
                <c:pt idx="7">
                  <c:v>11.7</c:v>
                </c:pt>
                <c:pt idx="8">
                  <c:v>11.4</c:v>
                </c:pt>
                <c:pt idx="9">
                  <c:v>10.9</c:v>
                </c:pt>
                <c:pt idx="10">
                  <c:v>10.7</c:v>
                </c:pt>
                <c:pt idx="11">
                  <c:v>10.4</c:v>
                </c:pt>
                <c:pt idx="12">
                  <c:v>9.82</c:v>
                </c:pt>
                <c:pt idx="13">
                  <c:v>9.35</c:v>
                </c:pt>
                <c:pt idx="14">
                  <c:v>8.8699999999999992</c:v>
                </c:pt>
                <c:pt idx="15">
                  <c:v>8.39</c:v>
                </c:pt>
                <c:pt idx="16">
                  <c:v>8.07</c:v>
                </c:pt>
                <c:pt idx="17">
                  <c:v>7.85</c:v>
                </c:pt>
                <c:pt idx="18">
                  <c:v>7.39</c:v>
                </c:pt>
                <c:pt idx="19">
                  <c:v>7.23</c:v>
                </c:pt>
                <c:pt idx="20">
                  <c:v>7.14</c:v>
                </c:pt>
                <c:pt idx="21">
                  <c:v>7.16</c:v>
                </c:pt>
                <c:pt idx="22">
                  <c:v>7.11</c:v>
                </c:pt>
                <c:pt idx="23">
                  <c:v>7.12</c:v>
                </c:pt>
                <c:pt idx="24">
                  <c:v>7.15</c:v>
                </c:pt>
                <c:pt idx="25">
                  <c:v>7.26</c:v>
                </c:pt>
                <c:pt idx="26">
                  <c:v>7.42</c:v>
                </c:pt>
                <c:pt idx="27">
                  <c:v>7.9</c:v>
                </c:pt>
                <c:pt idx="28">
                  <c:v>8.23</c:v>
                </c:pt>
                <c:pt idx="29">
                  <c:v>8.4499999999999993</c:v>
                </c:pt>
                <c:pt idx="30">
                  <c:v>8.9</c:v>
                </c:pt>
                <c:pt idx="31">
                  <c:v>9.25</c:v>
                </c:pt>
                <c:pt idx="32">
                  <c:v>9.4499999999999993</c:v>
                </c:pt>
                <c:pt idx="33">
                  <c:v>9.9</c:v>
                </c:pt>
                <c:pt idx="34">
                  <c:v>10.17</c:v>
                </c:pt>
                <c:pt idx="35">
                  <c:v>10.43</c:v>
                </c:pt>
                <c:pt idx="36">
                  <c:v>10.65</c:v>
                </c:pt>
                <c:pt idx="37">
                  <c:v>10.87</c:v>
                </c:pt>
                <c:pt idx="38">
                  <c:v>10.9</c:v>
                </c:pt>
                <c:pt idx="39">
                  <c:v>10.9</c:v>
                </c:pt>
                <c:pt idx="40">
                  <c:v>10.9</c:v>
                </c:pt>
                <c:pt idx="41">
                  <c:v>10.9</c:v>
                </c:pt>
                <c:pt idx="42">
                  <c:v>10.9</c:v>
                </c:pt>
                <c:pt idx="43">
                  <c:v>10.92</c:v>
                </c:pt>
                <c:pt idx="44">
                  <c:v>11.15</c:v>
                </c:pt>
                <c:pt idx="45">
                  <c:v>11.58</c:v>
                </c:pt>
                <c:pt idx="46">
                  <c:v>11.82</c:v>
                </c:pt>
                <c:pt idx="47">
                  <c:v>12.15</c:v>
                </c:pt>
                <c:pt idx="48">
                  <c:v>12.58</c:v>
                </c:pt>
                <c:pt idx="49">
                  <c:v>12.68</c:v>
                </c:pt>
                <c:pt idx="50">
                  <c:v>13.15</c:v>
                </c:pt>
                <c:pt idx="51">
                  <c:v>13.58</c:v>
                </c:pt>
                <c:pt idx="52">
                  <c:v>13.69</c:v>
                </c:pt>
                <c:pt idx="53">
                  <c:v>14.15</c:v>
                </c:pt>
                <c:pt idx="54">
                  <c:v>14.15</c:v>
                </c:pt>
                <c:pt idx="55">
                  <c:v>14.15</c:v>
                </c:pt>
                <c:pt idx="56">
                  <c:v>14.15</c:v>
                </c:pt>
                <c:pt idx="57">
                  <c:v>14.15</c:v>
                </c:pt>
                <c:pt idx="58">
                  <c:v>14.15</c:v>
                </c:pt>
                <c:pt idx="59">
                  <c:v>14.15</c:v>
                </c:pt>
                <c:pt idx="60">
                  <c:v>14.15</c:v>
                </c:pt>
                <c:pt idx="61">
                  <c:v>14.15</c:v>
                </c:pt>
                <c:pt idx="62">
                  <c:v>14.15</c:v>
                </c:pt>
                <c:pt idx="63">
                  <c:v>14.15</c:v>
                </c:pt>
                <c:pt idx="64">
                  <c:v>14.15</c:v>
                </c:pt>
                <c:pt idx="65">
                  <c:v>14.15</c:v>
                </c:pt>
                <c:pt idx="66">
                  <c:v>14.15</c:v>
                </c:pt>
                <c:pt idx="67">
                  <c:v>14.05</c:v>
                </c:pt>
                <c:pt idx="68">
                  <c:v>13.9</c:v>
                </c:pt>
                <c:pt idx="69">
                  <c:v>13.65</c:v>
                </c:pt>
                <c:pt idx="70">
                  <c:v>13.17</c:v>
                </c:pt>
                <c:pt idx="71">
                  <c:v>12.82</c:v>
                </c:pt>
                <c:pt idx="72">
                  <c:v>12.15</c:v>
                </c:pt>
                <c:pt idx="73">
                  <c:v>11.59</c:v>
                </c:pt>
                <c:pt idx="74">
                  <c:v>11.15</c:v>
                </c:pt>
                <c:pt idx="75">
                  <c:v>10.15</c:v>
                </c:pt>
                <c:pt idx="76">
                  <c:v>10.01</c:v>
                </c:pt>
                <c:pt idx="77">
                  <c:v>9.15</c:v>
                </c:pt>
                <c:pt idx="78">
                  <c:v>8.35</c:v>
                </c:pt>
                <c:pt idx="79">
                  <c:v>8.01</c:v>
                </c:pt>
                <c:pt idx="80">
                  <c:v>7.4</c:v>
                </c:pt>
                <c:pt idx="81">
                  <c:v>7</c:v>
                </c:pt>
                <c:pt idx="82">
                  <c:v>6.9</c:v>
                </c:pt>
                <c:pt idx="83">
                  <c:v>6.72</c:v>
                </c:pt>
                <c:pt idx="84">
                  <c:v>6.58</c:v>
                </c:pt>
                <c:pt idx="85">
                  <c:v>6.4</c:v>
                </c:pt>
                <c:pt idx="86">
                  <c:v>6.4</c:v>
                </c:pt>
                <c:pt idx="87">
                  <c:v>6.4</c:v>
                </c:pt>
                <c:pt idx="88">
                  <c:v>6.4</c:v>
                </c:pt>
                <c:pt idx="89">
                  <c:v>6.4</c:v>
                </c:pt>
                <c:pt idx="90">
                  <c:v>6.4</c:v>
                </c:pt>
                <c:pt idx="91">
                  <c:v>6.4</c:v>
                </c:pt>
                <c:pt idx="92">
                  <c:v>6.4</c:v>
                </c:pt>
                <c:pt idx="93">
                  <c:v>6.4</c:v>
                </c:pt>
                <c:pt idx="94">
                  <c:v>6.4</c:v>
                </c:pt>
                <c:pt idx="95">
                  <c:v>6.4</c:v>
                </c:pt>
                <c:pt idx="96">
                  <c:v>6.4</c:v>
                </c:pt>
                <c:pt idx="97">
                  <c:v>6.4</c:v>
                </c:pt>
                <c:pt idx="98">
                  <c:v>6.4</c:v>
                </c:pt>
                <c:pt idx="99">
                  <c:v>6.4</c:v>
                </c:pt>
                <c:pt idx="100">
                  <c:v>6.4</c:v>
                </c:pt>
                <c:pt idx="101">
                  <c:v>5.9</c:v>
                </c:pt>
                <c:pt idx="102">
                  <c:v>5.71</c:v>
                </c:pt>
                <c:pt idx="103">
                  <c:v>5.38</c:v>
                </c:pt>
                <c:pt idx="104">
                  <c:v>4.9000000000000004</c:v>
                </c:pt>
                <c:pt idx="105">
                  <c:v>4.59</c:v>
                </c:pt>
                <c:pt idx="106">
                  <c:v>4.4000000000000004</c:v>
                </c:pt>
                <c:pt idx="107">
                  <c:v>4.1900000000000004</c:v>
                </c:pt>
                <c:pt idx="108">
                  <c:v>3.95</c:v>
                </c:pt>
                <c:pt idx="109">
                  <c:v>3.65</c:v>
                </c:pt>
                <c:pt idx="110">
                  <c:v>3.01</c:v>
                </c:pt>
                <c:pt idx="111">
                  <c:v>2.58</c:v>
                </c:pt>
                <c:pt idx="112">
                  <c:v>2.15</c:v>
                </c:pt>
                <c:pt idx="113">
                  <c:v>1.94</c:v>
                </c:pt>
                <c:pt idx="114">
                  <c:v>1.9</c:v>
                </c:pt>
                <c:pt idx="115">
                  <c:v>1.9</c:v>
                </c:pt>
                <c:pt idx="116">
                  <c:v>1.9</c:v>
                </c:pt>
                <c:pt idx="117">
                  <c:v>1.9</c:v>
                </c:pt>
                <c:pt idx="118">
                  <c:v>1.9</c:v>
                </c:pt>
                <c:pt idx="119">
                  <c:v>1.9</c:v>
                </c:pt>
                <c:pt idx="120">
                  <c:v>2.23</c:v>
                </c:pt>
                <c:pt idx="121">
                  <c:v>2.65</c:v>
                </c:pt>
                <c:pt idx="122">
                  <c:v>3.29</c:v>
                </c:pt>
                <c:pt idx="123">
                  <c:v>3.76</c:v>
                </c:pt>
                <c:pt idx="124">
                  <c:v>4.1500000000000004</c:v>
                </c:pt>
                <c:pt idx="125">
                  <c:v>5.01</c:v>
                </c:pt>
                <c:pt idx="126">
                  <c:v>5.43</c:v>
                </c:pt>
                <c:pt idx="127">
                  <c:v>6.3</c:v>
                </c:pt>
                <c:pt idx="128">
                  <c:v>7.65</c:v>
                </c:pt>
                <c:pt idx="129">
                  <c:v>8.76</c:v>
                </c:pt>
                <c:pt idx="130">
                  <c:v>9.15</c:v>
                </c:pt>
                <c:pt idx="131">
                  <c:v>10.49</c:v>
                </c:pt>
                <c:pt idx="132">
                  <c:v>11.15</c:v>
                </c:pt>
                <c:pt idx="133">
                  <c:v>11.65</c:v>
                </c:pt>
                <c:pt idx="134">
                  <c:v>12.51</c:v>
                </c:pt>
                <c:pt idx="135">
                  <c:v>12.89</c:v>
                </c:pt>
              </c:numCache>
            </c:numRef>
          </c:val>
          <c:smooth val="0"/>
          <c:extLst>
            <c:ext xmlns:c16="http://schemas.microsoft.com/office/drawing/2014/chart" uri="{C3380CC4-5D6E-409C-BE32-E72D297353CC}">
              <c16:uniqueId val="{00000000-3FC9-4998-AD6B-EF3AE8F6EF0D}"/>
            </c:ext>
          </c:extLst>
        </c:ser>
        <c:ser>
          <c:idx val="1"/>
          <c:order val="1"/>
          <c:tx>
            <c:strRef>
              <c:f>ISCOINTEGRATED!$K$15</c:f>
              <c:strCache>
                <c:ptCount val="1"/>
                <c:pt idx="0">
                  <c:v>SFN rate</c:v>
                </c:pt>
              </c:strCache>
            </c:strRef>
          </c:tx>
          <c:spPr>
            <a:ln w="28575" cap="rnd">
              <a:solidFill>
                <a:schemeClr val="accent2"/>
              </a:solidFill>
              <a:round/>
            </a:ln>
            <a:effectLst/>
          </c:spPr>
          <c:marker>
            <c:symbol val="none"/>
          </c:marker>
          <c:cat>
            <c:numRef>
              <c:f>ISCOINTEGRATED!$E$16:$E$151</c:f>
              <c:numCache>
                <c:formatCode>m/d/yyyy</c:formatCode>
                <c:ptCount val="136"/>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pt idx="103">
                  <c:v>44470</c:v>
                </c:pt>
                <c:pt idx="104">
                  <c:v>44562</c:v>
                </c:pt>
                <c:pt idx="105">
                  <c:v>44652</c:v>
                </c:pt>
              </c:numCache>
            </c:numRef>
          </c:cat>
          <c:val>
            <c:numRef>
              <c:f>ISCOINTEGRATED!$K$16:$K$151</c:f>
              <c:numCache>
                <c:formatCode>0.0</c:formatCode>
                <c:ptCount val="136"/>
                <c:pt idx="0">
                  <c:v>27.35</c:v>
                </c:pt>
                <c:pt idx="1">
                  <c:v>27.94</c:v>
                </c:pt>
                <c:pt idx="2">
                  <c:v>27.86</c:v>
                </c:pt>
                <c:pt idx="3">
                  <c:v>27.62</c:v>
                </c:pt>
                <c:pt idx="4">
                  <c:v>27.81</c:v>
                </c:pt>
                <c:pt idx="5">
                  <c:v>27.23</c:v>
                </c:pt>
                <c:pt idx="6">
                  <c:v>27.2</c:v>
                </c:pt>
                <c:pt idx="7">
                  <c:v>27.45</c:v>
                </c:pt>
                <c:pt idx="8">
                  <c:v>26.66</c:v>
                </c:pt>
                <c:pt idx="9">
                  <c:v>25.82</c:v>
                </c:pt>
                <c:pt idx="10">
                  <c:v>26.8</c:v>
                </c:pt>
                <c:pt idx="11">
                  <c:v>26.86</c:v>
                </c:pt>
                <c:pt idx="12">
                  <c:v>26.54</c:v>
                </c:pt>
                <c:pt idx="13">
                  <c:v>25.96</c:v>
                </c:pt>
                <c:pt idx="14">
                  <c:v>24.36</c:v>
                </c:pt>
                <c:pt idx="15">
                  <c:v>23.62</c:v>
                </c:pt>
                <c:pt idx="16">
                  <c:v>23.03</c:v>
                </c:pt>
                <c:pt idx="17">
                  <c:v>22.54</c:v>
                </c:pt>
                <c:pt idx="18">
                  <c:v>22.3</c:v>
                </c:pt>
                <c:pt idx="19">
                  <c:v>21.72</c:v>
                </c:pt>
                <c:pt idx="20">
                  <c:v>21.47</c:v>
                </c:pt>
                <c:pt idx="21">
                  <c:v>20.39</c:v>
                </c:pt>
                <c:pt idx="22">
                  <c:v>20.84</c:v>
                </c:pt>
                <c:pt idx="23">
                  <c:v>21.18</c:v>
                </c:pt>
                <c:pt idx="24">
                  <c:v>20.93</c:v>
                </c:pt>
                <c:pt idx="25">
                  <c:v>20.83</c:v>
                </c:pt>
                <c:pt idx="26">
                  <c:v>20.57</c:v>
                </c:pt>
                <c:pt idx="27">
                  <c:v>20.85</c:v>
                </c:pt>
                <c:pt idx="28">
                  <c:v>21.28</c:v>
                </c:pt>
                <c:pt idx="29">
                  <c:v>21.46</c:v>
                </c:pt>
                <c:pt idx="30">
                  <c:v>21.61</c:v>
                </c:pt>
                <c:pt idx="31">
                  <c:v>21.98</c:v>
                </c:pt>
                <c:pt idx="32">
                  <c:v>22.21</c:v>
                </c:pt>
                <c:pt idx="33">
                  <c:v>21.87</c:v>
                </c:pt>
                <c:pt idx="34">
                  <c:v>22.84</c:v>
                </c:pt>
                <c:pt idx="35">
                  <c:v>23.38</c:v>
                </c:pt>
                <c:pt idx="36">
                  <c:v>23.53</c:v>
                </c:pt>
                <c:pt idx="37">
                  <c:v>23.41</c:v>
                </c:pt>
                <c:pt idx="38">
                  <c:v>23.59</c:v>
                </c:pt>
                <c:pt idx="39">
                  <c:v>23.46</c:v>
                </c:pt>
                <c:pt idx="40">
                  <c:v>23.7</c:v>
                </c:pt>
                <c:pt idx="41">
                  <c:v>23.61</c:v>
                </c:pt>
                <c:pt idx="42">
                  <c:v>23.26</c:v>
                </c:pt>
                <c:pt idx="43">
                  <c:v>23.79</c:v>
                </c:pt>
                <c:pt idx="44">
                  <c:v>23.87</c:v>
                </c:pt>
                <c:pt idx="45">
                  <c:v>23.39</c:v>
                </c:pt>
                <c:pt idx="46">
                  <c:v>24.6</c:v>
                </c:pt>
                <c:pt idx="47">
                  <c:v>25.32</c:v>
                </c:pt>
                <c:pt idx="48">
                  <c:v>25.51</c:v>
                </c:pt>
                <c:pt idx="49">
                  <c:v>26.13</c:v>
                </c:pt>
                <c:pt idx="50">
                  <c:v>26.73</c:v>
                </c:pt>
                <c:pt idx="51">
                  <c:v>27.25</c:v>
                </c:pt>
                <c:pt idx="52">
                  <c:v>28.05</c:v>
                </c:pt>
                <c:pt idx="53">
                  <c:v>28.55</c:v>
                </c:pt>
                <c:pt idx="54">
                  <c:v>29.06</c:v>
                </c:pt>
                <c:pt idx="55">
                  <c:v>29.85</c:v>
                </c:pt>
                <c:pt idx="56">
                  <c:v>30.13</c:v>
                </c:pt>
                <c:pt idx="57">
                  <c:v>29.38</c:v>
                </c:pt>
                <c:pt idx="58">
                  <c:v>31.03</c:v>
                </c:pt>
                <c:pt idx="59">
                  <c:v>31.52</c:v>
                </c:pt>
                <c:pt idx="60">
                  <c:v>31.71</c:v>
                </c:pt>
                <c:pt idx="61">
                  <c:v>32.130000000000003</c:v>
                </c:pt>
                <c:pt idx="62">
                  <c:v>32.229999999999997</c:v>
                </c:pt>
                <c:pt idx="63">
                  <c:v>32.08</c:v>
                </c:pt>
                <c:pt idx="64">
                  <c:v>32.54</c:v>
                </c:pt>
                <c:pt idx="65">
                  <c:v>32.69</c:v>
                </c:pt>
                <c:pt idx="66">
                  <c:v>32.71</c:v>
                </c:pt>
                <c:pt idx="67">
                  <c:v>32.99</c:v>
                </c:pt>
                <c:pt idx="68">
                  <c:v>32.799999999999997</c:v>
                </c:pt>
                <c:pt idx="69">
                  <c:v>31.81</c:v>
                </c:pt>
                <c:pt idx="70">
                  <c:v>32.54</c:v>
                </c:pt>
                <c:pt idx="71">
                  <c:v>31.78</c:v>
                </c:pt>
                <c:pt idx="72">
                  <c:v>31.72</c:v>
                </c:pt>
                <c:pt idx="73">
                  <c:v>29.82</c:v>
                </c:pt>
                <c:pt idx="74">
                  <c:v>28.74</c:v>
                </c:pt>
                <c:pt idx="75">
                  <c:v>28.52</c:v>
                </c:pt>
                <c:pt idx="76">
                  <c:v>28.95</c:v>
                </c:pt>
                <c:pt idx="77">
                  <c:v>28.47</c:v>
                </c:pt>
                <c:pt idx="78">
                  <c:v>26.85</c:v>
                </c:pt>
                <c:pt idx="79">
                  <c:v>27.36</c:v>
                </c:pt>
                <c:pt idx="80">
                  <c:v>26.82</c:v>
                </c:pt>
                <c:pt idx="81">
                  <c:v>25.49</c:v>
                </c:pt>
                <c:pt idx="82">
                  <c:v>25.98</c:v>
                </c:pt>
                <c:pt idx="83">
                  <c:v>26.56</c:v>
                </c:pt>
                <c:pt idx="84">
                  <c:v>25.88</c:v>
                </c:pt>
                <c:pt idx="85">
                  <c:v>25.61</c:v>
                </c:pt>
                <c:pt idx="86">
                  <c:v>24.64</c:v>
                </c:pt>
                <c:pt idx="87">
                  <c:v>24.31</c:v>
                </c:pt>
                <c:pt idx="88">
                  <c:v>24.14</c:v>
                </c:pt>
                <c:pt idx="89">
                  <c:v>24.1</c:v>
                </c:pt>
                <c:pt idx="90">
                  <c:v>23.96</c:v>
                </c:pt>
                <c:pt idx="91">
                  <c:v>24.25</c:v>
                </c:pt>
                <c:pt idx="92">
                  <c:v>24.24</c:v>
                </c:pt>
                <c:pt idx="93">
                  <c:v>22.93</c:v>
                </c:pt>
                <c:pt idx="94">
                  <c:v>24.33</c:v>
                </c:pt>
                <c:pt idx="95">
                  <c:v>24.65</c:v>
                </c:pt>
                <c:pt idx="96">
                  <c:v>24.92</c:v>
                </c:pt>
                <c:pt idx="97">
                  <c:v>24.99</c:v>
                </c:pt>
                <c:pt idx="98">
                  <c:v>24.83</c:v>
                </c:pt>
                <c:pt idx="99">
                  <c:v>24.72</c:v>
                </c:pt>
                <c:pt idx="100">
                  <c:v>24.61</c:v>
                </c:pt>
                <c:pt idx="101">
                  <c:v>24.7</c:v>
                </c:pt>
                <c:pt idx="102">
                  <c:v>23.91</c:v>
                </c:pt>
                <c:pt idx="103">
                  <c:v>23.42</c:v>
                </c:pt>
                <c:pt idx="104">
                  <c:v>23.51</c:v>
                </c:pt>
                <c:pt idx="105">
                  <c:v>22.51</c:v>
                </c:pt>
                <c:pt idx="106">
                  <c:v>23.02</c:v>
                </c:pt>
                <c:pt idx="107">
                  <c:v>22.98</c:v>
                </c:pt>
                <c:pt idx="108">
                  <c:v>22.61</c:v>
                </c:pt>
                <c:pt idx="109">
                  <c:v>21.45</c:v>
                </c:pt>
                <c:pt idx="110">
                  <c:v>20.58</c:v>
                </c:pt>
                <c:pt idx="111">
                  <c:v>19.25</c:v>
                </c:pt>
                <c:pt idx="112">
                  <c:v>19.02</c:v>
                </c:pt>
                <c:pt idx="113">
                  <c:v>18.57</c:v>
                </c:pt>
                <c:pt idx="114">
                  <c:v>18.02</c:v>
                </c:pt>
                <c:pt idx="115">
                  <c:v>18.59</c:v>
                </c:pt>
                <c:pt idx="116">
                  <c:v>18.46</c:v>
                </c:pt>
                <c:pt idx="117">
                  <c:v>18.309999999999999</c:v>
                </c:pt>
                <c:pt idx="118">
                  <c:v>20.05</c:v>
                </c:pt>
                <c:pt idx="119">
                  <c:v>19.760000000000002</c:v>
                </c:pt>
                <c:pt idx="120">
                  <c:v>19.920000000000002</c:v>
                </c:pt>
                <c:pt idx="121">
                  <c:v>20.41</c:v>
                </c:pt>
                <c:pt idx="122">
                  <c:v>19.91</c:v>
                </c:pt>
                <c:pt idx="123">
                  <c:v>20.03</c:v>
                </c:pt>
                <c:pt idx="124">
                  <c:v>20.41</c:v>
                </c:pt>
                <c:pt idx="125">
                  <c:v>21.08</c:v>
                </c:pt>
                <c:pt idx="126">
                  <c:v>21.57</c:v>
                </c:pt>
                <c:pt idx="127">
                  <c:v>23.01</c:v>
                </c:pt>
                <c:pt idx="128">
                  <c:v>24.01</c:v>
                </c:pt>
                <c:pt idx="129">
                  <c:v>24.31</c:v>
                </c:pt>
                <c:pt idx="130">
                  <c:v>25.32</c:v>
                </c:pt>
                <c:pt idx="131">
                  <c:v>25.73</c:v>
                </c:pt>
                <c:pt idx="132">
                  <c:v>26.67</c:v>
                </c:pt>
                <c:pt idx="133">
                  <c:v>27.57</c:v>
                </c:pt>
                <c:pt idx="134">
                  <c:v>27.59</c:v>
                </c:pt>
                <c:pt idx="135">
                  <c:v>28.13</c:v>
                </c:pt>
              </c:numCache>
            </c:numRef>
          </c:val>
          <c:smooth val="0"/>
          <c:extLst>
            <c:ext xmlns:c16="http://schemas.microsoft.com/office/drawing/2014/chart" uri="{C3380CC4-5D6E-409C-BE32-E72D297353CC}">
              <c16:uniqueId val="{00000001-3FC9-4998-AD6B-EF3AE8F6EF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Residuals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ISCOINTEGRATED!$L$15</c:f>
              <c:strCache>
                <c:ptCount val="1"/>
                <c:pt idx="0">
                  <c:v>Residuals</c:v>
                </c:pt>
              </c:strCache>
            </c:strRef>
          </c:tx>
          <c:spPr>
            <a:ln w="28575" cap="rnd">
              <a:solidFill>
                <a:schemeClr val="accent2"/>
              </a:solidFill>
              <a:round/>
            </a:ln>
            <a:effectLst/>
          </c:spPr>
          <c:marker>
            <c:symbol val="none"/>
          </c:marker>
          <c:cat>
            <c:numRef>
              <c:f>ISCOINTEGRATED!$I$16:$I$151</c:f>
              <c:numCache>
                <c:formatCode>m/d/yyyy</c:formatCode>
                <c:ptCount val="136"/>
                <c:pt idx="0">
                  <c:v>40603</c:v>
                </c:pt>
                <c:pt idx="1">
                  <c:v>40634</c:v>
                </c:pt>
                <c:pt idx="2">
                  <c:v>40664</c:v>
                </c:pt>
                <c:pt idx="3">
                  <c:v>40695</c:v>
                </c:pt>
                <c:pt idx="4">
                  <c:v>40725</c:v>
                </c:pt>
                <c:pt idx="5">
                  <c:v>40756</c:v>
                </c:pt>
                <c:pt idx="6">
                  <c:v>40787</c:v>
                </c:pt>
                <c:pt idx="7">
                  <c:v>40817</c:v>
                </c:pt>
                <c:pt idx="8">
                  <c:v>40848</c:v>
                </c:pt>
                <c:pt idx="9">
                  <c:v>40878</c:v>
                </c:pt>
                <c:pt idx="10">
                  <c:v>40909</c:v>
                </c:pt>
                <c:pt idx="11">
                  <c:v>40940</c:v>
                </c:pt>
                <c:pt idx="12">
                  <c:v>40969</c:v>
                </c:pt>
                <c:pt idx="13">
                  <c:v>41000</c:v>
                </c:pt>
                <c:pt idx="14">
                  <c:v>41030</c:v>
                </c:pt>
                <c:pt idx="15">
                  <c:v>41061</c:v>
                </c:pt>
                <c:pt idx="16">
                  <c:v>41091</c:v>
                </c:pt>
                <c:pt idx="17">
                  <c:v>41122</c:v>
                </c:pt>
                <c:pt idx="18">
                  <c:v>41153</c:v>
                </c:pt>
                <c:pt idx="19">
                  <c:v>41183</c:v>
                </c:pt>
                <c:pt idx="20">
                  <c:v>41214</c:v>
                </c:pt>
                <c:pt idx="21">
                  <c:v>41244</c:v>
                </c:pt>
                <c:pt idx="22">
                  <c:v>41275</c:v>
                </c:pt>
                <c:pt idx="23">
                  <c:v>41306</c:v>
                </c:pt>
                <c:pt idx="24">
                  <c:v>41334</c:v>
                </c:pt>
                <c:pt idx="25">
                  <c:v>41365</c:v>
                </c:pt>
                <c:pt idx="26">
                  <c:v>41395</c:v>
                </c:pt>
                <c:pt idx="27">
                  <c:v>41426</c:v>
                </c:pt>
                <c:pt idx="28">
                  <c:v>41456</c:v>
                </c:pt>
                <c:pt idx="29">
                  <c:v>41487</c:v>
                </c:pt>
                <c:pt idx="30">
                  <c:v>41518</c:v>
                </c:pt>
                <c:pt idx="31">
                  <c:v>41548</c:v>
                </c:pt>
                <c:pt idx="32">
                  <c:v>41579</c:v>
                </c:pt>
                <c:pt idx="33">
                  <c:v>41609</c:v>
                </c:pt>
                <c:pt idx="34">
                  <c:v>41640</c:v>
                </c:pt>
                <c:pt idx="35">
                  <c:v>41671</c:v>
                </c:pt>
                <c:pt idx="36">
                  <c:v>41699</c:v>
                </c:pt>
                <c:pt idx="37">
                  <c:v>41730</c:v>
                </c:pt>
                <c:pt idx="38">
                  <c:v>41760</c:v>
                </c:pt>
                <c:pt idx="39">
                  <c:v>41791</c:v>
                </c:pt>
                <c:pt idx="40">
                  <c:v>41821</c:v>
                </c:pt>
                <c:pt idx="41">
                  <c:v>41852</c:v>
                </c:pt>
                <c:pt idx="42">
                  <c:v>41883</c:v>
                </c:pt>
                <c:pt idx="43">
                  <c:v>41913</c:v>
                </c:pt>
                <c:pt idx="44">
                  <c:v>41944</c:v>
                </c:pt>
                <c:pt idx="45">
                  <c:v>41974</c:v>
                </c:pt>
                <c:pt idx="46">
                  <c:v>42005</c:v>
                </c:pt>
                <c:pt idx="47">
                  <c:v>42036</c:v>
                </c:pt>
                <c:pt idx="48">
                  <c:v>42064</c:v>
                </c:pt>
                <c:pt idx="49">
                  <c:v>42095</c:v>
                </c:pt>
                <c:pt idx="50">
                  <c:v>42125</c:v>
                </c:pt>
                <c:pt idx="51">
                  <c:v>42156</c:v>
                </c:pt>
                <c:pt idx="52">
                  <c:v>42186</c:v>
                </c:pt>
                <c:pt idx="53">
                  <c:v>42217</c:v>
                </c:pt>
                <c:pt idx="54">
                  <c:v>42248</c:v>
                </c:pt>
                <c:pt idx="55">
                  <c:v>42278</c:v>
                </c:pt>
                <c:pt idx="56">
                  <c:v>42309</c:v>
                </c:pt>
                <c:pt idx="57">
                  <c:v>42339</c:v>
                </c:pt>
                <c:pt idx="58">
                  <c:v>42370</c:v>
                </c:pt>
                <c:pt idx="59">
                  <c:v>42401</c:v>
                </c:pt>
                <c:pt idx="60">
                  <c:v>42430</c:v>
                </c:pt>
                <c:pt idx="61">
                  <c:v>42461</c:v>
                </c:pt>
                <c:pt idx="62">
                  <c:v>42491</c:v>
                </c:pt>
                <c:pt idx="63">
                  <c:v>42522</c:v>
                </c:pt>
                <c:pt idx="64">
                  <c:v>42552</c:v>
                </c:pt>
                <c:pt idx="65">
                  <c:v>42583</c:v>
                </c:pt>
                <c:pt idx="66">
                  <c:v>42614</c:v>
                </c:pt>
                <c:pt idx="67">
                  <c:v>42644</c:v>
                </c:pt>
                <c:pt idx="68">
                  <c:v>42675</c:v>
                </c:pt>
                <c:pt idx="69">
                  <c:v>42705</c:v>
                </c:pt>
                <c:pt idx="70">
                  <c:v>42736</c:v>
                </c:pt>
                <c:pt idx="71">
                  <c:v>42767</c:v>
                </c:pt>
                <c:pt idx="72">
                  <c:v>42795</c:v>
                </c:pt>
                <c:pt idx="73">
                  <c:v>42826</c:v>
                </c:pt>
                <c:pt idx="74">
                  <c:v>42856</c:v>
                </c:pt>
                <c:pt idx="75">
                  <c:v>42887</c:v>
                </c:pt>
                <c:pt idx="76">
                  <c:v>42917</c:v>
                </c:pt>
                <c:pt idx="77">
                  <c:v>42948</c:v>
                </c:pt>
                <c:pt idx="78">
                  <c:v>42979</c:v>
                </c:pt>
                <c:pt idx="79">
                  <c:v>43009</c:v>
                </c:pt>
                <c:pt idx="80">
                  <c:v>43040</c:v>
                </c:pt>
                <c:pt idx="81">
                  <c:v>43070</c:v>
                </c:pt>
                <c:pt idx="82">
                  <c:v>43101</c:v>
                </c:pt>
                <c:pt idx="83">
                  <c:v>43132</c:v>
                </c:pt>
                <c:pt idx="84">
                  <c:v>43160</c:v>
                </c:pt>
                <c:pt idx="85">
                  <c:v>43191</c:v>
                </c:pt>
                <c:pt idx="86">
                  <c:v>43221</c:v>
                </c:pt>
                <c:pt idx="87">
                  <c:v>43252</c:v>
                </c:pt>
                <c:pt idx="88">
                  <c:v>43282</c:v>
                </c:pt>
                <c:pt idx="89">
                  <c:v>43313</c:v>
                </c:pt>
                <c:pt idx="90">
                  <c:v>43344</c:v>
                </c:pt>
                <c:pt idx="91">
                  <c:v>43374</c:v>
                </c:pt>
                <c:pt idx="92">
                  <c:v>43405</c:v>
                </c:pt>
                <c:pt idx="93">
                  <c:v>43435</c:v>
                </c:pt>
                <c:pt idx="94">
                  <c:v>43466</c:v>
                </c:pt>
                <c:pt idx="95">
                  <c:v>43497</c:v>
                </c:pt>
                <c:pt idx="96">
                  <c:v>43525</c:v>
                </c:pt>
                <c:pt idx="97">
                  <c:v>43556</c:v>
                </c:pt>
                <c:pt idx="98">
                  <c:v>43586</c:v>
                </c:pt>
                <c:pt idx="99">
                  <c:v>43617</c:v>
                </c:pt>
                <c:pt idx="100">
                  <c:v>43647</c:v>
                </c:pt>
                <c:pt idx="101">
                  <c:v>43678</c:v>
                </c:pt>
                <c:pt idx="102">
                  <c:v>43709</c:v>
                </c:pt>
                <c:pt idx="103">
                  <c:v>43739</c:v>
                </c:pt>
                <c:pt idx="104">
                  <c:v>43770</c:v>
                </c:pt>
                <c:pt idx="105">
                  <c:v>43800</c:v>
                </c:pt>
                <c:pt idx="106">
                  <c:v>43831</c:v>
                </c:pt>
                <c:pt idx="107">
                  <c:v>43862</c:v>
                </c:pt>
                <c:pt idx="108">
                  <c:v>43891</c:v>
                </c:pt>
                <c:pt idx="109">
                  <c:v>43922</c:v>
                </c:pt>
                <c:pt idx="110">
                  <c:v>43952</c:v>
                </c:pt>
                <c:pt idx="111">
                  <c:v>43983</c:v>
                </c:pt>
                <c:pt idx="112">
                  <c:v>44013</c:v>
                </c:pt>
                <c:pt idx="113">
                  <c:v>44044</c:v>
                </c:pt>
                <c:pt idx="114">
                  <c:v>44075</c:v>
                </c:pt>
                <c:pt idx="115">
                  <c:v>44105</c:v>
                </c:pt>
                <c:pt idx="116">
                  <c:v>44136</c:v>
                </c:pt>
                <c:pt idx="117">
                  <c:v>44166</c:v>
                </c:pt>
                <c:pt idx="118">
                  <c:v>44197</c:v>
                </c:pt>
                <c:pt idx="119">
                  <c:v>44228</c:v>
                </c:pt>
                <c:pt idx="120">
                  <c:v>44256</c:v>
                </c:pt>
                <c:pt idx="121">
                  <c:v>44287</c:v>
                </c:pt>
                <c:pt idx="122">
                  <c:v>44317</c:v>
                </c:pt>
                <c:pt idx="123">
                  <c:v>44348</c:v>
                </c:pt>
                <c:pt idx="124">
                  <c:v>44378</c:v>
                </c:pt>
                <c:pt idx="125">
                  <c:v>44409</c:v>
                </c:pt>
                <c:pt idx="126">
                  <c:v>44440</c:v>
                </c:pt>
                <c:pt idx="127">
                  <c:v>44470</c:v>
                </c:pt>
                <c:pt idx="128">
                  <c:v>44501</c:v>
                </c:pt>
                <c:pt idx="129">
                  <c:v>44531</c:v>
                </c:pt>
                <c:pt idx="130">
                  <c:v>44562</c:v>
                </c:pt>
                <c:pt idx="131">
                  <c:v>44593</c:v>
                </c:pt>
                <c:pt idx="132">
                  <c:v>44621</c:v>
                </c:pt>
                <c:pt idx="133">
                  <c:v>44652</c:v>
                </c:pt>
                <c:pt idx="134">
                  <c:v>44682</c:v>
                </c:pt>
                <c:pt idx="135">
                  <c:v>44713</c:v>
                </c:pt>
              </c:numCache>
            </c:numRef>
          </c:cat>
          <c:val>
            <c:numRef>
              <c:f>ISCOINTEGRATED!$L$16:$L$151</c:f>
              <c:numCache>
                <c:formatCode>0.0</c:formatCode>
                <c:ptCount val="136"/>
                <c:pt idx="0">
                  <c:v>0.9223026636246221</c:v>
                </c:pt>
                <c:pt idx="1">
                  <c:v>0.57059635041156831</c:v>
                </c:pt>
                <c:pt idx="2">
                  <c:v>0.81455652847435722</c:v>
                </c:pt>
                <c:pt idx="3">
                  <c:v>1.1864370626627174</c:v>
                </c:pt>
                <c:pt idx="4">
                  <c:v>1.1845316397635983</c:v>
                </c:pt>
                <c:pt idx="5">
                  <c:v>1.8182429307188048</c:v>
                </c:pt>
                <c:pt idx="6">
                  <c:v>1.3322279974923532</c:v>
                </c:pt>
                <c:pt idx="7">
                  <c:v>0.92235244104614011</c:v>
                </c:pt>
                <c:pt idx="8">
                  <c:v>1.2539591994161636</c:v>
                </c:pt>
                <c:pt idx="9">
                  <c:v>1.4255410690754307</c:v>
                </c:pt>
                <c:pt idx="10">
                  <c:v>0.44202888780628413</c:v>
                </c:pt>
                <c:pt idx="11">
                  <c:v>9.4058754259195965E-2</c:v>
                </c:pt>
                <c:pt idx="12">
                  <c:v>-0.23010053348965442</c:v>
                </c:pt>
                <c:pt idx="13">
                  <c:v>-0.23638924253444848</c:v>
                </c:pt>
                <c:pt idx="14">
                  <c:v>0.56281431872129595</c:v>
                </c:pt>
                <c:pt idx="15">
                  <c:v>0.67444596580207872</c:v>
                </c:pt>
                <c:pt idx="16">
                  <c:v>0.82615227901513322</c:v>
                </c:pt>
                <c:pt idx="17">
                  <c:v>0.99790836964970531</c:v>
                </c:pt>
                <c:pt idx="18">
                  <c:v>0.72978890383806583</c:v>
                </c:pt>
                <c:pt idx="19">
                  <c:v>1.0335001947932767</c:v>
                </c:pt>
                <c:pt idx="20">
                  <c:v>1.1433757512394847</c:v>
                </c:pt>
                <c:pt idx="21">
                  <c:v>2.0268381550871126</c:v>
                </c:pt>
                <c:pt idx="22">
                  <c:v>1.6170621534839329</c:v>
                </c:pt>
                <c:pt idx="23">
                  <c:v>1.3552313967170901</c:v>
                </c:pt>
                <c:pt idx="24">
                  <c:v>1.5851069531632991</c:v>
                </c:pt>
                <c:pt idx="25">
                  <c:v>1.7750571757417841</c:v>
                </c:pt>
                <c:pt idx="26">
                  <c:v>2.1429277544458412</c:v>
                </c:pt>
                <c:pt idx="27">
                  <c:v>2.3990671312260847</c:v>
                </c:pt>
                <c:pt idx="28">
                  <c:v>2.3852811741386049</c:v>
                </c:pt>
                <c:pt idx="29">
                  <c:v>2.4613707734973325</c:v>
                </c:pt>
                <c:pt idx="30">
                  <c:v>2.7914454396296069</c:v>
                </c:pt>
                <c:pt idx="31">
                  <c:v>2.8456296160892158</c:v>
                </c:pt>
                <c:pt idx="32">
                  <c:v>2.8617441041587028</c:v>
                </c:pt>
                <c:pt idx="33">
                  <c:v>3.5835748609255464</c:v>
                </c:pt>
                <c:pt idx="34">
                  <c:v>3.0780577019142523</c:v>
                </c:pt>
                <c:pt idx="35">
                  <c:v>2.9063264999904419</c:v>
                </c:pt>
                <c:pt idx="36">
                  <c:v>3.0064011661227124</c:v>
                </c:pt>
                <c:pt idx="37">
                  <c:v>3.3223414332168932</c:v>
                </c:pt>
                <c:pt idx="38">
                  <c:v>3.2084310325756231</c:v>
                </c:pt>
                <c:pt idx="39">
                  <c:v>3.3123663219276533</c:v>
                </c:pt>
                <c:pt idx="40">
                  <c:v>3.1204857877392929</c:v>
                </c:pt>
                <c:pt idx="41">
                  <c:v>3.1924409880599267</c:v>
                </c:pt>
                <c:pt idx="42">
                  <c:v>3.472266767084621</c:v>
                </c:pt>
                <c:pt idx="43">
                  <c:v>3.068530587418655</c:v>
                </c:pt>
                <c:pt idx="44">
                  <c:v>3.2345704093558663</c:v>
                </c:pt>
                <c:pt idx="45">
                  <c:v>4.0483314777325905</c:v>
                </c:pt>
                <c:pt idx="46">
                  <c:v>3.320933784532933</c:v>
                </c:pt>
                <c:pt idx="47">
                  <c:v>3.0752921819678516</c:v>
                </c:pt>
                <c:pt idx="48">
                  <c:v>3.3533867590687283</c:v>
                </c:pt>
                <c:pt idx="49">
                  <c:v>2.9576953790821321</c:v>
                </c:pt>
                <c:pt idx="50">
                  <c:v>2.9479940436112262</c:v>
                </c:pt>
                <c:pt idx="51">
                  <c:v>2.9622528862031086</c:v>
                </c:pt>
                <c:pt idx="52">
                  <c:v>2.4326511055752373</c:v>
                </c:pt>
                <c:pt idx="53">
                  <c:v>2.4928999926828173</c:v>
                </c:pt>
                <c:pt idx="54">
                  <c:v>2.0851538575325481</c:v>
                </c:pt>
                <c:pt idx="55">
                  <c:v>1.4535470991625257</c:v>
                </c:pt>
                <c:pt idx="56">
                  <c:v>1.2296864759427724</c:v>
                </c:pt>
                <c:pt idx="57">
                  <c:v>1.829313145281402</c:v>
                </c:pt>
                <c:pt idx="58">
                  <c:v>0.51013447273641255</c:v>
                </c:pt>
                <c:pt idx="59">
                  <c:v>0.11837838210184337</c:v>
                </c:pt>
                <c:pt idx="60">
                  <c:v>-3.3527040797279639E-2</c:v>
                </c:pt>
                <c:pt idx="61">
                  <c:v>-0.36931797562691138</c:v>
                </c:pt>
                <c:pt idx="62">
                  <c:v>-0.44926819820539343</c:v>
                </c:pt>
                <c:pt idx="63">
                  <c:v>-0.3293428643376668</c:v>
                </c:pt>
                <c:pt idx="64">
                  <c:v>-0.69711388819869491</c:v>
                </c:pt>
                <c:pt idx="65">
                  <c:v>-0.81703922206641799</c:v>
                </c:pt>
                <c:pt idx="66">
                  <c:v>-0.83302926658211796</c:v>
                </c:pt>
                <c:pt idx="67">
                  <c:v>-1.1568898898018745</c:v>
                </c:pt>
                <c:pt idx="68">
                  <c:v>-1.1549844669027518</c:v>
                </c:pt>
                <c:pt idx="69">
                  <c:v>-0.61347726337576169</c:v>
                </c:pt>
                <c:pt idx="70">
                  <c:v>-1.6771138881986953</c:v>
                </c:pt>
                <c:pt idx="71">
                  <c:v>-1.4194921966022171</c:v>
                </c:pt>
                <c:pt idx="72">
                  <c:v>-2.0415220630551243</c:v>
                </c:pt>
                <c:pt idx="73">
                  <c:v>-1.0824678340639302</c:v>
                </c:pt>
                <c:pt idx="74">
                  <c:v>-0.6590054302163022</c:v>
                </c:pt>
                <c:pt idx="75">
                  <c:v>-1.4831149405436381</c:v>
                </c:pt>
                <c:pt idx="76">
                  <c:v>-1.9669008976311186</c:v>
                </c:pt>
                <c:pt idx="77">
                  <c:v>-2.4431398292543935</c:v>
                </c:pt>
                <c:pt idx="78">
                  <c:v>-1.9479462234829565</c:v>
                </c:pt>
                <c:pt idx="79">
                  <c:v>-2.695692358633222</c:v>
                </c:pt>
                <c:pt idx="80">
                  <c:v>-2.8739611567094112</c:v>
                </c:pt>
                <c:pt idx="81">
                  <c:v>-2.2106231964155718</c:v>
                </c:pt>
                <c:pt idx="82">
                  <c:v>-2.7023792870501442</c:v>
                </c:pt>
                <c:pt idx="83">
                  <c:v>-3.3460905780053514</c:v>
                </c:pt>
                <c:pt idx="84">
                  <c:v>-2.9424290644716589</c:v>
                </c:pt>
                <c:pt idx="85">
                  <c:v>-2.9065634635097535</c:v>
                </c:pt>
                <c:pt idx="86">
                  <c:v>-2.1310463044984598</c:v>
                </c:pt>
                <c:pt idx="87">
                  <c:v>-1.8672105699894583</c:v>
                </c:pt>
                <c:pt idx="88">
                  <c:v>-1.7312951916060388</c:v>
                </c:pt>
                <c:pt idx="89">
                  <c:v>-1.699315102574646</c:v>
                </c:pt>
                <c:pt idx="90">
                  <c:v>-1.5873847909647676</c:v>
                </c:pt>
                <c:pt idx="91">
                  <c:v>-1.8192404364423691</c:v>
                </c:pt>
                <c:pt idx="92">
                  <c:v>-1.8112454141845209</c:v>
                </c:pt>
                <c:pt idx="93">
                  <c:v>-0.7638974984063811</c:v>
                </c:pt>
                <c:pt idx="94">
                  <c:v>-1.8832006145051547</c:v>
                </c:pt>
                <c:pt idx="95">
                  <c:v>-2.1390413267563044</c:v>
                </c:pt>
                <c:pt idx="96">
                  <c:v>-2.3549069277182131</c:v>
                </c:pt>
                <c:pt idx="97">
                  <c:v>-2.4108720835231505</c:v>
                </c:pt>
                <c:pt idx="98">
                  <c:v>-2.2829517273975757</c:v>
                </c:pt>
                <c:pt idx="99">
                  <c:v>-2.1950064825612454</c:v>
                </c:pt>
                <c:pt idx="100">
                  <c:v>-2.1070612377249116</c:v>
                </c:pt>
                <c:pt idx="101">
                  <c:v>-2.679016438045549</c:v>
                </c:pt>
                <c:pt idx="102">
                  <c:v>-2.237409679675527</c:v>
                </c:pt>
                <c:pt idx="103">
                  <c:v>-2.1756535890409543</c:v>
                </c:pt>
                <c:pt idx="104">
                  <c:v>-2.7276087893615912</c:v>
                </c:pt>
                <c:pt idx="105">
                  <c:v>-2.2381065635767499</c:v>
                </c:pt>
                <c:pt idx="106">
                  <c:v>-2.8358526987270185</c:v>
                </c:pt>
                <c:pt idx="107">
                  <c:v>-3.0138726096956221</c:v>
                </c:pt>
                <c:pt idx="108">
                  <c:v>-2.9580567861552316</c:v>
                </c:pt>
                <c:pt idx="109">
                  <c:v>-2.3306342042448187</c:v>
                </c:pt>
                <c:pt idx="110">
                  <c:v>-2.2750672678120072</c:v>
                </c:pt>
                <c:pt idx="111">
                  <c:v>-1.6417293075181707</c:v>
                </c:pt>
                <c:pt idx="112">
                  <c:v>-1.8878437955876568</c:v>
                </c:pt>
                <c:pt idx="113">
                  <c:v>-1.7380677939844786</c:v>
                </c:pt>
                <c:pt idx="114">
                  <c:v>-1.3383415698028167</c:v>
                </c:pt>
                <c:pt idx="115">
                  <c:v>-1.7940578385001751</c:v>
                </c:pt>
                <c:pt idx="116">
                  <c:v>-1.6901225491481466</c:v>
                </c:pt>
                <c:pt idx="117">
                  <c:v>-1.57019721528042</c:v>
                </c:pt>
                <c:pt idx="118">
                  <c:v>-2.9613310881460415</c:v>
                </c:pt>
                <c:pt idx="119">
                  <c:v>-2.72947544266844</c:v>
                </c:pt>
                <c:pt idx="120">
                  <c:v>-2.5273957987940148</c:v>
                </c:pt>
                <c:pt idx="121">
                  <c:v>-2.499151889428584</c:v>
                </c:pt>
                <c:pt idx="122">
                  <c:v>-1.4594007765361647</c:v>
                </c:pt>
                <c:pt idx="123">
                  <c:v>-1.0853410436303452</c:v>
                </c:pt>
                <c:pt idx="124">
                  <c:v>-0.99915188942858357</c:v>
                </c:pt>
                <c:pt idx="125">
                  <c:v>-0.67481838070442812</c:v>
                </c:pt>
                <c:pt idx="126">
                  <c:v>-0.64657447133900092</c:v>
                </c:pt>
                <c:pt idx="127">
                  <c:v>-0.92785767646917083</c:v>
                </c:pt>
                <c:pt idx="128">
                  <c:v>-0.37735990225400862</c:v>
                </c:pt>
                <c:pt idx="129">
                  <c:v>0.4927894300105411</c:v>
                </c:pt>
                <c:pt idx="130">
                  <c:v>7.529218196785159E-2</c:v>
                </c:pt>
                <c:pt idx="131">
                  <c:v>1.0874962693960644</c:v>
                </c:pt>
                <c:pt idx="132">
                  <c:v>0.99596417715831542</c:v>
                </c:pt>
                <c:pt idx="133">
                  <c:v>0.77641217395195916</c:v>
                </c:pt>
                <c:pt idx="134">
                  <c:v>1.6204221294362622</c:v>
                </c:pt>
                <c:pt idx="135">
                  <c:v>1.5686909275124528</c:v>
                </c:pt>
              </c:numCache>
            </c:numRef>
          </c:val>
          <c:smooth val="0"/>
          <c:extLst>
            <c:ext xmlns:c16="http://schemas.microsoft.com/office/drawing/2014/chart" uri="{C3380CC4-5D6E-409C-BE32-E72D297353CC}">
              <c16:uniqueId val="{00000000-CE11-471D-8E80-D533B133672B}"/>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Economic Indicators SA (%MoM)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GRANGER!$G$9</c:f>
              <c:strCache>
                <c:ptCount val="1"/>
                <c:pt idx="0">
                  <c:v>IBCBr</c:v>
                </c:pt>
              </c:strCache>
            </c:strRef>
          </c:tx>
          <c:spPr>
            <a:ln w="28575" cap="rnd">
              <a:solidFill>
                <a:schemeClr val="accent1"/>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GRANGER!$G$10:$G$239</c:f>
              <c:numCache>
                <c:formatCode>0.0</c:formatCode>
                <c:ptCount val="230"/>
                <c:pt idx="0">
                  <c:v>#N/A</c:v>
                </c:pt>
                <c:pt idx="1">
                  <c:v>1.4932802389248383</c:v>
                </c:pt>
                <c:pt idx="2">
                  <c:v>7.8469838155957122E-2</c:v>
                </c:pt>
                <c:pt idx="3">
                  <c:v>-1.087915319023816</c:v>
                </c:pt>
                <c:pt idx="4">
                  <c:v>-1.0206103844629422</c:v>
                </c:pt>
                <c:pt idx="5">
                  <c:v>0.39042947241966219</c:v>
                </c:pt>
                <c:pt idx="6">
                  <c:v>-1.2066214599122538</c:v>
                </c:pt>
                <c:pt idx="7">
                  <c:v>0.66619561925912074</c:v>
                </c:pt>
                <c:pt idx="8">
                  <c:v>1.9853604732778398</c:v>
                </c:pt>
                <c:pt idx="9">
                  <c:v>0.16714187395536498</c:v>
                </c:pt>
                <c:pt idx="10">
                  <c:v>8.8339222614844337E-2</c:v>
                </c:pt>
                <c:pt idx="11">
                  <c:v>-0.38246543100912089</c:v>
                </c:pt>
                <c:pt idx="12">
                  <c:v>1.9590470565071814</c:v>
                </c:pt>
                <c:pt idx="13">
                  <c:v>0.88828811431881993</c:v>
                </c:pt>
                <c:pt idx="14">
                  <c:v>1.4259737773949748</c:v>
                </c:pt>
                <c:pt idx="15">
                  <c:v>0.40573693149650175</c:v>
                </c:pt>
                <c:pt idx="16">
                  <c:v>2.8192839018890269E-2</c:v>
                </c:pt>
                <c:pt idx="17">
                  <c:v>0.73280721533258286</c:v>
                </c:pt>
                <c:pt idx="18">
                  <c:v>0.55959709009512615</c:v>
                </c:pt>
                <c:pt idx="19">
                  <c:v>0.34316453348173304</c:v>
                </c:pt>
                <c:pt idx="20">
                  <c:v>1.1738608004436604</c:v>
                </c:pt>
                <c:pt idx="21">
                  <c:v>-0.66691028686277165</c:v>
                </c:pt>
                <c:pt idx="22">
                  <c:v>0.81854134093626474</c:v>
                </c:pt>
                <c:pt idx="23">
                  <c:v>-0.75716110198868658</c:v>
                </c:pt>
                <c:pt idx="24">
                  <c:v>0.76293777001562491</c:v>
                </c:pt>
                <c:pt idx="25">
                  <c:v>0.47436599160736725</c:v>
                </c:pt>
                <c:pt idx="26">
                  <c:v>0.26330125295079559</c:v>
                </c:pt>
                <c:pt idx="27">
                  <c:v>0.47088653445621304</c:v>
                </c:pt>
                <c:pt idx="28">
                  <c:v>3.6052275799902694E-2</c:v>
                </c:pt>
                <c:pt idx="29">
                  <c:v>-0.32435354536444677</c:v>
                </c:pt>
                <c:pt idx="30">
                  <c:v>0</c:v>
                </c:pt>
                <c:pt idx="31">
                  <c:v>0.59658320527886721</c:v>
                </c:pt>
                <c:pt idx="32">
                  <c:v>-0.38637793153024241</c:v>
                </c:pt>
                <c:pt idx="33">
                  <c:v>0.17138733537795212</c:v>
                </c:pt>
                <c:pt idx="34">
                  <c:v>0.68437640702386771</c:v>
                </c:pt>
                <c:pt idx="35">
                  <c:v>0.4561309364099731</c:v>
                </c:pt>
                <c:pt idx="36">
                  <c:v>0.94373219373219586</c:v>
                </c:pt>
                <c:pt idx="37">
                  <c:v>0.20285764685130003</c:v>
                </c:pt>
                <c:pt idx="38">
                  <c:v>-5.281225244256868E-2</c:v>
                </c:pt>
                <c:pt idx="39">
                  <c:v>0.59885512989872902</c:v>
                </c:pt>
                <c:pt idx="40">
                  <c:v>1.2518602818874136</c:v>
                </c:pt>
                <c:pt idx="41">
                  <c:v>-0.81272695832612629</c:v>
                </c:pt>
                <c:pt idx="42">
                  <c:v>1.9351464435146435</c:v>
                </c:pt>
                <c:pt idx="43">
                  <c:v>-0.27364460407045765</c:v>
                </c:pt>
                <c:pt idx="44">
                  <c:v>0.17149717029668035</c:v>
                </c:pt>
                <c:pt idx="45">
                  <c:v>1.0700222564629345</c:v>
                </c:pt>
                <c:pt idx="46">
                  <c:v>0.67756415685611193</c:v>
                </c:pt>
                <c:pt idx="47">
                  <c:v>0.84125515268781026</c:v>
                </c:pt>
                <c:pt idx="48">
                  <c:v>-0.17518978893802281</c:v>
                </c:pt>
                <c:pt idx="49">
                  <c:v>0.42620758816647591</c:v>
                </c:pt>
                <c:pt idx="50">
                  <c:v>-0.64075892485645003</c:v>
                </c:pt>
                <c:pt idx="51">
                  <c:v>1.490787269681743</c:v>
                </c:pt>
                <c:pt idx="52">
                  <c:v>0.99026241954116889</c:v>
                </c:pt>
                <c:pt idx="53">
                  <c:v>0.84164079097891908</c:v>
                </c:pt>
                <c:pt idx="54">
                  <c:v>0.66445182724253093</c:v>
                </c:pt>
                <c:pt idx="55">
                  <c:v>8.854543990984419E-2</c:v>
                </c:pt>
                <c:pt idx="56">
                  <c:v>0.81228888531445309</c:v>
                </c:pt>
                <c:pt idx="57">
                  <c:v>0.77383326685281129</c:v>
                </c:pt>
                <c:pt idx="58">
                  <c:v>-0.11874604179859997</c:v>
                </c:pt>
                <c:pt idx="59">
                  <c:v>0.62613933581674885</c:v>
                </c:pt>
                <c:pt idx="60">
                  <c:v>0.20478890989288367</c:v>
                </c:pt>
                <c:pt idx="61">
                  <c:v>-0.30655557302311004</c:v>
                </c:pt>
                <c:pt idx="62">
                  <c:v>-0.30749822597177368</c:v>
                </c:pt>
                <c:pt idx="63">
                  <c:v>0.99652008857956753</c:v>
                </c:pt>
                <c:pt idx="64">
                  <c:v>1.3312451057165253</c:v>
                </c:pt>
                <c:pt idx="65">
                  <c:v>1.3833075734157589</c:v>
                </c:pt>
                <c:pt idx="66">
                  <c:v>-0.1981858373351558</c:v>
                </c:pt>
                <c:pt idx="67">
                  <c:v>4.5826013900559286E-2</c:v>
                </c:pt>
                <c:pt idx="68">
                  <c:v>-4.5805023284221903E-2</c:v>
                </c:pt>
                <c:pt idx="69">
                  <c:v>-2.0927213014588015</c:v>
                </c:pt>
                <c:pt idx="70">
                  <c:v>-2.5274982447928815</c:v>
                </c:pt>
                <c:pt idx="71">
                  <c:v>-3.2172869147659031</c:v>
                </c:pt>
                <c:pt idx="72">
                  <c:v>-9.0961713387921639E-2</c:v>
                </c:pt>
                <c:pt idx="73">
                  <c:v>1.1339182254593647</c:v>
                </c:pt>
                <c:pt idx="74">
                  <c:v>0.63835011048367385</c:v>
                </c:pt>
                <c:pt idx="75">
                  <c:v>0.5448483369927638</c:v>
                </c:pt>
                <c:pt idx="76">
                  <c:v>0.9948236816564251</c:v>
                </c:pt>
                <c:pt idx="77">
                  <c:v>0.84888283815167964</c:v>
                </c:pt>
                <c:pt idx="78">
                  <c:v>0.28587310410545491</c:v>
                </c:pt>
                <c:pt idx="79">
                  <c:v>1.4252909969118672</c:v>
                </c:pt>
                <c:pt idx="80">
                  <c:v>0.80412210164728015</c:v>
                </c:pt>
                <c:pt idx="81">
                  <c:v>0.51889714993803238</c:v>
                </c:pt>
                <c:pt idx="82">
                  <c:v>0.17720933816165976</c:v>
                </c:pt>
                <c:pt idx="83">
                  <c:v>0.98446392862636589</c:v>
                </c:pt>
                <c:pt idx="84">
                  <c:v>1.6527037319116429</c:v>
                </c:pt>
                <c:pt idx="85">
                  <c:v>1.2736944631752369</c:v>
                </c:pt>
                <c:pt idx="86">
                  <c:v>1.0505289635274218</c:v>
                </c:pt>
                <c:pt idx="87">
                  <c:v>0.33677428801523385</c:v>
                </c:pt>
                <c:pt idx="88">
                  <c:v>-0.40860999635169809</c:v>
                </c:pt>
                <c:pt idx="89">
                  <c:v>-0.19049014579824111</c:v>
                </c:pt>
                <c:pt idx="90">
                  <c:v>0.51383689348896511</c:v>
                </c:pt>
                <c:pt idx="91">
                  <c:v>0.54042211348862979</c:v>
                </c:pt>
                <c:pt idx="92">
                  <c:v>1.2638919154499959</c:v>
                </c:pt>
                <c:pt idx="93">
                  <c:v>-0.49494297396169407</c:v>
                </c:pt>
                <c:pt idx="94">
                  <c:v>0.98760092272203326</c:v>
                </c:pt>
                <c:pt idx="95">
                  <c:v>-1.2848882861017996</c:v>
                </c:pt>
                <c:pt idx="96">
                  <c:v>1.3377684575891202</c:v>
                </c:pt>
                <c:pt idx="97">
                  <c:v>0.41387184244328001</c:v>
                </c:pt>
                <c:pt idx="98">
                  <c:v>0.27003979533825717</c:v>
                </c:pt>
                <c:pt idx="99">
                  <c:v>-0.18426647767540105</c:v>
                </c:pt>
                <c:pt idx="100">
                  <c:v>0.30531099119568789</c:v>
                </c:pt>
                <c:pt idx="101">
                  <c:v>0.67247115452678463</c:v>
                </c:pt>
                <c:pt idx="102">
                  <c:v>2.1094079594994472E-2</c:v>
                </c:pt>
                <c:pt idx="103">
                  <c:v>-0.20386643233742852</c:v>
                </c:pt>
                <c:pt idx="104">
                  <c:v>-0.11975204282897711</c:v>
                </c:pt>
                <c:pt idx="105">
                  <c:v>-0.14810635446786061</c:v>
                </c:pt>
                <c:pt idx="106">
                  <c:v>0.47323068229975102</c:v>
                </c:pt>
                <c:pt idx="107">
                  <c:v>-1.2653778558875299</c:v>
                </c:pt>
                <c:pt idx="108">
                  <c:v>-1.1249555001779881</c:v>
                </c:pt>
                <c:pt idx="109">
                  <c:v>1.1665586519766722</c:v>
                </c:pt>
                <c:pt idx="110">
                  <c:v>-0.30607160652004184</c:v>
                </c:pt>
                <c:pt idx="111">
                  <c:v>0.69970012851634289</c:v>
                </c:pt>
                <c:pt idx="112">
                  <c:v>1.1557005104934739</c:v>
                </c:pt>
                <c:pt idx="113">
                  <c:v>0.62381720053270828</c:v>
                </c:pt>
                <c:pt idx="114">
                  <c:v>0.32738924491501731</c:v>
                </c:pt>
                <c:pt idx="115">
                  <c:v>0.22217593556897397</c:v>
                </c:pt>
                <c:pt idx="116">
                  <c:v>-0.44336681676479833</c:v>
                </c:pt>
                <c:pt idx="117">
                  <c:v>0.80022267065618657</c:v>
                </c:pt>
                <c:pt idx="118">
                  <c:v>-0.19329007317409991</c:v>
                </c:pt>
                <c:pt idx="119">
                  <c:v>-0.29049661087288414</c:v>
                </c:pt>
                <c:pt idx="120">
                  <c:v>0.57574916759157369</c:v>
                </c:pt>
                <c:pt idx="121">
                  <c:v>-0.84143734050624097</c:v>
                </c:pt>
                <c:pt idx="122">
                  <c:v>0.82075537316545744</c:v>
                </c:pt>
                <c:pt idx="123">
                  <c:v>0.88996205588135258</c:v>
                </c:pt>
                <c:pt idx="124">
                  <c:v>0.40344638949672007</c:v>
                </c:pt>
                <c:pt idx="125">
                  <c:v>-0.32690866989036171</c:v>
                </c:pt>
                <c:pt idx="126">
                  <c:v>0.57396651861974957</c:v>
                </c:pt>
                <c:pt idx="127">
                  <c:v>-5.4351518445535763E-2</c:v>
                </c:pt>
                <c:pt idx="128">
                  <c:v>0.70015634559171547</c:v>
                </c:pt>
                <c:pt idx="129">
                  <c:v>-0.10125556905628277</c:v>
                </c:pt>
                <c:pt idx="130">
                  <c:v>0.23650246638285988</c:v>
                </c:pt>
                <c:pt idx="131">
                  <c:v>0.1820142914925241</c:v>
                </c:pt>
                <c:pt idx="132">
                  <c:v>-0.22878675728416889</c:v>
                </c:pt>
                <c:pt idx="133">
                  <c:v>-0.28326701288191536</c:v>
                </c:pt>
                <c:pt idx="134">
                  <c:v>2.7054447074732528E-2</c:v>
                </c:pt>
                <c:pt idx="135">
                  <c:v>-0.68294002299005407</c:v>
                </c:pt>
                <c:pt idx="136">
                  <c:v>-0.39488017429192818</c:v>
                </c:pt>
                <c:pt idx="137">
                  <c:v>-1.8386876281613107</c:v>
                </c:pt>
                <c:pt idx="138">
                  <c:v>0.83559640693544224</c:v>
                </c:pt>
                <c:pt idx="139">
                  <c:v>0.53173123403080602</c:v>
                </c:pt>
                <c:pt idx="140">
                  <c:v>0.45335897788157475</c:v>
                </c:pt>
                <c:pt idx="141">
                  <c:v>-0.56072210065646988</c:v>
                </c:pt>
                <c:pt idx="142">
                  <c:v>9.6272864805401454E-2</c:v>
                </c:pt>
                <c:pt idx="143">
                  <c:v>0.44655125034350485</c:v>
                </c:pt>
                <c:pt idx="144">
                  <c:v>-0.85493468299021946</c:v>
                </c:pt>
                <c:pt idx="145">
                  <c:v>-0.6760485651214253</c:v>
                </c:pt>
                <c:pt idx="146">
                  <c:v>-0.17363522711487708</c:v>
                </c:pt>
                <c:pt idx="147">
                  <c:v>-0.93926111458985206</c:v>
                </c:pt>
                <c:pt idx="148">
                  <c:v>-0.91304958561594529</c:v>
                </c:pt>
                <c:pt idx="149">
                  <c:v>-1.0632265381343917</c:v>
                </c:pt>
                <c:pt idx="150">
                  <c:v>-0.65195586760282631</c:v>
                </c:pt>
                <c:pt idx="151">
                  <c:v>0.18749549289681933</c:v>
                </c:pt>
                <c:pt idx="152">
                  <c:v>-0.97891024256820969</c:v>
                </c:pt>
                <c:pt idx="153">
                  <c:v>0.68328850766882154</c:v>
                </c:pt>
                <c:pt idx="154">
                  <c:v>-1.3212042451808419</c:v>
                </c:pt>
                <c:pt idx="155">
                  <c:v>-0.27070529704419416</c:v>
                </c:pt>
                <c:pt idx="156">
                  <c:v>-0.57956129410901036</c:v>
                </c:pt>
                <c:pt idx="157">
                  <c:v>-7.3789846517261851E-3</c:v>
                </c:pt>
                <c:pt idx="158">
                  <c:v>-0.66415762674339707</c:v>
                </c:pt>
                <c:pt idx="159">
                  <c:v>8.9146422999759389E-2</c:v>
                </c:pt>
                <c:pt idx="160">
                  <c:v>-0.32657908409411252</c:v>
                </c:pt>
                <c:pt idx="161">
                  <c:v>0.40956139697670069</c:v>
                </c:pt>
                <c:pt idx="162">
                  <c:v>-0.1705725304064</c:v>
                </c:pt>
                <c:pt idx="163">
                  <c:v>-0.45316098358221046</c:v>
                </c:pt>
                <c:pt idx="164">
                  <c:v>-0.18656716417910446</c:v>
                </c:pt>
                <c:pt idx="165">
                  <c:v>-0.33644859813083261</c:v>
                </c:pt>
                <c:pt idx="166">
                  <c:v>-0.21005251312828291</c:v>
                </c:pt>
                <c:pt idx="167">
                  <c:v>-0.49616599007667755</c:v>
                </c:pt>
                <c:pt idx="168">
                  <c:v>0.76307041402235631</c:v>
                </c:pt>
                <c:pt idx="169">
                  <c:v>1.5220814276074088</c:v>
                </c:pt>
                <c:pt idx="170">
                  <c:v>0.18463810930576069</c:v>
                </c:pt>
                <c:pt idx="171">
                  <c:v>8.8462956137120935E-2</c:v>
                </c:pt>
                <c:pt idx="172">
                  <c:v>-0.44192384179128136</c:v>
                </c:pt>
                <c:pt idx="173">
                  <c:v>0.6436339424428531</c:v>
                </c:pt>
                <c:pt idx="174">
                  <c:v>0.33078506321671353</c:v>
                </c:pt>
                <c:pt idx="175">
                  <c:v>-0.49820499670306012</c:v>
                </c:pt>
                <c:pt idx="176">
                  <c:v>-0.23562329725351092</c:v>
                </c:pt>
                <c:pt idx="177">
                  <c:v>0.20665731788323946</c:v>
                </c:pt>
                <c:pt idx="178">
                  <c:v>-0.14730794726376742</c:v>
                </c:pt>
                <c:pt idx="179">
                  <c:v>1.3719849524231127</c:v>
                </c:pt>
                <c:pt idx="180">
                  <c:v>-0.42203303499964523</c:v>
                </c:pt>
                <c:pt idx="181">
                  <c:v>-0.15345268542200072</c:v>
                </c:pt>
                <c:pt idx="182">
                  <c:v>0.45374707259953501</c:v>
                </c:pt>
                <c:pt idx="183">
                  <c:v>0.80139880518725248</c:v>
                </c:pt>
                <c:pt idx="184">
                  <c:v>-3.592078635443789</c:v>
                </c:pt>
                <c:pt idx="185">
                  <c:v>3.0362096109153698</c:v>
                </c:pt>
                <c:pt idx="186">
                  <c:v>0.43655413271245225</c:v>
                </c:pt>
                <c:pt idx="187">
                  <c:v>0.92726745870762195</c:v>
                </c:pt>
                <c:pt idx="188">
                  <c:v>-0.95463680734997425</c:v>
                </c:pt>
                <c:pt idx="189">
                  <c:v>5.0728313645911426E-2</c:v>
                </c:pt>
                <c:pt idx="190">
                  <c:v>-0.14486455164420442</c:v>
                </c:pt>
                <c:pt idx="191">
                  <c:v>0.48600029014941781</c:v>
                </c:pt>
                <c:pt idx="192">
                  <c:v>-3.6093264996759813E-2</c:v>
                </c:pt>
                <c:pt idx="193">
                  <c:v>-0.79433853264008847</c:v>
                </c:pt>
                <c:pt idx="194">
                  <c:v>0.75702431212694132</c:v>
                </c:pt>
                <c:pt idx="195">
                  <c:v>-0.23840485478975876</c:v>
                </c:pt>
                <c:pt idx="196">
                  <c:v>0.63002389745818277</c:v>
                </c:pt>
                <c:pt idx="197">
                  <c:v>2.1588946459413599E-2</c:v>
                </c:pt>
                <c:pt idx="198">
                  <c:v>-0.30937477516368572</c:v>
                </c:pt>
                <c:pt idx="199">
                  <c:v>2.1651270207853013E-2</c:v>
                </c:pt>
                <c:pt idx="200">
                  <c:v>0.36077639079298651</c:v>
                </c:pt>
                <c:pt idx="201">
                  <c:v>0.6254942842763711</c:v>
                </c:pt>
                <c:pt idx="202">
                  <c:v>-0.83595312946557288</c:v>
                </c:pt>
                <c:pt idx="203">
                  <c:v>-0.50435910368181325</c:v>
                </c:pt>
                <c:pt idx="204">
                  <c:v>0.53588239553914774</c:v>
                </c:pt>
                <c:pt idx="205">
                  <c:v>0.38176186703162218</c:v>
                </c:pt>
                <c:pt idx="206">
                  <c:v>-5.1880022962112635</c:v>
                </c:pt>
                <c:pt idx="207">
                  <c:v>-9.9523196851585496</c:v>
                </c:pt>
                <c:pt idx="208">
                  <c:v>2.0927887039838584</c:v>
                </c:pt>
                <c:pt idx="209">
                  <c:v>5.0629785132131433</c:v>
                </c:pt>
                <c:pt idx="210">
                  <c:v>3.2440056417489318</c:v>
                </c:pt>
                <c:pt idx="211">
                  <c:v>2.0795385549483982</c:v>
                </c:pt>
                <c:pt idx="212">
                  <c:v>1.442379182156132</c:v>
                </c:pt>
                <c:pt idx="213">
                  <c:v>1.4072119613016827</c:v>
                </c:pt>
                <c:pt idx="214">
                  <c:v>-0.33246603064470071</c:v>
                </c:pt>
                <c:pt idx="215">
                  <c:v>0.21029731689629588</c:v>
                </c:pt>
                <c:pt idx="216">
                  <c:v>0.59338591793906448</c:v>
                </c:pt>
                <c:pt idx="217">
                  <c:v>1.5034889576289501</c:v>
                </c:pt>
                <c:pt idx="218">
                  <c:v>-1.5946137491141037</c:v>
                </c:pt>
                <c:pt idx="219">
                  <c:v>0.27367662945624449</c:v>
                </c:pt>
                <c:pt idx="220">
                  <c:v>3.5911800617691135E-2</c:v>
                </c:pt>
                <c:pt idx="221">
                  <c:v>0.17949454336588169</c:v>
                </c:pt>
                <c:pt idx="222">
                  <c:v>-0.12183759764924208</c:v>
                </c:pt>
                <c:pt idx="223">
                  <c:v>0.10045924225027722</c:v>
                </c:pt>
                <c:pt idx="224">
                  <c:v>-0.57347670250896876</c:v>
                </c:pt>
                <c:pt idx="225">
                  <c:v>5.0468637346807219E-2</c:v>
                </c:pt>
                <c:pt idx="226">
                  <c:v>0.45398861425379794</c:v>
                </c:pt>
                <c:pt idx="227">
                  <c:v>0.32281205164992011</c:v>
                </c:pt>
                <c:pt idx="228">
                  <c:v>-0.72935287808364813</c:v>
                </c:pt>
                <c:pt idx="229">
                  <c:v>0.33854354246200308</c:v>
                </c:pt>
              </c:numCache>
            </c:numRef>
          </c:val>
          <c:smooth val="0"/>
          <c:extLst>
            <c:ext xmlns:c16="http://schemas.microsoft.com/office/drawing/2014/chart" uri="{C3380CC4-5D6E-409C-BE32-E72D297353CC}">
              <c16:uniqueId val="{00000000-27D6-4B93-B8B4-5D3D28D9E8E2}"/>
            </c:ext>
          </c:extLst>
        </c:ser>
        <c:ser>
          <c:idx val="1"/>
          <c:order val="1"/>
          <c:tx>
            <c:strRef>
              <c:f>GRANGER!$H$9</c:f>
              <c:strCache>
                <c:ptCount val="1"/>
                <c:pt idx="0">
                  <c:v>IndProd</c:v>
                </c:pt>
              </c:strCache>
            </c:strRef>
          </c:tx>
          <c:spPr>
            <a:ln w="28575" cap="rnd">
              <a:solidFill>
                <a:schemeClr val="accent2"/>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GRANGER!$H$10:$H$239</c:f>
              <c:numCache>
                <c:formatCode>0.0</c:formatCode>
                <c:ptCount val="230"/>
                <c:pt idx="0">
                  <c:v>0.12547051442910201</c:v>
                </c:pt>
                <c:pt idx="1">
                  <c:v>-0.37593984962405663</c:v>
                </c:pt>
                <c:pt idx="2">
                  <c:v>-0.12578616352200545</c:v>
                </c:pt>
                <c:pt idx="3">
                  <c:v>-0.12594458438288228</c:v>
                </c:pt>
                <c:pt idx="4">
                  <c:v>-1.5132408575031562</c:v>
                </c:pt>
                <c:pt idx="5">
                  <c:v>0.38412291933420156</c:v>
                </c:pt>
                <c:pt idx="6">
                  <c:v>-0.89285714285714646</c:v>
                </c:pt>
                <c:pt idx="7">
                  <c:v>1.544401544401548</c:v>
                </c:pt>
                <c:pt idx="8">
                  <c:v>2.9150823827629875</c:v>
                </c:pt>
                <c:pt idx="9">
                  <c:v>0.2463054187192153</c:v>
                </c:pt>
                <c:pt idx="10">
                  <c:v>1.3513513513513442</c:v>
                </c:pt>
                <c:pt idx="11">
                  <c:v>-1.5757575757575724</c:v>
                </c:pt>
                <c:pt idx="12">
                  <c:v>1.8472906403940885</c:v>
                </c:pt>
                <c:pt idx="13">
                  <c:v>1.5719467956469131</c:v>
                </c:pt>
                <c:pt idx="14">
                  <c:v>0.47619047619048299</c:v>
                </c:pt>
                <c:pt idx="15">
                  <c:v>0.82938388625591075</c:v>
                </c:pt>
                <c:pt idx="16">
                  <c:v>1.0575793184488904</c:v>
                </c:pt>
                <c:pt idx="17">
                  <c:v>0.23255813953488702</c:v>
                </c:pt>
                <c:pt idx="18">
                  <c:v>0.69605568445474975</c:v>
                </c:pt>
                <c:pt idx="19">
                  <c:v>1.0368663594470111</c:v>
                </c:pt>
                <c:pt idx="20">
                  <c:v>0.5701254275940707</c:v>
                </c:pt>
                <c:pt idx="21">
                  <c:v>-0.68027210884354705</c:v>
                </c:pt>
                <c:pt idx="22">
                  <c:v>0</c:v>
                </c:pt>
                <c:pt idx="23">
                  <c:v>0.57077625570776258</c:v>
                </c:pt>
                <c:pt idx="24">
                  <c:v>0.56753688989784346</c:v>
                </c:pt>
                <c:pt idx="25">
                  <c:v>-1.3544018058690619</c:v>
                </c:pt>
                <c:pt idx="26">
                  <c:v>0.91533180778031709</c:v>
                </c:pt>
                <c:pt idx="27">
                  <c:v>0.11337868480724977</c:v>
                </c:pt>
                <c:pt idx="28">
                  <c:v>3.171007927519816</c:v>
                </c:pt>
                <c:pt idx="29">
                  <c:v>-1.7563117453347907</c:v>
                </c:pt>
                <c:pt idx="30">
                  <c:v>-0.6703910614525076</c:v>
                </c:pt>
                <c:pt idx="31">
                  <c:v>0.11248593925758639</c:v>
                </c:pt>
                <c:pt idx="32">
                  <c:v>-0.5617977528089888</c:v>
                </c:pt>
                <c:pt idx="33">
                  <c:v>-0.67796610169490878</c:v>
                </c:pt>
                <c:pt idx="34">
                  <c:v>1.0238907849829255</c:v>
                </c:pt>
                <c:pt idx="35">
                  <c:v>1.6891891891891893</c:v>
                </c:pt>
                <c:pt idx="36">
                  <c:v>0.33222591362125931</c:v>
                </c:pt>
                <c:pt idx="37">
                  <c:v>0.88300220750553138</c:v>
                </c:pt>
                <c:pt idx="38">
                  <c:v>-0.65645514223195678</c:v>
                </c:pt>
                <c:pt idx="39">
                  <c:v>0.55066079295154191</c:v>
                </c:pt>
                <c:pt idx="40">
                  <c:v>0.65717415115006417</c:v>
                </c:pt>
                <c:pt idx="41">
                  <c:v>-1.4145810663765084</c:v>
                </c:pt>
                <c:pt idx="42">
                  <c:v>0.88300220750553138</c:v>
                </c:pt>
                <c:pt idx="43">
                  <c:v>-0.10940919037200057</c:v>
                </c:pt>
                <c:pt idx="44">
                  <c:v>-0.76670317634173368</c:v>
                </c:pt>
                <c:pt idx="45">
                  <c:v>0.44150110375276569</c:v>
                </c:pt>
                <c:pt idx="46">
                  <c:v>1.3186813186813218</c:v>
                </c:pt>
                <c:pt idx="47">
                  <c:v>0.86767895878524637</c:v>
                </c:pt>
                <c:pt idx="48">
                  <c:v>-0.32258064516128726</c:v>
                </c:pt>
                <c:pt idx="49">
                  <c:v>1.2944983818770257</c:v>
                </c:pt>
                <c:pt idx="50">
                  <c:v>1.2779552715654829</c:v>
                </c:pt>
                <c:pt idx="51">
                  <c:v>0.94637223974764018</c:v>
                </c:pt>
                <c:pt idx="52">
                  <c:v>0.312499999999997</c:v>
                </c:pt>
                <c:pt idx="53">
                  <c:v>0.62305295950156647</c:v>
                </c:pt>
                <c:pt idx="54">
                  <c:v>-0.41279669762642485</c:v>
                </c:pt>
                <c:pt idx="55">
                  <c:v>1.3471502590673545</c:v>
                </c:pt>
                <c:pt idx="56">
                  <c:v>-0.5112474437627812</c:v>
                </c:pt>
                <c:pt idx="57">
                  <c:v>2.2610483042137748</c:v>
                </c:pt>
                <c:pt idx="58">
                  <c:v>-0.90452261306533233</c:v>
                </c:pt>
                <c:pt idx="59">
                  <c:v>0.30425963488844965</c:v>
                </c:pt>
                <c:pt idx="60">
                  <c:v>1.6177957532861418</c:v>
                </c:pt>
                <c:pt idx="61">
                  <c:v>-0.29850746268656436</c:v>
                </c:pt>
                <c:pt idx="62">
                  <c:v>0.39920159680637868</c:v>
                </c:pt>
                <c:pt idx="63">
                  <c:v>0</c:v>
                </c:pt>
                <c:pt idx="64">
                  <c:v>0.59642147117297073</c:v>
                </c:pt>
                <c:pt idx="65">
                  <c:v>1.5810276679841841</c:v>
                </c:pt>
                <c:pt idx="66">
                  <c:v>0.29182879377431631</c:v>
                </c:pt>
                <c:pt idx="67">
                  <c:v>-1.0669253152279286</c:v>
                </c:pt>
                <c:pt idx="68">
                  <c:v>1.2745098039215659</c:v>
                </c:pt>
                <c:pt idx="69">
                  <c:v>-3.0977734753146207</c:v>
                </c:pt>
                <c:pt idx="70">
                  <c:v>-5.6943056943056831</c:v>
                </c:pt>
                <c:pt idx="71">
                  <c:v>-11.228813559322044</c:v>
                </c:pt>
                <c:pt idx="72">
                  <c:v>2.0286396181384285</c:v>
                </c:pt>
                <c:pt idx="73">
                  <c:v>2.4561403508771864</c:v>
                </c:pt>
                <c:pt idx="74">
                  <c:v>0.45662100456621652</c:v>
                </c:pt>
                <c:pt idx="75">
                  <c:v>1.2499999999999936</c:v>
                </c:pt>
                <c:pt idx="76">
                  <c:v>1.4590347923681386</c:v>
                </c:pt>
                <c:pt idx="77">
                  <c:v>1.1061946902654867</c:v>
                </c:pt>
                <c:pt idx="78">
                  <c:v>1.3129102844638825</c:v>
                </c:pt>
                <c:pt idx="79">
                  <c:v>1.6198704103671708</c:v>
                </c:pt>
                <c:pt idx="80">
                  <c:v>1.5940488841657812</c:v>
                </c:pt>
                <c:pt idx="81">
                  <c:v>1.8828451882845307</c:v>
                </c:pt>
                <c:pt idx="82">
                  <c:v>1.4373716632443443</c:v>
                </c:pt>
                <c:pt idx="83">
                  <c:v>0.30364372469635342</c:v>
                </c:pt>
                <c:pt idx="84">
                  <c:v>1.6145307769929451</c:v>
                </c:pt>
                <c:pt idx="85">
                  <c:v>-0.19860973187686479</c:v>
                </c:pt>
                <c:pt idx="86">
                  <c:v>2.1890547263681621</c:v>
                </c:pt>
                <c:pt idx="87">
                  <c:v>0.38948393378772295</c:v>
                </c:pt>
                <c:pt idx="88">
                  <c:v>-0.19398642095052246</c:v>
                </c:pt>
                <c:pt idx="89">
                  <c:v>-0.48590864917395532</c:v>
                </c:pt>
                <c:pt idx="90">
                  <c:v>-0.58593750000000833</c:v>
                </c:pt>
                <c:pt idx="91">
                  <c:v>-0.29469548133595008</c:v>
                </c:pt>
                <c:pt idx="92">
                  <c:v>0.19704433497537227</c:v>
                </c:pt>
                <c:pt idx="93">
                  <c:v>-0.1966568338249782</c:v>
                </c:pt>
                <c:pt idx="94">
                  <c:v>0.59113300492610277</c:v>
                </c:pt>
                <c:pt idx="95">
                  <c:v>0.48971596474045059</c:v>
                </c:pt>
                <c:pt idx="96">
                  <c:v>0.38986354775829019</c:v>
                </c:pt>
                <c:pt idx="97">
                  <c:v>1.0679611650485381</c:v>
                </c:pt>
                <c:pt idx="98">
                  <c:v>0.48030739673390976</c:v>
                </c:pt>
                <c:pt idx="99">
                  <c:v>-2.4856596558317348</c:v>
                </c:pt>
                <c:pt idx="100">
                  <c:v>2.9411764705882351</c:v>
                </c:pt>
                <c:pt idx="101">
                  <c:v>-1.9047619047619049</c:v>
                </c:pt>
                <c:pt idx="102">
                  <c:v>0</c:v>
                </c:pt>
                <c:pt idx="103">
                  <c:v>-1.0679611650485381</c:v>
                </c:pt>
                <c:pt idx="104">
                  <c:v>-1.4720314033366044</c:v>
                </c:pt>
                <c:pt idx="105">
                  <c:v>-0.99601593625498008</c:v>
                </c:pt>
                <c:pt idx="106">
                  <c:v>0.50301810865191143</c:v>
                </c:pt>
                <c:pt idx="107">
                  <c:v>2.5025025025025025</c:v>
                </c:pt>
                <c:pt idx="108">
                  <c:v>-4.1992187500000107</c:v>
                </c:pt>
                <c:pt idx="109">
                  <c:v>0.81549439347605657</c:v>
                </c:pt>
                <c:pt idx="110">
                  <c:v>-0.60667340748231402</c:v>
                </c:pt>
                <c:pt idx="111">
                  <c:v>0.10172939979654987</c:v>
                </c:pt>
                <c:pt idx="112">
                  <c:v>0.50813008130081294</c:v>
                </c:pt>
                <c:pt idx="113">
                  <c:v>0.20222446916075693</c:v>
                </c:pt>
                <c:pt idx="114">
                  <c:v>1.3118062563067725</c:v>
                </c:pt>
                <c:pt idx="115">
                  <c:v>1.8924302788844536</c:v>
                </c:pt>
                <c:pt idx="116">
                  <c:v>-1.5640273704789778</c:v>
                </c:pt>
                <c:pt idx="117">
                  <c:v>1.2909632571995999</c:v>
                </c:pt>
                <c:pt idx="118">
                  <c:v>-1.3725490196078487</c:v>
                </c:pt>
                <c:pt idx="119">
                  <c:v>0.69582504970179215</c:v>
                </c:pt>
                <c:pt idx="120">
                  <c:v>0.98716683119447179</c:v>
                </c:pt>
                <c:pt idx="121">
                  <c:v>-2.737047898338218</c:v>
                </c:pt>
                <c:pt idx="122">
                  <c:v>1.9095477386934729</c:v>
                </c:pt>
                <c:pt idx="123">
                  <c:v>1.5779092702169568</c:v>
                </c:pt>
                <c:pt idx="124">
                  <c:v>-0.2912621359223273</c:v>
                </c:pt>
                <c:pt idx="125">
                  <c:v>0.5842259006815913</c:v>
                </c:pt>
                <c:pt idx="126">
                  <c:v>-0.67763794772507535</c:v>
                </c:pt>
                <c:pt idx="127">
                  <c:v>9.7465886939579471E-2</c:v>
                </c:pt>
                <c:pt idx="128">
                  <c:v>0.5842259006815913</c:v>
                </c:pt>
                <c:pt idx="129">
                  <c:v>-1.0648596321393942</c:v>
                </c:pt>
                <c:pt idx="130">
                  <c:v>0.58708414872797876</c:v>
                </c:pt>
                <c:pt idx="131">
                  <c:v>-3.5992217898832717</c:v>
                </c:pt>
                <c:pt idx="132">
                  <c:v>1.7154389505549978</c:v>
                </c:pt>
                <c:pt idx="133">
                  <c:v>0.49603174603174599</c:v>
                </c:pt>
                <c:pt idx="134">
                  <c:v>-0.29615004935833872</c:v>
                </c:pt>
                <c:pt idx="135">
                  <c:v>-0.79207920792078934</c:v>
                </c:pt>
                <c:pt idx="136">
                  <c:v>-1.0978043912175734</c:v>
                </c:pt>
                <c:pt idx="137">
                  <c:v>-2.9263370332996885</c:v>
                </c:pt>
                <c:pt idx="138">
                  <c:v>2.5987525987525983</c:v>
                </c:pt>
                <c:pt idx="139">
                  <c:v>0.40526849037486473</c:v>
                </c:pt>
                <c:pt idx="140">
                  <c:v>0.10090817356206713</c:v>
                </c:pt>
                <c:pt idx="141">
                  <c:v>0.1008064516128975</c:v>
                </c:pt>
                <c:pt idx="142">
                  <c:v>-0.80563947633433763</c:v>
                </c:pt>
                <c:pt idx="143">
                  <c:v>-2.9441624365482291</c:v>
                </c:pt>
                <c:pt idx="144">
                  <c:v>0.62761506276151524</c:v>
                </c:pt>
                <c:pt idx="145">
                  <c:v>-0.72765072765073058</c:v>
                </c:pt>
                <c:pt idx="146">
                  <c:v>-0.62827225130889452</c:v>
                </c:pt>
                <c:pt idx="147">
                  <c:v>-1.8967334035827306</c:v>
                </c:pt>
                <c:pt idx="148">
                  <c:v>-0.96670247046185998</c:v>
                </c:pt>
                <c:pt idx="149">
                  <c:v>-0.97613882863341173</c:v>
                </c:pt>
                <c:pt idx="150">
                  <c:v>-1.7524644030668064</c:v>
                </c:pt>
                <c:pt idx="151">
                  <c:v>0.55741360089186176</c:v>
                </c:pt>
                <c:pt idx="152">
                  <c:v>-2.3281596452328253</c:v>
                </c:pt>
                <c:pt idx="153">
                  <c:v>-0.22701475595912446</c:v>
                </c:pt>
                <c:pt idx="154">
                  <c:v>-1.7064846416382253</c:v>
                </c:pt>
                <c:pt idx="155">
                  <c:v>-1.5046296296296426</c:v>
                </c:pt>
                <c:pt idx="156">
                  <c:v>1.0575793184488904</c:v>
                </c:pt>
                <c:pt idx="157">
                  <c:v>-1.2790697674418539</c:v>
                </c:pt>
                <c:pt idx="158">
                  <c:v>0.58892815076560656</c:v>
                </c:pt>
                <c:pt idx="159">
                  <c:v>0.11709601873535634</c:v>
                </c:pt>
                <c:pt idx="160">
                  <c:v>0.23391812865497411</c:v>
                </c:pt>
                <c:pt idx="161">
                  <c:v>-1.1668611435239207</c:v>
                </c:pt>
                <c:pt idx="162">
                  <c:v>0.70838252656433798</c:v>
                </c:pt>
                <c:pt idx="163">
                  <c:v>-1.9929660023446694</c:v>
                </c:pt>
                <c:pt idx="164">
                  <c:v>1.0765550239234518</c:v>
                </c:pt>
                <c:pt idx="165">
                  <c:v>-1.3017751479289872</c:v>
                </c:pt>
                <c:pt idx="166">
                  <c:v>0.95923261390886938</c:v>
                </c:pt>
                <c:pt idx="167">
                  <c:v>1.543942992874106</c:v>
                </c:pt>
                <c:pt idx="168">
                  <c:v>0.81871345029240106</c:v>
                </c:pt>
                <c:pt idx="169">
                  <c:v>1.3921113689095159</c:v>
                </c:pt>
                <c:pt idx="170">
                  <c:v>-1.9450800915331838</c:v>
                </c:pt>
                <c:pt idx="171">
                  <c:v>0.23337222870478744</c:v>
                </c:pt>
                <c:pt idx="172">
                  <c:v>0.23282887077996348</c:v>
                </c:pt>
                <c:pt idx="173">
                  <c:v>0.81300813008130424</c:v>
                </c:pt>
                <c:pt idx="174">
                  <c:v>0.34562211981566493</c:v>
                </c:pt>
                <c:pt idx="175">
                  <c:v>0</c:v>
                </c:pt>
                <c:pt idx="176">
                  <c:v>0.45924225028703292</c:v>
                </c:pt>
                <c:pt idx="177">
                  <c:v>0.80000000000000326</c:v>
                </c:pt>
                <c:pt idx="178">
                  <c:v>0.45351473922901525</c:v>
                </c:pt>
                <c:pt idx="179">
                  <c:v>2.934537246049671</c:v>
                </c:pt>
                <c:pt idx="180">
                  <c:v>-2.5219298245614001</c:v>
                </c:pt>
                <c:pt idx="181">
                  <c:v>-0.33745781777279116</c:v>
                </c:pt>
                <c:pt idx="182">
                  <c:v>1.241534988713328</c:v>
                </c:pt>
                <c:pt idx="183">
                  <c:v>0.33444816053511389</c:v>
                </c:pt>
                <c:pt idx="184">
                  <c:v>-10.888888888888886</c:v>
                </c:pt>
                <c:pt idx="185">
                  <c:v>12.344139650872807</c:v>
                </c:pt>
                <c:pt idx="186">
                  <c:v>-0.22197558268589193</c:v>
                </c:pt>
                <c:pt idx="187">
                  <c:v>-1.0011123470522865</c:v>
                </c:pt>
                <c:pt idx="188">
                  <c:v>-2.6966292134831522</c:v>
                </c:pt>
                <c:pt idx="189">
                  <c:v>1.1547344110854503</c:v>
                </c:pt>
                <c:pt idx="190">
                  <c:v>-0.11415525114154602</c:v>
                </c:pt>
                <c:pt idx="191">
                  <c:v>0.22857142857143184</c:v>
                </c:pt>
                <c:pt idx="192">
                  <c:v>-0.68415051311289454</c:v>
                </c:pt>
                <c:pt idx="193">
                  <c:v>0.22962112514351646</c:v>
                </c:pt>
                <c:pt idx="194">
                  <c:v>-0.22909507445590246</c:v>
                </c:pt>
                <c:pt idx="195">
                  <c:v>0.34443168771528287</c:v>
                </c:pt>
                <c:pt idx="196">
                  <c:v>0</c:v>
                </c:pt>
                <c:pt idx="197">
                  <c:v>-0.91533180778033341</c:v>
                </c:pt>
                <c:pt idx="198">
                  <c:v>-0.57736720554272514</c:v>
                </c:pt>
                <c:pt idx="199">
                  <c:v>0.92915214866435702</c:v>
                </c:pt>
                <c:pt idx="200">
                  <c:v>-0.11507479861911221</c:v>
                </c:pt>
                <c:pt idx="201">
                  <c:v>2.1889400921659052</c:v>
                </c:pt>
                <c:pt idx="202">
                  <c:v>-2.254791431792559</c:v>
                </c:pt>
                <c:pt idx="203">
                  <c:v>-0.80738177623991092</c:v>
                </c:pt>
                <c:pt idx="204">
                  <c:v>0.93023255813953154</c:v>
                </c:pt>
                <c:pt idx="205">
                  <c:v>0.69124423963134629</c:v>
                </c:pt>
                <c:pt idx="206">
                  <c:v>-7.8947368421052699</c:v>
                </c:pt>
                <c:pt idx="207">
                  <c:v>-19.378881987577632</c:v>
                </c:pt>
                <c:pt idx="208">
                  <c:v>8.0123266563944355</c:v>
                </c:pt>
                <c:pt idx="209">
                  <c:v>9.5577746077032852</c:v>
                </c:pt>
                <c:pt idx="210">
                  <c:v>9.2447916666666785</c:v>
                </c:pt>
                <c:pt idx="211">
                  <c:v>2.7413587604290788</c:v>
                </c:pt>
                <c:pt idx="212">
                  <c:v>2.668213457076563</c:v>
                </c:pt>
                <c:pt idx="213">
                  <c:v>1.3559322033898338</c:v>
                </c:pt>
                <c:pt idx="214">
                  <c:v>0.44593088071347986</c:v>
                </c:pt>
                <c:pt idx="215">
                  <c:v>0.22197558268590772</c:v>
                </c:pt>
                <c:pt idx="216">
                  <c:v>0.55370985603543743</c:v>
                </c:pt>
                <c:pt idx="217">
                  <c:v>-1.5418502202643078</c:v>
                </c:pt>
                <c:pt idx="218">
                  <c:v>-2.2371364653243844</c:v>
                </c:pt>
                <c:pt idx="219">
                  <c:v>-1.4874141876430336</c:v>
                </c:pt>
                <c:pt idx="220">
                  <c:v>1.2775842044134826</c:v>
                </c:pt>
                <c:pt idx="221">
                  <c:v>-0.57339449541284393</c:v>
                </c:pt>
                <c:pt idx="222">
                  <c:v>-1.3840830449827022</c:v>
                </c:pt>
                <c:pt idx="223">
                  <c:v>-0.58479532163742687</c:v>
                </c:pt>
                <c:pt idx="224">
                  <c:v>-0.47058823529412436</c:v>
                </c:pt>
                <c:pt idx="225">
                  <c:v>-0.59101654846335705</c:v>
                </c:pt>
                <c:pt idx="226">
                  <c:v>0.11890606420928482</c:v>
                </c:pt>
                <c:pt idx="227">
                  <c:v>2.6128266033254191</c:v>
                </c:pt>
                <c:pt idx="228">
                  <c:v>-2.1990740740740802</c:v>
                </c:pt>
                <c:pt idx="229">
                  <c:v>0.71005917159762644</c:v>
                </c:pt>
              </c:numCache>
            </c:numRef>
          </c:val>
          <c:smooth val="0"/>
          <c:extLst>
            <c:ext xmlns:c16="http://schemas.microsoft.com/office/drawing/2014/chart" uri="{C3380CC4-5D6E-409C-BE32-E72D297353CC}">
              <c16:uniqueId val="{00000001-27D6-4B93-B8B4-5D3D28D9E8E2}"/>
            </c:ext>
          </c:extLst>
        </c:ser>
        <c:ser>
          <c:idx val="2"/>
          <c:order val="2"/>
          <c:tx>
            <c:strRef>
              <c:f>GRANGER!$I$9</c:f>
              <c:strCache>
                <c:ptCount val="1"/>
                <c:pt idx="0">
                  <c:v>RetailSales</c:v>
                </c:pt>
              </c:strCache>
            </c:strRef>
          </c:tx>
          <c:spPr>
            <a:ln w="28575" cap="rnd">
              <a:solidFill>
                <a:schemeClr val="accent3"/>
              </a:solidFill>
              <a:round/>
            </a:ln>
            <a:effectLst/>
          </c:spPr>
          <c:marker>
            <c:symbol val="none"/>
          </c:marker>
          <c:cat>
            <c:numRef>
              <c:f>GRANGER!$F$10:$F$239</c:f>
              <c:numCache>
                <c:formatCode>[$-416]mmm\-yy;@</c:formatCode>
                <c:ptCount val="23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GRANGER!$I$10:$I$239</c:f>
              <c:numCache>
                <c:formatCode>0.0</c:formatCode>
                <c:ptCount val="230"/>
                <c:pt idx="0">
                  <c:v>0.27312454479242276</c:v>
                </c:pt>
                <c:pt idx="1">
                  <c:v>1.0532050118031564</c:v>
                </c:pt>
                <c:pt idx="2">
                  <c:v>-2.3539982030547981</c:v>
                </c:pt>
                <c:pt idx="3">
                  <c:v>9.2013249907981515E-2</c:v>
                </c:pt>
                <c:pt idx="4">
                  <c:v>0.29417172274314501</c:v>
                </c:pt>
                <c:pt idx="5">
                  <c:v>-0.87992667277726289</c:v>
                </c:pt>
                <c:pt idx="6">
                  <c:v>0.42537451451821134</c:v>
                </c:pt>
                <c:pt idx="7">
                  <c:v>0.88397790055249359</c:v>
                </c:pt>
                <c:pt idx="8">
                  <c:v>-0.18254837531946225</c:v>
                </c:pt>
                <c:pt idx="9">
                  <c:v>0</c:v>
                </c:pt>
                <c:pt idx="10">
                  <c:v>1.1521580102414093</c:v>
                </c:pt>
                <c:pt idx="11">
                  <c:v>0.6327969625745693</c:v>
                </c:pt>
                <c:pt idx="12">
                  <c:v>0.233560905497669</c:v>
                </c:pt>
                <c:pt idx="13">
                  <c:v>1.7565872020075355</c:v>
                </c:pt>
                <c:pt idx="14">
                  <c:v>1.144970935353177</c:v>
                </c:pt>
                <c:pt idx="15">
                  <c:v>0.62695924764890187</c:v>
                </c:pt>
                <c:pt idx="16">
                  <c:v>0.65766701280719186</c:v>
                </c:pt>
                <c:pt idx="17">
                  <c:v>0.75653370013755994</c:v>
                </c:pt>
                <c:pt idx="18">
                  <c:v>0.40955631399317743</c:v>
                </c:pt>
                <c:pt idx="19">
                  <c:v>3.3990482664847076E-2</c:v>
                </c:pt>
                <c:pt idx="20">
                  <c:v>0.50968399592252323</c:v>
                </c:pt>
                <c:pt idx="21">
                  <c:v>1.622718052738338</c:v>
                </c:pt>
                <c:pt idx="22">
                  <c:v>0.58216899534265043</c:v>
                </c:pt>
                <c:pt idx="23">
                  <c:v>2.3317347445014116</c:v>
                </c:pt>
                <c:pt idx="24">
                  <c:v>-2.4886877828054281</c:v>
                </c:pt>
                <c:pt idx="25">
                  <c:v>-3.9111700364600703</c:v>
                </c:pt>
                <c:pt idx="26">
                  <c:v>1.586754053121769</c:v>
                </c:pt>
                <c:pt idx="27">
                  <c:v>-0.33955857385398258</c:v>
                </c:pt>
                <c:pt idx="28">
                  <c:v>1.5332197614991459</c:v>
                </c:pt>
                <c:pt idx="29">
                  <c:v>0.13422818791946023</c:v>
                </c:pt>
                <c:pt idx="30">
                  <c:v>1.508042895442357</c:v>
                </c:pt>
                <c:pt idx="31">
                  <c:v>8.2535490260819189E-2</c:v>
                </c:pt>
                <c:pt idx="32">
                  <c:v>-0.19792182088075957</c:v>
                </c:pt>
                <c:pt idx="33">
                  <c:v>0.77673111882333312</c:v>
                </c:pt>
                <c:pt idx="34">
                  <c:v>-0.11479173499508082</c:v>
                </c:pt>
                <c:pt idx="35">
                  <c:v>1.0343129207026802</c:v>
                </c:pt>
                <c:pt idx="36">
                  <c:v>3.8836529086772842</c:v>
                </c:pt>
                <c:pt idx="37">
                  <c:v>-2.3776005005474787</c:v>
                </c:pt>
                <c:pt idx="38">
                  <c:v>0.94536132030123932</c:v>
                </c:pt>
                <c:pt idx="39">
                  <c:v>1.6507936507936607</c:v>
                </c:pt>
                <c:pt idx="40">
                  <c:v>-0.46845721424110592</c:v>
                </c:pt>
                <c:pt idx="41">
                  <c:v>1.7100721681832385</c:v>
                </c:pt>
                <c:pt idx="42">
                  <c:v>-0.38562393953416629</c:v>
                </c:pt>
                <c:pt idx="43">
                  <c:v>0.68132548776710711</c:v>
                </c:pt>
                <c:pt idx="44">
                  <c:v>1.8455859735466054</c:v>
                </c:pt>
                <c:pt idx="45">
                  <c:v>0.39263062518877245</c:v>
                </c:pt>
                <c:pt idx="46">
                  <c:v>0.10529482551142175</c:v>
                </c:pt>
                <c:pt idx="47">
                  <c:v>-0.16528925619834625</c:v>
                </c:pt>
                <c:pt idx="48">
                  <c:v>0.49668874172185173</c:v>
                </c:pt>
                <c:pt idx="49">
                  <c:v>1.3628875243372935</c:v>
                </c:pt>
                <c:pt idx="50">
                  <c:v>1.0933806146572027</c:v>
                </c:pt>
                <c:pt idx="51">
                  <c:v>0.70154925460392281</c:v>
                </c:pt>
                <c:pt idx="52">
                  <c:v>-0.13062409288824878</c:v>
                </c:pt>
                <c:pt idx="53">
                  <c:v>0.49411422758320506</c:v>
                </c:pt>
                <c:pt idx="54">
                  <c:v>0.49168474331162565</c:v>
                </c:pt>
                <c:pt idx="55">
                  <c:v>-1.3671031803136979</c:v>
                </c:pt>
                <c:pt idx="56">
                  <c:v>3.7058651882112512</c:v>
                </c:pt>
                <c:pt idx="57">
                  <c:v>-1.9555430500844129</c:v>
                </c:pt>
                <c:pt idx="58">
                  <c:v>1.3918783182666077</c:v>
                </c:pt>
                <c:pt idx="59">
                  <c:v>1.1746391168978183</c:v>
                </c:pt>
                <c:pt idx="60">
                  <c:v>0.71338648762065349</c:v>
                </c:pt>
                <c:pt idx="61">
                  <c:v>-2.0694444444444371</c:v>
                </c:pt>
                <c:pt idx="62">
                  <c:v>1.3615090058147692</c:v>
                </c:pt>
                <c:pt idx="63">
                  <c:v>0.5176997341541969</c:v>
                </c:pt>
                <c:pt idx="64">
                  <c:v>1.1275055679287336</c:v>
                </c:pt>
                <c:pt idx="65">
                  <c:v>-0.5092911218169367</c:v>
                </c:pt>
                <c:pt idx="66">
                  <c:v>-0.12451577199779111</c:v>
                </c:pt>
                <c:pt idx="67">
                  <c:v>0.81728771297964187</c:v>
                </c:pt>
                <c:pt idx="68">
                  <c:v>0.83814234679857025</c:v>
                </c:pt>
                <c:pt idx="69">
                  <c:v>0.21801335331788607</c:v>
                </c:pt>
                <c:pt idx="70">
                  <c:v>0.67980965329707677</c:v>
                </c:pt>
                <c:pt idx="71">
                  <c:v>1.5124915597569273</c:v>
                </c:pt>
                <c:pt idx="72">
                  <c:v>-0.30597312757749634</c:v>
                </c:pt>
                <c:pt idx="73">
                  <c:v>2.8823058446757361</c:v>
                </c:pt>
                <c:pt idx="74">
                  <c:v>-0.79118028534370877</c:v>
                </c:pt>
                <c:pt idx="75">
                  <c:v>1.0458883514185011</c:v>
                </c:pt>
                <c:pt idx="76">
                  <c:v>0.75042049424246116</c:v>
                </c:pt>
                <c:pt idx="77">
                  <c:v>0.34673173237446514</c:v>
                </c:pt>
                <c:pt idx="78">
                  <c:v>0.78065011517788507</c:v>
                </c:pt>
                <c:pt idx="79">
                  <c:v>1.0920634920634913</c:v>
                </c:pt>
                <c:pt idx="80">
                  <c:v>2.5122472051244845E-2</c:v>
                </c:pt>
                <c:pt idx="81">
                  <c:v>1.8962702499058208</c:v>
                </c:pt>
                <c:pt idx="82">
                  <c:v>0.69016514666009643</c:v>
                </c:pt>
                <c:pt idx="83">
                  <c:v>0.30599755201958384</c:v>
                </c:pt>
                <c:pt idx="84">
                  <c:v>0.79316656497863502</c:v>
                </c:pt>
                <c:pt idx="85">
                  <c:v>3.4866828087167194</c:v>
                </c:pt>
                <c:pt idx="86">
                  <c:v>-1.1581656527842876</c:v>
                </c:pt>
                <c:pt idx="87">
                  <c:v>-0.28405728488577925</c:v>
                </c:pt>
                <c:pt idx="88">
                  <c:v>0.99703264094955901</c:v>
                </c:pt>
                <c:pt idx="89">
                  <c:v>1.7393348219532139</c:v>
                </c:pt>
                <c:pt idx="90">
                  <c:v>-1.1435832274459916</c:v>
                </c:pt>
                <c:pt idx="91">
                  <c:v>1.4723066136947944</c:v>
                </c:pt>
                <c:pt idx="92">
                  <c:v>-0.19576232151082645</c:v>
                </c:pt>
                <c:pt idx="93">
                  <c:v>5.7690088842733536E-2</c:v>
                </c:pt>
                <c:pt idx="94">
                  <c:v>-0.96863468634686734</c:v>
                </c:pt>
                <c:pt idx="95">
                  <c:v>0.62878435025617874</c:v>
                </c:pt>
                <c:pt idx="96">
                  <c:v>0.24299930571626216</c:v>
                </c:pt>
                <c:pt idx="97">
                  <c:v>0.99272769248528159</c:v>
                </c:pt>
                <c:pt idx="98">
                  <c:v>0.76580180592067859</c:v>
                </c:pt>
                <c:pt idx="99">
                  <c:v>0.60117967332123545</c:v>
                </c:pt>
                <c:pt idx="100">
                  <c:v>0.24805502311421676</c:v>
                </c:pt>
                <c:pt idx="101">
                  <c:v>-0.4836351366550361</c:v>
                </c:pt>
                <c:pt idx="102">
                  <c:v>1.548372513562376</c:v>
                </c:pt>
                <c:pt idx="103">
                  <c:v>-0.11129660545352733</c:v>
                </c:pt>
                <c:pt idx="104">
                  <c:v>-0.40111420612813303</c:v>
                </c:pt>
                <c:pt idx="105">
                  <c:v>0.14543013759927895</c:v>
                </c:pt>
                <c:pt idx="106">
                  <c:v>1.016532618409306</c:v>
                </c:pt>
                <c:pt idx="107">
                  <c:v>-1.4154594714143547</c:v>
                </c:pt>
                <c:pt idx="108">
                  <c:v>7.874369040942228</c:v>
                </c:pt>
                <c:pt idx="109">
                  <c:v>-0.35354060517833358</c:v>
                </c:pt>
                <c:pt idx="110">
                  <c:v>1.0539497025983566</c:v>
                </c:pt>
                <c:pt idx="111">
                  <c:v>-1.0532837670384245</c:v>
                </c:pt>
                <c:pt idx="112">
                  <c:v>0.24003339595074516</c:v>
                </c:pt>
                <c:pt idx="113">
                  <c:v>1.0619469026548631</c:v>
                </c:pt>
                <c:pt idx="114">
                  <c:v>0.64901617389513722</c:v>
                </c:pt>
                <c:pt idx="115">
                  <c:v>-1.2998976458546529</c:v>
                </c:pt>
                <c:pt idx="116">
                  <c:v>1.6177538110546386</c:v>
                </c:pt>
                <c:pt idx="117">
                  <c:v>-0.80620471476680489</c:v>
                </c:pt>
                <c:pt idx="118">
                  <c:v>4.1152263374477409E-2</c:v>
                </c:pt>
                <c:pt idx="119">
                  <c:v>9.2554504319213707E-2</c:v>
                </c:pt>
                <c:pt idx="120">
                  <c:v>0.10274324463167422</c:v>
                </c:pt>
                <c:pt idx="121">
                  <c:v>-0.6363543056553469</c:v>
                </c:pt>
                <c:pt idx="122">
                  <c:v>0.36153289949384809</c:v>
                </c:pt>
                <c:pt idx="123">
                  <c:v>-2.1099217785096722</c:v>
                </c:pt>
                <c:pt idx="124">
                  <c:v>3.3960677110713955</c:v>
                </c:pt>
                <c:pt idx="125">
                  <c:v>-0.9558673988204166</c:v>
                </c:pt>
                <c:pt idx="126">
                  <c:v>2.5770020533880809</c:v>
                </c:pt>
                <c:pt idx="127">
                  <c:v>0.52046842157943174</c:v>
                </c:pt>
                <c:pt idx="128">
                  <c:v>0.58747386239170485</c:v>
                </c:pt>
                <c:pt idx="129">
                  <c:v>-1.5343496337358911</c:v>
                </c:pt>
                <c:pt idx="130">
                  <c:v>1.0555946516537622</c:v>
                </c:pt>
                <c:pt idx="131">
                  <c:v>1.1042578591325105</c:v>
                </c:pt>
                <c:pt idx="132">
                  <c:v>0.10823575715831885</c:v>
                </c:pt>
                <c:pt idx="133">
                  <c:v>-0.16709258895223286</c:v>
                </c:pt>
                <c:pt idx="134">
                  <c:v>-0.25598109678053649</c:v>
                </c:pt>
                <c:pt idx="135">
                  <c:v>-2.8328891521073976</c:v>
                </c:pt>
                <c:pt idx="136">
                  <c:v>1.1072734660707064</c:v>
                </c:pt>
                <c:pt idx="137">
                  <c:v>0.7635888676780922</c:v>
                </c:pt>
                <c:pt idx="138">
                  <c:v>-0.81762887625885672</c:v>
                </c:pt>
                <c:pt idx="139">
                  <c:v>-0.38202473107469131</c:v>
                </c:pt>
                <c:pt idx="140">
                  <c:v>-7.0642849934410529E-2</c:v>
                </c:pt>
                <c:pt idx="141">
                  <c:v>1.4138557867097614</c:v>
                </c:pt>
                <c:pt idx="142">
                  <c:v>-0.64728141804422001</c:v>
                </c:pt>
                <c:pt idx="143">
                  <c:v>0.63145234038289033</c:v>
                </c:pt>
                <c:pt idx="144">
                  <c:v>-0.12948207171315701</c:v>
                </c:pt>
                <c:pt idx="145">
                  <c:v>-0.45876134437019422</c:v>
                </c:pt>
                <c:pt idx="146">
                  <c:v>-0.99188458070334551</c:v>
                </c:pt>
                <c:pt idx="147">
                  <c:v>-0.25298522566282128</c:v>
                </c:pt>
                <c:pt idx="148">
                  <c:v>-0.89276656183422487</c:v>
                </c:pt>
                <c:pt idx="149">
                  <c:v>6.1418773671821345E-2</c:v>
                </c:pt>
                <c:pt idx="150">
                  <c:v>-1.4526854219948866</c:v>
                </c:pt>
                <c:pt idx="151">
                  <c:v>-1.3910515934807468</c:v>
                </c:pt>
                <c:pt idx="152">
                  <c:v>1.5264764712074985</c:v>
                </c:pt>
                <c:pt idx="153">
                  <c:v>1.9805060141020288</c:v>
                </c:pt>
                <c:pt idx="154">
                  <c:v>-2.6537874936451442</c:v>
                </c:pt>
                <c:pt idx="155">
                  <c:v>0.31334865260080569</c:v>
                </c:pt>
                <c:pt idx="156">
                  <c:v>-1.1349437734277419</c:v>
                </c:pt>
                <c:pt idx="157">
                  <c:v>0.62137967351237855</c:v>
                </c:pt>
                <c:pt idx="158">
                  <c:v>-1.1304165794431782</c:v>
                </c:pt>
                <c:pt idx="159">
                  <c:v>0.39170019055685429</c:v>
                </c:pt>
                <c:pt idx="160">
                  <c:v>0.37962670041126167</c:v>
                </c:pt>
                <c:pt idx="161">
                  <c:v>-1.2081100955982682</c:v>
                </c:pt>
                <c:pt idx="162">
                  <c:v>0.85070182900892932</c:v>
                </c:pt>
                <c:pt idx="163">
                  <c:v>-0.20033741037536662</c:v>
                </c:pt>
                <c:pt idx="164">
                  <c:v>-1.1727416798732164</c:v>
                </c:pt>
                <c:pt idx="165">
                  <c:v>1.0690613641213282E-2</c:v>
                </c:pt>
                <c:pt idx="166">
                  <c:v>-0.67343666488508336</c:v>
                </c:pt>
                <c:pt idx="167">
                  <c:v>-2.0017219113215661</c:v>
                </c:pt>
                <c:pt idx="168">
                  <c:v>8.8732703711838319</c:v>
                </c:pt>
                <c:pt idx="169">
                  <c:v>-1.1902360298567751</c:v>
                </c:pt>
                <c:pt idx="170">
                  <c:v>-6.5843201306655663</c:v>
                </c:pt>
                <c:pt idx="171">
                  <c:v>2.1418424215932612</c:v>
                </c:pt>
                <c:pt idx="172">
                  <c:v>0.97357440890124802</c:v>
                </c:pt>
                <c:pt idx="173">
                  <c:v>1.3668150031786463</c:v>
                </c:pt>
                <c:pt idx="174">
                  <c:v>0.20905194940943123</c:v>
                </c:pt>
                <c:pt idx="175">
                  <c:v>-0.76144779388756023</c:v>
                </c:pt>
                <c:pt idx="176">
                  <c:v>2.5331091023754433</c:v>
                </c:pt>
                <c:pt idx="177">
                  <c:v>0.24602767811379711</c:v>
                </c:pt>
                <c:pt idx="178">
                  <c:v>0.48062174046425893</c:v>
                </c:pt>
                <c:pt idx="179">
                  <c:v>0.42743741095054111</c:v>
                </c:pt>
                <c:pt idx="180">
                  <c:v>3.5974868261045776</c:v>
                </c:pt>
                <c:pt idx="181">
                  <c:v>-2.2009194952557953</c:v>
                </c:pt>
                <c:pt idx="182">
                  <c:v>-0.54010802160432714</c:v>
                </c:pt>
                <c:pt idx="183">
                  <c:v>1.5486725663716878</c:v>
                </c:pt>
                <c:pt idx="184">
                  <c:v>0.35650623885917943</c:v>
                </c:pt>
                <c:pt idx="185">
                  <c:v>-3.4635879218472518</c:v>
                </c:pt>
                <c:pt idx="186">
                  <c:v>1.1346212818153936</c:v>
                </c:pt>
                <c:pt idx="187">
                  <c:v>1.0915706488781063</c:v>
                </c:pt>
                <c:pt idx="188">
                  <c:v>-0.91981603679264323</c:v>
                </c:pt>
                <c:pt idx="189">
                  <c:v>0.21190716448033095</c:v>
                </c:pt>
                <c:pt idx="190">
                  <c:v>1.963548484543352</c:v>
                </c:pt>
                <c:pt idx="191">
                  <c:v>0.64191190993481273</c:v>
                </c:pt>
                <c:pt idx="192">
                  <c:v>3.0222745559807658</c:v>
                </c:pt>
                <c:pt idx="193">
                  <c:v>-2.7240689589484708</c:v>
                </c:pt>
                <c:pt idx="194">
                  <c:v>-2.0855772055223691</c:v>
                </c:pt>
                <c:pt idx="195">
                  <c:v>-2.3700000000000045</c:v>
                </c:pt>
                <c:pt idx="196">
                  <c:v>1.7207825463484656</c:v>
                </c:pt>
                <c:pt idx="197">
                  <c:v>-0.16111167052663034</c:v>
                </c:pt>
                <c:pt idx="198">
                  <c:v>0.67574382249116238</c:v>
                </c:pt>
                <c:pt idx="199">
                  <c:v>1.3424163494289756</c:v>
                </c:pt>
                <c:pt idx="200">
                  <c:v>0.84025306445236114</c:v>
                </c:pt>
                <c:pt idx="201">
                  <c:v>-0.5587687481619521</c:v>
                </c:pt>
                <c:pt idx="202">
                  <c:v>0.53233438485805029</c:v>
                </c:pt>
                <c:pt idx="203">
                  <c:v>-0.7942733869386176</c:v>
                </c:pt>
                <c:pt idx="204">
                  <c:v>0.45468024117820866</c:v>
                </c:pt>
                <c:pt idx="205">
                  <c:v>-0.34438650004919252</c:v>
                </c:pt>
                <c:pt idx="206">
                  <c:v>13.892180094786724</c:v>
                </c:pt>
                <c:pt idx="207">
                  <c:v>-11.382748157780664</c:v>
                </c:pt>
                <c:pt idx="208">
                  <c:v>6.4370964586186643</c:v>
                </c:pt>
                <c:pt idx="209">
                  <c:v>0.5974264705882405</c:v>
                </c:pt>
                <c:pt idx="210">
                  <c:v>-0.19186843307447049</c:v>
                </c:pt>
                <c:pt idx="211">
                  <c:v>-2.0322226290735985</c:v>
                </c:pt>
                <c:pt idx="212">
                  <c:v>-0.10278452625677391</c:v>
                </c:pt>
                <c:pt idx="213">
                  <c:v>1.0663174632868775</c:v>
                </c:pt>
                <c:pt idx="214">
                  <c:v>-2.9986117538176726</c:v>
                </c:pt>
                <c:pt idx="215">
                  <c:v>6.6787520274776427E-2</c:v>
                </c:pt>
                <c:pt idx="216">
                  <c:v>-1.2490465293668978</c:v>
                </c:pt>
                <c:pt idx="217">
                  <c:v>-0.28965916771265537</c:v>
                </c:pt>
                <c:pt idx="218">
                  <c:v>3.4085407185049004</c:v>
                </c:pt>
                <c:pt idx="219">
                  <c:v>-2.5657833130443009</c:v>
                </c:pt>
                <c:pt idx="220">
                  <c:v>0.92263334935128105</c:v>
                </c:pt>
                <c:pt idx="221">
                  <c:v>3.8091610322818818E-2</c:v>
                </c:pt>
                <c:pt idx="222">
                  <c:v>0.11423131841980443</c:v>
                </c:pt>
                <c:pt idx="223">
                  <c:v>-0.94133307977559644</c:v>
                </c:pt>
                <c:pt idx="224">
                  <c:v>-0.86388942215396969</c:v>
                </c:pt>
                <c:pt idx="225">
                  <c:v>2.9047250193649433E-2</c:v>
                </c:pt>
                <c:pt idx="226">
                  <c:v>0.75500919562481961</c:v>
                </c:pt>
                <c:pt idx="227">
                  <c:v>-0.45153232779325475</c:v>
                </c:pt>
                <c:pt idx="228">
                  <c:v>0.19301293186642407</c:v>
                </c:pt>
                <c:pt idx="229">
                  <c:v>1.1365825467154758</c:v>
                </c:pt>
              </c:numCache>
            </c:numRef>
          </c:val>
          <c:smooth val="0"/>
          <c:extLst>
            <c:ext xmlns:c16="http://schemas.microsoft.com/office/drawing/2014/chart" uri="{C3380CC4-5D6E-409C-BE32-E72D297353CC}">
              <c16:uniqueId val="{00000002-27D6-4B93-B8B4-5D3D28D9E8E2}"/>
            </c:ext>
          </c:extLst>
        </c:ser>
        <c:dLbls>
          <c:showLegendKey val="0"/>
          <c:showVal val="0"/>
          <c:showCatName val="0"/>
          <c:showSerName val="0"/>
          <c:showPercent val="0"/>
          <c:showBubbleSize val="0"/>
        </c:dLbls>
        <c:smooth val="0"/>
        <c:axId val="1079562271"/>
        <c:axId val="1079564351"/>
      </c:lineChart>
      <c:dateAx>
        <c:axId val="1079562271"/>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4351"/>
        <c:crosses val="autoZero"/>
        <c:auto val="1"/>
        <c:lblOffset val="100"/>
        <c:baseTimeUnit val="months"/>
      </c:dateAx>
      <c:valAx>
        <c:axId val="10795643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795622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LAG!$F$13:$F$30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LAG!$G$13:$G$30</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8319-4A25-890A-1260D18CE5B0}"/>
            </c:ext>
          </c:extLst>
        </c:ser>
        <c:ser>
          <c:idx val="1"/>
          <c:order val="1"/>
          <c:tx>
            <c:v>Lag</c:v>
          </c:tx>
          <c:spPr>
            <a:ln w="19050" cap="rnd">
              <a:solidFill>
                <a:schemeClr val="accent2"/>
              </a:solidFill>
              <a:round/>
            </a:ln>
            <a:effectLst/>
          </c:spPr>
          <c:marker>
            <c:symbol val="none"/>
          </c:marker>
          <c:cat>
            <c:numRef>
              <c:f>LAG!$F$13:$F$30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LAG!$P$13:$P$252</c:f>
              <c:numCache>
                <c:formatCode>0.0</c:formatCode>
                <c:ptCount val="240"/>
                <c:pt idx="0">
                  <c:v>#N/A</c:v>
                </c:pt>
                <c:pt idx="1">
                  <c:v>72.400000000000006</c:v>
                </c:pt>
                <c:pt idx="2">
                  <c:v>69.7</c:v>
                </c:pt>
                <c:pt idx="3">
                  <c:v>77.400000000000006</c:v>
                </c:pt>
                <c:pt idx="4">
                  <c:v>79.599999999999994</c:v>
                </c:pt>
                <c:pt idx="5">
                  <c:v>80.400000000000006</c:v>
                </c:pt>
                <c:pt idx="6">
                  <c:v>77.5</c:v>
                </c:pt>
                <c:pt idx="7">
                  <c:v>83.3</c:v>
                </c:pt>
                <c:pt idx="8">
                  <c:v>83.6</c:v>
                </c:pt>
                <c:pt idx="9">
                  <c:v>82.1</c:v>
                </c:pt>
                <c:pt idx="10">
                  <c:v>89.2</c:v>
                </c:pt>
                <c:pt idx="11">
                  <c:v>83.9</c:v>
                </c:pt>
                <c:pt idx="12">
                  <c:v>74.599999999999994</c:v>
                </c:pt>
                <c:pt idx="13">
                  <c:v>74</c:v>
                </c:pt>
                <c:pt idx="14">
                  <c:v>71.8</c:v>
                </c:pt>
                <c:pt idx="15">
                  <c:v>77.400000000000006</c:v>
                </c:pt>
                <c:pt idx="16">
                  <c:v>76.5</c:v>
                </c:pt>
                <c:pt idx="17">
                  <c:v>79.7</c:v>
                </c:pt>
                <c:pt idx="20" formatCode="General">
                  <c:v>0</c:v>
                </c:pt>
                <c:pt idx="21">
                  <c:v>0</c:v>
                </c:pt>
                <c:pt idx="22">
                  <c:v>#N/A</c:v>
                </c:pt>
                <c:pt idx="23">
                  <c:v>72.400000000000006</c:v>
                </c:pt>
                <c:pt idx="24">
                  <c:v>69.7</c:v>
                </c:pt>
                <c:pt idx="25">
                  <c:v>77.400000000000006</c:v>
                </c:pt>
                <c:pt idx="26">
                  <c:v>79.599999999999994</c:v>
                </c:pt>
                <c:pt idx="27">
                  <c:v>80.400000000000006</c:v>
                </c:pt>
                <c:pt idx="28">
                  <c:v>77.5</c:v>
                </c:pt>
                <c:pt idx="29">
                  <c:v>83.3</c:v>
                </c:pt>
                <c:pt idx="30">
                  <c:v>83.6</c:v>
                </c:pt>
                <c:pt idx="31">
                  <c:v>82.1</c:v>
                </c:pt>
                <c:pt idx="32">
                  <c:v>89.2</c:v>
                </c:pt>
                <c:pt idx="33">
                  <c:v>83.9</c:v>
                </c:pt>
                <c:pt idx="34">
                  <c:v>74.599999999999994</c:v>
                </c:pt>
                <c:pt idx="35">
                  <c:v>74</c:v>
                </c:pt>
                <c:pt idx="36">
                  <c:v>71.8</c:v>
                </c:pt>
                <c:pt idx="37">
                  <c:v>77.400000000000006</c:v>
                </c:pt>
                <c:pt idx="38">
                  <c:v>76.5</c:v>
                </c:pt>
                <c:pt idx="39">
                  <c:v>79.7</c:v>
                </c:pt>
                <c:pt idx="42" formatCode="General">
                  <c:v>0</c:v>
                </c:pt>
                <c:pt idx="43">
                  <c:v>#N/A</c:v>
                </c:pt>
                <c:pt idx="44">
                  <c:v>72.400000000000006</c:v>
                </c:pt>
                <c:pt idx="45">
                  <c:v>69.7</c:v>
                </c:pt>
                <c:pt idx="46">
                  <c:v>77.400000000000006</c:v>
                </c:pt>
                <c:pt idx="47">
                  <c:v>79.599999999999994</c:v>
                </c:pt>
                <c:pt idx="48">
                  <c:v>80.400000000000006</c:v>
                </c:pt>
                <c:pt idx="49">
                  <c:v>77.5</c:v>
                </c:pt>
                <c:pt idx="50">
                  <c:v>83.3</c:v>
                </c:pt>
                <c:pt idx="51">
                  <c:v>83.6</c:v>
                </c:pt>
                <c:pt idx="52">
                  <c:v>82.1</c:v>
                </c:pt>
                <c:pt idx="53">
                  <c:v>89.2</c:v>
                </c:pt>
                <c:pt idx="54">
                  <c:v>83.9</c:v>
                </c:pt>
                <c:pt idx="55">
                  <c:v>74.599999999999994</c:v>
                </c:pt>
                <c:pt idx="56">
                  <c:v>74</c:v>
                </c:pt>
                <c:pt idx="57">
                  <c:v>71.8</c:v>
                </c:pt>
                <c:pt idx="58">
                  <c:v>77.400000000000006</c:v>
                </c:pt>
                <c:pt idx="59">
                  <c:v>76.5</c:v>
                </c:pt>
                <c:pt idx="60">
                  <c:v>79.7</c:v>
                </c:pt>
                <c:pt idx="63" formatCode="General">
                  <c:v>0</c:v>
                </c:pt>
                <c:pt idx="64">
                  <c:v>0</c:v>
                </c:pt>
                <c:pt idx="65">
                  <c:v>#N/A</c:v>
                </c:pt>
                <c:pt idx="66">
                  <c:v>72.400000000000006</c:v>
                </c:pt>
                <c:pt idx="67">
                  <c:v>69.7</c:v>
                </c:pt>
                <c:pt idx="68">
                  <c:v>77.400000000000006</c:v>
                </c:pt>
                <c:pt idx="69">
                  <c:v>79.599999999999994</c:v>
                </c:pt>
                <c:pt idx="70">
                  <c:v>80.400000000000006</c:v>
                </c:pt>
                <c:pt idx="71">
                  <c:v>77.5</c:v>
                </c:pt>
                <c:pt idx="72">
                  <c:v>83.3</c:v>
                </c:pt>
                <c:pt idx="73">
                  <c:v>83.6</c:v>
                </c:pt>
                <c:pt idx="74">
                  <c:v>82.1</c:v>
                </c:pt>
                <c:pt idx="75">
                  <c:v>89.2</c:v>
                </c:pt>
                <c:pt idx="76">
                  <c:v>83.9</c:v>
                </c:pt>
                <c:pt idx="77">
                  <c:v>74.599999999999994</c:v>
                </c:pt>
                <c:pt idx="78">
                  <c:v>74</c:v>
                </c:pt>
                <c:pt idx="79">
                  <c:v>71.8</c:v>
                </c:pt>
                <c:pt idx="80">
                  <c:v>77.400000000000006</c:v>
                </c:pt>
                <c:pt idx="81">
                  <c:v>76.5</c:v>
                </c:pt>
                <c:pt idx="82">
                  <c:v>79.7</c:v>
                </c:pt>
              </c:numCache>
            </c:numRef>
          </c:val>
          <c:smooth val="0"/>
          <c:extLst>
            <c:ext xmlns:c16="http://schemas.microsoft.com/office/drawing/2014/chart" uri="{C3380CC4-5D6E-409C-BE32-E72D297353CC}">
              <c16:uniqueId val="{00000001-8319-4A25-890A-1260D18CE5B0}"/>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LEAD!$F$13:$F$30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LEAD!$G$13:$G$30</c:f>
              <c:numCache>
                <c:formatCode>0.0</c:formatCode>
                <c:ptCount val="18"/>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numCache>
            </c:numRef>
          </c:val>
          <c:smooth val="0"/>
          <c:extLst>
            <c:ext xmlns:c16="http://schemas.microsoft.com/office/drawing/2014/chart" uri="{C3380CC4-5D6E-409C-BE32-E72D297353CC}">
              <c16:uniqueId val="{00000000-FF83-4DCE-82E8-C80E8868B7B8}"/>
            </c:ext>
          </c:extLst>
        </c:ser>
        <c:ser>
          <c:idx val="1"/>
          <c:order val="1"/>
          <c:tx>
            <c:v>Lead</c:v>
          </c:tx>
          <c:spPr>
            <a:ln w="19050" cap="rnd">
              <a:solidFill>
                <a:schemeClr val="accent2"/>
              </a:solidFill>
              <a:round/>
            </a:ln>
            <a:effectLst/>
          </c:spPr>
          <c:marker>
            <c:symbol val="none"/>
          </c:marker>
          <c:cat>
            <c:numRef>
              <c:f>LEAD!$F$13:$F$30</c:f>
              <c:numCache>
                <c:formatCode>[$-416]mmm\-yy;@</c:formatCode>
                <c:ptCount val="18"/>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numCache>
            </c:numRef>
          </c:cat>
          <c:val>
            <c:numRef>
              <c:f>LEAD!$P$13:$P$252</c:f>
              <c:numCache>
                <c:formatCode>0.0</c:formatCode>
                <c:ptCount val="240"/>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#N/A</c:v>
                </c:pt>
                <c:pt idx="20" formatCode="General">
                  <c:v>0</c:v>
                </c:pt>
                <c:pt idx="21">
                  <c:v>0</c:v>
                </c:pt>
                <c:pt idx="22">
                  <c:v>79.599999999999994</c:v>
                </c:pt>
                <c:pt idx="23">
                  <c:v>80.400000000000006</c:v>
                </c:pt>
                <c:pt idx="24">
                  <c:v>77.5</c:v>
                </c:pt>
                <c:pt idx="25">
                  <c:v>83.3</c:v>
                </c:pt>
                <c:pt idx="26">
                  <c:v>83.6</c:v>
                </c:pt>
                <c:pt idx="27">
                  <c:v>82.1</c:v>
                </c:pt>
                <c:pt idx="28">
                  <c:v>89.2</c:v>
                </c:pt>
                <c:pt idx="29">
                  <c:v>83.9</c:v>
                </c:pt>
                <c:pt idx="30">
                  <c:v>74.599999999999994</c:v>
                </c:pt>
                <c:pt idx="31">
                  <c:v>74</c:v>
                </c:pt>
                <c:pt idx="32">
                  <c:v>71.8</c:v>
                </c:pt>
                <c:pt idx="33">
                  <c:v>77.400000000000006</c:v>
                </c:pt>
                <c:pt idx="34">
                  <c:v>76.5</c:v>
                </c:pt>
                <c:pt idx="35">
                  <c:v>79.7</c:v>
                </c:pt>
                <c:pt idx="36">
                  <c:v>76.3</c:v>
                </c:pt>
                <c:pt idx="37">
                  <c:v>#N/A</c:v>
                </c:pt>
                <c:pt idx="38">
                  <c:v>#N/A</c:v>
                </c:pt>
                <c:pt idx="39">
                  <c:v>#N/A</c:v>
                </c:pt>
                <c:pt idx="42" formatCode="General">
                  <c:v>0</c:v>
                </c:pt>
                <c:pt idx="43">
                  <c:v>69.7</c:v>
                </c:pt>
                <c:pt idx="44">
                  <c:v>77.400000000000006</c:v>
                </c:pt>
                <c:pt idx="45">
                  <c:v>79.599999999999994</c:v>
                </c:pt>
                <c:pt idx="46">
                  <c:v>80.400000000000006</c:v>
                </c:pt>
                <c:pt idx="47">
                  <c:v>77.5</c:v>
                </c:pt>
                <c:pt idx="48">
                  <c:v>83.3</c:v>
                </c:pt>
                <c:pt idx="49">
                  <c:v>83.6</c:v>
                </c:pt>
                <c:pt idx="50">
                  <c:v>82.1</c:v>
                </c:pt>
                <c:pt idx="51">
                  <c:v>89.2</c:v>
                </c:pt>
                <c:pt idx="52">
                  <c:v>83.9</c:v>
                </c:pt>
                <c:pt idx="53">
                  <c:v>74.599999999999994</c:v>
                </c:pt>
                <c:pt idx="54">
                  <c:v>74</c:v>
                </c:pt>
                <c:pt idx="55">
                  <c:v>71.8</c:v>
                </c:pt>
                <c:pt idx="56">
                  <c:v>77.400000000000006</c:v>
                </c:pt>
                <c:pt idx="57">
                  <c:v>76.5</c:v>
                </c:pt>
                <c:pt idx="58">
                  <c:v>79.7</c:v>
                </c:pt>
                <c:pt idx="59">
                  <c:v>76.3</c:v>
                </c:pt>
                <c:pt idx="60">
                  <c:v>#N/A</c:v>
                </c:pt>
                <c:pt idx="63" formatCode="General">
                  <c:v>0</c:v>
                </c:pt>
                <c:pt idx="64">
                  <c:v>0</c:v>
                </c:pt>
                <c:pt idx="65">
                  <c:v>69.7</c:v>
                </c:pt>
                <c:pt idx="66">
                  <c:v>77.400000000000006</c:v>
                </c:pt>
                <c:pt idx="67">
                  <c:v>79.599999999999994</c:v>
                </c:pt>
                <c:pt idx="68">
                  <c:v>80.400000000000006</c:v>
                </c:pt>
                <c:pt idx="69">
                  <c:v>77.5</c:v>
                </c:pt>
                <c:pt idx="70">
                  <c:v>83.3</c:v>
                </c:pt>
                <c:pt idx="71">
                  <c:v>83.6</c:v>
                </c:pt>
                <c:pt idx="72">
                  <c:v>82.1</c:v>
                </c:pt>
                <c:pt idx="73">
                  <c:v>89.2</c:v>
                </c:pt>
                <c:pt idx="74">
                  <c:v>83.9</c:v>
                </c:pt>
                <c:pt idx="75">
                  <c:v>74.599999999999994</c:v>
                </c:pt>
                <c:pt idx="76">
                  <c:v>74</c:v>
                </c:pt>
                <c:pt idx="77">
                  <c:v>71.8</c:v>
                </c:pt>
                <c:pt idx="78">
                  <c:v>77.400000000000006</c:v>
                </c:pt>
                <c:pt idx="79">
                  <c:v>76.5</c:v>
                </c:pt>
                <c:pt idx="80">
                  <c:v>79.7</c:v>
                </c:pt>
                <c:pt idx="81">
                  <c:v>76.3</c:v>
                </c:pt>
                <c:pt idx="82">
                  <c:v>#N/A</c:v>
                </c:pt>
              </c:numCache>
            </c:numRef>
          </c:val>
          <c:smooth val="0"/>
          <c:extLst>
            <c:ext xmlns:c16="http://schemas.microsoft.com/office/drawing/2014/chart" uri="{C3380CC4-5D6E-409C-BE32-E72D297353CC}">
              <c16:uniqueId val="{00000001-FF83-4DCE-82E8-C80E8868B7B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HPFILTER!$F$13:$F$265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HPFILTER!$G$13:$G$265</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A199-40C0-AF8C-CEC058C83184}"/>
            </c:ext>
          </c:extLst>
        </c:ser>
        <c:ser>
          <c:idx val="1"/>
          <c:order val="1"/>
          <c:tx>
            <c:v>HP trend</c:v>
          </c:tx>
          <c:spPr>
            <a:ln w="28575" cap="rnd">
              <a:solidFill>
                <a:schemeClr val="accent2"/>
              </a:solidFill>
              <a:round/>
            </a:ln>
            <a:effectLst/>
          </c:spPr>
          <c:marker>
            <c:symbol val="none"/>
          </c:marker>
          <c:cat>
            <c:numRef>
              <c:f>HPFILTER!$F$13:$F$265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HPFILTER!$P$13:$P$265</c:f>
              <c:numCache>
                <c:formatCode>0.0000</c:formatCode>
                <c:ptCount val="253"/>
                <c:pt idx="0">
                  <c:v>100.419984300157</c:v>
                </c:pt>
                <c:pt idx="1">
                  <c:v>101.99001569890096</c:v>
                </c:pt>
                <c:pt idx="2">
                  <c:v>102.09332417163156</c:v>
                </c:pt>
                <c:pt idx="3">
                  <c:v>101.54184188005497</c:v>
                </c:pt>
                <c:pt idx="4">
                  <c:v>100.66141960212427</c:v>
                </c:pt>
                <c:pt idx="5">
                  <c:v>100.29821408324953</c:v>
                </c:pt>
                <c:pt idx="6">
                  <c:v>99.539899014384829</c:v>
                </c:pt>
                <c:pt idx="7">
                  <c:v>99.448869558705937</c:v>
                </c:pt>
                <c:pt idx="8">
                  <c:v>100.10090903552278</c:v>
                </c:pt>
                <c:pt idx="9">
                  <c:v>100.62862279125861</c:v>
                </c:pt>
                <c:pt idx="10">
                  <c:v>101.05477266070294</c:v>
                </c:pt>
                <c:pt idx="11">
                  <c:v>101.35128212567786</c:v>
                </c:pt>
                <c:pt idx="12">
                  <c:v>102.05482102954431</c:v>
                </c:pt>
                <c:pt idx="13">
                  <c:v>102.83162838298664</c:v>
                </c:pt>
                <c:pt idx="14">
                  <c:v>103.7718069244637</c:v>
                </c:pt>
                <c:pt idx="15">
                  <c:v>104.6579525517718</c:v>
                </c:pt>
                <c:pt idx="16">
                  <c:v>105.34643405808302</c:v>
                </c:pt>
                <c:pt idx="17">
                  <c:v>106.090827901758</c:v>
                </c:pt>
                <c:pt idx="18">
                  <c:v>106.79613170019</c:v>
                </c:pt>
                <c:pt idx="19">
                  <c:v>107.47511388452565</c:v>
                </c:pt>
                <c:pt idx="20">
                  <c:v>108.23131138658023</c:v>
                </c:pt>
                <c:pt idx="21">
                  <c:v>108.75723458092632</c:v>
                </c:pt>
                <c:pt idx="22">
                  <c:v>109.36827495434487</c:v>
                </c:pt>
                <c:pt idx="23">
                  <c:v>109.73923823648678</c:v>
                </c:pt>
                <c:pt idx="24">
                  <c:v>110.11460132509258</c:v>
                </c:pt>
                <c:pt idx="25">
                  <c:v>110.53546053387161</c:v>
                </c:pt>
                <c:pt idx="26">
                  <c:v>110.900469928021</c:v>
                </c:pt>
                <c:pt idx="27">
                  <c:v>111.32767916566993</c:v>
                </c:pt>
                <c:pt idx="28">
                  <c:v>111.64206627446521</c:v>
                </c:pt>
                <c:pt idx="29">
                  <c:v>111.74448000227051</c:v>
                </c:pt>
                <c:pt idx="30">
                  <c:v>111.81499471779324</c:v>
                </c:pt>
                <c:pt idx="31">
                  <c:v>111.99907383894693</c:v>
                </c:pt>
                <c:pt idx="32">
                  <c:v>112.02845302865367</c:v>
                </c:pt>
                <c:pt idx="33">
                  <c:v>112.0989385534965</c:v>
                </c:pt>
                <c:pt idx="34">
                  <c:v>112.28344265250449</c:v>
                </c:pt>
                <c:pt idx="35">
                  <c:v>112.63595731291302</c:v>
                </c:pt>
                <c:pt idx="36">
                  <c:v>113.04048466496216</c:v>
                </c:pt>
                <c:pt idx="37">
                  <c:v>113.41826332425356</c:v>
                </c:pt>
                <c:pt idx="38">
                  <c:v>113.67881542060333</c:v>
                </c:pt>
                <c:pt idx="39">
                  <c:v>114.05922755476143</c:v>
                </c:pt>
                <c:pt idx="40">
                  <c:v>114.63289933309791</c:v>
                </c:pt>
                <c:pt idx="41">
                  <c:v>114.84979054198065</c:v>
                </c:pt>
                <c:pt idx="42">
                  <c:v>115.45740985929066</c:v>
                </c:pt>
                <c:pt idx="43">
                  <c:v>115.9780226900356</c:v>
                </c:pt>
                <c:pt idx="44">
                  <c:v>116.422583315032</c:v>
                </c:pt>
                <c:pt idx="45">
                  <c:v>117.06879570885867</c:v>
                </c:pt>
                <c:pt idx="46">
                  <c:v>117.7691241595637</c:v>
                </c:pt>
                <c:pt idx="47">
                  <c:v>118.71351917944517</c:v>
                </c:pt>
                <c:pt idx="48">
                  <c:v>119.35843615356801</c:v>
                </c:pt>
                <c:pt idx="49">
                  <c:v>119.97301987515684</c:v>
                </c:pt>
                <c:pt idx="50">
                  <c:v>120.2964861449349</c:v>
                </c:pt>
                <c:pt idx="51">
                  <c:v>120.86174341310237</c:v>
                </c:pt>
                <c:pt idx="52">
                  <c:v>121.54158049843639</c:v>
                </c:pt>
                <c:pt idx="53">
                  <c:v>122.25644594727591</c:v>
                </c:pt>
                <c:pt idx="54">
                  <c:v>123.00879294700287</c:v>
                </c:pt>
                <c:pt idx="55">
                  <c:v>123.71439908565445</c:v>
                </c:pt>
                <c:pt idx="56">
                  <c:v>124.45068490312595</c:v>
                </c:pt>
                <c:pt idx="57">
                  <c:v>125.29916113189596</c:v>
                </c:pt>
                <c:pt idx="58">
                  <c:v>125.99114829873068</c:v>
                </c:pt>
                <c:pt idx="59">
                  <c:v>126.82445438503157</c:v>
                </c:pt>
                <c:pt idx="60">
                  <c:v>127.47588214137579</c:v>
                </c:pt>
                <c:pt idx="61">
                  <c:v>127.92967613483553</c:v>
                </c:pt>
                <c:pt idx="62">
                  <c:v>128.12973596861065</c:v>
                </c:pt>
                <c:pt idx="63">
                  <c:v>128.57769129882115</c:v>
                </c:pt>
                <c:pt idx="64">
                  <c:v>129.19810259816904</c:v>
                </c:pt>
                <c:pt idx="65">
                  <c:v>129.91698242041926</c:v>
                </c:pt>
                <c:pt idx="66">
                  <c:v>130.51429918008662</c:v>
                </c:pt>
                <c:pt idx="67">
                  <c:v>131.10247721846272</c:v>
                </c:pt>
                <c:pt idx="68">
                  <c:v>131.4618839170559</c:v>
                </c:pt>
                <c:pt idx="69">
                  <c:v>131.24704363906505</c:v>
                </c:pt>
                <c:pt idx="70">
                  <c:v>130.38188565386037</c:v>
                </c:pt>
                <c:pt idx="71">
                  <c:v>128.89651757423874</c:v>
                </c:pt>
                <c:pt idx="72">
                  <c:v>127.46105311205022</c:v>
                </c:pt>
                <c:pt idx="73">
                  <c:v>126.40884890435439</c:v>
                </c:pt>
                <c:pt idx="74">
                  <c:v>125.5903730144185</c:v>
                </c:pt>
                <c:pt idx="75">
                  <c:v>124.99156822426015</c:v>
                </c:pt>
                <c:pt idx="76">
                  <c:v>124.73689921347068</c:v>
                </c:pt>
                <c:pt idx="77">
                  <c:v>124.66129011449934</c:v>
                </c:pt>
                <c:pt idx="78">
                  <c:v>124.69847380973124</c:v>
                </c:pt>
                <c:pt idx="79">
                  <c:v>125.20095690174365</c:v>
                </c:pt>
                <c:pt idx="80">
                  <c:v>125.83125141974696</c:v>
                </c:pt>
                <c:pt idx="81">
                  <c:v>126.62010907526577</c:v>
                </c:pt>
                <c:pt idx="82">
                  <c:v>127.34569182545965</c:v>
                </c:pt>
                <c:pt idx="83">
                  <c:v>128.389768640173</c:v>
                </c:pt>
                <c:pt idx="84">
                  <c:v>129.66793793631251</c:v>
                </c:pt>
                <c:pt idx="85">
                  <c:v>131.07873189225452</c:v>
                </c:pt>
                <c:pt idx="86">
                  <c:v>132.5367083712307</c:v>
                </c:pt>
                <c:pt idx="87">
                  <c:v>133.91365603364247</c:v>
                </c:pt>
                <c:pt idx="88">
                  <c:v>134.90183119274442</c:v>
                </c:pt>
                <c:pt idx="89">
                  <c:v>135.65688506372737</c:v>
                </c:pt>
                <c:pt idx="90">
                  <c:v>136.43218064289238</c:v>
                </c:pt>
                <c:pt idx="91">
                  <c:v>137.25697012729779</c:v>
                </c:pt>
                <c:pt idx="92">
                  <c:v>138.1551035740963</c:v>
                </c:pt>
                <c:pt idx="93">
                  <c:v>138.85454917131412</c:v>
                </c:pt>
                <c:pt idx="94">
                  <c:v>139.70262700139463</c:v>
                </c:pt>
                <c:pt idx="95">
                  <c:v>140.09557646810322</c:v>
                </c:pt>
                <c:pt idx="96">
                  <c:v>140.69673608589005</c:v>
                </c:pt>
                <c:pt idx="97">
                  <c:v>141.30193975003994</c:v>
                </c:pt>
                <c:pt idx="98">
                  <c:v>141.80352443109862</c:v>
                </c:pt>
                <c:pt idx="99">
                  <c:v>142.16984319552373</c:v>
                </c:pt>
                <c:pt idx="100">
                  <c:v>142.47799127891165</c:v>
                </c:pt>
                <c:pt idx="101">
                  <c:v>142.8296971379537</c:v>
                </c:pt>
                <c:pt idx="102">
                  <c:v>143.13910617758867</c:v>
                </c:pt>
                <c:pt idx="103">
                  <c:v>143.33114527439994</c:v>
                </c:pt>
                <c:pt idx="104">
                  <c:v>143.38137336023885</c:v>
                </c:pt>
                <c:pt idx="105">
                  <c:v>143.38727865004509</c:v>
                </c:pt>
                <c:pt idx="106">
                  <c:v>143.49266160807318</c:v>
                </c:pt>
                <c:pt idx="107">
                  <c:v>143.27170029488201</c:v>
                </c:pt>
                <c:pt idx="108">
                  <c:v>142.66544112591288</c:v>
                </c:pt>
                <c:pt idx="109">
                  <c:v>142.40257174815557</c:v>
                </c:pt>
                <c:pt idx="110">
                  <c:v>142.06878404905197</c:v>
                </c:pt>
                <c:pt idx="111">
                  <c:v>141.88317047567998</c:v>
                </c:pt>
                <c:pt idx="112">
                  <c:v>142.05864455236807</c:v>
                </c:pt>
                <c:pt idx="113">
                  <c:v>142.41937581604097</c:v>
                </c:pt>
                <c:pt idx="114">
                  <c:v>142.78718309577735</c:v>
                </c:pt>
                <c:pt idx="115">
                  <c:v>143.19255553256431</c:v>
                </c:pt>
                <c:pt idx="116">
                  <c:v>143.42015476191341</c:v>
                </c:pt>
                <c:pt idx="117">
                  <c:v>143.84412512442083</c:v>
                </c:pt>
                <c:pt idx="118">
                  <c:v>144.16521504824945</c:v>
                </c:pt>
                <c:pt idx="119">
                  <c:v>144.33424866851979</c:v>
                </c:pt>
                <c:pt idx="120">
                  <c:v>144.63172471226503</c:v>
                </c:pt>
                <c:pt idx="121">
                  <c:v>144.64467983921986</c:v>
                </c:pt>
                <c:pt idx="122">
                  <c:v>144.88128132912226</c:v>
                </c:pt>
                <c:pt idx="123">
                  <c:v>145.32266845141083</c:v>
                </c:pt>
                <c:pt idx="124">
                  <c:v>145.79921545408422</c:v>
                </c:pt>
                <c:pt idx="125">
                  <c:v>146.11409017038338</c:v>
                </c:pt>
                <c:pt idx="126">
                  <c:v>146.48741068055097</c:v>
                </c:pt>
                <c:pt idx="127">
                  <c:v>146.84589165279843</c:v>
                </c:pt>
                <c:pt idx="128">
                  <c:v>147.27030687050569</c:v>
                </c:pt>
                <c:pt idx="129">
                  <c:v>147.65420273990352</c:v>
                </c:pt>
                <c:pt idx="130">
                  <c:v>148.04281775058149</c:v>
                </c:pt>
                <c:pt idx="131">
                  <c:v>148.44080603635246</c:v>
                </c:pt>
                <c:pt idx="132">
                  <c:v>148.67585991210777</c:v>
                </c:pt>
                <c:pt idx="133">
                  <c:v>148.79342181277636</c:v>
                </c:pt>
                <c:pt idx="134">
                  <c:v>148.82554829329993</c:v>
                </c:pt>
                <c:pt idx="135">
                  <c:v>148.68546565285936</c:v>
                </c:pt>
                <c:pt idx="136">
                  <c:v>148.39697775476952</c:v>
                </c:pt>
                <c:pt idx="137">
                  <c:v>147.53140377973912</c:v>
                </c:pt>
                <c:pt idx="138">
                  <c:v>146.99643746577655</c:v>
                </c:pt>
                <c:pt idx="139">
                  <c:v>146.71530999050344</c:v>
                </c:pt>
                <c:pt idx="140">
                  <c:v>146.58129217755513</c:v>
                </c:pt>
                <c:pt idx="141">
                  <c:v>146.30184397177132</c:v>
                </c:pt>
                <c:pt idx="142">
                  <c:v>146.10062234277021</c:v>
                </c:pt>
                <c:pt idx="143">
                  <c:v>146.06138075980451</c:v>
                </c:pt>
                <c:pt idx="144">
                  <c:v>145.80024532186329</c:v>
                </c:pt>
                <c:pt idx="145">
                  <c:v>145.36346364157149</c:v>
                </c:pt>
                <c:pt idx="146">
                  <c:v>144.92074352517764</c:v>
                </c:pt>
                <c:pt idx="147">
                  <c:v>144.19724597288939</c:v>
                </c:pt>
                <c:pt idx="148">
                  <c:v>143.37965417409799</c:v>
                </c:pt>
                <c:pt idx="149">
                  <c:v>142.36956256343677</c:v>
                </c:pt>
                <c:pt idx="150">
                  <c:v>141.27239716557355</c:v>
                </c:pt>
                <c:pt idx="151">
                  <c:v>140.41374379477907</c:v>
                </c:pt>
                <c:pt idx="152">
                  <c:v>139.46727445810745</c:v>
                </c:pt>
                <c:pt idx="153">
                  <c:v>138.8859403935185</c:v>
                </c:pt>
                <c:pt idx="154">
                  <c:v>138.02373266713749</c:v>
                </c:pt>
                <c:pt idx="155">
                  <c:v>137.24113205777002</c:v>
                </c:pt>
                <c:pt idx="156">
                  <c:v>136.41797275815242</c:v>
                </c:pt>
                <c:pt idx="157">
                  <c:v>135.70908305321504</c:v>
                </c:pt>
                <c:pt idx="158">
                  <c:v>134.94537533365539</c:v>
                </c:pt>
                <c:pt idx="159">
                  <c:v>134.32821904961034</c:v>
                </c:pt>
                <c:pt idx="160">
                  <c:v>133.75421995821179</c:v>
                </c:pt>
                <c:pt idx="161">
                  <c:v>133.40267666259192</c:v>
                </c:pt>
                <c:pt idx="162">
                  <c:v>133.11965275773909</c:v>
                </c:pt>
                <c:pt idx="163">
                  <c:v>132.78028621013277</c:v>
                </c:pt>
                <c:pt idx="164">
                  <c:v>132.51394256917442</c:v>
                </c:pt>
                <c:pt idx="165">
                  <c:v>132.26601959102183</c:v>
                </c:pt>
                <c:pt idx="166">
                  <c:v>132.0517144461765</c:v>
                </c:pt>
                <c:pt idx="167">
                  <c:v>131.78438214405142</c:v>
                </c:pt>
                <c:pt idx="168">
                  <c:v>131.80215040307496</c:v>
                </c:pt>
                <c:pt idx="169">
                  <c:v>132.24584487804555</c:v>
                </c:pt>
                <c:pt idx="170">
                  <c:v>132.63229432799491</c:v>
                </c:pt>
                <c:pt idx="171">
                  <c:v>132.99173621530591</c:v>
                </c:pt>
                <c:pt idx="172">
                  <c:v>133.28433473992689</c:v>
                </c:pt>
                <c:pt idx="173">
                  <c:v>133.73643712126196</c:v>
                </c:pt>
                <c:pt idx="174">
                  <c:v>134.2255640448204</c:v>
                </c:pt>
                <c:pt idx="175">
                  <c:v>134.52346795760113</c:v>
                </c:pt>
                <c:pt idx="176">
                  <c:v>134.78658312344047</c:v>
                </c:pt>
                <c:pt idx="177">
                  <c:v>135.09622774015693</c:v>
                </c:pt>
                <c:pt idx="178">
                  <c:v>135.35483944491824</c:v>
                </c:pt>
                <c:pt idx="179">
                  <c:v>136.00096182752378</c:v>
                </c:pt>
                <c:pt idx="180">
                  <c:v>136.42625969009214</c:v>
                </c:pt>
                <c:pt idx="181">
                  <c:v>136.67014623734457</c:v>
                </c:pt>
                <c:pt idx="182">
                  <c:v>136.82055952535924</c:v>
                </c:pt>
                <c:pt idx="183">
                  <c:v>137.07403660771791</c:v>
                </c:pt>
                <c:pt idx="184">
                  <c:v>136.4369394933691</c:v>
                </c:pt>
                <c:pt idx="185">
                  <c:v>136.7187581431381</c:v>
                </c:pt>
                <c:pt idx="186">
                  <c:v>137.06535531105723</c:v>
                </c:pt>
                <c:pt idx="187">
                  <c:v>137.56811695703576</c:v>
                </c:pt>
                <c:pt idx="188">
                  <c:v>137.85452969169475</c:v>
                </c:pt>
                <c:pt idx="189">
                  <c:v>138.13579226265483</c:v>
                </c:pt>
                <c:pt idx="190">
                  <c:v>138.40154035999655</c:v>
                </c:pt>
                <c:pt idx="191">
                  <c:v>138.73296774639371</c:v>
                </c:pt>
                <c:pt idx="192">
                  <c:v>139.02797340126284</c:v>
                </c:pt>
                <c:pt idx="193">
                  <c:v>138.95056298021129</c:v>
                </c:pt>
                <c:pt idx="194">
                  <c:v>138.72211666621271</c:v>
                </c:pt>
                <c:pt idx="195">
                  <c:v>138.47492006215506</c:v>
                </c:pt>
                <c:pt idx="196">
                  <c:v>138.59641015152354</c:v>
                </c:pt>
                <c:pt idx="197">
                  <c:v>138.73863137561798</c:v>
                </c:pt>
                <c:pt idx="198">
                  <c:v>138.7407251469092</c:v>
                </c:pt>
                <c:pt idx="199">
                  <c:v>138.7443573559357</c:v>
                </c:pt>
                <c:pt idx="200">
                  <c:v>138.9008966058332</c:v>
                </c:pt>
                <c:pt idx="201">
                  <c:v>139.31261135292746</c:v>
                </c:pt>
                <c:pt idx="202">
                  <c:v>139.53325868065409</c:v>
                </c:pt>
                <c:pt idx="203">
                  <c:v>139.59707076089742</c:v>
                </c:pt>
                <c:pt idx="204">
                  <c:v>139.79542576597458</c:v>
                </c:pt>
                <c:pt idx="205">
                  <c:v>139.87946742868755</c:v>
                </c:pt>
                <c:pt idx="206">
                  <c:v>137.94799595607009</c:v>
                </c:pt>
                <c:pt idx="207">
                  <c:v>133.70878612034545</c:v>
                </c:pt>
                <c:pt idx="208">
                  <c:v>130.7206691851724</c:v>
                </c:pt>
                <c:pt idx="209">
                  <c:v>129.32457705581083</c:v>
                </c:pt>
                <c:pt idx="210">
                  <c:v>128.94604593765797</c:v>
                </c:pt>
                <c:pt idx="211">
                  <c:v>129.26471624141874</c:v>
                </c:pt>
                <c:pt idx="212">
                  <c:v>130.21985070196126</c:v>
                </c:pt>
                <c:pt idx="213">
                  <c:v>131.62878599477352</c:v>
                </c:pt>
                <c:pt idx="214">
                  <c:v>132.91102703483037</c:v>
                </c:pt>
                <c:pt idx="215">
                  <c:v>134.13774445984035</c:v>
                </c:pt>
                <c:pt idx="216">
                  <c:v>135.35752035219193</c:v>
                </c:pt>
                <c:pt idx="217">
                  <c:v>136.60981417501873</c:v>
                </c:pt>
                <c:pt idx="218">
                  <c:v>136.65371333568871</c:v>
                </c:pt>
                <c:pt idx="219">
                  <c:v>137.0128937339183</c:v>
                </c:pt>
                <c:pt idx="220">
                  <c:v>137.57030841787002</c:v>
                </c:pt>
                <c:pt idx="221">
                  <c:v>138.08419293207416</c:v>
                </c:pt>
                <c:pt idx="222">
                  <c:v>138.42211215581827</c:v>
                </c:pt>
                <c:pt idx="223">
                  <c:v>138.78001624221258</c:v>
                </c:pt>
                <c:pt idx="224">
                  <c:v>139.05723610975357</c:v>
                </c:pt>
                <c:pt idx="225">
                  <c:v>139.42687173411164</c:v>
                </c:pt>
                <c:pt idx="226">
                  <c:v>140.01348700373879</c:v>
                </c:pt>
                <c:pt idx="227">
                  <c:v>140.53971656767763</c:v>
                </c:pt>
                <c:pt idx="228">
                  <c:v>140.78307986413583</c:v>
                </c:pt>
                <c:pt idx="229">
                  <c:v>141.07825426537599</c:v>
                </c:pt>
                <c:pt idx="230">
                  <c:v>141.53307983504646</c:v>
                </c:pt>
                <c:pt idx="231">
                  <c:v>141.95592221119901</c:v>
                </c:pt>
                <c:pt idx="232">
                  <c:v>142.29117099006226</c:v>
                </c:pt>
                <c:pt idx="233">
                  <c:v>142.70443956079399</c:v>
                </c:pt>
                <c:pt idx="234">
                  <c:v>143.54637959358061</c:v>
                </c:pt>
                <c:pt idx="235">
                  <c:v>144.07282133410817</c:v>
                </c:pt>
                <c:pt idx="236">
                  <c:v>144.50478909908239</c:v>
                </c:pt>
                <c:pt idx="237">
                  <c:v>144.88789814522795</c:v>
                </c:pt>
                <c:pt idx="238">
                  <c:v>144.80044610264903</c:v>
                </c:pt>
                <c:pt idx="239">
                  <c:v>144.59623141942097</c:v>
                </c:pt>
                <c:pt idx="240">
                  <c:v>144.61830215321757</c:v>
                </c:pt>
                <c:pt idx="241">
                  <c:v>145.42074921955899</c:v>
                </c:pt>
                <c:pt idx="242">
                  <c:v>146.00890678324359</c:v>
                </c:pt>
                <c:pt idx="243">
                  <c:v>146.87474112484441</c:v>
                </c:pt>
                <c:pt idx="244">
                  <c:v>147.06623745851965</c:v>
                </c:pt>
                <c:pt idx="245">
                  <c:v>147.27728789663823</c:v>
                </c:pt>
                <c:pt idx="246">
                  <c:v>147.51599303322664</c:v>
                </c:pt>
                <c:pt idx="247">
                  <c:v>147.52637614732723</c:v>
                </c:pt>
                <c:pt idx="248">
                  <c:v>147.51371513978302</c:v>
                </c:pt>
                <c:pt idx="249">
                  <c:v>147.48804343233382</c:v>
                </c:pt>
                <c:pt idx="250">
                  <c:v>147.47015343965649</c:v>
                </c:pt>
                <c:pt idx="251">
                  <c:v>147.67282134705428</c:v>
                </c:pt>
                <c:pt idx="252">
                  <c:v>148.01193373893841</c:v>
                </c:pt>
              </c:numCache>
            </c:numRef>
          </c:val>
          <c:smooth val="0"/>
          <c:extLst>
            <c:ext xmlns:c16="http://schemas.microsoft.com/office/drawing/2014/chart" uri="{C3380CC4-5D6E-409C-BE32-E72D297353CC}">
              <c16:uniqueId val="{00000001-A199-40C0-AF8C-CEC058C83184}"/>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HP cycle (rhs)</c:v>
          </c:tx>
          <c:spPr>
            <a:ln w="28575" cap="rnd">
              <a:solidFill>
                <a:schemeClr val="accent3"/>
              </a:solidFill>
              <a:round/>
            </a:ln>
            <a:effectLst/>
          </c:spPr>
          <c:marker>
            <c:symbol val="none"/>
          </c:marker>
          <c:cat>
            <c:numRef>
              <c:f>HPFILTER!$F$14:$F$252</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HPFILTER!$Q$13:$Q$265</c:f>
              <c:numCache>
                <c:formatCode>0.00000</c:formatCode>
                <c:ptCount val="253"/>
                <c:pt idx="0">
                  <c:v>1.5699843004313152E-5</c:v>
                </c:pt>
                <c:pt idx="1">
                  <c:v>-1.5698900966754081E-5</c:v>
                </c:pt>
                <c:pt idx="2">
                  <c:v>-0.29332417163156776</c:v>
                </c:pt>
                <c:pt idx="3">
                  <c:v>-0.53184188005496935</c:v>
                </c:pt>
                <c:pt idx="4">
                  <c:v>-0.69141960212427023</c:v>
                </c:pt>
                <c:pt idx="5">
                  <c:v>-0.15821408324953268</c:v>
                </c:pt>
                <c:pt idx="6">
                  <c:v>-0.59989901438483173</c:v>
                </c:pt>
                <c:pt idx="7">
                  <c:v>0.37113044129405637</c:v>
                </c:pt>
                <c:pt idx="8">
                  <c:v>1.5590909644772211</c:v>
                </c:pt>
                <c:pt idx="9">
                  <c:v>1.2313772087413923</c:v>
                </c:pt>
                <c:pt idx="10">
                  <c:v>0.94522733929706249</c:v>
                </c:pt>
                <c:pt idx="11">
                  <c:v>0.58871787432214262</c:v>
                </c:pt>
                <c:pt idx="12">
                  <c:v>1.5851789704556865</c:v>
                </c:pt>
                <c:pt idx="13">
                  <c:v>1.6883716170133596</c:v>
                </c:pt>
                <c:pt idx="14">
                  <c:v>2.0581930755362947</c:v>
                </c:pt>
                <c:pt idx="15">
                  <c:v>1.7520474482281969</c:v>
                </c:pt>
                <c:pt idx="16">
                  <c:v>0.98356594191697866</c:v>
                </c:pt>
                <c:pt idx="17">
                  <c:v>1.0991720982419935</c:v>
                </c:pt>
                <c:pt idx="18">
                  <c:v>0.87386829980999892</c:v>
                </c:pt>
                <c:pt idx="19">
                  <c:v>0.70488611547435198</c:v>
                </c:pt>
                <c:pt idx="20">
                  <c:v>0.92868861341976583</c:v>
                </c:pt>
                <c:pt idx="21">
                  <c:v>-2.7234580926318586E-2</c:v>
                </c:pt>
                <c:pt idx="22">
                  <c:v>0.30172504565513236</c:v>
                </c:pt>
                <c:pt idx="23">
                  <c:v>-0.65923823648678592</c:v>
                </c:pt>
                <c:pt idx="24">
                  <c:v>-0.57460132509257278</c:v>
                </c:pt>
                <c:pt idx="25">
                  <c:v>-0.33546053387161123</c:v>
                </c:pt>
                <c:pt idx="26">
                  <c:v>-0.52046992802100078</c:v>
                </c:pt>
                <c:pt idx="27">
                  <c:v>-0.21767916566993506</c:v>
                </c:pt>
                <c:pt idx="28">
                  <c:v>-0.6420662744652077</c:v>
                </c:pt>
                <c:pt idx="29">
                  <c:v>-1.4144800022705084</c:v>
                </c:pt>
                <c:pt idx="30">
                  <c:v>-1.3849947177932336</c:v>
                </c:pt>
                <c:pt idx="31">
                  <c:v>-0.77907383894692828</c:v>
                </c:pt>
                <c:pt idx="32">
                  <c:v>-1.3084530286536733</c:v>
                </c:pt>
                <c:pt idx="33">
                  <c:v>-0.99893855349650096</c:v>
                </c:pt>
                <c:pt idx="34">
                  <c:v>-0.4334426525044961</c:v>
                </c:pt>
                <c:pt idx="35">
                  <c:v>0.28404268708698055</c:v>
                </c:pt>
                <c:pt idx="36">
                  <c:v>0.45951533503783537</c:v>
                </c:pt>
                <c:pt idx="37">
                  <c:v>0.30173667574644014</c:v>
                </c:pt>
                <c:pt idx="38">
                  <c:v>-0.19881542060332436</c:v>
                </c:pt>
                <c:pt idx="39">
                  <c:v>0.3007724452385645</c:v>
                </c:pt>
                <c:pt idx="40">
                  <c:v>1.0371006669020915</c:v>
                </c:pt>
                <c:pt idx="41">
                  <c:v>-0.49979054198065853</c:v>
                </c:pt>
                <c:pt idx="42">
                  <c:v>1.1125901407093295</c:v>
                </c:pt>
                <c:pt idx="43">
                  <c:v>0.64197730996440328</c:v>
                </c:pt>
                <c:pt idx="44">
                  <c:v>0.26741668496799775</c:v>
                </c:pt>
                <c:pt idx="45">
                  <c:v>1.0412042911413266</c:v>
                </c:pt>
                <c:pt idx="46">
                  <c:v>1.1408758404362942</c:v>
                </c:pt>
                <c:pt idx="47">
                  <c:v>1.9864808205548314</c:v>
                </c:pt>
                <c:pt idx="48">
                  <c:v>0.57156384643199942</c:v>
                </c:pt>
                <c:pt idx="49">
                  <c:v>0.3869801248431628</c:v>
                </c:pt>
                <c:pt idx="50">
                  <c:v>-0.81648614493489902</c:v>
                </c:pt>
                <c:pt idx="51">
                  <c:v>0.23825658689762008</c:v>
                </c:pt>
                <c:pt idx="52">
                  <c:v>0.66841950156360497</c:v>
                </c:pt>
                <c:pt idx="53">
                  <c:v>0.73355405272408802</c:v>
                </c:pt>
                <c:pt idx="54">
                  <c:v>0.80120705299712824</c:v>
                </c:pt>
                <c:pt idx="55">
                  <c:v>0.52560091434554579</c:v>
                </c:pt>
                <c:pt idx="56">
                  <c:v>0.58931509687405992</c:v>
                </c:pt>
                <c:pt idx="57">
                  <c:v>0.97083886810403897</c:v>
                </c:pt>
                <c:pt idx="58">
                  <c:v>0.23885170126932564</c:v>
                </c:pt>
                <c:pt idx="59">
                  <c:v>0.77554561496842211</c:v>
                </c:pt>
                <c:pt idx="60">
                  <c:v>-3.5882141375793708E-2</c:v>
                </c:pt>
                <c:pt idx="61">
                  <c:v>-0.81967613483553237</c:v>
                </c:pt>
                <c:pt idx="62">
                  <c:v>-1.7397359686106455</c:v>
                </c:pt>
                <c:pt idx="63">
                  <c:v>-0.55769129882114044</c:v>
                </c:pt>
                <c:pt idx="64">
                  <c:v>0.19189740183094273</c:v>
                </c:pt>
                <c:pt idx="65">
                  <c:v>0.5630175795807304</c:v>
                </c:pt>
                <c:pt idx="66">
                  <c:v>1.5700819913377018E-2</c:v>
                </c:pt>
                <c:pt idx="67">
                  <c:v>-2.2477218462711335E-2</c:v>
                </c:pt>
                <c:pt idx="68">
                  <c:v>-0.93188391705589879</c:v>
                </c:pt>
                <c:pt idx="69">
                  <c:v>-3.1170436390650593</c:v>
                </c:pt>
                <c:pt idx="70">
                  <c:v>-5.3618856538603694</c:v>
                </c:pt>
                <c:pt idx="71">
                  <c:v>-7.2365175742387464</c:v>
                </c:pt>
                <c:pt idx="72">
                  <c:v>-6.2310531120502191</c:v>
                </c:pt>
                <c:pt idx="73">
                  <c:v>-4.0088489043543802</c:v>
                </c:pt>
                <c:pt idx="74">
                  <c:v>-2.6303730144185096</c:v>
                </c:pt>
                <c:pt idx="75">
                  <c:v>-1.461568224260148</c:v>
                </c:pt>
                <c:pt idx="76">
                  <c:v>7.3100786529323614E-2</c:v>
                </c:pt>
                <c:pt idx="77">
                  <c:v>0.77870988550066045</c:v>
                </c:pt>
                <c:pt idx="78">
                  <c:v>1.1415261902687632</c:v>
                </c:pt>
                <c:pt idx="79">
                  <c:v>2.8690430982563413</c:v>
                </c:pt>
                <c:pt idx="80">
                  <c:v>3.0587485802530239</c:v>
                </c:pt>
                <c:pt idx="81">
                  <c:v>3.3498909247342255</c:v>
                </c:pt>
                <c:pt idx="82">
                  <c:v>2.7243081745403401</c:v>
                </c:pt>
                <c:pt idx="83">
                  <c:v>3.6902313598270098</c:v>
                </c:pt>
                <c:pt idx="84">
                  <c:v>4.2120620636874833</c:v>
                </c:pt>
                <c:pt idx="85">
                  <c:v>4.2712681077454704</c:v>
                </c:pt>
                <c:pt idx="86">
                  <c:v>3.9832916287693081</c:v>
                </c:pt>
                <c:pt idx="87">
                  <c:v>3.2163439663575275</c:v>
                </c:pt>
                <c:pt idx="88">
                  <c:v>1.3081688072555835</c:v>
                </c:pt>
                <c:pt idx="89">
                  <c:v>0.2331149362726137</c:v>
                </c:pt>
                <c:pt idx="90">
                  <c:v>0.28781935710762241</c:v>
                </c:pt>
                <c:pt idx="91">
                  <c:v>0.45302987270221706</c:v>
                </c:pt>
                <c:pt idx="92">
                  <c:v>0.69489642590369272</c:v>
                </c:pt>
                <c:pt idx="93">
                  <c:v>-0.17454917131411207</c:v>
                </c:pt>
                <c:pt idx="94">
                  <c:v>0.43737299860535472</c:v>
                </c:pt>
                <c:pt idx="95">
                  <c:v>-1.4255764681032304</c:v>
                </c:pt>
                <c:pt idx="96">
                  <c:v>-0.43673608589006108</c:v>
                </c:pt>
                <c:pt idx="97">
                  <c:v>-0.37193975003992819</c:v>
                </c:pt>
                <c:pt idx="98">
                  <c:v>-0.74352443109862065</c:v>
                </c:pt>
                <c:pt idx="99">
                  <c:v>-1.1998431955237265</c:v>
                </c:pt>
                <c:pt idx="100">
                  <c:v>-1.2979912789116383</c:v>
                </c:pt>
                <c:pt idx="101">
                  <c:v>-0.97969713795370694</c:v>
                </c:pt>
                <c:pt idx="102">
                  <c:v>-1.0391061775886783</c:v>
                </c:pt>
                <c:pt idx="103">
                  <c:v>-1.3911452743999462</c:v>
                </c:pt>
                <c:pt idx="104">
                  <c:v>-1.8013733602388413</c:v>
                </c:pt>
                <c:pt idx="105">
                  <c:v>-1.7772786500450763</c:v>
                </c:pt>
                <c:pt idx="106">
                  <c:v>-1.1826616080731753</c:v>
                </c:pt>
                <c:pt idx="107">
                  <c:v>-2.351700294882022</c:v>
                </c:pt>
                <c:pt idx="108">
                  <c:v>-3.6254411259128858</c:v>
                </c:pt>
                <c:pt idx="109">
                  <c:v>-1.8525717481555546</c:v>
                </c:pt>
                <c:pt idx="110">
                  <c:v>-1.9287840490519841</c:v>
                </c:pt>
                <c:pt idx="111">
                  <c:v>-1.1231704756799843</c:v>
                </c:pt>
                <c:pt idx="112">
                  <c:v>0.44135544763193479</c:v>
                </c:pt>
                <c:pt idx="113">
                  <c:v>1.1306241839590427</c:v>
                </c:pt>
                <c:pt idx="114">
                  <c:v>1.0328169042226421</c:v>
                </c:pt>
                <c:pt idx="115">
                  <c:v>1.0674444674356778</c:v>
                </c:pt>
                <c:pt idx="116">
                  <c:v>0.23984523808658764</c:v>
                </c:pt>
                <c:pt idx="117">
                  <c:v>0.99587487557917598</c:v>
                </c:pt>
                <c:pt idx="118">
                  <c:v>0.47478495175053581</c:v>
                </c:pt>
                <c:pt idx="119">
                  <c:v>-0.1842486685197855</c:v>
                </c:pt>
                <c:pt idx="120">
                  <c:v>0.34827528773496397</c:v>
                </c:pt>
                <c:pt idx="121">
                  <c:v>-0.82467983921986843</c:v>
                </c:pt>
                <c:pt idx="122">
                  <c:v>0.15871867087773239</c:v>
                </c:pt>
                <c:pt idx="123">
                  <c:v>0.95733154858916691</c:v>
                </c:pt>
                <c:pt idx="124">
                  <c:v>0.9907845459157727</c:v>
                </c:pt>
                <c:pt idx="125">
                  <c:v>0.23590982961661666</c:v>
                </c:pt>
                <c:pt idx="126">
                  <c:v>0.44258931944904134</c:v>
                </c:pt>
                <c:pt idx="127">
                  <c:v>0.33410834720157823</c:v>
                </c:pt>
                <c:pt idx="128">
                  <c:v>0.55969312949432037</c:v>
                </c:pt>
                <c:pt idx="129">
                  <c:v>0.33579726009648425</c:v>
                </c:pt>
                <c:pt idx="130">
                  <c:v>0.31718224941852213</c:v>
                </c:pt>
                <c:pt idx="131">
                  <c:v>0.31919396364753538</c:v>
                </c:pt>
                <c:pt idx="132">
                  <c:v>-0.36585991210776569</c:v>
                </c:pt>
                <c:pt idx="133">
                  <c:v>-0.79342181277635859</c:v>
                </c:pt>
                <c:pt idx="134">
                  <c:v>-1.0455482932999303</c:v>
                </c:pt>
                <c:pt idx="135">
                  <c:v>-1.6154656528593705</c:v>
                </c:pt>
                <c:pt idx="136">
                  <c:v>-2.0269777547695185</c:v>
                </c:pt>
                <c:pt idx="137">
                  <c:v>-4.1014037797391154</c:v>
                </c:pt>
                <c:pt idx="138">
                  <c:v>-2.3264374657765643</c:v>
                </c:pt>
                <c:pt idx="139">
                  <c:v>-1.0553099905034458</c:v>
                </c:pt>
                <c:pt idx="140">
                  <c:v>-0.35129217755513764</c:v>
                </c:pt>
                <c:pt idx="141">
                  <c:v>-0.89184397177132269</c:v>
                </c:pt>
                <c:pt idx="142">
                  <c:v>-0.48062234277020366</c:v>
                </c:pt>
                <c:pt idx="143">
                  <c:v>0.21861924019549406</c:v>
                </c:pt>
                <c:pt idx="144">
                  <c:v>-0.69024532186327292</c:v>
                </c:pt>
                <c:pt idx="145">
                  <c:v>-1.3134636415714738</c:v>
                </c:pt>
                <c:pt idx="146">
                  <c:v>-1.1907435251776519</c:v>
                </c:pt>
                <c:pt idx="147">
                  <c:v>-2.1772459728893807</c:v>
                </c:pt>
                <c:pt idx="148">
                  <c:v>-2.3096541740980001</c:v>
                </c:pt>
                <c:pt idx="149">
                  <c:v>-2.8195625634367616</c:v>
                </c:pt>
                <c:pt idx="150">
                  <c:v>-2.8523971655735636</c:v>
                </c:pt>
                <c:pt idx="151">
                  <c:v>-1.5837437947790534</c:v>
                </c:pt>
                <c:pt idx="152">
                  <c:v>-1.757274458107446</c:v>
                </c:pt>
                <c:pt idx="153">
                  <c:v>-0.1059403935184946</c:v>
                </c:pt>
                <c:pt idx="154">
                  <c:v>-1.2137326671374922</c:v>
                </c:pt>
                <c:pt idx="155">
                  <c:v>-0.7611320577700269</c:v>
                </c:pt>
                <c:pt idx="156">
                  <c:v>-0.83797275815240369</c:v>
                </c:pt>
                <c:pt idx="157">
                  <c:v>-0.28908305321505168</c:v>
                </c:pt>
                <c:pt idx="158">
                  <c:v>-0.47537533365539275</c:v>
                </c:pt>
                <c:pt idx="159">
                  <c:v>0.16178095038966944</c:v>
                </c:pt>
                <c:pt idx="160">
                  <c:v>0.31578004178820152</c:v>
                </c:pt>
                <c:pt idx="161">
                  <c:v>1.167323337408078</c:v>
                </c:pt>
                <c:pt idx="162">
                  <c:v>1.3103472422609173</c:v>
                </c:pt>
                <c:pt idx="163">
                  <c:v>0.93971378986722698</c:v>
                </c:pt>
                <c:pt idx="164">
                  <c:v>1.1260574308255684</c:v>
                </c:pt>
                <c:pt idx="165">
                  <c:v>1.0739804089781728</c:v>
                </c:pt>
                <c:pt idx="166">
                  <c:v>1.0882855538234821</c:v>
                </c:pt>
                <c:pt idx="167">
                  <c:v>0.75561785594857156</c:v>
                </c:pt>
                <c:pt idx="168">
                  <c:v>1.8078495969250525</c:v>
                </c:pt>
                <c:pt idx="169">
                  <c:v>3.3041551219544658</c:v>
                </c:pt>
                <c:pt idx="170">
                  <c:v>2.7077056720050905</c:v>
                </c:pt>
                <c:pt idx="171">
                  <c:v>2.2982637846940861</c:v>
                </c:pt>
                <c:pt idx="172">
                  <c:v>1.7756652600731115</c:v>
                </c:pt>
                <c:pt idx="173">
                  <c:v>2.2135628787380313</c:v>
                </c:pt>
                <c:pt idx="174">
                  <c:v>2.1144359551796015</c:v>
                </c:pt>
                <c:pt idx="175">
                  <c:v>1.1165320423988589</c:v>
                </c:pt>
                <c:pt idx="176">
                  <c:v>0.85341687655952114</c:v>
                </c:pt>
                <c:pt idx="177">
                  <c:v>0.94377225984305824</c:v>
                </c:pt>
                <c:pt idx="178">
                  <c:v>0.63516055508176805</c:v>
                </c:pt>
                <c:pt idx="179">
                  <c:v>2.1090381724762324</c:v>
                </c:pt>
                <c:pt idx="180">
                  <c:v>0.99374030990784945</c:v>
                </c:pt>
                <c:pt idx="181">
                  <c:v>0.1598537626554446</c:v>
                </c:pt>
                <c:pt idx="182">
                  <c:v>-0.23055952535924007</c:v>
                </c:pt>
                <c:pt idx="183">
                  <c:v>0.20596339228208649</c:v>
                </c:pt>
                <c:pt idx="184">
                  <c:v>-3.3669394933691024</c:v>
                </c:pt>
                <c:pt idx="185">
                  <c:v>0.67124185686188298</c:v>
                </c:pt>
                <c:pt idx="186">
                  <c:v>0.85464468894275569</c:v>
                </c:pt>
                <c:pt idx="187">
                  <c:v>1.3818830429642333</c:v>
                </c:pt>
                <c:pt idx="188">
                  <c:v>0.36547030830524818</c:v>
                </c:pt>
                <c:pt idx="189">
                  <c:v>0.30420773734516615</c:v>
                </c:pt>
                <c:pt idx="190">
                  <c:v>0.20845964000346839</c:v>
                </c:pt>
                <c:pt idx="191">
                  <c:v>0.44703225360629517</c:v>
                </c:pt>
                <c:pt idx="192">
                  <c:v>0.25202659873716016</c:v>
                </c:pt>
                <c:pt idx="193">
                  <c:v>-1.2605629802112901</c:v>
                </c:pt>
                <c:pt idx="194">
                  <c:v>-1.7221166662127132</c:v>
                </c:pt>
                <c:pt idx="195">
                  <c:v>-1.6049200621550597</c:v>
                </c:pt>
                <c:pt idx="196">
                  <c:v>4.3589848476443649E-2</c:v>
                </c:pt>
                <c:pt idx="197">
                  <c:v>0.12136862438202911</c:v>
                </c:pt>
                <c:pt idx="198">
                  <c:v>-0.45072514690920684</c:v>
                </c:pt>
                <c:pt idx="199">
                  <c:v>-0.39435735593571053</c:v>
                </c:pt>
                <c:pt idx="200">
                  <c:v>0.25910339416680017</c:v>
                </c:pt>
                <c:pt idx="201">
                  <c:v>1.2473886470725404</c:v>
                </c:pt>
                <c:pt idx="202">
                  <c:v>0.34674131934590946</c:v>
                </c:pt>
                <c:pt idx="203">
                  <c:v>-0.31707076089742259</c:v>
                </c:pt>
                <c:pt idx="204">
                  <c:v>0.25457423402542645</c:v>
                </c:pt>
                <c:pt idx="205">
                  <c:v>-0.229467428687542</c:v>
                </c:pt>
                <c:pt idx="206">
                  <c:v>-8.2379959560700797</c:v>
                </c:pt>
                <c:pt idx="207">
                  <c:v>-16.518786120345453</c:v>
                </c:pt>
                <c:pt idx="208">
                  <c:v>-9.6906691851723963</c:v>
                </c:pt>
                <c:pt idx="209">
                  <c:v>-2.2645770558108325</c:v>
                </c:pt>
                <c:pt idx="210">
                  <c:v>2.0439540623420385</c:v>
                </c:pt>
                <c:pt idx="211">
                  <c:v>4.5952837585812745</c:v>
                </c:pt>
                <c:pt idx="212">
                  <c:v>6.62014929803874</c:v>
                </c:pt>
                <c:pt idx="213">
                  <c:v>7.6912140052264704</c:v>
                </c:pt>
                <c:pt idx="214">
                  <c:v>6.3289729651696405</c:v>
                </c:pt>
                <c:pt idx="215">
                  <c:v>5.4022555401596435</c:v>
                </c:pt>
                <c:pt idx="216">
                  <c:v>4.7724796478080691</c:v>
                </c:pt>
                <c:pt idx="217">
                  <c:v>4.3701858249812631</c:v>
                </c:pt>
                <c:pt idx="218">
                  <c:v>-0.93371333568870796</c:v>
                </c:pt>
                <c:pt idx="219">
                  <c:v>0.42710626608169378</c:v>
                </c:pt>
                <c:pt idx="220">
                  <c:v>1.1696915821299854</c:v>
                </c:pt>
                <c:pt idx="221">
                  <c:v>0.86580706792582873</c:v>
                </c:pt>
                <c:pt idx="222">
                  <c:v>6.788784418174032E-2</c:v>
                </c:pt>
                <c:pt idx="223">
                  <c:v>0.13998375778740524</c:v>
                </c:pt>
                <c:pt idx="224">
                  <c:v>-0.1972361097535611</c:v>
                </c:pt>
                <c:pt idx="225">
                  <c:v>0.19312826588836174</c:v>
                </c:pt>
                <c:pt idx="226">
                  <c:v>1.036512996261223</c:v>
                </c:pt>
                <c:pt idx="227">
                  <c:v>0.68028343232236921</c:v>
                </c:pt>
                <c:pt idx="228">
                  <c:v>-0.52307986413583762</c:v>
                </c:pt>
                <c:pt idx="229">
                  <c:v>-0.25825426537599583</c:v>
                </c:pt>
                <c:pt idx="230">
                  <c:v>0.406920164953533</c:v>
                </c:pt>
                <c:pt idx="231">
                  <c:v>0.23407778880098817</c:v>
                </c:pt>
                <c:pt idx="232">
                  <c:v>-0.14117099006224976</c:v>
                </c:pt>
                <c:pt idx="233">
                  <c:v>0.18556043920600018</c:v>
                </c:pt>
                <c:pt idx="234">
                  <c:v>1.8736204064193771</c:v>
                </c:pt>
                <c:pt idx="235">
                  <c:v>0.40717866589181995</c:v>
                </c:pt>
                <c:pt idx="236">
                  <c:v>-1.4789099082378243E-2</c:v>
                </c:pt>
                <c:pt idx="237">
                  <c:v>-0.20789814522794359</c:v>
                </c:pt>
                <c:pt idx="238">
                  <c:v>-2.0604461026490242</c:v>
                </c:pt>
                <c:pt idx="239">
                  <c:v>-2.2962314194209625</c:v>
                </c:pt>
                <c:pt idx="240">
                  <c:v>-1.1383021532175803</c:v>
                </c:pt>
                <c:pt idx="241">
                  <c:v>2.0992507804410252</c:v>
                </c:pt>
                <c:pt idx="242">
                  <c:v>1.0110932167564215</c:v>
                </c:pt>
                <c:pt idx="243">
                  <c:v>2.0052588751555902</c:v>
                </c:pt>
                <c:pt idx="244">
                  <c:v>-0.90623745851965509</c:v>
                </c:pt>
                <c:pt idx="245">
                  <c:v>-0.72728789663821658</c:v>
                </c:pt>
                <c:pt idx="246">
                  <c:v>-0.53599303322664582</c:v>
                </c:pt>
                <c:pt idx="247">
                  <c:v>-1.3863761473272405</c:v>
                </c:pt>
                <c:pt idx="248">
                  <c:v>-1.3237151397830189</c:v>
                </c:pt>
                <c:pt idx="249">
                  <c:v>-1.2280434323338341</c:v>
                </c:pt>
                <c:pt idx="250">
                  <c:v>-1.0601534396564887</c:v>
                </c:pt>
                <c:pt idx="251">
                  <c:v>-6.2821347054267562E-2</c:v>
                </c:pt>
                <c:pt idx="252">
                  <c:v>0.48806626106159001</c:v>
                </c:pt>
              </c:numCache>
            </c:numRef>
          </c:val>
          <c:smooth val="0"/>
          <c:extLst>
            <c:ext xmlns:c16="http://schemas.microsoft.com/office/drawing/2014/chart" uri="{C3380CC4-5D6E-409C-BE32-E72D297353CC}">
              <c16:uniqueId val="{00000003-A199-40C0-AF8C-CEC058C83184}"/>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HFILTER!$G$13:$G$265</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7684-426F-B953-75D207247F6B}"/>
            </c:ext>
          </c:extLst>
        </c:ser>
        <c:ser>
          <c:idx val="1"/>
          <c:order val="1"/>
          <c:tx>
            <c:v>Hamilton trend</c:v>
          </c:tx>
          <c:spPr>
            <a:ln w="28575" cap="rnd">
              <a:solidFill>
                <a:schemeClr val="accent2"/>
              </a:solidFill>
              <a:round/>
            </a:ln>
            <a:effectLst/>
          </c:spPr>
          <c:marker>
            <c:symbol val="none"/>
          </c:marker>
          <c:cat>
            <c:numRef>
              <c:f>HFILTER!$F$13:$F$265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HFILTER!$N$13:$N$265</c:f>
              <c:numCache>
                <c:formatCode>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119.12882867360463</c:v>
                </c:pt>
                <c:pt idx="36">
                  <c:v>119.69871764942127</c:v>
                </c:pt>
                <c:pt idx="37">
                  <c:v>120.13830155782225</c:v>
                </c:pt>
                <c:pt idx="38">
                  <c:v>120.9481156502146</c:v>
                </c:pt>
                <c:pt idx="39">
                  <c:v>121.30245428471402</c:v>
                </c:pt>
                <c:pt idx="40">
                  <c:v>121.46420299019653</c:v>
                </c:pt>
                <c:pt idx="41">
                  <c:v>121.84461328402881</c:v>
                </c:pt>
                <c:pt idx="42">
                  <c:v>121.90826456559894</c:v>
                </c:pt>
                <c:pt idx="43">
                  <c:v>122.41800407098178</c:v>
                </c:pt>
                <c:pt idx="44">
                  <c:v>123.2192531863562</c:v>
                </c:pt>
                <c:pt idx="45">
                  <c:v>122.93070629501155</c:v>
                </c:pt>
                <c:pt idx="46">
                  <c:v>123.71432559038668</c:v>
                </c:pt>
                <c:pt idx="47">
                  <c:v>123.12942921359459</c:v>
                </c:pt>
                <c:pt idx="48">
                  <c:v>123.60868203062125</c:v>
                </c:pt>
                <c:pt idx="49">
                  <c:v>123.91141003261569</c:v>
                </c:pt>
                <c:pt idx="50">
                  <c:v>124.01291113325171</c:v>
                </c:pt>
                <c:pt idx="51">
                  <c:v>124.55743199790281</c:v>
                </c:pt>
                <c:pt idx="52">
                  <c:v>124.3931458930541</c:v>
                </c:pt>
                <c:pt idx="53">
                  <c:v>124.06972620331132</c:v>
                </c:pt>
                <c:pt idx="54">
                  <c:v>124.33386833560949</c:v>
                </c:pt>
                <c:pt idx="55">
                  <c:v>124.43158660905456</c:v>
                </c:pt>
                <c:pt idx="56">
                  <c:v>124.3769109864764</c:v>
                </c:pt>
                <c:pt idx="57">
                  <c:v>124.94132873159936</c:v>
                </c:pt>
                <c:pt idx="58">
                  <c:v>124.93757742417498</c:v>
                </c:pt>
                <c:pt idx="59">
                  <c:v>125.40258321414321</c:v>
                </c:pt>
                <c:pt idx="60">
                  <c:v>125.63060909149402</c:v>
                </c:pt>
                <c:pt idx="61">
                  <c:v>125.62882714995179</c:v>
                </c:pt>
                <c:pt idx="62">
                  <c:v>125.52414139380232</c:v>
                </c:pt>
                <c:pt idx="63">
                  <c:v>126.0898632649351</c:v>
                </c:pt>
                <c:pt idx="64">
                  <c:v>126.48207979202843</c:v>
                </c:pt>
                <c:pt idx="65">
                  <c:v>126.08708684735385</c:v>
                </c:pt>
                <c:pt idx="66">
                  <c:v>127.67576639254747</c:v>
                </c:pt>
                <c:pt idx="67">
                  <c:v>126.97672771722847</c:v>
                </c:pt>
                <c:pt idx="68">
                  <c:v>127.55334956017944</c:v>
                </c:pt>
                <c:pt idx="69">
                  <c:v>128.20540335232909</c:v>
                </c:pt>
                <c:pt idx="70">
                  <c:v>128.07874107861809</c:v>
                </c:pt>
                <c:pt idx="71">
                  <c:v>129.36027863084809</c:v>
                </c:pt>
                <c:pt idx="72">
                  <c:v>128.97824738613801</c:v>
                </c:pt>
                <c:pt idx="73">
                  <c:v>129.22706151676559</c:v>
                </c:pt>
                <c:pt idx="74">
                  <c:v>128.89961815312373</c:v>
                </c:pt>
                <c:pt idx="75">
                  <c:v>129.876466248447</c:v>
                </c:pt>
                <c:pt idx="76">
                  <c:v>130.20228768697939</c:v>
                </c:pt>
                <c:pt idx="77">
                  <c:v>131.00583296367108</c:v>
                </c:pt>
                <c:pt idx="78">
                  <c:v>131.42146454937318</c:v>
                </c:pt>
                <c:pt idx="79">
                  <c:v>131.47000468932404</c:v>
                </c:pt>
                <c:pt idx="80">
                  <c:v>131.61379825837156</c:v>
                </c:pt>
                <c:pt idx="81">
                  <c:v>132.25084041491439</c:v>
                </c:pt>
                <c:pt idx="82">
                  <c:v>132.14999117997726</c:v>
                </c:pt>
                <c:pt idx="83">
                  <c:v>133.37802989322151</c:v>
                </c:pt>
                <c:pt idx="84">
                  <c:v>133.08439561873567</c:v>
                </c:pt>
                <c:pt idx="85">
                  <c:v>133.28173982956537</c:v>
                </c:pt>
                <c:pt idx="86">
                  <c:v>133.05772948761216</c:v>
                </c:pt>
                <c:pt idx="87">
                  <c:v>133.83983599701122</c:v>
                </c:pt>
                <c:pt idx="88">
                  <c:v>134.34370189810127</c:v>
                </c:pt>
                <c:pt idx="89">
                  <c:v>135.21687721845547</c:v>
                </c:pt>
                <c:pt idx="90">
                  <c:v>135.08302442056694</c:v>
                </c:pt>
                <c:pt idx="91">
                  <c:v>135.32643944537449</c:v>
                </c:pt>
                <c:pt idx="92">
                  <c:v>134.77269211456706</c:v>
                </c:pt>
                <c:pt idx="93">
                  <c:v>133.96682896229254</c:v>
                </c:pt>
                <c:pt idx="94">
                  <c:v>132.95670855226729</c:v>
                </c:pt>
                <c:pt idx="95">
                  <c:v>131.91035427567715</c:v>
                </c:pt>
                <c:pt idx="96">
                  <c:v>132.14366733632252</c:v>
                </c:pt>
                <c:pt idx="97">
                  <c:v>132.57775945314114</c:v>
                </c:pt>
                <c:pt idx="98">
                  <c:v>132.7235658865296</c:v>
                </c:pt>
                <c:pt idx="99">
                  <c:v>132.91257117030617</c:v>
                </c:pt>
                <c:pt idx="100">
                  <c:v>132.6192453547103</c:v>
                </c:pt>
                <c:pt idx="101">
                  <c:v>131.95872595880218</c:v>
                </c:pt>
                <c:pt idx="102">
                  <c:v>131.9193782982083</c:v>
                </c:pt>
                <c:pt idx="103">
                  <c:v>132.75406689212608</c:v>
                </c:pt>
                <c:pt idx="104">
                  <c:v>133.12002789290503</c:v>
                </c:pt>
                <c:pt idx="105">
                  <c:v>134.35881116951819</c:v>
                </c:pt>
                <c:pt idx="106">
                  <c:v>134.33875122044503</c:v>
                </c:pt>
                <c:pt idx="107">
                  <c:v>135.33411889824359</c:v>
                </c:pt>
                <c:pt idx="108">
                  <c:v>136.08534045225636</c:v>
                </c:pt>
                <c:pt idx="109">
                  <c:v>137.00408240831305</c:v>
                </c:pt>
                <c:pt idx="110">
                  <c:v>137.64566024886653</c:v>
                </c:pt>
                <c:pt idx="111">
                  <c:v>138.06573303298921</c:v>
                </c:pt>
                <c:pt idx="112">
                  <c:v>137.69953055629125</c:v>
                </c:pt>
                <c:pt idx="113">
                  <c:v>137.96422422122455</c:v>
                </c:pt>
                <c:pt idx="114">
                  <c:v>138.30408375851772</c:v>
                </c:pt>
                <c:pt idx="115">
                  <c:v>139.14507577700235</c:v>
                </c:pt>
                <c:pt idx="116">
                  <c:v>140.0657621617608</c:v>
                </c:pt>
                <c:pt idx="117">
                  <c:v>139.93248503199177</c:v>
                </c:pt>
                <c:pt idx="118">
                  <c:v>140.59149747031168</c:v>
                </c:pt>
                <c:pt idx="119">
                  <c:v>139.45100386754069</c:v>
                </c:pt>
                <c:pt idx="120">
                  <c:v>140.56286403690663</c:v>
                </c:pt>
                <c:pt idx="121">
                  <c:v>140.39051526970854</c:v>
                </c:pt>
                <c:pt idx="122">
                  <c:v>140.9651259369997</c:v>
                </c:pt>
                <c:pt idx="123">
                  <c:v>141.2610252454688</c:v>
                </c:pt>
                <c:pt idx="124">
                  <c:v>141.21368219805674</c:v>
                </c:pt>
                <c:pt idx="125">
                  <c:v>141.37718013264174</c:v>
                </c:pt>
                <c:pt idx="126">
                  <c:v>141.74860062442301</c:v>
                </c:pt>
                <c:pt idx="127">
                  <c:v>141.53590008253528</c:v>
                </c:pt>
                <c:pt idx="128">
                  <c:v>141.6791073805841</c:v>
                </c:pt>
                <c:pt idx="129">
                  <c:v>141.68006059546437</c:v>
                </c:pt>
                <c:pt idx="130">
                  <c:v>141.93953158651524</c:v>
                </c:pt>
                <c:pt idx="131">
                  <c:v>141.27908791041045</c:v>
                </c:pt>
                <c:pt idx="132">
                  <c:v>140.86250259506954</c:v>
                </c:pt>
                <c:pt idx="133">
                  <c:v>141.53847081023179</c:v>
                </c:pt>
                <c:pt idx="134">
                  <c:v>140.79032625112978</c:v>
                </c:pt>
                <c:pt idx="135">
                  <c:v>141.74163050632021</c:v>
                </c:pt>
                <c:pt idx="136">
                  <c:v>142.16369298326043</c:v>
                </c:pt>
                <c:pt idx="137">
                  <c:v>142.16222295128952</c:v>
                </c:pt>
                <c:pt idx="138">
                  <c:v>142.53006986249125</c:v>
                </c:pt>
                <c:pt idx="139">
                  <c:v>142.41130314829599</c:v>
                </c:pt>
                <c:pt idx="140">
                  <c:v>141.77566693193009</c:v>
                </c:pt>
                <c:pt idx="141">
                  <c:v>143.00962108031067</c:v>
                </c:pt>
                <c:pt idx="142">
                  <c:v>142.69919833549395</c:v>
                </c:pt>
                <c:pt idx="143">
                  <c:v>143.02157343723485</c:v>
                </c:pt>
                <c:pt idx="144">
                  <c:v>143.66506600175424</c:v>
                </c:pt>
                <c:pt idx="145">
                  <c:v>142.82799945548922</c:v>
                </c:pt>
                <c:pt idx="146">
                  <c:v>143.80578479030501</c:v>
                </c:pt>
                <c:pt idx="147">
                  <c:v>143.92837155207491</c:v>
                </c:pt>
                <c:pt idx="148">
                  <c:v>144.09371845145344</c:v>
                </c:pt>
                <c:pt idx="149">
                  <c:v>144.2656729283195</c:v>
                </c:pt>
                <c:pt idx="150">
                  <c:v>144.29135333968009</c:v>
                </c:pt>
                <c:pt idx="151">
                  <c:v>144.07202779059998</c:v>
                </c:pt>
                <c:pt idx="152">
                  <c:v>144.79272035647605</c:v>
                </c:pt>
                <c:pt idx="153">
                  <c:v>144.74628059721613</c:v>
                </c:pt>
                <c:pt idx="154">
                  <c:v>145.21451298838278</c:v>
                </c:pt>
                <c:pt idx="155">
                  <c:v>145.45101712009983</c:v>
                </c:pt>
                <c:pt idx="156">
                  <c:v>145.20263579343811</c:v>
                </c:pt>
                <c:pt idx="157">
                  <c:v>145.12149492367644</c:v>
                </c:pt>
                <c:pt idx="158">
                  <c:v>145.07655893190517</c:v>
                </c:pt>
                <c:pt idx="159">
                  <c:v>144.82454904368313</c:v>
                </c:pt>
                <c:pt idx="160">
                  <c:v>144.78301326700912</c:v>
                </c:pt>
                <c:pt idx="161">
                  <c:v>143.42441967564645</c:v>
                </c:pt>
                <c:pt idx="162">
                  <c:v>144.37993041046641</c:v>
                </c:pt>
                <c:pt idx="163">
                  <c:v>144.13441940864075</c:v>
                </c:pt>
                <c:pt idx="164">
                  <c:v>144.62903341624892</c:v>
                </c:pt>
                <c:pt idx="165">
                  <c:v>144.28094831489122</c:v>
                </c:pt>
                <c:pt idx="166">
                  <c:v>144.02709054944208</c:v>
                </c:pt>
                <c:pt idx="167">
                  <c:v>143.83414024130371</c:v>
                </c:pt>
                <c:pt idx="168">
                  <c:v>143.35146763184983</c:v>
                </c:pt>
                <c:pt idx="169">
                  <c:v>143.04266668702957</c:v>
                </c:pt>
                <c:pt idx="170">
                  <c:v>143.15531820089026</c:v>
                </c:pt>
                <c:pt idx="171">
                  <c:v>142.43406358798984</c:v>
                </c:pt>
                <c:pt idx="172">
                  <c:v>142.47476307449674</c:v>
                </c:pt>
                <c:pt idx="173">
                  <c:v>141.43337705747223</c:v>
                </c:pt>
                <c:pt idx="174">
                  <c:v>141.07089858290286</c:v>
                </c:pt>
                <c:pt idx="175">
                  <c:v>141.31999978661099</c:v>
                </c:pt>
                <c:pt idx="176">
                  <c:v>140.28886423903882</c:v>
                </c:pt>
                <c:pt idx="177">
                  <c:v>140.93826540979816</c:v>
                </c:pt>
                <c:pt idx="178">
                  <c:v>139.46424441772527</c:v>
                </c:pt>
                <c:pt idx="179">
                  <c:v>139.48634946012518</c:v>
                </c:pt>
                <c:pt idx="180">
                  <c:v>138.6353560383501</c:v>
                </c:pt>
                <c:pt idx="181">
                  <c:v>138.54519351252162</c:v>
                </c:pt>
                <c:pt idx="182">
                  <c:v>138.18396001450603</c:v>
                </c:pt>
                <c:pt idx="183">
                  <c:v>138.45148564425958</c:v>
                </c:pt>
                <c:pt idx="184">
                  <c:v>137.86357967123746</c:v>
                </c:pt>
                <c:pt idx="185">
                  <c:v>138.32569155777449</c:v>
                </c:pt>
                <c:pt idx="186">
                  <c:v>137.73817844463287</c:v>
                </c:pt>
                <c:pt idx="187">
                  <c:v>137.50894924516737</c:v>
                </c:pt>
                <c:pt idx="188">
                  <c:v>137.41173147358958</c:v>
                </c:pt>
                <c:pt idx="189">
                  <c:v>137.12084942523754</c:v>
                </c:pt>
                <c:pt idx="190">
                  <c:v>137.07838235359313</c:v>
                </c:pt>
                <c:pt idx="191">
                  <c:v>136.93107164418836</c:v>
                </c:pt>
                <c:pt idx="192">
                  <c:v>137.40344869919088</c:v>
                </c:pt>
                <c:pt idx="193">
                  <c:v>138.08108289307347</c:v>
                </c:pt>
                <c:pt idx="194">
                  <c:v>137.85732844853655</c:v>
                </c:pt>
                <c:pt idx="195">
                  <c:v>138.02988397142181</c:v>
                </c:pt>
                <c:pt idx="196">
                  <c:v>137.5586213282462</c:v>
                </c:pt>
                <c:pt idx="197">
                  <c:v>137.92616768171371</c:v>
                </c:pt>
                <c:pt idx="198">
                  <c:v>138.20802322173742</c:v>
                </c:pt>
                <c:pt idx="199">
                  <c:v>138.1135755725243</c:v>
                </c:pt>
                <c:pt idx="200">
                  <c:v>138.47421588813017</c:v>
                </c:pt>
                <c:pt idx="201">
                  <c:v>138.60114271201203</c:v>
                </c:pt>
                <c:pt idx="202">
                  <c:v>138.44116987905434</c:v>
                </c:pt>
                <c:pt idx="203">
                  <c:v>139.57701360570422</c:v>
                </c:pt>
                <c:pt idx="204">
                  <c:v>138.80752270465356</c:v>
                </c:pt>
                <c:pt idx="205">
                  <c:v>139.16075952411043</c:v>
                </c:pt>
                <c:pt idx="206">
                  <c:v>138.81171380336218</c:v>
                </c:pt>
                <c:pt idx="207">
                  <c:v>138.83125455842674</c:v>
                </c:pt>
                <c:pt idx="208">
                  <c:v>137.15936104773417</c:v>
                </c:pt>
                <c:pt idx="209">
                  <c:v>140.14364135266845</c:v>
                </c:pt>
                <c:pt idx="210">
                  <c:v>138.71838488464996</c:v>
                </c:pt>
                <c:pt idx="211">
                  <c:v>140.56338979667589</c:v>
                </c:pt>
                <c:pt idx="212">
                  <c:v>139.80144089868159</c:v>
                </c:pt>
                <c:pt idx="213">
                  <c:v>139.32200186307205</c:v>
                </c:pt>
                <c:pt idx="214">
                  <c:v>139.2936058281561</c:v>
                </c:pt>
                <c:pt idx="215">
                  <c:v>139.9444235875651</c:v>
                </c:pt>
                <c:pt idx="216">
                  <c:v>139.58924943499233</c:v>
                </c:pt>
                <c:pt idx="217">
                  <c:v>139.8622981066716</c:v>
                </c:pt>
                <c:pt idx="218">
                  <c:v>139.64272022684642</c:v>
                </c:pt>
                <c:pt idx="219">
                  <c:v>139.3550466492934</c:v>
                </c:pt>
                <c:pt idx="220">
                  <c:v>140.05155798226443</c:v>
                </c:pt>
                <c:pt idx="221">
                  <c:v>140.13498677755047</c:v>
                </c:pt>
                <c:pt idx="222">
                  <c:v>140.12480327941705</c:v>
                </c:pt>
                <c:pt idx="223">
                  <c:v>139.99356373888548</c:v>
                </c:pt>
                <c:pt idx="224">
                  <c:v>139.94022339677554</c:v>
                </c:pt>
                <c:pt idx="225">
                  <c:v>140.40762796129781</c:v>
                </c:pt>
                <c:pt idx="226">
                  <c:v>140.22107541052972</c:v>
                </c:pt>
                <c:pt idx="227">
                  <c:v>140.33051663975826</c:v>
                </c:pt>
                <c:pt idx="228">
                  <c:v>140.71000428235095</c:v>
                </c:pt>
                <c:pt idx="229">
                  <c:v>140.24627533621378</c:v>
                </c:pt>
                <c:pt idx="230" formatCode="General">
                  <c:v>136.1424447460827</c:v>
                </c:pt>
                <c:pt idx="231" formatCode="General">
                  <c:v>132.04261374678961</c:v>
                </c:pt>
                <c:pt idx="232" formatCode="General">
                  <c:v>133.88162976263044</c:v>
                </c:pt>
                <c:pt idx="233" formatCode="General">
                  <c:v>134.77555817898468</c:v>
                </c:pt>
                <c:pt idx="234" formatCode="General">
                  <c:v>138.15595324318681</c:v>
                </c:pt>
                <c:pt idx="235" formatCode="General">
                  <c:v>139.30810840494206</c:v>
                </c:pt>
                <c:pt idx="236" formatCode="General">
                  <c:v>138.1089717020362</c:v>
                </c:pt>
                <c:pt idx="237" formatCode="General">
                  <c:v>137.61964119542301</c:v>
                </c:pt>
                <c:pt idx="238" formatCode="General">
                  <c:v>136.29177138227573</c:v>
                </c:pt>
                <c:pt idx="239" formatCode="General">
                  <c:v>136.28091867690435</c:v>
                </c:pt>
                <c:pt idx="240" formatCode="General">
                  <c:v>138.57111771243109</c:v>
                </c:pt>
                <c:pt idx="241" formatCode="General">
                  <c:v>140.46614477244643</c:v>
                </c:pt>
                <c:pt idx="242" formatCode="General">
                  <c:v>138.73030095572057</c:v>
                </c:pt>
                <c:pt idx="243" formatCode="General">
                  <c:v>140.61439282168664</c:v>
                </c:pt>
                <c:pt idx="244" formatCode="General">
                  <c:v>139.91548538124823</c:v>
                </c:pt>
                <c:pt idx="245" formatCode="General">
                  <c:v>140.74965317464378</c:v>
                </c:pt>
                <c:pt idx="246" formatCode="General">
                  <c:v>140.80140425961193</c:v>
                </c:pt>
                <c:pt idx="247" formatCode="General">
                  <c:v>140.28821327451965</c:v>
                </c:pt>
                <c:pt idx="248" formatCode="General">
                  <c:v>139.88255965369464</c:v>
                </c:pt>
                <c:pt idx="249" formatCode="General">
                  <c:v>140.53170833317262</c:v>
                </c:pt>
                <c:pt idx="250" formatCode="General">
                  <c:v>140.34423576550594</c:v>
                </c:pt>
                <c:pt idx="251" formatCode="General">
                  <c:v>140.92611485780904</c:v>
                </c:pt>
                <c:pt idx="252" formatCode="General">
                  <c:v>140.91111556602223</c:v>
                </c:pt>
              </c:numCache>
            </c:numRef>
          </c:val>
          <c:smooth val="0"/>
          <c:extLst>
            <c:ext xmlns:c16="http://schemas.microsoft.com/office/drawing/2014/chart" uri="{C3380CC4-5D6E-409C-BE32-E72D297353CC}">
              <c16:uniqueId val="{00000001-7684-426F-B953-75D207247F6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Hamilton Cycle (rhs)</c:v>
          </c:tx>
          <c:spPr>
            <a:ln w="28575" cap="rnd">
              <a:solidFill>
                <a:schemeClr val="accent3"/>
              </a:solidFill>
              <a:round/>
            </a:ln>
            <a:effectLst/>
          </c:spPr>
          <c:marker>
            <c:symbol val="none"/>
          </c:marker>
          <c:cat>
            <c:numRef>
              <c:f>HFILTER!$F$14:$F$252</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HFILTER!$O$13:$O$265</c:f>
              <c:numCache>
                <c:formatCode>General</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-6.2088286736046285</c:v>
                </c:pt>
                <c:pt idx="36">
                  <c:v>-6.198717649421269</c:v>
                </c:pt>
                <c:pt idx="37">
                  <c:v>-6.4183015578222467</c:v>
                </c:pt>
                <c:pt idx="38">
                  <c:v>-7.4681156502145996</c:v>
                </c:pt>
                <c:pt idx="39">
                  <c:v>-6.9424542847140174</c:v>
                </c:pt>
                <c:pt idx="40">
                  <c:v>-5.7942029901965242</c:v>
                </c:pt>
                <c:pt idx="41">
                  <c:v>-7.4946132840288158</c:v>
                </c:pt>
                <c:pt idx="42">
                  <c:v>-5.3382645655989478</c:v>
                </c:pt>
                <c:pt idx="43">
                  <c:v>-5.7980040709817757</c:v>
                </c:pt>
                <c:pt idx="44">
                  <c:v>-6.5292531863562004</c:v>
                </c:pt>
                <c:pt idx="45">
                  <c:v>-4.8207062950115471</c:v>
                </c:pt>
                <c:pt idx="46">
                  <c:v>-4.8043255903866822</c:v>
                </c:pt>
                <c:pt idx="47">
                  <c:v>-2.4294292135945881</c:v>
                </c:pt>
                <c:pt idx="48">
                  <c:v>-3.6786820306212462</c:v>
                </c:pt>
                <c:pt idx="49">
                  <c:v>-3.5514100326156921</c:v>
                </c:pt>
                <c:pt idx="50">
                  <c:v>-4.5329111332517016</c:v>
                </c:pt>
                <c:pt idx="51">
                  <c:v>-3.4574319979028161</c:v>
                </c:pt>
                <c:pt idx="52">
                  <c:v>-2.1831458930541032</c:v>
                </c:pt>
                <c:pt idx="53">
                  <c:v>-1.0797262033113242</c:v>
                </c:pt>
                <c:pt idx="54">
                  <c:v>-0.52386833560949242</c:v>
                </c:pt>
                <c:pt idx="55">
                  <c:v>-0.1915866090545677</c:v>
                </c:pt>
                <c:pt idx="56">
                  <c:v>0.66308901352360294</c:v>
                </c:pt>
                <c:pt idx="57">
                  <c:v>1.3286712684006403</c:v>
                </c:pt>
                <c:pt idx="58">
                  <c:v>1.2924225758250287</c:v>
                </c:pt>
                <c:pt idx="59">
                  <c:v>2.1974167858567881</c:v>
                </c:pt>
                <c:pt idx="60">
                  <c:v>1.8093909085059749</c:v>
                </c:pt>
                <c:pt idx="61">
                  <c:v>1.4811728500482104</c:v>
                </c:pt>
                <c:pt idx="62">
                  <c:v>0.86585860619767629</c:v>
                </c:pt>
                <c:pt idx="63">
                  <c:v>1.9301367350649059</c:v>
                </c:pt>
                <c:pt idx="64">
                  <c:v>2.9079202079715571</c:v>
                </c:pt>
                <c:pt idx="65">
                  <c:v>4.3929131526461447</c:v>
                </c:pt>
                <c:pt idx="66">
                  <c:v>2.8542336074525281</c:v>
                </c:pt>
                <c:pt idx="67">
                  <c:v>4.1032722827715418</c:v>
                </c:pt>
                <c:pt idx="68">
                  <c:v>2.9766504398205598</c:v>
                </c:pt>
                <c:pt idx="69">
                  <c:v>-7.5403352329090012E-2</c:v>
                </c:pt>
                <c:pt idx="70">
                  <c:v>-3.0587410786180982</c:v>
                </c:pt>
                <c:pt idx="71">
                  <c:v>-7.7002786308480893</c:v>
                </c:pt>
                <c:pt idx="72">
                  <c:v>-7.7482473861380043</c:v>
                </c:pt>
                <c:pt idx="73">
                  <c:v>-6.8270615167655819</c:v>
                </c:pt>
                <c:pt idx="74">
                  <c:v>-5.9396181531237318</c:v>
                </c:pt>
                <c:pt idx="75">
                  <c:v>-6.3464662484470011</c:v>
                </c:pt>
                <c:pt idx="76">
                  <c:v>-5.3922876869793868</c:v>
                </c:pt>
                <c:pt idx="77">
                  <c:v>-5.5658329636710846</c:v>
                </c:pt>
                <c:pt idx="78">
                  <c:v>-5.5814645493731803</c:v>
                </c:pt>
                <c:pt idx="79">
                  <c:v>-3.4000046893240494</c:v>
                </c:pt>
                <c:pt idx="80">
                  <c:v>-2.7237982583715734</c:v>
                </c:pt>
                <c:pt idx="81">
                  <c:v>-2.2808404149143939</c:v>
                </c:pt>
                <c:pt idx="82">
                  <c:v>-2.0799911799772701</c:v>
                </c:pt>
                <c:pt idx="83">
                  <c:v>-1.2980298932214964</c:v>
                </c:pt>
                <c:pt idx="84">
                  <c:v>0.79560438126432587</c:v>
                </c:pt>
                <c:pt idx="85">
                  <c:v>2.0682601704346268</c:v>
                </c:pt>
                <c:pt idx="86">
                  <c:v>3.4622705123878461</c:v>
                </c:pt>
                <c:pt idx="87">
                  <c:v>3.2901640029887744</c:v>
                </c:pt>
                <c:pt idx="88">
                  <c:v>1.8662981018987352</c:v>
                </c:pt>
                <c:pt idx="89">
                  <c:v>0.67312278154452088</c:v>
                </c:pt>
                <c:pt idx="90">
                  <c:v>1.6369755794330558</c:v>
                </c:pt>
                <c:pt idx="91">
                  <c:v>2.3835605546255181</c:v>
                </c:pt>
                <c:pt idx="92">
                  <c:v>4.0773078854329299</c:v>
                </c:pt>
                <c:pt idx="93">
                  <c:v>4.7131710377074683</c:v>
                </c:pt>
                <c:pt idx="94">
                  <c:v>7.1832914477326995</c:v>
                </c:pt>
                <c:pt idx="95">
                  <c:v>6.7596457243228372</c:v>
                </c:pt>
                <c:pt idx="96">
                  <c:v>8.1163326636774684</c:v>
                </c:pt>
                <c:pt idx="97">
                  <c:v>8.3522405468588659</c:v>
                </c:pt>
                <c:pt idx="98">
                  <c:v>8.3364341134704034</c:v>
                </c:pt>
                <c:pt idx="99">
                  <c:v>8.0574288296938334</c:v>
                </c:pt>
                <c:pt idx="100">
                  <c:v>8.5607546452897054</c:v>
                </c:pt>
                <c:pt idx="101">
                  <c:v>9.8912740411978177</c:v>
                </c:pt>
                <c:pt idx="102">
                  <c:v>10.180621701791694</c:v>
                </c:pt>
                <c:pt idx="103">
                  <c:v>9.1859331078739217</c:v>
                </c:pt>
                <c:pt idx="104">
                  <c:v>8.459972107094984</c:v>
                </c:pt>
                <c:pt idx="105">
                  <c:v>7.2511888304818228</c:v>
                </c:pt>
                <c:pt idx="106">
                  <c:v>7.9712487795549691</c:v>
                </c:pt>
                <c:pt idx="107">
                  <c:v>5.5858811017563994</c:v>
                </c:pt>
                <c:pt idx="108">
                  <c:v>2.9546595477436313</c:v>
                </c:pt>
                <c:pt idx="109">
                  <c:v>3.5459175916869583</c:v>
                </c:pt>
                <c:pt idx="110">
                  <c:v>2.4943397511334524</c:v>
                </c:pt>
                <c:pt idx="111">
                  <c:v>2.6942669670107762</c:v>
                </c:pt>
                <c:pt idx="112">
                  <c:v>4.8004694437087494</c:v>
                </c:pt>
                <c:pt idx="113">
                  <c:v>5.5857757787754565</c:v>
                </c:pt>
                <c:pt idx="114">
                  <c:v>5.5159162414822731</c:v>
                </c:pt>
                <c:pt idx="115">
                  <c:v>5.1149242229976437</c:v>
                </c:pt>
                <c:pt idx="116">
                  <c:v>3.5942378382391951</c:v>
                </c:pt>
                <c:pt idx="117">
                  <c:v>4.9075149680082291</c:v>
                </c:pt>
                <c:pt idx="118">
                  <c:v>4.0485025296883066</c:v>
                </c:pt>
                <c:pt idx="119">
                  <c:v>4.6989961324593139</c:v>
                </c:pt>
                <c:pt idx="120">
                  <c:v>4.417135963093358</c:v>
                </c:pt>
                <c:pt idx="121">
                  <c:v>3.4294847302914491</c:v>
                </c:pt>
                <c:pt idx="122">
                  <c:v>4.0748740630002942</c:v>
                </c:pt>
                <c:pt idx="123">
                  <c:v>5.0189747545312002</c:v>
                </c:pt>
                <c:pt idx="124">
                  <c:v>5.5763178019432473</c:v>
                </c:pt>
                <c:pt idx="125">
                  <c:v>4.972819867358254</c:v>
                </c:pt>
                <c:pt idx="126">
                  <c:v>5.1813993755770014</c:v>
                </c:pt>
                <c:pt idx="127">
                  <c:v>5.6440999174647288</c:v>
                </c:pt>
                <c:pt idx="128">
                  <c:v>6.150892619415913</c:v>
                </c:pt>
                <c:pt idx="129">
                  <c:v>6.3099394045356405</c:v>
                </c:pt>
                <c:pt idx="130">
                  <c:v>6.4204684134847696</c:v>
                </c:pt>
                <c:pt idx="131">
                  <c:v>7.4809120895895376</c:v>
                </c:pt>
                <c:pt idx="132">
                  <c:v>7.4474974049304592</c:v>
                </c:pt>
                <c:pt idx="133">
                  <c:v>6.4615291897682141</c:v>
                </c:pt>
                <c:pt idx="134">
                  <c:v>6.9896737488702172</c:v>
                </c:pt>
                <c:pt idx="135">
                  <c:v>5.3283694936797872</c:v>
                </c:pt>
                <c:pt idx="136">
                  <c:v>4.2063070167395722</c:v>
                </c:pt>
                <c:pt idx="137">
                  <c:v>1.2677770487104851</c:v>
                </c:pt>
                <c:pt idx="138">
                  <c:v>2.1399301375087418</c:v>
                </c:pt>
                <c:pt idx="139">
                  <c:v>3.2486968517040111</c:v>
                </c:pt>
                <c:pt idx="140">
                  <c:v>4.4543330680699</c:v>
                </c:pt>
                <c:pt idx="141">
                  <c:v>2.4003789196893308</c:v>
                </c:pt>
                <c:pt idx="142">
                  <c:v>2.9208016645060582</c:v>
                </c:pt>
                <c:pt idx="143">
                  <c:v>3.2584265627651519</c:v>
                </c:pt>
                <c:pt idx="144">
                  <c:v>1.444933998245773</c:v>
                </c:pt>
                <c:pt idx="145">
                  <c:v>1.2220005445107915</c:v>
                </c:pt>
                <c:pt idx="146">
                  <c:v>-7.5784790305021943E-2</c:v>
                </c:pt>
                <c:pt idx="147">
                  <c:v>-1.9083715520748967</c:v>
                </c:pt>
                <c:pt idx="148">
                  <c:v>-3.0237184514534476</c:v>
                </c:pt>
                <c:pt idx="149">
                  <c:v>-4.715672928319492</c:v>
                </c:pt>
                <c:pt idx="150">
                  <c:v>-5.8713533396800983</c:v>
                </c:pt>
                <c:pt idx="151">
                  <c:v>-5.2420277905999626</c:v>
                </c:pt>
                <c:pt idx="152">
                  <c:v>-7.0827203564760453</c:v>
                </c:pt>
                <c:pt idx="153">
                  <c:v>-5.9662805972161266</c:v>
                </c:pt>
                <c:pt idx="154">
                  <c:v>-8.4045129883827769</c:v>
                </c:pt>
                <c:pt idx="155">
                  <c:v>-8.9710171200998445</c:v>
                </c:pt>
                <c:pt idx="156">
                  <c:v>-9.6226357934380928</c:v>
                </c:pt>
                <c:pt idx="157">
                  <c:v>-9.7014949236764494</c:v>
                </c:pt>
                <c:pt idx="158">
                  <c:v>-10.60655893190517</c:v>
                </c:pt>
                <c:pt idx="159">
                  <c:v>-10.334549043683126</c:v>
                </c:pt>
                <c:pt idx="160">
                  <c:v>-10.713013267009131</c:v>
                </c:pt>
                <c:pt idx="161">
                  <c:v>-8.8544196756464544</c:v>
                </c:pt>
                <c:pt idx="162">
                  <c:v>-9.9499304104664077</c:v>
                </c:pt>
                <c:pt idx="163">
                  <c:v>-10.414419408640754</c:v>
                </c:pt>
                <c:pt idx="164">
                  <c:v>-10.98903341624893</c:v>
                </c:pt>
                <c:pt idx="165">
                  <c:v>-10.940948314891216</c:v>
                </c:pt>
                <c:pt idx="166">
                  <c:v>-10.887090549442092</c:v>
                </c:pt>
                <c:pt idx="167">
                  <c:v>-11.294140241303722</c:v>
                </c:pt>
                <c:pt idx="168">
                  <c:v>-9.7414676318498152</c:v>
                </c:pt>
                <c:pt idx="169">
                  <c:v>-7.4926666870295549</c:v>
                </c:pt>
                <c:pt idx="170">
                  <c:v>-7.8153182008902604</c:v>
                </c:pt>
                <c:pt idx="171">
                  <c:v>-7.144063587989848</c:v>
                </c:pt>
                <c:pt idx="172">
                  <c:v>-7.414763074496733</c:v>
                </c:pt>
                <c:pt idx="173">
                  <c:v>-5.4833770574722394</c:v>
                </c:pt>
                <c:pt idx="174">
                  <c:v>-4.7308985829028529</c:v>
                </c:pt>
                <c:pt idx="175">
                  <c:v>-5.6799997866110061</c:v>
                </c:pt>
                <c:pt idx="176">
                  <c:v>-4.6488642390388293</c:v>
                </c:pt>
                <c:pt idx="177">
                  <c:v>-4.8982654097981708</c:v>
                </c:pt>
                <c:pt idx="178">
                  <c:v>-3.4742444177252594</c:v>
                </c:pt>
                <c:pt idx="179">
                  <c:v>-1.3763494601251693</c:v>
                </c:pt>
                <c:pt idx="180">
                  <c:v>-1.2153560383501087</c:v>
                </c:pt>
                <c:pt idx="181">
                  <c:v>-1.7151935125216085</c:v>
                </c:pt>
                <c:pt idx="182">
                  <c:v>-1.593960014506024</c:v>
                </c:pt>
                <c:pt idx="183">
                  <c:v>-1.171485644259576</c:v>
                </c:pt>
                <c:pt idx="184">
                  <c:v>-4.7935796712374668</c:v>
                </c:pt>
                <c:pt idx="185">
                  <c:v>-0.93569155777450419</c:v>
                </c:pt>
                <c:pt idx="186">
                  <c:v>0.1818215553671223</c:v>
                </c:pt>
                <c:pt idx="187">
                  <c:v>1.4410507548326166</c:v>
                </c:pt>
                <c:pt idx="188">
                  <c:v>0.80826852641041569</c:v>
                </c:pt>
                <c:pt idx="189">
                  <c:v>1.3191505747624603</c:v>
                </c:pt>
                <c:pt idx="190">
                  <c:v>1.531617646406886</c:v>
                </c:pt>
                <c:pt idx="191">
                  <c:v>2.2489283558116426</c:v>
                </c:pt>
                <c:pt idx="192">
                  <c:v>1.8765513008091261</c:v>
                </c:pt>
                <c:pt idx="193">
                  <c:v>-0.39108289307347377</c:v>
                </c:pt>
                <c:pt idx="194">
                  <c:v>-0.8573284485365491</c:v>
                </c:pt>
                <c:pt idx="195">
                  <c:v>-1.1598839714218059</c:v>
                </c:pt>
                <c:pt idx="196">
                  <c:v>1.0813786717537823</c:v>
                </c:pt>
                <c:pt idx="197">
                  <c:v>0.93383231828630642</c:v>
                </c:pt>
                <c:pt idx="198">
                  <c:v>8.197677826257177E-2</c:v>
                </c:pt>
                <c:pt idx="199">
                  <c:v>0.23642442747569703</c:v>
                </c:pt>
                <c:pt idx="200">
                  <c:v>0.6857841118698218</c:v>
                </c:pt>
                <c:pt idx="201">
                  <c:v>1.9588572879879678</c:v>
                </c:pt>
                <c:pt idx="202">
                  <c:v>1.4388301209456529</c:v>
                </c:pt>
                <c:pt idx="203">
                  <c:v>-0.29701360570422253</c:v>
                </c:pt>
                <c:pt idx="204">
                  <c:v>1.2424772953464469</c:v>
                </c:pt>
                <c:pt idx="205">
                  <c:v>0.48924047588957364</c:v>
                </c:pt>
                <c:pt idx="206">
                  <c:v>-9.1017138033621734</c:v>
                </c:pt>
                <c:pt idx="207">
                  <c:v>-21.641254558426738</c:v>
                </c:pt>
                <c:pt idx="208">
                  <c:v>-16.129361047734164</c:v>
                </c:pt>
                <c:pt idx="209">
                  <c:v>-13.083641352668451</c:v>
                </c:pt>
                <c:pt idx="210">
                  <c:v>-7.7283848846499552</c:v>
                </c:pt>
                <c:pt idx="211">
                  <c:v>-6.7033897966758786</c:v>
                </c:pt>
                <c:pt idx="212">
                  <c:v>-2.9614408986815874</c:v>
                </c:pt>
                <c:pt idx="213">
                  <c:v>-2.0018630720528563E-3</c:v>
                </c:pt>
                <c:pt idx="214">
                  <c:v>-5.3605828156094049E-2</c:v>
                </c:pt>
                <c:pt idx="215">
                  <c:v>-0.40442358756510544</c:v>
                </c:pt>
                <c:pt idx="216">
                  <c:v>0.54075056500767005</c:v>
                </c:pt>
                <c:pt idx="217">
                  <c:v>1.1177018933283875</c:v>
                </c:pt>
                <c:pt idx="218">
                  <c:v>-3.9227202268464225</c:v>
                </c:pt>
                <c:pt idx="219">
                  <c:v>-1.9150466492934015</c:v>
                </c:pt>
                <c:pt idx="220">
                  <c:v>-1.3115579822644179</c:v>
                </c:pt>
                <c:pt idx="221">
                  <c:v>-1.1849867775504777</c:v>
                </c:pt>
                <c:pt idx="222">
                  <c:v>-1.6348032794170422</c:v>
                </c:pt>
                <c:pt idx="223">
                  <c:v>-1.0735637388854968</c:v>
                </c:pt>
                <c:pt idx="224">
                  <c:v>-1.0802233967755228</c:v>
                </c:pt>
                <c:pt idx="225">
                  <c:v>-0.78762796129780099</c:v>
                </c:pt>
                <c:pt idx="226">
                  <c:v>0.82892458947029013</c:v>
                </c:pt>
                <c:pt idx="227">
                  <c:v>0.88948336024174068</c:v>
                </c:pt>
                <c:pt idx="228">
                  <c:v>-0.45000428235096024</c:v>
                </c:pt>
                <c:pt idx="229">
                  <c:v>0.57372466378620857</c:v>
                </c:pt>
                <c:pt idx="230">
                  <c:v>5.7975552539172952</c:v>
                </c:pt>
                <c:pt idx="231">
                  <c:v>10.147386253210385</c:v>
                </c:pt>
                <c:pt idx="232">
                  <c:v>8.2683702373695667</c:v>
                </c:pt>
                <c:pt idx="233">
                  <c:v>8.1144418210153049</c:v>
                </c:pt>
                <c:pt idx="234">
                  <c:v>7.2640467568131726</c:v>
                </c:pt>
                <c:pt idx="235">
                  <c:v>5.1718915950579287</c:v>
                </c:pt>
                <c:pt idx="236">
                  <c:v>6.3810282979638089</c:v>
                </c:pt>
                <c:pt idx="237">
                  <c:v>7.0603588045769925</c:v>
                </c:pt>
                <c:pt idx="238">
                  <c:v>6.4482286177242827</c:v>
                </c:pt>
                <c:pt idx="239">
                  <c:v>6.0190813230956621</c:v>
                </c:pt>
                <c:pt idx="240">
                  <c:v>4.9088822875689004</c:v>
                </c:pt>
                <c:pt idx="241">
                  <c:v>7.0538552275535835</c:v>
                </c:pt>
                <c:pt idx="242">
                  <c:v>8.2896990442794447</c:v>
                </c:pt>
                <c:pt idx="243">
                  <c:v>8.2656071783133598</c:v>
                </c:pt>
                <c:pt idx="244">
                  <c:v>6.2445146187517651</c:v>
                </c:pt>
                <c:pt idx="245">
                  <c:v>5.8003468253562289</c:v>
                </c:pt>
                <c:pt idx="246">
                  <c:v>6.1785957403880616</c:v>
                </c:pt>
                <c:pt idx="247">
                  <c:v>5.8517867254803377</c:v>
                </c:pt>
                <c:pt idx="248">
                  <c:v>6.3074403463053557</c:v>
                </c:pt>
                <c:pt idx="249">
                  <c:v>5.7282916668273742</c:v>
                </c:pt>
                <c:pt idx="250">
                  <c:v>6.0657642344940541</c:v>
                </c:pt>
                <c:pt idx="251">
                  <c:v>6.6838851421909737</c:v>
                </c:pt>
                <c:pt idx="252">
                  <c:v>7.5888844339777677</c:v>
                </c:pt>
              </c:numCache>
            </c:numRef>
          </c:val>
          <c:smooth val="0"/>
          <c:extLst>
            <c:ext xmlns:c16="http://schemas.microsoft.com/office/drawing/2014/chart" uri="{C3380CC4-5D6E-409C-BE32-E72D297353CC}">
              <c16:uniqueId val="{00000002-7684-426F-B953-75D207247F6B}"/>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MHFILTER!$F$14:$F$266</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MHFILTER!$G$14:$G$266</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1BA1-464D-9DFE-3674C7E1C791}"/>
            </c:ext>
          </c:extLst>
        </c:ser>
        <c:ser>
          <c:idx val="1"/>
          <c:order val="1"/>
          <c:tx>
            <c:v>Modified Hamilton trend</c:v>
          </c:tx>
          <c:spPr>
            <a:ln w="28575" cap="rnd">
              <a:solidFill>
                <a:schemeClr val="accent2"/>
              </a:solidFill>
              <a:round/>
            </a:ln>
            <a:effectLst/>
          </c:spPr>
          <c:marker>
            <c:symbol val="none"/>
          </c:marker>
          <c:cat>
            <c:numRef>
              <c:f>MHFILTER!$F$14:$F$266</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MHFILTER!$O$14:$O$266</c:f>
              <c:numCache>
                <c:formatCode>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106.90587222614559</c:v>
                </c:pt>
                <c:pt idx="16">
                  <c:v>107.23315300324354</c:v>
                </c:pt>
                <c:pt idx="17">
                  <c:v>107.56443322248451</c:v>
                </c:pt>
                <c:pt idx="18">
                  <c:v>107.93826778997452</c:v>
                </c:pt>
                <c:pt idx="19">
                  <c:v>108.63020164874604</c:v>
                </c:pt>
                <c:pt idx="20">
                  <c:v>109.15017721904123</c:v>
                </c:pt>
                <c:pt idx="21">
                  <c:v>109.67240654397668</c:v>
                </c:pt>
                <c:pt idx="22">
                  <c:v>110.23225937155155</c:v>
                </c:pt>
                <c:pt idx="23">
                  <c:v>110.85764618491795</c:v>
                </c:pt>
                <c:pt idx="24">
                  <c:v>111.54937114912472</c:v>
                </c:pt>
                <c:pt idx="25">
                  <c:v>112.00936175540883</c:v>
                </c:pt>
                <c:pt idx="26">
                  <c:v>112.55550483268433</c:v>
                </c:pt>
                <c:pt idx="27">
                  <c:v>112.87942772735282</c:v>
                </c:pt>
                <c:pt idx="28">
                  <c:v>113.22070358238479</c:v>
                </c:pt>
                <c:pt idx="29">
                  <c:v>113.67778712960602</c:v>
                </c:pt>
                <c:pt idx="30">
                  <c:v>113.94477764105754</c:v>
                </c:pt>
                <c:pt idx="31">
                  <c:v>114.32109610238714</c:v>
                </c:pt>
                <c:pt idx="32">
                  <c:v>114.54264001576003</c:v>
                </c:pt>
                <c:pt idx="33">
                  <c:v>114.67130038219744</c:v>
                </c:pt>
                <c:pt idx="34">
                  <c:v>114.87357440629734</c:v>
                </c:pt>
                <c:pt idx="35">
                  <c:v>115.06902866076989</c:v>
                </c:pt>
                <c:pt idx="36">
                  <c:v>115.24422217165369</c:v>
                </c:pt>
                <c:pt idx="37">
                  <c:v>115.36342092457063</c:v>
                </c:pt>
                <c:pt idx="38">
                  <c:v>115.57231033607459</c:v>
                </c:pt>
                <c:pt idx="39">
                  <c:v>115.8373589962099</c:v>
                </c:pt>
                <c:pt idx="40">
                  <c:v>115.98707867368655</c:v>
                </c:pt>
                <c:pt idx="41">
                  <c:v>116.15689935937257</c:v>
                </c:pt>
                <c:pt idx="42">
                  <c:v>116.4672581464615</c:v>
                </c:pt>
                <c:pt idx="43">
                  <c:v>116.81653688769039</c:v>
                </c:pt>
                <c:pt idx="44">
                  <c:v>117.23631910273038</c:v>
                </c:pt>
                <c:pt idx="45">
                  <c:v>117.50788721852115</c:v>
                </c:pt>
                <c:pt idx="46">
                  <c:v>118.06175340857392</c:v>
                </c:pt>
                <c:pt idx="47">
                  <c:v>118.54773054146163</c:v>
                </c:pt>
                <c:pt idx="48">
                  <c:v>118.83825073668321</c:v>
                </c:pt>
                <c:pt idx="49">
                  <c:v>119.30107173336381</c:v>
                </c:pt>
                <c:pt idx="50">
                  <c:v>119.7793810262479</c:v>
                </c:pt>
                <c:pt idx="51">
                  <c:v>120.52434103385694</c:v>
                </c:pt>
                <c:pt idx="52">
                  <c:v>120.83832082460621</c:v>
                </c:pt>
                <c:pt idx="53">
                  <c:v>121.28857507071977</c:v>
                </c:pt>
                <c:pt idx="54">
                  <c:v>121.87782318111854</c:v>
                </c:pt>
                <c:pt idx="55">
                  <c:v>122.29942923206279</c:v>
                </c:pt>
                <c:pt idx="56">
                  <c:v>122.93517433107918</c:v>
                </c:pt>
                <c:pt idx="57">
                  <c:v>123.46269508501865</c:v>
                </c:pt>
                <c:pt idx="58">
                  <c:v>124.02460604945119</c:v>
                </c:pt>
                <c:pt idx="59">
                  <c:v>124.46988338060473</c:v>
                </c:pt>
                <c:pt idx="60">
                  <c:v>124.91351762804649</c:v>
                </c:pt>
                <c:pt idx="61">
                  <c:v>125.48282720673602</c:v>
                </c:pt>
                <c:pt idx="62">
                  <c:v>125.99788629990023</c:v>
                </c:pt>
                <c:pt idx="63">
                  <c:v>126.77197929068528</c:v>
                </c:pt>
                <c:pt idx="64">
                  <c:v>127.33735245572275</c:v>
                </c:pt>
                <c:pt idx="65">
                  <c:v>127.78442916900836</c:v>
                </c:pt>
                <c:pt idx="66">
                  <c:v>128.17762955535821</c:v>
                </c:pt>
                <c:pt idx="67">
                  <c:v>128.68685946082707</c:v>
                </c:pt>
                <c:pt idx="68">
                  <c:v>129.30049426297001</c:v>
                </c:pt>
                <c:pt idx="69">
                  <c:v>129.70573193417115</c:v>
                </c:pt>
                <c:pt idx="70">
                  <c:v>130.06761854777054</c:v>
                </c:pt>
                <c:pt idx="71">
                  <c:v>130.5221718352864</c:v>
                </c:pt>
                <c:pt idx="72">
                  <c:v>130.80085006090192</c:v>
                </c:pt>
                <c:pt idx="73">
                  <c:v>130.78296425442034</c:v>
                </c:pt>
                <c:pt idx="74">
                  <c:v>130.6829904633434</c:v>
                </c:pt>
                <c:pt idx="75">
                  <c:v>130.45231947015637</c:v>
                </c:pt>
                <c:pt idx="76">
                  <c:v>130.12991860151945</c:v>
                </c:pt>
                <c:pt idx="77">
                  <c:v>129.72948952965649</c:v>
                </c:pt>
                <c:pt idx="78">
                  <c:v>129.10398412399502</c:v>
                </c:pt>
                <c:pt idx="79">
                  <c:v>128.43084423925373</c:v>
                </c:pt>
                <c:pt idx="80">
                  <c:v>127.76080465923269</c:v>
                </c:pt>
                <c:pt idx="81">
                  <c:v>127.15498856930668</c:v>
                </c:pt>
                <c:pt idx="82">
                  <c:v>126.69864088925709</c:v>
                </c:pt>
                <c:pt idx="83">
                  <c:v>126.8256554587132</c:v>
                </c:pt>
                <c:pt idx="84">
                  <c:v>127.36248616946253</c:v>
                </c:pt>
                <c:pt idx="85">
                  <c:v>127.96019294258225</c:v>
                </c:pt>
                <c:pt idx="86">
                  <c:v>128.53155685301203</c:v>
                </c:pt>
                <c:pt idx="87">
                  <c:v>129.42745742193418</c:v>
                </c:pt>
                <c:pt idx="88">
                  <c:v>130.45537843323925</c:v>
                </c:pt>
                <c:pt idx="89">
                  <c:v>131.30711051545512</c:v>
                </c:pt>
                <c:pt idx="90">
                  <c:v>132.34250199358561</c:v>
                </c:pt>
                <c:pt idx="91">
                  <c:v>133.36804595953421</c:v>
                </c:pt>
                <c:pt idx="92">
                  <c:v>134.11711384376412</c:v>
                </c:pt>
                <c:pt idx="93">
                  <c:v>134.80491003899357</c:v>
                </c:pt>
                <c:pt idx="94">
                  <c:v>135.62303502414161</c:v>
                </c:pt>
                <c:pt idx="95">
                  <c:v>136.47788361900714</c:v>
                </c:pt>
                <c:pt idx="96">
                  <c:v>137.13796658766307</c:v>
                </c:pt>
                <c:pt idx="97">
                  <c:v>137.5818964670504</c:v>
                </c:pt>
                <c:pt idx="98">
                  <c:v>138.12729176717531</c:v>
                </c:pt>
                <c:pt idx="99">
                  <c:v>138.31798224615764</c:v>
                </c:pt>
                <c:pt idx="100">
                  <c:v>138.61581330340712</c:v>
                </c:pt>
                <c:pt idx="101">
                  <c:v>139.15706582158853</c:v>
                </c:pt>
                <c:pt idx="102">
                  <c:v>139.55783283512864</c:v>
                </c:pt>
                <c:pt idx="103">
                  <c:v>139.9590094334329</c:v>
                </c:pt>
                <c:pt idx="104">
                  <c:v>140.25240024412025</c:v>
                </c:pt>
                <c:pt idx="105">
                  <c:v>140.68991026711942</c:v>
                </c:pt>
                <c:pt idx="106">
                  <c:v>140.95997314255735</c:v>
                </c:pt>
                <c:pt idx="107">
                  <c:v>141.11911444966924</c:v>
                </c:pt>
                <c:pt idx="108">
                  <c:v>141.45701752131126</c:v>
                </c:pt>
                <c:pt idx="109">
                  <c:v>141.60700932982417</c:v>
                </c:pt>
                <c:pt idx="110">
                  <c:v>141.78128848542639</c:v>
                </c:pt>
                <c:pt idx="111">
                  <c:v>141.7601922333304</c:v>
                </c:pt>
                <c:pt idx="112">
                  <c:v>141.58198585621122</c:v>
                </c:pt>
                <c:pt idx="113">
                  <c:v>141.69672090895443</c:v>
                </c:pt>
                <c:pt idx="114">
                  <c:v>141.60862985437495</c:v>
                </c:pt>
                <c:pt idx="115">
                  <c:v>141.43547226842443</c:v>
                </c:pt>
                <c:pt idx="116">
                  <c:v>141.49572051430354</c:v>
                </c:pt>
                <c:pt idx="117">
                  <c:v>141.66349669919694</c:v>
                </c:pt>
                <c:pt idx="118">
                  <c:v>141.74814615335367</c:v>
                </c:pt>
                <c:pt idx="119">
                  <c:v>141.7180816792125</c:v>
                </c:pt>
                <c:pt idx="120">
                  <c:v>142.00746532204133</c:v>
                </c:pt>
                <c:pt idx="121">
                  <c:v>142.55872736812731</c:v>
                </c:pt>
                <c:pt idx="122">
                  <c:v>142.85342087157872</c:v>
                </c:pt>
                <c:pt idx="123">
                  <c:v>143.22746430092917</c:v>
                </c:pt>
                <c:pt idx="124">
                  <c:v>143.73698769392232</c:v>
                </c:pt>
                <c:pt idx="125">
                  <c:v>143.85944298921115</c:v>
                </c:pt>
                <c:pt idx="126">
                  <c:v>144.10669147017799</c:v>
                </c:pt>
                <c:pt idx="127">
                  <c:v>144.39087055356856</c:v>
                </c:pt>
                <c:pt idx="128">
                  <c:v>144.6023302073524</c:v>
                </c:pt>
                <c:pt idx="129">
                  <c:v>144.80204648384679</c:v>
                </c:pt>
                <c:pt idx="130">
                  <c:v>144.92098419286603</c:v>
                </c:pt>
                <c:pt idx="131">
                  <c:v>145.25910418042938</c:v>
                </c:pt>
                <c:pt idx="132">
                  <c:v>145.54439951375352</c:v>
                </c:pt>
                <c:pt idx="133">
                  <c:v>145.78444039271454</c:v>
                </c:pt>
                <c:pt idx="134">
                  <c:v>146.24253369200585</c:v>
                </c:pt>
                <c:pt idx="135">
                  <c:v>146.61486365363032</c:v>
                </c:pt>
                <c:pt idx="136">
                  <c:v>146.74945854831384</c:v>
                </c:pt>
                <c:pt idx="137">
                  <c:v>146.91303840914847</c:v>
                </c:pt>
                <c:pt idx="138">
                  <c:v>147.11552089648197</c:v>
                </c:pt>
                <c:pt idx="139">
                  <c:v>147.16934161048357</c:v>
                </c:pt>
                <c:pt idx="140">
                  <c:v>147.13138194791631</c:v>
                </c:pt>
                <c:pt idx="141">
                  <c:v>146.74362649780062</c:v>
                </c:pt>
                <c:pt idx="142">
                  <c:v>146.62754626954771</c:v>
                </c:pt>
                <c:pt idx="143">
                  <c:v>146.53175837648766</c:v>
                </c:pt>
                <c:pt idx="144">
                  <c:v>146.20828066835315</c:v>
                </c:pt>
                <c:pt idx="145">
                  <c:v>145.85229885277289</c:v>
                </c:pt>
                <c:pt idx="146">
                  <c:v>145.5697558189047</c:v>
                </c:pt>
                <c:pt idx="147">
                  <c:v>145.5113002628577</c:v>
                </c:pt>
                <c:pt idx="148">
                  <c:v>145.12302896160034</c:v>
                </c:pt>
                <c:pt idx="149">
                  <c:v>144.85094232525995</c:v>
                </c:pt>
                <c:pt idx="150">
                  <c:v>144.98321529877967</c:v>
                </c:pt>
                <c:pt idx="151">
                  <c:v>144.75375705668873</c:v>
                </c:pt>
                <c:pt idx="152">
                  <c:v>144.32948837692223</c:v>
                </c:pt>
                <c:pt idx="153">
                  <c:v>143.80963657314956</c:v>
                </c:pt>
                <c:pt idx="154">
                  <c:v>143.31786099139299</c:v>
                </c:pt>
                <c:pt idx="155">
                  <c:v>142.7806096349851</c:v>
                </c:pt>
                <c:pt idx="156">
                  <c:v>141.9324377268313</c:v>
                </c:pt>
                <c:pt idx="157">
                  <c:v>141.39399582465538</c:v>
                </c:pt>
                <c:pt idx="158">
                  <c:v>140.62752619072796</c:v>
                </c:pt>
                <c:pt idx="159">
                  <c:v>139.85813490159254</c:v>
                </c:pt>
                <c:pt idx="160">
                  <c:v>139.28718622215348</c:v>
                </c:pt>
                <c:pt idx="161">
                  <c:v>138.67492314274693</c:v>
                </c:pt>
                <c:pt idx="162">
                  <c:v>138.22767484388712</c:v>
                </c:pt>
                <c:pt idx="163">
                  <c:v>137.76239549597383</c:v>
                </c:pt>
                <c:pt idx="164">
                  <c:v>137.37825129365442</c:v>
                </c:pt>
                <c:pt idx="165">
                  <c:v>137.03494685350802</c:v>
                </c:pt>
                <c:pt idx="166">
                  <c:v>136.58646631536425</c:v>
                </c:pt>
                <c:pt idx="167">
                  <c:v>136.22661044028527</c:v>
                </c:pt>
                <c:pt idx="168">
                  <c:v>135.95853884555487</c:v>
                </c:pt>
                <c:pt idx="169">
                  <c:v>135.70229208241014</c:v>
                </c:pt>
                <c:pt idx="170">
                  <c:v>135.47677143888285</c:v>
                </c:pt>
                <c:pt idx="171">
                  <c:v>135.26039913313573</c:v>
                </c:pt>
                <c:pt idx="172">
                  <c:v>135.21041407115749</c:v>
                </c:pt>
                <c:pt idx="173">
                  <c:v>135.39178619230233</c:v>
                </c:pt>
                <c:pt idx="174">
                  <c:v>135.3042525369477</c:v>
                </c:pt>
                <c:pt idx="175">
                  <c:v>135.27071452491833</c:v>
                </c:pt>
                <c:pt idx="176">
                  <c:v>135.39006265910405</c:v>
                </c:pt>
                <c:pt idx="177">
                  <c:v>135.63034524075348</c:v>
                </c:pt>
                <c:pt idx="178">
                  <c:v>135.86163200483796</c:v>
                </c:pt>
                <c:pt idx="179">
                  <c:v>136.00146696203151</c:v>
                </c:pt>
                <c:pt idx="180">
                  <c:v>136.37712037429662</c:v>
                </c:pt>
                <c:pt idx="181">
                  <c:v>136.64872236114755</c:v>
                </c:pt>
                <c:pt idx="182">
                  <c:v>136.7014849795419</c:v>
                </c:pt>
                <c:pt idx="183">
                  <c:v>137.01431371928683</c:v>
                </c:pt>
                <c:pt idx="184">
                  <c:v>137.18744703784179</c:v>
                </c:pt>
                <c:pt idx="185">
                  <c:v>137.28544763690121</c:v>
                </c:pt>
                <c:pt idx="186">
                  <c:v>137.35855787663596</c:v>
                </c:pt>
                <c:pt idx="187">
                  <c:v>137.5014241636224</c:v>
                </c:pt>
                <c:pt idx="188">
                  <c:v>137.24971308546088</c:v>
                </c:pt>
                <c:pt idx="189">
                  <c:v>137.50355957478951</c:v>
                </c:pt>
                <c:pt idx="190">
                  <c:v>137.88635741188665</c:v>
                </c:pt>
                <c:pt idx="191">
                  <c:v>137.96905427157614</c:v>
                </c:pt>
                <c:pt idx="192">
                  <c:v>137.85765786063959</c:v>
                </c:pt>
                <c:pt idx="193">
                  <c:v>137.89453825218393</c:v>
                </c:pt>
                <c:pt idx="194">
                  <c:v>138.29081270881423</c:v>
                </c:pt>
                <c:pt idx="195">
                  <c:v>138.24544985923245</c:v>
                </c:pt>
                <c:pt idx="196">
                  <c:v>138.50268158915702</c:v>
                </c:pt>
                <c:pt idx="197">
                  <c:v>138.9513363462523</c:v>
                </c:pt>
                <c:pt idx="198">
                  <c:v>138.9054483418407</c:v>
                </c:pt>
                <c:pt idx="199">
                  <c:v>138.92722082880789</c:v>
                </c:pt>
                <c:pt idx="200">
                  <c:v>139.06255677367105</c:v>
                </c:pt>
                <c:pt idx="201">
                  <c:v>139.11877249237133</c:v>
                </c:pt>
                <c:pt idx="202">
                  <c:v>138.99301968439644</c:v>
                </c:pt>
                <c:pt idx="203">
                  <c:v>139.00022634473635</c:v>
                </c:pt>
                <c:pt idx="204">
                  <c:v>139.00243530115173</c:v>
                </c:pt>
                <c:pt idx="205">
                  <c:v>139.11136454832356</c:v>
                </c:pt>
                <c:pt idx="206">
                  <c:v>139.17989505083679</c:v>
                </c:pt>
                <c:pt idx="207">
                  <c:v>139.34399857720689</c:v>
                </c:pt>
                <c:pt idx="208">
                  <c:v>139.712281880087</c:v>
                </c:pt>
                <c:pt idx="209">
                  <c:v>139.78476578248836</c:v>
                </c:pt>
                <c:pt idx="210">
                  <c:v>138.74996035584968</c:v>
                </c:pt>
                <c:pt idx="211">
                  <c:v>136.87499616012352</c:v>
                </c:pt>
                <c:pt idx="212">
                  <c:v>136.30210900691765</c:v>
                </c:pt>
                <c:pt idx="213">
                  <c:v>135.92680225680135</c:v>
                </c:pt>
                <c:pt idx="214">
                  <c:v>134.71576101634855</c:v>
                </c:pt>
                <c:pt idx="215">
                  <c:v>133.68467082998939</c:v>
                </c:pt>
                <c:pt idx="216">
                  <c:v>133.28999313040313</c:v>
                </c:pt>
                <c:pt idx="217">
                  <c:v>132.91349057029586</c:v>
                </c:pt>
                <c:pt idx="218">
                  <c:v>131.95055920316497</c:v>
                </c:pt>
                <c:pt idx="219">
                  <c:v>132.63557678233258</c:v>
                </c:pt>
                <c:pt idx="220">
                  <c:v>134.82239170655828</c:v>
                </c:pt>
                <c:pt idx="221">
                  <c:v>136.41239146648601</c:v>
                </c:pt>
                <c:pt idx="222">
                  <c:v>137.0658627637699</c:v>
                </c:pt>
                <c:pt idx="223">
                  <c:v>138.09850436243053</c:v>
                </c:pt>
                <c:pt idx="224">
                  <c:v>139.16341830939564</c:v>
                </c:pt>
                <c:pt idx="225">
                  <c:v>139.41657366446444</c:v>
                </c:pt>
                <c:pt idx="226">
                  <c:v>139.35257974953228</c:v>
                </c:pt>
                <c:pt idx="227">
                  <c:v>139.38793858019315</c:v>
                </c:pt>
                <c:pt idx="228">
                  <c:v>139.5669780221501</c:v>
                </c:pt>
                <c:pt idx="229">
                  <c:v>139.28575905150407</c:v>
                </c:pt>
                <c:pt idx="230" formatCode="General">
                  <c:v>139.27708504082469</c:v>
                </c:pt>
                <c:pt idx="231" formatCode="General">
                  <c:v>139.83016411112106</c:v>
                </c:pt>
                <c:pt idx="232" formatCode="General">
                  <c:v>139.91435407865799</c:v>
                </c:pt>
                <c:pt idx="233" formatCode="General">
                  <c:v>140.05241379012517</c:v>
                </c:pt>
                <c:pt idx="234" formatCode="General">
                  <c:v>140.47303884607615</c:v>
                </c:pt>
                <c:pt idx="235" formatCode="General">
                  <c:v>140.7962061031557</c:v>
                </c:pt>
                <c:pt idx="236" formatCode="General">
                  <c:v>141.01255188372298</c:v>
                </c:pt>
                <c:pt idx="237" formatCode="General">
                  <c:v>141.44411992716906</c:v>
                </c:pt>
                <c:pt idx="238" formatCode="General">
                  <c:v>142.07588669043673</c:v>
                </c:pt>
                <c:pt idx="239" formatCode="General">
                  <c:v>142.24364306001539</c:v>
                </c:pt>
                <c:pt idx="240" formatCode="General">
                  <c:v>142.46116347223094</c:v>
                </c:pt>
                <c:pt idx="241" formatCode="General">
                  <c:v>143.00001397882684</c:v>
                </c:pt>
                <c:pt idx="242" formatCode="General">
                  <c:v>143.16255591267637</c:v>
                </c:pt>
                <c:pt idx="243" formatCode="General">
                  <c:v>143.23604026118298</c:v>
                </c:pt>
                <c:pt idx="244" formatCode="General">
                  <c:v>143.49271749846096</c:v>
                </c:pt>
                <c:pt idx="245" formatCode="General">
                  <c:v>144.23206158823351</c:v>
                </c:pt>
                <c:pt idx="246" formatCode="General">
                  <c:v>144.43161077449653</c:v>
                </c:pt>
                <c:pt idx="247" formatCode="General">
                  <c:v>144.53754334793155</c:v>
                </c:pt>
                <c:pt idx="248" formatCode="General">
                  <c:v>144.7322090131776</c:v>
                </c:pt>
                <c:pt idx="249" formatCode="General">
                  <c:v>144.87891102515795</c:v>
                </c:pt>
                <c:pt idx="250" formatCode="General">
                  <c:v>145.18827491028787</c:v>
                </c:pt>
                <c:pt idx="251" formatCode="General">
                  <c:v>145.4241772559613</c:v>
                </c:pt>
                <c:pt idx="252" formatCode="General">
                  <c:v>145.956635198155</c:v>
                </c:pt>
              </c:numCache>
            </c:numRef>
          </c:val>
          <c:smooth val="0"/>
          <c:extLst>
            <c:ext xmlns:c16="http://schemas.microsoft.com/office/drawing/2014/chart" uri="{C3380CC4-5D6E-409C-BE32-E72D297353CC}">
              <c16:uniqueId val="{00000001-1BA1-464D-9DFE-3674C7E1C791}"/>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Modified Hamilton Cycle (rhs)</c:v>
          </c:tx>
          <c:spPr>
            <a:ln w="28575" cap="rnd">
              <a:solidFill>
                <a:schemeClr val="accent3"/>
              </a:solidFill>
              <a:round/>
            </a:ln>
            <a:effectLst/>
          </c:spPr>
          <c:marker>
            <c:symbol val="none"/>
          </c:marker>
          <c:cat>
            <c:numRef>
              <c:f>MHFILTER!$F$15:$F$253</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MHFILTER!$P$14:$P$266</c:f>
              <c:numCache>
                <c:formatCode>General</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-0.49587222614559479</c:v>
                </c:pt>
                <c:pt idx="16">
                  <c:v>-0.90315300324355186</c:v>
                </c:pt>
                <c:pt idx="17">
                  <c:v>-0.3744332224845171</c:v>
                </c:pt>
                <c:pt idx="18">
                  <c:v>-0.26826778997451112</c:v>
                </c:pt>
                <c:pt idx="19">
                  <c:v>-0.45020164874602941</c:v>
                </c:pt>
                <c:pt idx="20">
                  <c:v>9.8227809587743617E-3</c:v>
                </c:pt>
                <c:pt idx="21">
                  <c:v>-0.94240654397667667</c:v>
                </c:pt>
                <c:pt idx="22">
                  <c:v>-0.56225937155154626</c:v>
                </c:pt>
                <c:pt idx="23">
                  <c:v>-1.7776461849179508</c:v>
                </c:pt>
                <c:pt idx="24">
                  <c:v>-2.0093711491247195</c:v>
                </c:pt>
                <c:pt idx="25">
                  <c:v>-1.8093617554088344</c:v>
                </c:pt>
                <c:pt idx="26">
                  <c:v>-2.1755048326843442</c:v>
                </c:pt>
                <c:pt idx="27">
                  <c:v>-1.7694277273528263</c:v>
                </c:pt>
                <c:pt idx="28">
                  <c:v>-2.220703582384786</c:v>
                </c:pt>
                <c:pt idx="29">
                  <c:v>-3.3477871296060204</c:v>
                </c:pt>
                <c:pt idx="30">
                  <c:v>-3.5147776410575409</c:v>
                </c:pt>
                <c:pt idx="31">
                  <c:v>-3.1010961023871411</c:v>
                </c:pt>
                <c:pt idx="32">
                  <c:v>-3.8226400157600344</c:v>
                </c:pt>
                <c:pt idx="33">
                  <c:v>-3.5713003821974545</c:v>
                </c:pt>
                <c:pt idx="34">
                  <c:v>-3.0235744062973393</c:v>
                </c:pt>
                <c:pt idx="35">
                  <c:v>-2.1490286607698881</c:v>
                </c:pt>
                <c:pt idx="36">
                  <c:v>-1.7442221716536861</c:v>
                </c:pt>
                <c:pt idx="37">
                  <c:v>-1.6434209245706279</c:v>
                </c:pt>
                <c:pt idx="38">
                  <c:v>-2.0923103360745898</c:v>
                </c:pt>
                <c:pt idx="39">
                  <c:v>-1.4773589962098979</c:v>
                </c:pt>
                <c:pt idx="40">
                  <c:v>-0.31707867368655385</c:v>
                </c:pt>
                <c:pt idx="41">
                  <c:v>-1.8068993593725793</c:v>
                </c:pt>
                <c:pt idx="42">
                  <c:v>0.10274185353848332</c:v>
                </c:pt>
                <c:pt idx="43">
                  <c:v>-0.19653688769038999</c:v>
                </c:pt>
                <c:pt idx="44">
                  <c:v>-0.54631910273038409</c:v>
                </c:pt>
                <c:pt idx="45">
                  <c:v>0.60211278147884983</c:v>
                </c:pt>
                <c:pt idx="46">
                  <c:v>0.84824659142607095</c:v>
                </c:pt>
                <c:pt idx="47">
                  <c:v>2.1522694585383766</c:v>
                </c:pt>
                <c:pt idx="48">
                  <c:v>1.091749263316798</c:v>
                </c:pt>
                <c:pt idx="49">
                  <c:v>1.058928266636193</c:v>
                </c:pt>
                <c:pt idx="50">
                  <c:v>-0.29938102624790175</c:v>
                </c:pt>
                <c:pt idx="51">
                  <c:v>0.57565896614305878</c:v>
                </c:pt>
                <c:pt idx="52">
                  <c:v>1.3716791753937736</c:v>
                </c:pt>
                <c:pt idx="53">
                  <c:v>1.7014249292802188</c:v>
                </c:pt>
                <c:pt idx="54">
                  <c:v>1.9321768188814525</c:v>
                </c:pt>
                <c:pt idx="55">
                  <c:v>1.9405707679371997</c:v>
                </c:pt>
                <c:pt idx="56">
                  <c:v>2.1048256689208307</c:v>
                </c:pt>
                <c:pt idx="57">
                  <c:v>2.8073049149813474</c:v>
                </c:pt>
                <c:pt idx="58">
                  <c:v>2.2053939505488085</c:v>
                </c:pt>
                <c:pt idx="59">
                  <c:v>3.1301166193952619</c:v>
                </c:pt>
                <c:pt idx="60">
                  <c:v>2.5264823719535028</c:v>
                </c:pt>
                <c:pt idx="61">
                  <c:v>1.6271727932639743</c:v>
                </c:pt>
                <c:pt idx="62">
                  <c:v>0.39211370009977031</c:v>
                </c:pt>
                <c:pt idx="63">
                  <c:v>1.2480207093147315</c:v>
                </c:pt>
                <c:pt idx="64">
                  <c:v>2.0526475442772383</c:v>
                </c:pt>
                <c:pt idx="65">
                  <c:v>2.6955708309916324</c:v>
                </c:pt>
                <c:pt idx="66">
                  <c:v>2.3523704446418048</c:v>
                </c:pt>
                <c:pt idx="67">
                  <c:v>2.3931405391729359</c:v>
                </c:pt>
                <c:pt idx="68">
                  <c:v>1.2295057370300053</c:v>
                </c:pt>
                <c:pt idx="69">
                  <c:v>-1.5757319341711467</c:v>
                </c:pt>
                <c:pt idx="70">
                  <c:v>-5.0476185477705338</c:v>
                </c:pt>
                <c:pt idx="71">
                  <c:v>-8.8621718352863947</c:v>
                </c:pt>
                <c:pt idx="72">
                  <c:v>-9.5708500609019147</c:v>
                </c:pt>
                <c:pt idx="73">
                  <c:v>-8.382964254420326</c:v>
                </c:pt>
                <c:pt idx="74">
                  <c:v>-7.722990463343411</c:v>
                </c:pt>
                <c:pt idx="75">
                  <c:v>-6.9223194701563733</c:v>
                </c:pt>
                <c:pt idx="76">
                  <c:v>-5.3199186015194577</c:v>
                </c:pt>
                <c:pt idx="77">
                  <c:v>-4.2894895296564828</c:v>
                </c:pt>
                <c:pt idx="78">
                  <c:v>-3.26398412399503</c:v>
                </c:pt>
                <c:pt idx="79">
                  <c:v>-0.36084423925374015</c:v>
                </c:pt>
                <c:pt idx="80">
                  <c:v>1.1291953407673025</c:v>
                </c:pt>
                <c:pt idx="81">
                  <c:v>2.8150114306933207</c:v>
                </c:pt>
                <c:pt idx="82">
                  <c:v>3.3713591107428993</c:v>
                </c:pt>
                <c:pt idx="83">
                  <c:v>5.2543445412868159</c:v>
                </c:pt>
                <c:pt idx="84">
                  <c:v>6.5175138305374691</c:v>
                </c:pt>
                <c:pt idx="85">
                  <c:v>7.3898070574177472</c:v>
                </c:pt>
                <c:pt idx="86">
                  <c:v>7.9884431469879713</c:v>
                </c:pt>
                <c:pt idx="87">
                  <c:v>7.7025425780658292</c:v>
                </c:pt>
                <c:pt idx="88">
                  <c:v>5.7546215667607488</c:v>
                </c:pt>
                <c:pt idx="89">
                  <c:v>4.582889484544868</c:v>
                </c:pt>
                <c:pt idx="90">
                  <c:v>4.3774980064143723</c:v>
                </c:pt>
                <c:pt idx="91">
                  <c:v>4.3419540404657875</c:v>
                </c:pt>
                <c:pt idx="92">
                  <c:v>4.7328861562358782</c:v>
                </c:pt>
                <c:pt idx="93">
                  <c:v>3.8750899610064349</c:v>
                </c:pt>
                <c:pt idx="94">
                  <c:v>4.5169649758583779</c:v>
                </c:pt>
                <c:pt idx="95">
                  <c:v>2.1921163809928492</c:v>
                </c:pt>
                <c:pt idx="96">
                  <c:v>3.1220334123369122</c:v>
                </c:pt>
                <c:pt idx="97">
                  <c:v>3.3481035329496081</c:v>
                </c:pt>
                <c:pt idx="98">
                  <c:v>2.9327082328246914</c:v>
                </c:pt>
                <c:pt idx="99">
                  <c:v>2.6520177538423613</c:v>
                </c:pt>
                <c:pt idx="100">
                  <c:v>2.5641866965928841</c:v>
                </c:pt>
                <c:pt idx="101">
                  <c:v>2.692934178411472</c:v>
                </c:pt>
                <c:pt idx="102">
                  <c:v>2.5421671648713584</c:v>
                </c:pt>
                <c:pt idx="103">
                  <c:v>1.9809905665671106</c:v>
                </c:pt>
                <c:pt idx="104">
                  <c:v>1.3275997558797503</c:v>
                </c:pt>
                <c:pt idx="105">
                  <c:v>0.92008973288060425</c:v>
                </c:pt>
                <c:pt idx="106">
                  <c:v>1.3500268574426508</c:v>
                </c:pt>
                <c:pt idx="107">
                  <c:v>-0.19911444966926536</c:v>
                </c:pt>
                <c:pt idx="108">
                  <c:v>-2.4170175213112532</c:v>
                </c:pt>
                <c:pt idx="109">
                  <c:v>-1.0570093298241607</c:v>
                </c:pt>
                <c:pt idx="110">
                  <c:v>-1.6412884854264038</c:v>
                </c:pt>
                <c:pt idx="111">
                  <c:v>-1.0001922333303968</c:v>
                </c:pt>
                <c:pt idx="112">
                  <c:v>0.91801414378878432</c:v>
                </c:pt>
                <c:pt idx="113">
                  <c:v>1.8532790910455788</c:v>
                </c:pt>
                <c:pt idx="114">
                  <c:v>2.2113701456250521</c:v>
                </c:pt>
                <c:pt idx="115">
                  <c:v>2.8245277315755448</c:v>
                </c:pt>
                <c:pt idx="116">
                  <c:v>2.1642794856964604</c:v>
                </c:pt>
                <c:pt idx="117">
                  <c:v>3.1765033008030565</c:v>
                </c:pt>
                <c:pt idx="118">
                  <c:v>2.8918538466463257</c:v>
                </c:pt>
                <c:pt idx="119">
                  <c:v>2.4319183207875152</c:v>
                </c:pt>
                <c:pt idx="120">
                  <c:v>2.9725346779586661</c:v>
                </c:pt>
                <c:pt idx="121">
                  <c:v>1.261272631872673</c:v>
                </c:pt>
                <c:pt idx="122">
                  <c:v>2.1865791284212688</c:v>
                </c:pt>
                <c:pt idx="123">
                  <c:v>3.0525356990708397</c:v>
                </c:pt>
                <c:pt idx="124">
                  <c:v>3.0530123060776697</c:v>
                </c:pt>
                <c:pt idx="125">
                  <c:v>2.4905570107888511</c:v>
                </c:pt>
                <c:pt idx="126">
                  <c:v>2.8233085298220053</c:v>
                </c:pt>
                <c:pt idx="127">
                  <c:v>2.7891294464314393</c:v>
                </c:pt>
                <c:pt idx="128">
                  <c:v>3.2276697926476206</c:v>
                </c:pt>
                <c:pt idx="129">
                  <c:v>3.1879535161532178</c:v>
                </c:pt>
                <c:pt idx="130">
                  <c:v>3.439015807133984</c:v>
                </c:pt>
                <c:pt idx="131">
                  <c:v>3.5008958195706126</c:v>
                </c:pt>
                <c:pt idx="132">
                  <c:v>2.7656004862464871</c:v>
                </c:pt>
                <c:pt idx="133">
                  <c:v>2.2155596072854689</c:v>
                </c:pt>
                <c:pt idx="134">
                  <c:v>1.5374663079941639</c:v>
                </c:pt>
                <c:pt idx="135">
                  <c:v>0.45513634636965761</c:v>
                </c:pt>
                <c:pt idx="136">
                  <c:v>-0.37945854831383169</c:v>
                </c:pt>
                <c:pt idx="137">
                  <c:v>-3.4830384091484601</c:v>
                </c:pt>
                <c:pt idx="138">
                  <c:v>-2.4455208964819928</c:v>
                </c:pt>
                <c:pt idx="139">
                  <c:v>-1.509341610483574</c:v>
                </c:pt>
                <c:pt idx="140">
                  <c:v>-0.90138194791632031</c:v>
                </c:pt>
                <c:pt idx="141">
                  <c:v>-1.3336264978006289</c:v>
                </c:pt>
                <c:pt idx="142">
                  <c:v>-1.0075462695477029</c:v>
                </c:pt>
                <c:pt idx="143">
                  <c:v>-0.25175837648764815</c:v>
                </c:pt>
                <c:pt idx="144">
                  <c:v>-1.0982806683531376</c:v>
                </c:pt>
                <c:pt idx="145">
                  <c:v>-1.802298852772888</c:v>
                </c:pt>
                <c:pt idx="146">
                  <c:v>-1.839755818904703</c:v>
                </c:pt>
                <c:pt idx="147">
                  <c:v>-3.4913002628576857</c:v>
                </c:pt>
                <c:pt idx="148">
                  <c:v>-4.0530289616003348</c:v>
                </c:pt>
                <c:pt idx="149">
                  <c:v>-5.3009423252599328</c:v>
                </c:pt>
                <c:pt idx="150">
                  <c:v>-6.5632152987796877</c:v>
                </c:pt>
                <c:pt idx="151">
                  <c:v>-5.9237570566887081</c:v>
                </c:pt>
                <c:pt idx="152">
                  <c:v>-6.6194883769222201</c:v>
                </c:pt>
                <c:pt idx="153">
                  <c:v>-5.0296365731495563</c:v>
                </c:pt>
                <c:pt idx="154">
                  <c:v>-6.5078609913929881</c:v>
                </c:pt>
                <c:pt idx="155">
                  <c:v>-6.3006096349851015</c:v>
                </c:pt>
                <c:pt idx="156">
                  <c:v>-6.3524377268312895</c:v>
                </c:pt>
                <c:pt idx="157">
                  <c:v>-5.9739958246553861</c:v>
                </c:pt>
                <c:pt idx="158">
                  <c:v>-6.1575261907279515</c:v>
                </c:pt>
                <c:pt idx="159">
                  <c:v>-5.3681349015925166</c:v>
                </c:pt>
                <c:pt idx="160">
                  <c:v>-5.217186222153483</c:v>
                </c:pt>
                <c:pt idx="161">
                  <c:v>-4.1049231427469506</c:v>
                </c:pt>
                <c:pt idx="162">
                  <c:v>-3.7976748438871146</c:v>
                </c:pt>
                <c:pt idx="163">
                  <c:v>-4.0423954959738255</c:v>
                </c:pt>
                <c:pt idx="164">
                  <c:v>-3.738251293654435</c:v>
                </c:pt>
                <c:pt idx="165">
                  <c:v>-3.6949468535080205</c:v>
                </c:pt>
                <c:pt idx="166">
                  <c:v>-3.4464663153642618</c:v>
                </c:pt>
                <c:pt idx="167">
                  <c:v>-3.6866104402852908</c:v>
                </c:pt>
                <c:pt idx="168">
                  <c:v>-2.3485388455548621</c:v>
                </c:pt>
                <c:pt idx="169">
                  <c:v>-0.15229208241014033</c:v>
                </c:pt>
                <c:pt idx="170">
                  <c:v>-0.13677143888283971</c:v>
                </c:pt>
                <c:pt idx="171">
                  <c:v>2.9600866864244482E-2</c:v>
                </c:pt>
                <c:pt idx="172">
                  <c:v>-0.15041407115747851</c:v>
                </c:pt>
                <c:pt idx="173">
                  <c:v>0.55821380769766116</c:v>
                </c:pt>
                <c:pt idx="174">
                  <c:v>1.0357474630523125</c:v>
                </c:pt>
                <c:pt idx="175">
                  <c:v>0.36928547508165999</c:v>
                </c:pt>
                <c:pt idx="176">
                  <c:v>0.24993734089595263</c:v>
                </c:pt>
                <c:pt idx="177">
                  <c:v>0.40965475924651668</c:v>
                </c:pt>
                <c:pt idx="178">
                  <c:v>0.12836799516205449</c:v>
                </c:pt>
                <c:pt idx="179">
                  <c:v>2.1085330379684928</c:v>
                </c:pt>
                <c:pt idx="180">
                  <c:v>1.0428796257033766</c:v>
                </c:pt>
                <c:pt idx="181">
                  <c:v>0.18127763885245449</c:v>
                </c:pt>
                <c:pt idx="182">
                  <c:v>-0.11148497954191169</c:v>
                </c:pt>
                <c:pt idx="183">
                  <c:v>0.26568628071316563</c:v>
                </c:pt>
                <c:pt idx="184">
                  <c:v>-4.1174470378417958</c:v>
                </c:pt>
                <c:pt idx="185">
                  <c:v>0.10455236309877275</c:v>
                </c:pt>
                <c:pt idx="186">
                  <c:v>0.56144212336402199</c:v>
                </c:pt>
                <c:pt idx="187">
                  <c:v>1.4485758363775731</c:v>
                </c:pt>
                <c:pt idx="188">
                  <c:v>0.9702869145391162</c:v>
                </c:pt>
                <c:pt idx="189">
                  <c:v>0.93644042521049187</c:v>
                </c:pt>
                <c:pt idx="190">
                  <c:v>0.7236425881133578</c:v>
                </c:pt>
                <c:pt idx="191">
                  <c:v>1.2109457284238785</c:v>
                </c:pt>
                <c:pt idx="192">
                  <c:v>1.4223421393604225</c:v>
                </c:pt>
                <c:pt idx="193">
                  <c:v>-0.20453825218392455</c:v>
                </c:pt>
                <c:pt idx="194">
                  <c:v>-1.2908127088142294</c:v>
                </c:pt>
                <c:pt idx="195">
                  <c:v>-1.375449859232434</c:v>
                </c:pt>
                <c:pt idx="196">
                  <c:v>0.13731841084297494</c:v>
                </c:pt>
                <c:pt idx="197">
                  <c:v>-9.1336346252290923E-2</c:v>
                </c:pt>
                <c:pt idx="198">
                  <c:v>-0.61544834184070085</c:v>
                </c:pt>
                <c:pt idx="199">
                  <c:v>-0.57722082880788628</c:v>
                </c:pt>
                <c:pt idx="200">
                  <c:v>9.7443226328945476E-2</c:v>
                </c:pt>
                <c:pt idx="201">
                  <c:v>1.4412275076286738</c:v>
                </c:pt>
                <c:pt idx="202">
                  <c:v>0.88698031560354529</c:v>
                </c:pt>
                <c:pt idx="203">
                  <c:v>0.27977365526365044</c:v>
                </c:pt>
                <c:pt idx="204">
                  <c:v>1.0475646988482703</c:v>
                </c:pt>
                <c:pt idx="205">
                  <c:v>0.53863545167643823</c:v>
                </c:pt>
                <c:pt idx="206">
                  <c:v>-9.4698950508367759</c:v>
                </c:pt>
                <c:pt idx="207">
                  <c:v>-22.153998577206888</c:v>
                </c:pt>
                <c:pt idx="208">
                  <c:v>-18.682281880087011</c:v>
                </c:pt>
                <c:pt idx="209">
                  <c:v>-12.724765782488355</c:v>
                </c:pt>
                <c:pt idx="210">
                  <c:v>-7.7599603558496746</c:v>
                </c:pt>
                <c:pt idx="211">
                  <c:v>-3.0149961601234989</c:v>
                </c:pt>
                <c:pt idx="212">
                  <c:v>0.53789099308235366</c:v>
                </c:pt>
                <c:pt idx="213">
                  <c:v>3.3931977431986318</c:v>
                </c:pt>
                <c:pt idx="214">
                  <c:v>4.5242389836514576</c:v>
                </c:pt>
                <c:pt idx="215">
                  <c:v>5.8553291700106165</c:v>
                </c:pt>
                <c:pt idx="216">
                  <c:v>6.8400068695968752</c:v>
                </c:pt>
                <c:pt idx="217">
                  <c:v>8.0665094297041193</c:v>
                </c:pt>
                <c:pt idx="218">
                  <c:v>3.7694407968350196</c:v>
                </c:pt>
                <c:pt idx="219">
                  <c:v>4.8044232176674324</c:v>
                </c:pt>
                <c:pt idx="220">
                  <c:v>3.917608293441734</c:v>
                </c:pt>
                <c:pt idx="221">
                  <c:v>2.5376085335139655</c:v>
                </c:pt>
                <c:pt idx="222">
                  <c:v>1.4241372362301092</c:v>
                </c:pt>
                <c:pt idx="223">
                  <c:v>0.8214956375694682</c:v>
                </c:pt>
                <c:pt idx="224">
                  <c:v>-0.30341830939562442</c:v>
                </c:pt>
                <c:pt idx="225">
                  <c:v>0.20342633553556766</c:v>
                </c:pt>
                <c:pt idx="226">
                  <c:v>1.6974202504677325</c:v>
                </c:pt>
                <c:pt idx="227">
                  <c:v>1.8320614198068579</c:v>
                </c:pt>
                <c:pt idx="228">
                  <c:v>0.69302197784989827</c:v>
                </c:pt>
                <c:pt idx="229">
                  <c:v>1.5342409484959301</c:v>
                </c:pt>
                <c:pt idx="230">
                  <c:v>2.6629149591753012</c:v>
                </c:pt>
                <c:pt idx="231">
                  <c:v>2.3598358888789397</c:v>
                </c:pt>
                <c:pt idx="232">
                  <c:v>2.2356459213420217</c:v>
                </c:pt>
                <c:pt idx="233">
                  <c:v>2.8375862098748112</c:v>
                </c:pt>
                <c:pt idx="234">
                  <c:v>4.9469611539238434</c:v>
                </c:pt>
                <c:pt idx="235">
                  <c:v>3.6837938968442803</c:v>
                </c:pt>
                <c:pt idx="236">
                  <c:v>3.4774481162770439</c:v>
                </c:pt>
                <c:pt idx="237">
                  <c:v>3.2358800728309518</c:v>
                </c:pt>
                <c:pt idx="238">
                  <c:v>0.66411330956327363</c:v>
                </c:pt>
                <c:pt idx="239">
                  <c:v>5.6356939984624432E-2</c:v>
                </c:pt>
                <c:pt idx="240">
                  <c:v>1.0188365277690441</c:v>
                </c:pt>
                <c:pt idx="241">
                  <c:v>4.5199860211731711</c:v>
                </c:pt>
                <c:pt idx="242">
                  <c:v>3.8574440873236302</c:v>
                </c:pt>
                <c:pt idx="243">
                  <c:v>5.6439597388170233</c:v>
                </c:pt>
                <c:pt idx="244">
                  <c:v>2.6672825015390313</c:v>
                </c:pt>
                <c:pt idx="245">
                  <c:v>2.3179384117665145</c:v>
                </c:pt>
                <c:pt idx="246">
                  <c:v>2.5483892255034468</c:v>
                </c:pt>
                <c:pt idx="247">
                  <c:v>1.6024566520684498</c:v>
                </c:pt>
                <c:pt idx="248">
                  <c:v>1.4577909868224057</c:v>
                </c:pt>
                <c:pt idx="249">
                  <c:v>1.3810889748420467</c:v>
                </c:pt>
                <c:pt idx="250">
                  <c:v>1.2217250897121137</c:v>
                </c:pt>
                <c:pt idx="251">
                  <c:v>2.185822744038723</c:v>
                </c:pt>
                <c:pt idx="252">
                  <c:v>2.5433648018450077</c:v>
                </c:pt>
              </c:numCache>
            </c:numRef>
          </c:val>
          <c:smooth val="0"/>
          <c:extLst>
            <c:ext xmlns:c16="http://schemas.microsoft.com/office/drawing/2014/chart" uri="{C3380CC4-5D6E-409C-BE32-E72D297353CC}">
              <c16:uniqueId val="{00000002-1BA1-464D-9DFE-3674C7E1C791}"/>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HENDFILTER!$F$13:$F$265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HENDFILTER!$G$13:$G$265</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79CE-4888-B307-437E52992C9E}"/>
            </c:ext>
          </c:extLst>
        </c:ser>
        <c:ser>
          <c:idx val="1"/>
          <c:order val="1"/>
          <c:tx>
            <c:v>Henderson trend</c:v>
          </c:tx>
          <c:spPr>
            <a:ln w="28575" cap="rnd">
              <a:solidFill>
                <a:schemeClr val="accent2"/>
              </a:solidFill>
              <a:round/>
            </a:ln>
            <a:effectLst/>
          </c:spPr>
          <c:marker>
            <c:symbol val="none"/>
          </c:marker>
          <c:cat>
            <c:numRef>
              <c:f>HENDFILTER!$F$13:$F$265</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HENDFILTER!$N$13:$N$265</c:f>
              <c:numCache>
                <c:formatCode>0.0000</c:formatCode>
                <c:ptCount val="253"/>
                <c:pt idx="0">
                  <c:v>101.48947845960278</c:v>
                </c:pt>
                <c:pt idx="1">
                  <c:v>101.45937262075431</c:v>
                </c:pt>
                <c:pt idx="2">
                  <c:v>101.25029043913342</c:v>
                </c:pt>
                <c:pt idx="3">
                  <c:v>100.86457082497384</c:v>
                </c:pt>
                <c:pt idx="4">
                  <c:v>100.30172946155076</c:v>
                </c:pt>
                <c:pt idx="5">
                  <c:v>99.849009612678344</c:v>
                </c:pt>
                <c:pt idx="6">
                  <c:v>99.817306285046214</c:v>
                </c:pt>
                <c:pt idx="7">
                  <c:v>100.21547890190303</c:v>
                </c:pt>
                <c:pt idx="8">
                  <c:v>100.81868182900689</c:v>
                </c:pt>
                <c:pt idx="9">
                  <c:v>101.44492909567214</c:v>
                </c:pt>
                <c:pt idx="10">
                  <c:v>102.05637218818333</c:v>
                </c:pt>
                <c:pt idx="11">
                  <c:v>102.74053573361624</c:v>
                </c:pt>
                <c:pt idx="12">
                  <c:v>103.54583504730563</c:v>
                </c:pt>
                <c:pt idx="13">
                  <c:v>104.49145196908353</c:v>
                </c:pt>
                <c:pt idx="14">
                  <c:v>105.42508898222519</c:v>
                </c:pt>
                <c:pt idx="15">
                  <c:v>106.16030678300028</c:v>
                </c:pt>
                <c:pt idx="16">
                  <c:v>106.72616315572971</c:v>
                </c:pt>
                <c:pt idx="17">
                  <c:v>107.21084294962003</c:v>
                </c:pt>
                <c:pt idx="18">
                  <c:v>107.73540258503105</c:v>
                </c:pt>
                <c:pt idx="19">
                  <c:v>108.26806220095692</c:v>
                </c:pt>
                <c:pt idx="20">
                  <c:v>108.72505650696051</c:v>
                </c:pt>
                <c:pt idx="21">
                  <c:v>109.04259877893006</c:v>
                </c:pt>
                <c:pt idx="22">
                  <c:v>109.24363452337137</c:v>
                </c:pt>
                <c:pt idx="23">
                  <c:v>109.44421561410725</c:v>
                </c:pt>
                <c:pt idx="24">
                  <c:v>109.73886423174348</c:v>
                </c:pt>
                <c:pt idx="25">
                  <c:v>110.12387733010024</c:v>
                </c:pt>
                <c:pt idx="26">
                  <c:v>110.47222910216718</c:v>
                </c:pt>
                <c:pt idx="27">
                  <c:v>110.69281105891012</c:v>
                </c:pt>
                <c:pt idx="28">
                  <c:v>110.77483470090283</c:v>
                </c:pt>
                <c:pt idx="29">
                  <c:v>110.72794085171793</c:v>
                </c:pt>
                <c:pt idx="30">
                  <c:v>110.66473673385437</c:v>
                </c:pt>
                <c:pt idx="31">
                  <c:v>110.70132877957955</c:v>
                </c:pt>
                <c:pt idx="32">
                  <c:v>110.93693087098659</c:v>
                </c:pt>
                <c:pt idx="33">
                  <c:v>111.41108088505921</c:v>
                </c:pt>
                <c:pt idx="34">
                  <c:v>112.01092565329407</c:v>
                </c:pt>
                <c:pt idx="35">
                  <c:v>112.60008356968108</c:v>
                </c:pt>
                <c:pt idx="36">
                  <c:v>113.17932916928272</c:v>
                </c:pt>
                <c:pt idx="37">
                  <c:v>113.64795200155881</c:v>
                </c:pt>
                <c:pt idx="38">
                  <c:v>114.01031847409554</c:v>
                </c:pt>
                <c:pt idx="39">
                  <c:v>114.40208599450085</c:v>
                </c:pt>
                <c:pt idx="40">
                  <c:v>114.86372783563185</c:v>
                </c:pt>
                <c:pt idx="41">
                  <c:v>115.38234222433914</c:v>
                </c:pt>
                <c:pt idx="42">
                  <c:v>115.90234135833205</c:v>
                </c:pt>
                <c:pt idx="43">
                  <c:v>116.50895537898633</c:v>
                </c:pt>
                <c:pt idx="44">
                  <c:v>117.27173850916886</c:v>
                </c:pt>
                <c:pt idx="45">
                  <c:v>118.19767704431791</c:v>
                </c:pt>
                <c:pt idx="46">
                  <c:v>119.06023739418477</c:v>
                </c:pt>
                <c:pt idx="47">
                  <c:v>119.65979973586785</c:v>
                </c:pt>
                <c:pt idx="48">
                  <c:v>120.01823529411763</c:v>
                </c:pt>
                <c:pt idx="49">
                  <c:v>120.21011885946869</c:v>
                </c:pt>
                <c:pt idx="50">
                  <c:v>120.49973565134557</c:v>
                </c:pt>
                <c:pt idx="51">
                  <c:v>121.07356513455585</c:v>
                </c:pt>
                <c:pt idx="52">
                  <c:v>121.89224090151333</c:v>
                </c:pt>
                <c:pt idx="53">
                  <c:v>122.83455097534046</c:v>
                </c:pt>
                <c:pt idx="54">
                  <c:v>123.69740923163523</c:v>
                </c:pt>
                <c:pt idx="55">
                  <c:v>124.47464937539239</c:v>
                </c:pt>
                <c:pt idx="56">
                  <c:v>125.21883186472972</c:v>
                </c:pt>
                <c:pt idx="57">
                  <c:v>125.99704604992527</c:v>
                </c:pt>
                <c:pt idx="58">
                  <c:v>126.63068306306693</c:v>
                </c:pt>
                <c:pt idx="59">
                  <c:v>126.9775141267401</c:v>
                </c:pt>
                <c:pt idx="60">
                  <c:v>127.07559602935765</c:v>
                </c:pt>
                <c:pt idx="61">
                  <c:v>127.159295828011</c:v>
                </c:pt>
                <c:pt idx="62">
                  <c:v>127.47842278464567</c:v>
                </c:pt>
                <c:pt idx="63">
                  <c:v>128.15505618220789</c:v>
                </c:pt>
                <c:pt idx="64">
                  <c:v>129.14601820779839</c:v>
                </c:pt>
                <c:pt idx="65">
                  <c:v>130.21477451341229</c:v>
                </c:pt>
                <c:pt idx="66">
                  <c:v>130.91389237697288</c:v>
                </c:pt>
                <c:pt idx="67">
                  <c:v>130.77859122301848</c:v>
                </c:pt>
                <c:pt idx="68">
                  <c:v>129.56756695317065</c:v>
                </c:pt>
                <c:pt idx="69">
                  <c:v>127.5020186624521</c:v>
                </c:pt>
                <c:pt idx="70">
                  <c:v>125.1231411158501</c:v>
                </c:pt>
                <c:pt idx="71">
                  <c:v>123.10380447725652</c:v>
                </c:pt>
                <c:pt idx="72">
                  <c:v>121.98350797809003</c:v>
                </c:pt>
                <c:pt idx="73">
                  <c:v>121.9318265171361</c:v>
                </c:pt>
                <c:pt idx="74">
                  <c:v>122.60269934399965</c:v>
                </c:pt>
                <c:pt idx="75">
                  <c:v>123.54761620732208</c:v>
                </c:pt>
                <c:pt idx="76">
                  <c:v>124.49997228777417</c:v>
                </c:pt>
                <c:pt idx="77">
                  <c:v>125.46984119595572</c:v>
                </c:pt>
                <c:pt idx="78">
                  <c:v>126.51299627616966</c:v>
                </c:pt>
                <c:pt idx="79">
                  <c:v>127.58000184026501</c:v>
                </c:pt>
                <c:pt idx="80">
                  <c:v>128.62357130485609</c:v>
                </c:pt>
                <c:pt idx="81">
                  <c:v>129.69638387927861</c:v>
                </c:pt>
                <c:pt idx="82">
                  <c:v>130.88742059797784</c:v>
                </c:pt>
                <c:pt idx="83">
                  <c:v>132.26932689601418</c:v>
                </c:pt>
                <c:pt idx="84">
                  <c:v>133.78952066509342</c:v>
                </c:pt>
                <c:pt idx="85">
                  <c:v>135.18150923380026</c:v>
                </c:pt>
                <c:pt idx="86">
                  <c:v>136.10527885427265</c:v>
                </c:pt>
                <c:pt idx="87">
                  <c:v>136.47597967048429</c:v>
                </c:pt>
                <c:pt idx="88">
                  <c:v>136.52986609365865</c:v>
                </c:pt>
                <c:pt idx="89">
                  <c:v>136.60232317218384</c:v>
                </c:pt>
                <c:pt idx="90">
                  <c:v>136.96927558509603</c:v>
                </c:pt>
                <c:pt idx="91">
                  <c:v>137.61087315161618</c:v>
                </c:pt>
                <c:pt idx="92">
                  <c:v>138.32940104786857</c:v>
                </c:pt>
                <c:pt idx="93">
                  <c:v>138.93402866483362</c:v>
                </c:pt>
                <c:pt idx="94">
                  <c:v>139.3790350516357</c:v>
                </c:pt>
                <c:pt idx="95">
                  <c:v>139.76138063175213</c:v>
                </c:pt>
                <c:pt idx="96">
                  <c:v>140.14526261664034</c:v>
                </c:pt>
                <c:pt idx="97">
                  <c:v>140.52919125765877</c:v>
                </c:pt>
                <c:pt idx="98">
                  <c:v>140.89284981272596</c:v>
                </c:pt>
                <c:pt idx="99">
                  <c:v>141.21703966312322</c:v>
                </c:pt>
                <c:pt idx="100">
                  <c:v>141.49291995929764</c:v>
                </c:pt>
                <c:pt idx="101">
                  <c:v>141.66284634869774</c:v>
                </c:pt>
                <c:pt idx="102">
                  <c:v>141.82855712399058</c:v>
                </c:pt>
                <c:pt idx="103">
                  <c:v>141.9776385070038</c:v>
                </c:pt>
                <c:pt idx="104">
                  <c:v>141.96020805819569</c:v>
                </c:pt>
                <c:pt idx="105">
                  <c:v>141.719675463855</c:v>
                </c:pt>
                <c:pt idx="106">
                  <c:v>141.28974344540907</c:v>
                </c:pt>
                <c:pt idx="107">
                  <c:v>140.74401394271362</c:v>
                </c:pt>
                <c:pt idx="108">
                  <c:v>140.25253610166919</c:v>
                </c:pt>
                <c:pt idx="109">
                  <c:v>140.07758557232242</c:v>
                </c:pt>
                <c:pt idx="110">
                  <c:v>140.40103715170278</c:v>
                </c:pt>
                <c:pt idx="111">
                  <c:v>141.21762194461883</c:v>
                </c:pt>
                <c:pt idx="112">
                  <c:v>142.22204161163913</c:v>
                </c:pt>
                <c:pt idx="113">
                  <c:v>143.09320649938297</c:v>
                </c:pt>
                <c:pt idx="114">
                  <c:v>143.73717248695576</c:v>
                </c:pt>
                <c:pt idx="115">
                  <c:v>144.13555316200825</c:v>
                </c:pt>
                <c:pt idx="116">
                  <c:v>144.3315534001602</c:v>
                </c:pt>
                <c:pt idx="117">
                  <c:v>144.42127595314903</c:v>
                </c:pt>
                <c:pt idx="118">
                  <c:v>144.43342808893891</c:v>
                </c:pt>
                <c:pt idx="119">
                  <c:v>144.40584078460239</c:v>
                </c:pt>
                <c:pt idx="120">
                  <c:v>144.4756445257529</c:v>
                </c:pt>
                <c:pt idx="121">
                  <c:v>144.74030515923701</c:v>
                </c:pt>
                <c:pt idx="122">
                  <c:v>145.20454339777871</c:v>
                </c:pt>
                <c:pt idx="123">
                  <c:v>145.78036707874168</c:v>
                </c:pt>
                <c:pt idx="124">
                  <c:v>146.30438989802767</c:v>
                </c:pt>
                <c:pt idx="125">
                  <c:v>146.71291530450975</c:v>
                </c:pt>
                <c:pt idx="126">
                  <c:v>147.02123081253109</c:v>
                </c:pt>
                <c:pt idx="127">
                  <c:v>147.31079672649332</c:v>
                </c:pt>
                <c:pt idx="128">
                  <c:v>147.69457944532246</c:v>
                </c:pt>
                <c:pt idx="129">
                  <c:v>148.09099904739224</c:v>
                </c:pt>
                <c:pt idx="130">
                  <c:v>148.37601517677368</c:v>
                </c:pt>
                <c:pt idx="131">
                  <c:v>148.47793641343176</c:v>
                </c:pt>
                <c:pt idx="132">
                  <c:v>148.45217930676134</c:v>
                </c:pt>
                <c:pt idx="133">
                  <c:v>148.17232999198944</c:v>
                </c:pt>
                <c:pt idx="134">
                  <c:v>147.53934302539565</c:v>
                </c:pt>
                <c:pt idx="135">
                  <c:v>146.62807335079779</c:v>
                </c:pt>
                <c:pt idx="136">
                  <c:v>145.73915369460263</c:v>
                </c:pt>
                <c:pt idx="137">
                  <c:v>145.13991004351684</c:v>
                </c:pt>
                <c:pt idx="138">
                  <c:v>144.93660503583104</c:v>
                </c:pt>
                <c:pt idx="139">
                  <c:v>145.13520589317801</c:v>
                </c:pt>
                <c:pt idx="140">
                  <c:v>145.55702223473119</c:v>
                </c:pt>
                <c:pt idx="141">
                  <c:v>145.88646928922469</c:v>
                </c:pt>
                <c:pt idx="142">
                  <c:v>145.92430362207452</c:v>
                </c:pt>
                <c:pt idx="143">
                  <c:v>145.63315962675097</c:v>
                </c:pt>
                <c:pt idx="144">
                  <c:v>145.13151746086729</c:v>
                </c:pt>
                <c:pt idx="145">
                  <c:v>144.38477451341228</c:v>
                </c:pt>
                <c:pt idx="146">
                  <c:v>143.34051635670832</c:v>
                </c:pt>
                <c:pt idx="147">
                  <c:v>142.11214629024224</c:v>
                </c:pt>
                <c:pt idx="148">
                  <c:v>140.86221156552423</c:v>
                </c:pt>
                <c:pt idx="149">
                  <c:v>139.79538927017254</c:v>
                </c:pt>
                <c:pt idx="150">
                  <c:v>139.00116044945764</c:v>
                </c:pt>
                <c:pt idx="151">
                  <c:v>138.49882699343999</c:v>
                </c:pt>
                <c:pt idx="152">
                  <c:v>138.13844908961011</c:v>
                </c:pt>
                <c:pt idx="153">
                  <c:v>137.73502424819762</c:v>
                </c:pt>
                <c:pt idx="154">
                  <c:v>137.18519939812509</c:v>
                </c:pt>
                <c:pt idx="155">
                  <c:v>136.49470350083351</c:v>
                </c:pt>
                <c:pt idx="156">
                  <c:v>135.76993418346359</c:v>
                </c:pt>
                <c:pt idx="157">
                  <c:v>135.14775498495311</c:v>
                </c:pt>
                <c:pt idx="158">
                  <c:v>134.71639048258243</c:v>
                </c:pt>
                <c:pt idx="159">
                  <c:v>134.49080343804803</c:v>
                </c:pt>
                <c:pt idx="160">
                  <c:v>134.35693714953777</c:v>
                </c:pt>
                <c:pt idx="161">
                  <c:v>134.27094697871789</c:v>
                </c:pt>
                <c:pt idx="162">
                  <c:v>134.15326040832232</c:v>
                </c:pt>
                <c:pt idx="163">
                  <c:v>133.92170809067093</c:v>
                </c:pt>
                <c:pt idx="164">
                  <c:v>133.53476130680465</c:v>
                </c:pt>
                <c:pt idx="165">
                  <c:v>133.18488709432981</c:v>
                </c:pt>
                <c:pt idx="166">
                  <c:v>133.09510651886814</c:v>
                </c:pt>
                <c:pt idx="167">
                  <c:v>133.38799313689407</c:v>
                </c:pt>
                <c:pt idx="168">
                  <c:v>133.93811058910131</c:v>
                </c:pt>
                <c:pt idx="169">
                  <c:v>134.55097025265758</c:v>
                </c:pt>
                <c:pt idx="170">
                  <c:v>135.09552945506505</c:v>
                </c:pt>
                <c:pt idx="171">
                  <c:v>135.46895169845635</c:v>
                </c:pt>
                <c:pt idx="172">
                  <c:v>135.65215624932341</c:v>
                </c:pt>
                <c:pt idx="173">
                  <c:v>135.73315129143302</c:v>
                </c:pt>
                <c:pt idx="174">
                  <c:v>135.76075201887889</c:v>
                </c:pt>
                <c:pt idx="175">
                  <c:v>135.80113122171943</c:v>
                </c:pt>
                <c:pt idx="176">
                  <c:v>135.92756132412475</c:v>
                </c:pt>
                <c:pt idx="177">
                  <c:v>136.22174587022886</c:v>
                </c:pt>
                <c:pt idx="178">
                  <c:v>136.61775498495314</c:v>
                </c:pt>
                <c:pt idx="179">
                  <c:v>137.10165862001779</c:v>
                </c:pt>
                <c:pt idx="180">
                  <c:v>137.28497531879887</c:v>
                </c:pt>
                <c:pt idx="181">
                  <c:v>137.00255894260539</c:v>
                </c:pt>
                <c:pt idx="182">
                  <c:v>136.44486057286369</c:v>
                </c:pt>
                <c:pt idx="183">
                  <c:v>136.03300829201757</c:v>
                </c:pt>
                <c:pt idx="184">
                  <c:v>136.0882420056723</c:v>
                </c:pt>
                <c:pt idx="185">
                  <c:v>136.6433043581805</c:v>
                </c:pt>
                <c:pt idx="186">
                  <c:v>137.40470328433176</c:v>
                </c:pt>
                <c:pt idx="187">
                  <c:v>138.11042477646194</c:v>
                </c:pt>
                <c:pt idx="188">
                  <c:v>138.61465597869622</c:v>
                </c:pt>
                <c:pt idx="189">
                  <c:v>138.85405897508068</c:v>
                </c:pt>
                <c:pt idx="190">
                  <c:v>138.86841152655396</c:v>
                </c:pt>
                <c:pt idx="191">
                  <c:v>138.75882504492412</c:v>
                </c:pt>
                <c:pt idx="192">
                  <c:v>138.41021498625213</c:v>
                </c:pt>
                <c:pt idx="193">
                  <c:v>137.98334776678428</c:v>
                </c:pt>
                <c:pt idx="194">
                  <c:v>137.67631947000368</c:v>
                </c:pt>
                <c:pt idx="195">
                  <c:v>137.6434637034792</c:v>
                </c:pt>
                <c:pt idx="196">
                  <c:v>137.84498343761501</c:v>
                </c:pt>
                <c:pt idx="197">
                  <c:v>138.20821266968323</c:v>
                </c:pt>
                <c:pt idx="198">
                  <c:v>138.62418281408995</c:v>
                </c:pt>
                <c:pt idx="199">
                  <c:v>138.98326603736822</c:v>
                </c:pt>
                <c:pt idx="200">
                  <c:v>139.31345049687155</c:v>
                </c:pt>
                <c:pt idx="201">
                  <c:v>139.89693336075692</c:v>
                </c:pt>
                <c:pt idx="202">
                  <c:v>140.73425144514928</c:v>
                </c:pt>
                <c:pt idx="203">
                  <c:v>140.64680010392084</c:v>
                </c:pt>
                <c:pt idx="204">
                  <c:v>138.43035365563227</c:v>
                </c:pt>
                <c:pt idx="205">
                  <c:v>134.05867522570307</c:v>
                </c:pt>
                <c:pt idx="206">
                  <c:v>128.85115103163091</c:v>
                </c:pt>
                <c:pt idx="207">
                  <c:v>124.75357942367228</c:v>
                </c:pt>
                <c:pt idx="208">
                  <c:v>123.35813321353567</c:v>
                </c:pt>
                <c:pt idx="209">
                  <c:v>125.20197287232894</c:v>
                </c:pt>
                <c:pt idx="210">
                  <c:v>129.29469603152262</c:v>
                </c:pt>
                <c:pt idx="211">
                  <c:v>133.66619703825583</c:v>
                </c:pt>
                <c:pt idx="212">
                  <c:v>136.7479676979367</c:v>
                </c:pt>
                <c:pt idx="213">
                  <c:v>138.59400311762539</c:v>
                </c:pt>
                <c:pt idx="214">
                  <c:v>139.69223722098334</c:v>
                </c:pt>
                <c:pt idx="215">
                  <c:v>140.01762346013118</c:v>
                </c:pt>
                <c:pt idx="216">
                  <c:v>139.65128537097578</c:v>
                </c:pt>
                <c:pt idx="217">
                  <c:v>138.95949587564135</c:v>
                </c:pt>
                <c:pt idx="218">
                  <c:v>138.32954502154189</c:v>
                </c:pt>
                <c:pt idx="219">
                  <c:v>138.00111541709063</c:v>
                </c:pt>
                <c:pt idx="220">
                  <c:v>138.017061962805</c:v>
                </c:pt>
                <c:pt idx="221">
                  <c:v>138.29019225356683</c:v>
                </c:pt>
                <c:pt idx="222">
                  <c:v>138.65305797917253</c:v>
                </c:pt>
                <c:pt idx="223">
                  <c:v>139.00568208880901</c:v>
                </c:pt>
                <c:pt idx="224">
                  <c:v>139.35101560977722</c:v>
                </c:pt>
                <c:pt idx="225">
                  <c:v>139.83523728593386</c:v>
                </c:pt>
                <c:pt idx="226">
                  <c:v>140.31545595271598</c:v>
                </c:pt>
                <c:pt idx="227">
                  <c:v>140.69494479205005</c:v>
                </c:pt>
                <c:pt idx="228">
                  <c:v>140.96875414059627</c:v>
                </c:pt>
                <c:pt idx="229">
                  <c:v>141.16256955119184</c:v>
                </c:pt>
                <c:pt idx="230" formatCode="General">
                  <c:v>141.45736852930349</c:v>
                </c:pt>
                <c:pt idx="231" formatCode="General">
                  <c:v>142.00488189828746</c:v>
                </c:pt>
                <c:pt idx="232" formatCode="General">
                  <c:v>142.74754324622745</c:v>
                </c:pt>
                <c:pt idx="233" formatCode="General">
                  <c:v>143.55117170754937</c:v>
                </c:pt>
                <c:pt idx="234" formatCode="General">
                  <c:v>144.23673969992853</c:v>
                </c:pt>
                <c:pt idx="235" formatCode="General">
                  <c:v>144.58340351598864</c:v>
                </c:pt>
                <c:pt idx="236" formatCode="General">
                  <c:v>144.35114908311502</c:v>
                </c:pt>
                <c:pt idx="237" formatCode="General">
                  <c:v>143.76784353417477</c:v>
                </c:pt>
                <c:pt idx="238" formatCode="General">
                  <c:v>143.32097209292257</c:v>
                </c:pt>
                <c:pt idx="239" formatCode="General">
                  <c:v>143.57797181147026</c:v>
                </c:pt>
                <c:pt idx="240" formatCode="General">
                  <c:v>144.5817132867133</c:v>
                </c:pt>
                <c:pt idx="241" formatCode="General">
                  <c:v>145.87325434627289</c:v>
                </c:pt>
                <c:pt idx="242" formatCode="General">
                  <c:v>146.98180129468057</c:v>
                </c:pt>
                <c:pt idx="243" formatCode="General">
                  <c:v>147.50047154084305</c:v>
                </c:pt>
                <c:pt idx="244" formatCode="General">
                  <c:v>147.36330046114873</c:v>
                </c:pt>
                <c:pt idx="245" formatCode="General">
                  <c:v>146.90593474636822</c:v>
                </c:pt>
                <c:pt idx="246" formatCode="General">
                  <c:v>146.47317120959536</c:v>
                </c:pt>
                <c:pt idx="247" formatCode="General">
                  <c:v>146.23459492519865</c:v>
                </c:pt>
                <c:pt idx="248" formatCode="General">
                  <c:v>146.23971642292062</c:v>
                </c:pt>
                <c:pt idx="249" formatCode="General">
                  <c:v>146.46945306663562</c:v>
                </c:pt>
                <c:pt idx="250" formatCode="General">
                  <c:v>146.85337567965601</c:v>
                </c:pt>
                <c:pt idx="251" formatCode="General">
                  <c:v>147.36500626701113</c:v>
                </c:pt>
                <c:pt idx="252" formatCode="General">
                  <c:v>148.01419433329414</c:v>
                </c:pt>
              </c:numCache>
            </c:numRef>
          </c:val>
          <c:smooth val="0"/>
          <c:extLst>
            <c:ext xmlns:c16="http://schemas.microsoft.com/office/drawing/2014/chart" uri="{C3380CC4-5D6E-409C-BE32-E72D297353CC}">
              <c16:uniqueId val="{00000001-79CE-4888-B307-437E52992C9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Henderson cycle (rhs)</c:v>
          </c:tx>
          <c:spPr>
            <a:ln w="28575" cap="rnd">
              <a:solidFill>
                <a:schemeClr val="accent3"/>
              </a:solidFill>
              <a:round/>
            </a:ln>
            <a:effectLst/>
          </c:spPr>
          <c:marker>
            <c:symbol val="none"/>
          </c:marker>
          <c:cat>
            <c:numRef>
              <c:f>HENDFILTER!$F$14:$F$252</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HENDFILTER!$O$13:$O$265</c:f>
              <c:numCache>
                <c:formatCode>General</c:formatCode>
                <c:ptCount val="253"/>
                <c:pt idx="0">
                  <c:v>-1.0694784596027773</c:v>
                </c:pt>
                <c:pt idx="1">
                  <c:v>0.53062737924568637</c:v>
                </c:pt>
                <c:pt idx="2">
                  <c:v>0.54970956086657452</c:v>
                </c:pt>
                <c:pt idx="3">
                  <c:v>0.14542917502616604</c:v>
                </c:pt>
                <c:pt idx="4">
                  <c:v>-0.33172946155076488</c:v>
                </c:pt>
                <c:pt idx="5">
                  <c:v>0.29099038732165639</c:v>
                </c:pt>
                <c:pt idx="6">
                  <c:v>-0.87730628504621677</c:v>
                </c:pt>
                <c:pt idx="7">
                  <c:v>-0.39547890190303292</c:v>
                </c:pt>
                <c:pt idx="8">
                  <c:v>0.84131817099310524</c:v>
                </c:pt>
                <c:pt idx="9">
                  <c:v>0.41507090432786242</c:v>
                </c:pt>
                <c:pt idx="10">
                  <c:v>-5.6372188183331673E-2</c:v>
                </c:pt>
                <c:pt idx="11">
                  <c:v>-0.80053573361624331</c:v>
                </c:pt>
                <c:pt idx="12">
                  <c:v>9.4164952694370641E-2</c:v>
                </c:pt>
                <c:pt idx="13">
                  <c:v>2.8548030916468292E-2</c:v>
                </c:pt>
                <c:pt idx="14">
                  <c:v>0.40491101777480765</c:v>
                </c:pt>
                <c:pt idx="15">
                  <c:v>0.24969321699971658</c:v>
                </c:pt>
                <c:pt idx="16">
                  <c:v>-0.39616315572970962</c:v>
                </c:pt>
                <c:pt idx="17">
                  <c:v>-2.0842949620032414E-2</c:v>
                </c:pt>
                <c:pt idx="18">
                  <c:v>-6.5402585031051785E-2</c:v>
                </c:pt>
                <c:pt idx="19">
                  <c:v>-8.8062200956912307E-2</c:v>
                </c:pt>
                <c:pt idx="20">
                  <c:v>0.43494349303948354</c:v>
                </c:pt>
                <c:pt idx="21">
                  <c:v>-0.31259877893005239</c:v>
                </c:pt>
                <c:pt idx="22">
                  <c:v>0.42636547662863222</c:v>
                </c:pt>
                <c:pt idx="23">
                  <c:v>-0.36421561410725189</c:v>
                </c:pt>
                <c:pt idx="24">
                  <c:v>-0.19886423174347101</c:v>
                </c:pt>
                <c:pt idx="25">
                  <c:v>7.6122669899760353E-2</c:v>
                </c:pt>
                <c:pt idx="26">
                  <c:v>-9.2229102167181054E-2</c:v>
                </c:pt>
                <c:pt idx="27">
                  <c:v>0.4171889410898757</c:v>
                </c:pt>
                <c:pt idx="28">
                  <c:v>0.22516529909717065</c:v>
                </c:pt>
                <c:pt idx="29">
                  <c:v>-0.3979408517179337</c:v>
                </c:pt>
                <c:pt idx="30">
                  <c:v>-0.234736733854362</c:v>
                </c:pt>
                <c:pt idx="31">
                  <c:v>0.518671220420444</c:v>
                </c:pt>
                <c:pt idx="32">
                  <c:v>-0.21693087098658737</c:v>
                </c:pt>
                <c:pt idx="33">
                  <c:v>-0.31108088505921216</c:v>
                </c:pt>
                <c:pt idx="34">
                  <c:v>-0.16092565329407194</c:v>
                </c:pt>
                <c:pt idx="35">
                  <c:v>0.31991643031892636</c:v>
                </c:pt>
                <c:pt idx="36">
                  <c:v>0.32067083071727609</c:v>
                </c:pt>
                <c:pt idx="37">
                  <c:v>7.2047998441192362E-2</c:v>
                </c:pt>
                <c:pt idx="38">
                  <c:v>-0.53031847409553734</c:v>
                </c:pt>
                <c:pt idx="39">
                  <c:v>-4.2085994500851598E-2</c:v>
                </c:pt>
                <c:pt idx="40">
                  <c:v>0.80627216436815274</c:v>
                </c:pt>
                <c:pt idx="41">
                  <c:v>-1.0323422243391462</c:v>
                </c:pt>
                <c:pt idx="42">
                  <c:v>0.66765864166794131</c:v>
                </c:pt>
                <c:pt idx="43">
                  <c:v>0.11104462101367574</c:v>
                </c:pt>
                <c:pt idx="44">
                  <c:v>-0.58173850916885783</c:v>
                </c:pt>
                <c:pt idx="45">
                  <c:v>-8.767704431791401E-2</c:v>
                </c:pt>
                <c:pt idx="46">
                  <c:v>-0.15023739418477078</c:v>
                </c:pt>
                <c:pt idx="47">
                  <c:v>1.0402002641321531</c:v>
                </c:pt>
                <c:pt idx="48">
                  <c:v>-8.8235294117623653E-2</c:v>
                </c:pt>
                <c:pt idx="49">
                  <c:v>0.1498811405313063</c:v>
                </c:pt>
                <c:pt idx="50">
                  <c:v>-1.0197356513455702</c:v>
                </c:pt>
                <c:pt idx="51">
                  <c:v>2.6434865444144862E-2</c:v>
                </c:pt>
                <c:pt idx="52">
                  <c:v>0.31775909848666117</c:v>
                </c:pt>
                <c:pt idx="53">
                  <c:v>0.15544902465953214</c:v>
                </c:pt>
                <c:pt idx="54">
                  <c:v>0.11259076836476822</c:v>
                </c:pt>
                <c:pt idx="55">
                  <c:v>-0.23464937539239372</c:v>
                </c:pt>
                <c:pt idx="56">
                  <c:v>-0.17883186472971602</c:v>
                </c:pt>
                <c:pt idx="57">
                  <c:v>0.27295395007472223</c:v>
                </c:pt>
                <c:pt idx="58">
                  <c:v>-0.40068306306692136</c:v>
                </c:pt>
                <c:pt idx="59">
                  <c:v>0.62248587325989035</c:v>
                </c:pt>
                <c:pt idx="60">
                  <c:v>0.36440397064234276</c:v>
                </c:pt>
                <c:pt idx="61">
                  <c:v>-4.9295828010997411E-2</c:v>
                </c:pt>
                <c:pt idx="62">
                  <c:v>-1.0884227846456724</c:v>
                </c:pt>
                <c:pt idx="63">
                  <c:v>-0.13505618220787596</c:v>
                </c:pt>
                <c:pt idx="64">
                  <c:v>0.24398179220159477</c:v>
                </c:pt>
                <c:pt idx="65">
                  <c:v>0.26522548658769551</c:v>
                </c:pt>
                <c:pt idx="66">
                  <c:v>-0.38389237697288081</c:v>
                </c:pt>
                <c:pt idx="67">
                  <c:v>0.3014087769815319</c:v>
                </c:pt>
                <c:pt idx="68">
                  <c:v>0.96243304682934649</c:v>
                </c:pt>
                <c:pt idx="69">
                  <c:v>0.62798133754789376</c:v>
                </c:pt>
                <c:pt idx="70">
                  <c:v>-0.10314111585010721</c:v>
                </c:pt>
                <c:pt idx="71">
                  <c:v>-1.4438044772565206</c:v>
                </c:pt>
                <c:pt idx="72">
                  <c:v>-0.75350797809002756</c:v>
                </c:pt>
                <c:pt idx="73">
                  <c:v>0.4681734828639037</c:v>
                </c:pt>
                <c:pt idx="74">
                  <c:v>0.35730065600034777</c:v>
                </c:pt>
                <c:pt idx="75">
                  <c:v>-1.7616207322078026E-2</c:v>
                </c:pt>
                <c:pt idx="76">
                  <c:v>0.31002771222583192</c:v>
                </c:pt>
                <c:pt idx="77">
                  <c:v>-2.9841195955725652E-2</c:v>
                </c:pt>
                <c:pt idx="78">
                  <c:v>-0.67299627616965552</c:v>
                </c:pt>
                <c:pt idx="79">
                  <c:v>0.48999815973498073</c:v>
                </c:pt>
                <c:pt idx="80">
                  <c:v>0.266428695143901</c:v>
                </c:pt>
                <c:pt idx="81">
                  <c:v>0.27361612072138541</c:v>
                </c:pt>
                <c:pt idx="82">
                  <c:v>-0.8174205979778435</c:v>
                </c:pt>
                <c:pt idx="83">
                  <c:v>-0.18932689601416541</c:v>
                </c:pt>
                <c:pt idx="84">
                  <c:v>9.0479334906575559E-2</c:v>
                </c:pt>
                <c:pt idx="85">
                  <c:v>0.16849076619973857</c:v>
                </c:pt>
                <c:pt idx="86">
                  <c:v>0.41472114572735563</c:v>
                </c:pt>
                <c:pt idx="87">
                  <c:v>0.65402032951570277</c:v>
                </c:pt>
                <c:pt idx="88">
                  <c:v>-0.31986609365864638</c:v>
                </c:pt>
                <c:pt idx="89">
                  <c:v>-0.71232317218385788</c:v>
                </c:pt>
                <c:pt idx="90">
                  <c:v>-0.24927558509602932</c:v>
                </c:pt>
                <c:pt idx="91">
                  <c:v>9.9126848383832566E-2</c:v>
                </c:pt>
                <c:pt idx="92">
                  <c:v>0.52059895213142227</c:v>
                </c:pt>
                <c:pt idx="93">
                  <c:v>-0.25402866483361208</c:v>
                </c:pt>
                <c:pt idx="94">
                  <c:v>0.76096494836428974</c:v>
                </c:pt>
                <c:pt idx="95">
                  <c:v>-1.0913806317521448</c:v>
                </c:pt>
                <c:pt idx="96">
                  <c:v>0.11473738335965322</c:v>
                </c:pt>
                <c:pt idx="97">
                  <c:v>0.40080874234124053</c:v>
                </c:pt>
                <c:pt idx="98">
                  <c:v>0.1671501872740464</c:v>
                </c:pt>
                <c:pt idx="99">
                  <c:v>-0.24703966312321768</c:v>
                </c:pt>
                <c:pt idx="100">
                  <c:v>-0.31291995929763061</c:v>
                </c:pt>
                <c:pt idx="101">
                  <c:v>0.18715365130225337</c:v>
                </c:pt>
                <c:pt idx="102">
                  <c:v>0.27144287600941652</c:v>
                </c:pt>
                <c:pt idx="103">
                  <c:v>-3.7638507003805444E-2</c:v>
                </c:pt>
                <c:pt idx="104">
                  <c:v>-0.38020805819567727</c:v>
                </c:pt>
                <c:pt idx="105">
                  <c:v>-0.10967546385498395</c:v>
                </c:pt>
                <c:pt idx="106">
                  <c:v>1.0202565545909295</c:v>
                </c:pt>
                <c:pt idx="107">
                  <c:v>0.17598605728636585</c:v>
                </c:pt>
                <c:pt idx="108">
                  <c:v>-1.2125361016692011</c:v>
                </c:pt>
                <c:pt idx="109">
                  <c:v>0.47241442767759168</c:v>
                </c:pt>
                <c:pt idx="110">
                  <c:v>-0.26103715170279429</c:v>
                </c:pt>
                <c:pt idx="111">
                  <c:v>-0.4576219446188361</c:v>
                </c:pt>
                <c:pt idx="112">
                  <c:v>0.27795838836087228</c:v>
                </c:pt>
                <c:pt idx="113">
                  <c:v>0.45679350061703872</c:v>
                </c:pt>
                <c:pt idx="114">
                  <c:v>8.2827513044236412E-2</c:v>
                </c:pt>
                <c:pt idx="115">
                  <c:v>0.12444683799174072</c:v>
                </c:pt>
                <c:pt idx="116">
                  <c:v>-0.67155340016020659</c:v>
                </c:pt>
                <c:pt idx="117">
                  <c:v>0.41872404685096853</c:v>
                </c:pt>
                <c:pt idx="118">
                  <c:v>0.20657191106107575</c:v>
                </c:pt>
                <c:pt idx="119">
                  <c:v>-0.25584078460238402</c:v>
                </c:pt>
                <c:pt idx="120">
                  <c:v>0.50435547424709171</c:v>
                </c:pt>
                <c:pt idx="121">
                  <c:v>-0.92030515923701728</c:v>
                </c:pt>
                <c:pt idx="122">
                  <c:v>-0.16454339777871496</c:v>
                </c:pt>
                <c:pt idx="123">
                  <c:v>0.49963292125832481</c:v>
                </c:pt>
                <c:pt idx="124">
                  <c:v>0.4856101019723269</c:v>
                </c:pt>
                <c:pt idx="125">
                  <c:v>-0.36291530450975529</c:v>
                </c:pt>
                <c:pt idx="126">
                  <c:v>-9.1230812531080119E-2</c:v>
                </c:pt>
                <c:pt idx="127">
                  <c:v>-0.13079672649331542</c:v>
                </c:pt>
                <c:pt idx="128">
                  <c:v>0.13542055467755176</c:v>
                </c:pt>
                <c:pt idx="129">
                  <c:v>-0.10099904739223575</c:v>
                </c:pt>
                <c:pt idx="130">
                  <c:v>-1.6015176773663597E-2</c:v>
                </c:pt>
                <c:pt idx="131">
                  <c:v>0.28206358656822772</c:v>
                </c:pt>
                <c:pt idx="132">
                  <c:v>-0.14217930676133506</c:v>
                </c:pt>
                <c:pt idx="133">
                  <c:v>-0.17232999198944299</c:v>
                </c:pt>
                <c:pt idx="134">
                  <c:v>0.24065697460434876</c:v>
                </c:pt>
                <c:pt idx="135">
                  <c:v>0.44192664920220182</c:v>
                </c:pt>
                <c:pt idx="136">
                  <c:v>0.63084630539736963</c:v>
                </c:pt>
                <c:pt idx="137">
                  <c:v>-1.7099100435168282</c:v>
                </c:pt>
                <c:pt idx="138">
                  <c:v>-0.26660503583104855</c:v>
                </c:pt>
                <c:pt idx="139">
                  <c:v>0.52479410682198591</c:v>
                </c:pt>
                <c:pt idx="140">
                  <c:v>0.67297776526879716</c:v>
                </c:pt>
                <c:pt idx="141">
                  <c:v>-0.47646928922469556</c:v>
                </c:pt>
                <c:pt idx="142">
                  <c:v>-0.30430362207451367</c:v>
                </c:pt>
                <c:pt idx="143">
                  <c:v>0.64684037324903443</c:v>
                </c:pt>
                <c:pt idx="144">
                  <c:v>-2.1517460867272575E-2</c:v>
                </c:pt>
                <c:pt idx="145">
                  <c:v>-0.33477451341227038</c:v>
                </c:pt>
                <c:pt idx="146">
                  <c:v>0.38948364329166907</c:v>
                </c:pt>
                <c:pt idx="147">
                  <c:v>-9.2146290242226314E-2</c:v>
                </c:pt>
                <c:pt idx="148">
                  <c:v>0.20778843447575923</c:v>
                </c:pt>
                <c:pt idx="149">
                  <c:v>-0.24538927017252377</c:v>
                </c:pt>
                <c:pt idx="150">
                  <c:v>-0.58116044945765566</c:v>
                </c:pt>
                <c:pt idx="151">
                  <c:v>0.33117300656002158</c:v>
                </c:pt>
                <c:pt idx="152">
                  <c:v>-0.42844908961009764</c:v>
                </c:pt>
                <c:pt idx="153">
                  <c:v>1.044975751802383</c:v>
                </c:pt>
                <c:pt idx="154">
                  <c:v>-0.37519939812509051</c:v>
                </c:pt>
                <c:pt idx="155">
                  <c:v>-1.4703500833519456E-2</c:v>
                </c:pt>
                <c:pt idx="156">
                  <c:v>-0.18993418346357771</c:v>
                </c:pt>
                <c:pt idx="157">
                  <c:v>0.27224501504687737</c:v>
                </c:pt>
                <c:pt idx="158">
                  <c:v>-0.24639048258242724</c:v>
                </c:pt>
                <c:pt idx="159">
                  <c:v>-8.0343804802396335E-4</c:v>
                </c:pt>
                <c:pt idx="160">
                  <c:v>-0.28693714953777771</c:v>
                </c:pt>
                <c:pt idx="161">
                  <c:v>0.29905302128210565</c:v>
                </c:pt>
                <c:pt idx="162">
                  <c:v>0.27673959167768203</c:v>
                </c:pt>
                <c:pt idx="163">
                  <c:v>-0.20170809067093387</c:v>
                </c:pt>
                <c:pt idx="164">
                  <c:v>0.10523869319533219</c:v>
                </c:pt>
                <c:pt idx="165">
                  <c:v>0.15511290567019387</c:v>
                </c:pt>
                <c:pt idx="166">
                  <c:v>4.4893481131850876E-2</c:v>
                </c:pt>
                <c:pt idx="167">
                  <c:v>-0.84799313689407541</c:v>
                </c:pt>
                <c:pt idx="168">
                  <c:v>-0.32811058910129987</c:v>
                </c:pt>
                <c:pt idx="169">
                  <c:v>0.99902974734243344</c:v>
                </c:pt>
                <c:pt idx="170">
                  <c:v>0.24447054493495557</c:v>
                </c:pt>
                <c:pt idx="171">
                  <c:v>-0.17895169845635905</c:v>
                </c:pt>
                <c:pt idx="172">
                  <c:v>-0.59215624932340916</c:v>
                </c:pt>
                <c:pt idx="173">
                  <c:v>0.21684870856697103</c:v>
                </c:pt>
                <c:pt idx="174">
                  <c:v>0.57924798112111375</c:v>
                </c:pt>
                <c:pt idx="175">
                  <c:v>-0.16113122171944383</c:v>
                </c:pt>
                <c:pt idx="176">
                  <c:v>-0.28756132412476632</c:v>
                </c:pt>
                <c:pt idx="177">
                  <c:v>-0.18174587022886612</c:v>
                </c:pt>
                <c:pt idx="178">
                  <c:v>-0.62775498495312831</c:v>
                </c:pt>
                <c:pt idx="179">
                  <c:v>1.0083413799822267</c:v>
                </c:pt>
                <c:pt idx="180">
                  <c:v>0.13502468120111644</c:v>
                </c:pt>
                <c:pt idx="181">
                  <c:v>-0.1725589426053773</c:v>
                </c:pt>
                <c:pt idx="182">
                  <c:v>0.14513942713631423</c:v>
                </c:pt>
                <c:pt idx="183">
                  <c:v>1.2469917079824313</c:v>
                </c:pt>
                <c:pt idx="184">
                  <c:v>-3.018242005672306</c:v>
                </c:pt>
                <c:pt idx="185">
                  <c:v>0.74669564181948545</c:v>
                </c:pt>
                <c:pt idx="186">
                  <c:v>0.51529671566822799</c:v>
                </c:pt>
                <c:pt idx="187">
                  <c:v>0.83957522353804848</c:v>
                </c:pt>
                <c:pt idx="188">
                  <c:v>-0.39465597869622115</c:v>
                </c:pt>
                <c:pt idx="189">
                  <c:v>-0.41405897508067824</c:v>
                </c:pt>
                <c:pt idx="190">
                  <c:v>-0.25841152655394239</c:v>
                </c:pt>
                <c:pt idx="191">
                  <c:v>0.42117495507588387</c:v>
                </c:pt>
                <c:pt idx="192">
                  <c:v>0.86978501374787243</c:v>
                </c:pt>
                <c:pt idx="193">
                  <c:v>-0.29334776678427943</c:v>
                </c:pt>
                <c:pt idx="194">
                  <c:v>-0.67631947000367632</c:v>
                </c:pt>
                <c:pt idx="195">
                  <c:v>-0.77346370347919446</c:v>
                </c:pt>
                <c:pt idx="196">
                  <c:v>0.79501656238497276</c:v>
                </c:pt>
                <c:pt idx="197">
                  <c:v>0.65178733031677893</c:v>
                </c:pt>
                <c:pt idx="198">
                  <c:v>-0.33418281408995654</c:v>
                </c:pt>
                <c:pt idx="199">
                  <c:v>-0.63326603736823017</c:v>
                </c:pt>
                <c:pt idx="200">
                  <c:v>-0.15345049687155665</c:v>
                </c:pt>
                <c:pt idx="201">
                  <c:v>0.66306663924308396</c:v>
                </c:pt>
                <c:pt idx="202">
                  <c:v>-0.85425144514928775</c:v>
                </c:pt>
                <c:pt idx="203">
                  <c:v>-1.3668001039208377</c:v>
                </c:pt>
                <c:pt idx="204">
                  <c:v>1.6196463443677374</c:v>
                </c:pt>
                <c:pt idx="205">
                  <c:v>5.5913247742969361</c:v>
                </c:pt>
                <c:pt idx="206">
                  <c:v>0.85884896836910229</c:v>
                </c:pt>
                <c:pt idx="207">
                  <c:v>-7.5635794236722802</c:v>
                </c:pt>
                <c:pt idx="208">
                  <c:v>-2.3281332135356649</c:v>
                </c:pt>
                <c:pt idx="209">
                  <c:v>1.8580271276710647</c:v>
                </c:pt>
                <c:pt idx="210">
                  <c:v>1.6953039684773898</c:v>
                </c:pt>
                <c:pt idx="211">
                  <c:v>0.19380296174418277</c:v>
                </c:pt>
                <c:pt idx="212">
                  <c:v>9.2032302063302041E-2</c:v>
                </c:pt>
                <c:pt idx="213">
                  <c:v>0.72599688237460214</c:v>
                </c:pt>
                <c:pt idx="214">
                  <c:v>-0.45223722098333496</c:v>
                </c:pt>
                <c:pt idx="215">
                  <c:v>-0.47762346013118417</c:v>
                </c:pt>
                <c:pt idx="216">
                  <c:v>0.47871462902421058</c:v>
                </c:pt>
                <c:pt idx="217">
                  <c:v>2.0205041243586379</c:v>
                </c:pt>
                <c:pt idx="218">
                  <c:v>-2.6095450215418907</c:v>
                </c:pt>
                <c:pt idx="219">
                  <c:v>-0.56111541709063317</c:v>
                </c:pt>
                <c:pt idx="220">
                  <c:v>0.72293803719500715</c:v>
                </c:pt>
                <c:pt idx="221">
                  <c:v>0.65980774643315954</c:v>
                </c:pt>
                <c:pt idx="222">
                  <c:v>-0.16305797917252107</c:v>
                </c:pt>
                <c:pt idx="223">
                  <c:v>-8.5682088809022616E-2</c:v>
                </c:pt>
                <c:pt idx="224">
                  <c:v>-0.49101560977720737</c:v>
                </c:pt>
                <c:pt idx="225">
                  <c:v>-0.21523728593385272</c:v>
                </c:pt>
                <c:pt idx="226">
                  <c:v>0.73454404728403233</c:v>
                </c:pt>
                <c:pt idx="227">
                  <c:v>0.52505520794994709</c:v>
                </c:pt>
                <c:pt idx="228">
                  <c:v>-0.70875414059628383</c:v>
                </c:pt>
                <c:pt idx="229">
                  <c:v>-0.3425695511918434</c:v>
                </c:pt>
                <c:pt idx="230">
                  <c:v>0.48263147069650358</c:v>
                </c:pt>
                <c:pt idx="231">
                  <c:v>0.18511810171253273</c:v>
                </c:pt>
                <c:pt idx="232">
                  <c:v>-0.59754324622744548</c:v>
                </c:pt>
                <c:pt idx="233">
                  <c:v>-0.6611717075493857</c:v>
                </c:pt>
                <c:pt idx="234">
                  <c:v>1.1832603000714528</c:v>
                </c:pt>
                <c:pt idx="235">
                  <c:v>-0.10340351598864572</c:v>
                </c:pt>
                <c:pt idx="236">
                  <c:v>0.13885091688499074</c:v>
                </c:pt>
                <c:pt idx="237">
                  <c:v>0.91215646582523391</c:v>
                </c:pt>
                <c:pt idx="238">
                  <c:v>-0.5809720929225648</c:v>
                </c:pt>
                <c:pt idx="239">
                  <c:v>-1.2779718114702519</c:v>
                </c:pt>
                <c:pt idx="240">
                  <c:v>-1.1017132867133057</c:v>
                </c:pt>
                <c:pt idx="241">
                  <c:v>1.6467456537271232</c:v>
                </c:pt>
                <c:pt idx="242">
                  <c:v>3.8198705319445025E-2</c:v>
                </c:pt>
                <c:pt idx="243">
                  <c:v>1.3795284591569441</c:v>
                </c:pt>
                <c:pt idx="244">
                  <c:v>-1.2033004611487286</c:v>
                </c:pt>
                <c:pt idx="245">
                  <c:v>-0.35593474636820588</c:v>
                </c:pt>
                <c:pt idx="246">
                  <c:v>0.50682879040462581</c:v>
                </c:pt>
                <c:pt idx="247">
                  <c:v>-9.4594925198663304E-2</c:v>
                </c:pt>
                <c:pt idx="248">
                  <c:v>-4.9716422920624836E-2</c:v>
                </c:pt>
                <c:pt idx="249">
                  <c:v>-0.20945306663563201</c:v>
                </c:pt>
                <c:pt idx="250">
                  <c:v>-0.44337567965601465</c:v>
                </c:pt>
                <c:pt idx="251">
                  <c:v>0.24499373298888827</c:v>
                </c:pt>
                <c:pt idx="252">
                  <c:v>0.48580566670585767</c:v>
                </c:pt>
              </c:numCache>
            </c:numRef>
          </c:val>
          <c:smooth val="0"/>
          <c:extLst>
            <c:ext xmlns:c16="http://schemas.microsoft.com/office/drawing/2014/chart" uri="{C3380CC4-5D6E-409C-BE32-E72D297353CC}">
              <c16:uniqueId val="{00000002-79CE-4888-B307-437E52992C9E}"/>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BKFILTER!$F$15:$F$267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BKFILTER!$G$15:$G$267</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5C2F-4E24-9CCD-6F373126EA90}"/>
            </c:ext>
          </c:extLst>
        </c:ser>
        <c:ser>
          <c:idx val="1"/>
          <c:order val="1"/>
          <c:tx>
            <c:v>BK trend</c:v>
          </c:tx>
          <c:spPr>
            <a:ln w="28575" cap="rnd">
              <a:solidFill>
                <a:schemeClr val="accent2"/>
              </a:solidFill>
              <a:round/>
            </a:ln>
            <a:effectLst/>
          </c:spPr>
          <c:marker>
            <c:symbol val="none"/>
          </c:marker>
          <c:cat>
            <c:numRef>
              <c:f>BKFILTER!$F$15:$F$267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BKFILTER!$Q$15:$Q$267</c:f>
              <c:numCache>
                <c:formatCode>0.0</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115.08913842307834</c:v>
                </c:pt>
                <c:pt idx="37">
                  <c:v>115.09709173188251</c:v>
                </c:pt>
                <c:pt idx="38">
                  <c:v>114.60285947382177</c:v>
                </c:pt>
                <c:pt idx="39">
                  <c:v>115.21202083704279</c:v>
                </c:pt>
                <c:pt idx="40">
                  <c:v>116.25573721140944</c:v>
                </c:pt>
                <c:pt idx="41">
                  <c:v>114.6880737645252</c:v>
                </c:pt>
                <c:pt idx="42">
                  <c:v>116.68736357282084</c:v>
                </c:pt>
                <c:pt idx="43">
                  <c:v>116.55966982917799</c:v>
                </c:pt>
                <c:pt idx="44">
                  <c:v>116.49282064920142</c:v>
                </c:pt>
                <c:pt idx="45">
                  <c:v>117.81724027538073</c:v>
                </c:pt>
                <c:pt idx="46">
                  <c:v>118.55644468872647</c:v>
                </c:pt>
                <c:pt idx="47">
                  <c:v>120.30910952824873</c:v>
                </c:pt>
                <c:pt idx="48">
                  <c:v>119.50795766460794</c:v>
                </c:pt>
                <c:pt idx="49">
                  <c:v>119.89079640930778</c:v>
                </c:pt>
                <c:pt idx="50">
                  <c:v>118.93128910815402</c:v>
                </c:pt>
                <c:pt idx="51">
                  <c:v>120.41944559423774</c:v>
                </c:pt>
                <c:pt idx="52">
                  <c:v>121.32564881132848</c:v>
                </c:pt>
                <c:pt idx="53">
                  <c:v>121.8174295630225</c:v>
                </c:pt>
                <c:pt idx="54">
                  <c:v>122.26315404317182</c:v>
                </c:pt>
                <c:pt idx="55">
                  <c:v>122.24632885460005</c:v>
                </c:pt>
                <c:pt idx="56">
                  <c:v>122.55074526034446</c:v>
                </c:pt>
                <c:pt idx="57">
                  <c:v>123.26494234388262</c:v>
                </c:pt>
                <c:pt idx="58">
                  <c:v>122.73465855053612</c:v>
                </c:pt>
                <c:pt idx="59">
                  <c:v>123.67225413102061</c:v>
                </c:pt>
                <c:pt idx="60">
                  <c:v>123.19063624628478</c:v>
                </c:pt>
                <c:pt idx="61">
                  <c:v>122.68920175699856</c:v>
                </c:pt>
                <c:pt idx="62">
                  <c:v>121.98321560558556</c:v>
                </c:pt>
                <c:pt idx="63">
                  <c:v>123.83772487235841</c:v>
                </c:pt>
                <c:pt idx="64">
                  <c:v>125.65341418990262</c:v>
                </c:pt>
                <c:pt idx="65">
                  <c:v>127.40982124567837</c:v>
                </c:pt>
                <c:pt idx="66">
                  <c:v>128.32572974155167</c:v>
                </c:pt>
                <c:pt idx="67">
                  <c:v>129.90097139473619</c:v>
                </c:pt>
                <c:pt idx="68">
                  <c:v>130.48441807272329</c:v>
                </c:pt>
                <c:pt idx="69">
                  <c:v>129.26980170004666</c:v>
                </c:pt>
                <c:pt idx="70">
                  <c:v>127.33233131484376</c:v>
                </c:pt>
                <c:pt idx="71">
                  <c:v>125.06100253515305</c:v>
                </c:pt>
                <c:pt idx="72">
                  <c:v>125.56831790417564</c:v>
                </c:pt>
                <c:pt idx="73">
                  <c:v>127.47996873231139</c:v>
                </c:pt>
                <c:pt idx="74">
                  <c:v>128.54357609537243</c:v>
                </c:pt>
                <c:pt idx="75">
                  <c:v>129.35596072898312</c:v>
                </c:pt>
                <c:pt idx="76">
                  <c:v>130.61316626836364</c:v>
                </c:pt>
                <c:pt idx="77">
                  <c:v>130.96966340692126</c:v>
                </c:pt>
                <c:pt idx="78">
                  <c:v>130.87529093732851</c:v>
                </c:pt>
                <c:pt idx="79">
                  <c:v>132.42190159064998</c:v>
                </c:pt>
                <c:pt idx="80">
                  <c:v>132.42089521015086</c:v>
                </c:pt>
                <c:pt idx="81">
                  <c:v>132.59736116149486</c:v>
                </c:pt>
                <c:pt idx="82">
                  <c:v>131.76065976436209</c:v>
                </c:pt>
                <c:pt idx="83">
                  <c:v>132.85148289724063</c:v>
                </c:pt>
                <c:pt idx="84">
                  <c:v>133.79572840202249</c:v>
                </c:pt>
                <c:pt idx="85">
                  <c:v>134.50595653352678</c:v>
                </c:pt>
                <c:pt idx="86">
                  <c:v>135.03333539169785</c:v>
                </c:pt>
                <c:pt idx="87">
                  <c:v>135.13269991336637</c:v>
                </c:pt>
                <c:pt idx="88">
                  <c:v>133.82973336089583</c:v>
                </c:pt>
                <c:pt idx="89">
                  <c:v>133.24735666204722</c:v>
                </c:pt>
                <c:pt idx="90">
                  <c:v>133.923352165696</c:v>
                </c:pt>
                <c:pt idx="91">
                  <c:v>134.8475775405058</c:v>
                </c:pt>
                <c:pt idx="92">
                  <c:v>135.98985002363091</c:v>
                </c:pt>
                <c:pt idx="93">
                  <c:v>135.86684353414554</c:v>
                </c:pt>
                <c:pt idx="94">
                  <c:v>137.40033982501919</c:v>
                </c:pt>
                <c:pt idx="95">
                  <c:v>136.01877634545144</c:v>
                </c:pt>
                <c:pt idx="96">
                  <c:v>137.6971156721568</c:v>
                </c:pt>
                <c:pt idx="97">
                  <c:v>138.45301160629393</c:v>
                </c:pt>
                <c:pt idx="98">
                  <c:v>138.66399242171067</c:v>
                </c:pt>
                <c:pt idx="99">
                  <c:v>138.65015589742495</c:v>
                </c:pt>
                <c:pt idx="100">
                  <c:v>138.93311761939336</c:v>
                </c:pt>
                <c:pt idx="101">
                  <c:v>139.67649200230881</c:v>
                </c:pt>
                <c:pt idx="102">
                  <c:v>140.01988043604251</c:v>
                </c:pt>
                <c:pt idx="103">
                  <c:v>139.98801032328416</c:v>
                </c:pt>
                <c:pt idx="104">
                  <c:v>139.79675460519229</c:v>
                </c:pt>
                <c:pt idx="105">
                  <c:v>140.03461141152695</c:v>
                </c:pt>
                <c:pt idx="106">
                  <c:v>140.97634071355773</c:v>
                </c:pt>
                <c:pt idx="107">
                  <c:v>139.847603310816</c:v>
                </c:pt>
                <c:pt idx="108">
                  <c:v>138.22212712262041</c:v>
                </c:pt>
                <c:pt idx="109">
                  <c:v>139.95218775463292</c:v>
                </c:pt>
                <c:pt idx="110">
                  <c:v>139.7143570356167</c:v>
                </c:pt>
                <c:pt idx="111">
                  <c:v>140.44694293884575</c:v>
                </c:pt>
                <c:pt idx="112">
                  <c:v>142.23102459571709</c:v>
                </c:pt>
                <c:pt idx="113">
                  <c:v>143.24742513735939</c:v>
                </c:pt>
                <c:pt idx="114">
                  <c:v>143.40492353752543</c:v>
                </c:pt>
                <c:pt idx="115">
                  <c:v>143.65959124850116</c:v>
                </c:pt>
                <c:pt idx="116">
                  <c:v>142.80321252041284</c:v>
                </c:pt>
                <c:pt idx="117">
                  <c:v>143.67783487419902</c:v>
                </c:pt>
                <c:pt idx="118">
                  <c:v>143.12935068948829</c:v>
                </c:pt>
                <c:pt idx="119">
                  <c:v>142.26414970480684</c:v>
                </c:pt>
                <c:pt idx="120">
                  <c:v>142.70184601612874</c:v>
                </c:pt>
                <c:pt idx="121">
                  <c:v>141.15240867344016</c:v>
                </c:pt>
                <c:pt idx="122">
                  <c:v>142.00001292761689</c:v>
                </c:pt>
                <c:pt idx="123">
                  <c:v>142.89924995652115</c:v>
                </c:pt>
                <c:pt idx="124">
                  <c:v>143.10867096725653</c:v>
                </c:pt>
                <c:pt idx="125">
                  <c:v>142.41612146016922</c:v>
                </c:pt>
                <c:pt idx="126">
                  <c:v>142.78792756373124</c:v>
                </c:pt>
                <c:pt idx="127">
                  <c:v>142.86824205728473</c:v>
                </c:pt>
                <c:pt idx="128">
                  <c:v>143.3864050912855</c:v>
                </c:pt>
                <c:pt idx="129">
                  <c:v>143.44954263878572</c:v>
                </c:pt>
                <c:pt idx="130">
                  <c:v>143.75523976653747</c:v>
                </c:pt>
                <c:pt idx="131">
                  <c:v>144.11327872644574</c:v>
                </c:pt>
                <c:pt idx="132">
                  <c:v>143.64826185619248</c:v>
                </c:pt>
                <c:pt idx="133">
                  <c:v>143.34639597213416</c:v>
                </c:pt>
                <c:pt idx="134">
                  <c:v>143.15899436957997</c:v>
                </c:pt>
                <c:pt idx="135">
                  <c:v>142.50630031340182</c:v>
                </c:pt>
                <c:pt idx="136">
                  <c:v>141.88675463226204</c:v>
                </c:pt>
                <c:pt idx="137">
                  <c:v>139.05361555965001</c:v>
                </c:pt>
                <c:pt idx="138">
                  <c:v>140.42999059613015</c:v>
                </c:pt>
                <c:pt idx="139">
                  <c:v>141.58750969411116</c:v>
                </c:pt>
                <c:pt idx="140">
                  <c:v>142.35972485998229</c:v>
                </c:pt>
                <c:pt idx="141">
                  <c:v>141.78022449913897</c:v>
                </c:pt>
                <c:pt idx="142">
                  <c:v>142.26986257873989</c:v>
                </c:pt>
                <c:pt idx="143">
                  <c:v>143.25926941401354</c:v>
                </c:pt>
                <c:pt idx="144">
                  <c:v>142.46970259595801</c:v>
                </c:pt>
                <c:pt idx="145">
                  <c:v>141.83453776331751</c:v>
                </c:pt>
                <c:pt idx="146">
                  <c:v>141.9739624284677</c:v>
                </c:pt>
                <c:pt idx="147">
                  <c:v>140.76419078677813</c:v>
                </c:pt>
                <c:pt idx="148">
                  <c:v>140.33151935832322</c:v>
                </c:pt>
                <c:pt idx="149">
                  <c:v>139.35935894724881</c:v>
                </c:pt>
                <c:pt idx="150">
                  <c:v>138.80575141141804</c:v>
                </c:pt>
                <c:pt idx="151">
                  <c:v>139.81733833778929</c:v>
                </c:pt>
                <c:pt idx="152">
                  <c:v>139.30776976225951</c:v>
                </c:pt>
                <c:pt idx="153">
                  <c:v>140.98396857141759</c:v>
                </c:pt>
                <c:pt idx="154">
                  <c:v>139.59627474687963</c:v>
                </c:pt>
                <c:pt idx="155">
                  <c:v>139.81387745951415</c:v>
                </c:pt>
                <c:pt idx="156">
                  <c:v>139.40933415689543</c:v>
                </c:pt>
                <c:pt idx="157">
                  <c:v>139.66871290651565</c:v>
                </c:pt>
                <c:pt idx="158">
                  <c:v>139.05081438283423</c:v>
                </c:pt>
                <c:pt idx="159">
                  <c:v>139.30139421403339</c:v>
                </c:pt>
                <c:pt idx="160">
                  <c:v>139.01748261224097</c:v>
                </c:pt>
                <c:pt idx="161">
                  <c:v>139.56396867210398</c:v>
                </c:pt>
                <c:pt idx="162">
                  <c:v>139.38444549758765</c:v>
                </c:pt>
                <c:pt idx="163">
                  <c:v>138.55445098257229</c:v>
                </c:pt>
                <c:pt idx="164">
                  <c:v>138.28921033697074</c:v>
                </c:pt>
                <c:pt idx="165">
                  <c:v>137.75654175415031</c:v>
                </c:pt>
                <c:pt idx="166">
                  <c:v>137.28830968298317</c:v>
                </c:pt>
                <c:pt idx="167">
                  <c:v>136.39486678332921</c:v>
                </c:pt>
                <c:pt idx="168">
                  <c:v>137.16148711817868</c:v>
                </c:pt>
                <c:pt idx="169">
                  <c:v>138.79709033513424</c:v>
                </c:pt>
                <c:pt idx="170">
                  <c:v>138.24742120519687</c:v>
                </c:pt>
                <c:pt idx="171">
                  <c:v>137.77960944968578</c:v>
                </c:pt>
                <c:pt idx="172">
                  <c:v>137.07826745533208</c:v>
                </c:pt>
                <c:pt idx="173">
                  <c:v>137.47465783618938</c:v>
                </c:pt>
                <c:pt idx="174">
                  <c:v>137.37848764741514</c:v>
                </c:pt>
                <c:pt idx="175">
                  <c:v>136.21951931683876</c:v>
                </c:pt>
                <c:pt idx="176">
                  <c:v>135.82480658060436</c:v>
                </c:pt>
                <c:pt idx="177">
                  <c:v>135.9242879712053</c:v>
                </c:pt>
                <c:pt idx="178">
                  <c:v>135.67921227056439</c:v>
                </c:pt>
                <c:pt idx="179">
                  <c:v>137.70757281844899</c:v>
                </c:pt>
                <c:pt idx="180">
                  <c:v>137.02159150516155</c:v>
                </c:pt>
                <c:pt idx="181">
                  <c:v>136.51668772597466</c:v>
                </c:pt>
                <c:pt idx="182">
                  <c:v>136.3881479224093</c:v>
                </c:pt>
                <c:pt idx="183">
                  <c:v>137.18606264824174</c:v>
                </c:pt>
                <c:pt idx="184">
                  <c:v>133.04939862267017</c:v>
                </c:pt>
                <c:pt idx="185">
                  <c:v>137.37139019611763</c:v>
                </c:pt>
                <c:pt idx="186">
                  <c:v>137.80401032154114</c:v>
                </c:pt>
                <c:pt idx="187">
                  <c:v>138.62165872613079</c:v>
                </c:pt>
                <c:pt idx="188">
                  <c:v>137.56082204874232</c:v>
                </c:pt>
                <c:pt idx="189">
                  <c:v>137.35228981711305</c:v>
                </c:pt>
                <c:pt idx="190">
                  <c:v>137.02599679078443</c:v>
                </c:pt>
                <c:pt idx="191">
                  <c:v>137.07797876260895</c:v>
                </c:pt>
                <c:pt idx="192">
                  <c:v>136.67580556010685</c:v>
                </c:pt>
                <c:pt idx="193">
                  <c:v>134.65436269985835</c:v>
                </c:pt>
                <c:pt idx="194">
                  <c:v>133.65734259704072</c:v>
                </c:pt>
                <c:pt idx="195">
                  <c:v>133.3927553209644</c:v>
                </c:pt>
                <c:pt idx="196">
                  <c:v>135.23404839821876</c:v>
                </c:pt>
                <c:pt idx="197">
                  <c:v>135.75746431091451</c:v>
                </c:pt>
                <c:pt idx="198">
                  <c:v>135.73669450247084</c:v>
                </c:pt>
                <c:pt idx="199">
                  <c:v>136.57577018755214</c:v>
                </c:pt>
                <c:pt idx="200">
                  <c:v>138.36200282386523</c:v>
                </c:pt>
                <c:pt idx="201">
                  <c:v>140.883261787962</c:v>
                </c:pt>
                <c:pt idx="202">
                  <c:v>141.39790272834193</c:v>
                </c:pt>
                <c:pt idx="203">
                  <c:v>141.9915594780197</c:v>
                </c:pt>
                <c:pt idx="204">
                  <c:v>143.8841970744721</c:v>
                </c:pt>
                <c:pt idx="205">
                  <c:v>144.47883794667683</c:v>
                </c:pt>
                <c:pt idx="206">
                  <c:v>135.34511313811183</c:v>
                </c:pt>
                <c:pt idx="207">
                  <c:v>123.410767895825</c:v>
                </c:pt>
                <c:pt idx="208">
                  <c:v>127.57201626933592</c:v>
                </c:pt>
                <c:pt idx="209">
                  <c:v>133.64825835309057</c:v>
                </c:pt>
                <c:pt idx="210">
                  <c:v>137.35645382237291</c:v>
                </c:pt>
                <c:pt idx="211">
                  <c:v>139.76196625052035</c:v>
                </c:pt>
                <c:pt idx="212">
                  <c:v>142.07885246892999</c:v>
                </c:pt>
                <c:pt idx="213">
                  <c:v>143.74919323187081</c:v>
                </c:pt>
                <c:pt idx="214">
                  <c:v>142.77615958133205</c:v>
                </c:pt>
                <c:pt idx="215">
                  <c:v>142.17146070122362</c:v>
                </c:pt>
                <c:pt idx="216">
                  <c:v>141.9094194562802</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formatCode="General">
                  <c:v>#N/A</c:v>
                </c:pt>
                <c:pt idx="231" formatCode="General">
                  <c:v>#N/A</c:v>
                </c:pt>
                <c:pt idx="232" formatCode="General">
                  <c:v>#N/A</c:v>
                </c:pt>
                <c:pt idx="233" formatCode="General">
                  <c:v>#N/A</c:v>
                </c:pt>
                <c:pt idx="234" formatCode="General">
                  <c:v>#N/A</c:v>
                </c:pt>
                <c:pt idx="235" formatCode="General">
                  <c:v>#N/A</c:v>
                </c:pt>
                <c:pt idx="236" formatCode="General">
                  <c:v>#N/A</c:v>
                </c:pt>
                <c:pt idx="237" formatCode="General">
                  <c:v>#N/A</c:v>
                </c:pt>
                <c:pt idx="238" formatCode="General">
                  <c:v>#N/A</c:v>
                </c:pt>
                <c:pt idx="239" formatCode="General">
                  <c:v>#N/A</c:v>
                </c:pt>
                <c:pt idx="240" formatCode="General">
                  <c:v>#N/A</c:v>
                </c:pt>
                <c:pt idx="241" formatCode="General">
                  <c:v>#N/A</c:v>
                </c:pt>
                <c:pt idx="242" formatCode="General">
                  <c:v>#N/A</c:v>
                </c:pt>
                <c:pt idx="243" formatCode="General">
                  <c:v>#N/A</c:v>
                </c:pt>
                <c:pt idx="244" formatCode="General">
                  <c:v>#N/A</c:v>
                </c:pt>
                <c:pt idx="245" formatCode="General">
                  <c:v>#N/A</c:v>
                </c:pt>
                <c:pt idx="246" formatCode="General">
                  <c:v>#N/A</c:v>
                </c:pt>
                <c:pt idx="247" formatCode="General">
                  <c:v>#N/A</c:v>
                </c:pt>
                <c:pt idx="248" formatCode="General">
                  <c:v>#N/A</c:v>
                </c:pt>
                <c:pt idx="249" formatCode="General">
                  <c:v>#N/A</c:v>
                </c:pt>
                <c:pt idx="250" formatCode="General">
                  <c:v>#N/A</c:v>
                </c:pt>
                <c:pt idx="251" formatCode="General">
                  <c:v>#N/A</c:v>
                </c:pt>
                <c:pt idx="252" formatCode="General">
                  <c:v>#N/A</c:v>
                </c:pt>
              </c:numCache>
            </c:numRef>
          </c:val>
          <c:smooth val="0"/>
          <c:extLst>
            <c:ext xmlns:c16="http://schemas.microsoft.com/office/drawing/2014/chart" uri="{C3380CC4-5D6E-409C-BE32-E72D297353CC}">
              <c16:uniqueId val="{00000001-5C2F-4E24-9CCD-6F373126EA90}"/>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BK cycle (rhs)</c:v>
          </c:tx>
          <c:spPr>
            <a:ln w="28575" cap="rnd">
              <a:solidFill>
                <a:schemeClr val="accent3"/>
              </a:solidFill>
              <a:round/>
            </a:ln>
            <a:effectLst/>
          </c:spPr>
          <c:marker>
            <c:symbol val="none"/>
          </c:marker>
          <c:cat>
            <c:numRef>
              <c:f>BKFILTER!$F$16:$F$254</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BKFILTER!$R$15:$R$267</c:f>
              <c:numCache>
                <c:formatCode>General</c:formatCode>
                <c:ptCount val="25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-1.5891384230783419</c:v>
                </c:pt>
                <c:pt idx="37">
                  <c:v>-1.3770917318825091</c:v>
                </c:pt>
                <c:pt idx="38">
                  <c:v>-1.1228594738217614</c:v>
                </c:pt>
                <c:pt idx="39">
                  <c:v>-0.85202083704279064</c:v>
                </c:pt>
                <c:pt idx="40">
                  <c:v>-0.58573721140944168</c:v>
                </c:pt>
                <c:pt idx="41">
                  <c:v>-0.33807376452520166</c:v>
                </c:pt>
                <c:pt idx="42">
                  <c:v>-0.11736357282085191</c:v>
                </c:pt>
                <c:pt idx="43">
                  <c:v>6.0330170822017859E-2</c:v>
                </c:pt>
                <c:pt idx="44">
                  <c:v>0.19717935079857368</c:v>
                </c:pt>
                <c:pt idx="45">
                  <c:v>0.29275972461927008</c:v>
                </c:pt>
                <c:pt idx="46">
                  <c:v>0.35355531127352158</c:v>
                </c:pt>
                <c:pt idx="47">
                  <c:v>0.39089047175128083</c:v>
                </c:pt>
                <c:pt idx="48">
                  <c:v>0.42204233539206509</c:v>
                </c:pt>
                <c:pt idx="49">
                  <c:v>0.46920359069221829</c:v>
                </c:pt>
                <c:pt idx="50">
                  <c:v>0.54871089184598087</c:v>
                </c:pt>
                <c:pt idx="51">
                  <c:v>0.68055440576224469</c:v>
                </c:pt>
                <c:pt idx="52">
                  <c:v>0.88435118867151474</c:v>
                </c:pt>
                <c:pt idx="53">
                  <c:v>1.1725704369774943</c:v>
                </c:pt>
                <c:pt idx="54">
                  <c:v>1.5468459568281827</c:v>
                </c:pt>
                <c:pt idx="55">
                  <c:v>1.9936711453999387</c:v>
                </c:pt>
                <c:pt idx="56">
                  <c:v>2.4892547396555433</c:v>
                </c:pt>
                <c:pt idx="57">
                  <c:v>3.0050576561173745</c:v>
                </c:pt>
                <c:pt idx="58">
                  <c:v>3.4953414494638726</c:v>
                </c:pt>
                <c:pt idx="59">
                  <c:v>3.9277458689793869</c:v>
                </c:pt>
                <c:pt idx="60">
                  <c:v>4.2493637537152118</c:v>
                </c:pt>
                <c:pt idx="61">
                  <c:v>4.4207982430014452</c:v>
                </c:pt>
                <c:pt idx="62">
                  <c:v>4.4067843944144407</c:v>
                </c:pt>
                <c:pt idx="63">
                  <c:v>4.1822751276416037</c:v>
                </c:pt>
                <c:pt idx="64">
                  <c:v>3.7365858100973677</c:v>
                </c:pt>
                <c:pt idx="65">
                  <c:v>3.070178754321617</c:v>
                </c:pt>
                <c:pt idx="66">
                  <c:v>2.2042702584483389</c:v>
                </c:pt>
                <c:pt idx="67">
                  <c:v>1.1790286052638317</c:v>
                </c:pt>
                <c:pt idx="68">
                  <c:v>4.5581927276715783E-2</c:v>
                </c:pt>
                <c:pt idx="69">
                  <c:v>-1.1398017000466503</c:v>
                </c:pt>
                <c:pt idx="70">
                  <c:v>-2.3123313148437559</c:v>
                </c:pt>
                <c:pt idx="71">
                  <c:v>-3.4010025351530579</c:v>
                </c:pt>
                <c:pt idx="72">
                  <c:v>-4.3383179041756348</c:v>
                </c:pt>
                <c:pt idx="73">
                  <c:v>-5.0799687323113911</c:v>
                </c:pt>
                <c:pt idx="74">
                  <c:v>-5.5835760953724387</c:v>
                </c:pt>
                <c:pt idx="75">
                  <c:v>-5.825960728983107</c:v>
                </c:pt>
                <c:pt idx="76">
                  <c:v>-5.8031662683636478</c:v>
                </c:pt>
                <c:pt idx="77">
                  <c:v>-5.5296634069212622</c:v>
                </c:pt>
                <c:pt idx="78">
                  <c:v>-5.0352909373285071</c:v>
                </c:pt>
                <c:pt idx="79">
                  <c:v>-4.3519015906499812</c:v>
                </c:pt>
                <c:pt idx="80">
                  <c:v>-3.5308952101508697</c:v>
                </c:pt>
                <c:pt idx="81">
                  <c:v>-2.6273611614948664</c:v>
                </c:pt>
                <c:pt idx="82">
                  <c:v>-1.6906597643620924</c:v>
                </c:pt>
                <c:pt idx="83">
                  <c:v>-0.77148289724061203</c:v>
                </c:pt>
                <c:pt idx="84">
                  <c:v>8.4271597977514268E-2</c:v>
                </c:pt>
                <c:pt idx="85">
                  <c:v>0.84404346647321304</c:v>
                </c:pt>
                <c:pt idx="86">
                  <c:v>1.4866646083021586</c:v>
                </c:pt>
                <c:pt idx="87">
                  <c:v>1.997300086633627</c:v>
                </c:pt>
                <c:pt idx="88">
                  <c:v>2.3802666391041885</c:v>
                </c:pt>
                <c:pt idx="89">
                  <c:v>2.6426433379527676</c:v>
                </c:pt>
                <c:pt idx="90">
                  <c:v>2.7966478343040078</c:v>
                </c:pt>
                <c:pt idx="91">
                  <c:v>2.8624224594942067</c:v>
                </c:pt>
                <c:pt idx="92">
                  <c:v>2.8601499763690983</c:v>
                </c:pt>
                <c:pt idx="93">
                  <c:v>2.8131564658544739</c:v>
                </c:pt>
                <c:pt idx="94">
                  <c:v>2.7396601749807918</c:v>
                </c:pt>
                <c:pt idx="95">
                  <c:v>2.6512236545485521</c:v>
                </c:pt>
                <c:pt idx="96">
                  <c:v>2.5628843278431881</c:v>
                </c:pt>
                <c:pt idx="97">
                  <c:v>2.4769883937060877</c:v>
                </c:pt>
                <c:pt idx="98">
                  <c:v>2.3960075782893324</c:v>
                </c:pt>
                <c:pt idx="99">
                  <c:v>2.3198441025750332</c:v>
                </c:pt>
                <c:pt idx="100">
                  <c:v>2.2468823806066371</c:v>
                </c:pt>
                <c:pt idx="101">
                  <c:v>2.1735079976911877</c:v>
                </c:pt>
                <c:pt idx="102">
                  <c:v>2.0801195639574792</c:v>
                </c:pt>
                <c:pt idx="103">
                  <c:v>1.9519896767158309</c:v>
                </c:pt>
                <c:pt idx="104">
                  <c:v>1.7832453948077325</c:v>
                </c:pt>
                <c:pt idx="105">
                  <c:v>1.5753885884730583</c:v>
                </c:pt>
                <c:pt idx="106">
                  <c:v>1.3336592864422692</c:v>
                </c:pt>
                <c:pt idx="107">
                  <c:v>1.0723966891839916</c:v>
                </c:pt>
                <c:pt idx="108">
                  <c:v>0.81787287737957826</c:v>
                </c:pt>
                <c:pt idx="109">
                  <c:v>0.59781224536708744</c:v>
                </c:pt>
                <c:pt idx="110">
                  <c:v>0.42564296438328286</c:v>
                </c:pt>
                <c:pt idx="111">
                  <c:v>0.31305706115422738</c:v>
                </c:pt>
                <c:pt idx="112">
                  <c:v>0.26897540428291694</c:v>
                </c:pt>
                <c:pt idx="113">
                  <c:v>0.30257486264063577</c:v>
                </c:pt>
                <c:pt idx="114">
                  <c:v>0.41507646247457042</c:v>
                </c:pt>
                <c:pt idx="115">
                  <c:v>0.60040875149883755</c:v>
                </c:pt>
                <c:pt idx="116">
                  <c:v>0.85678747958715151</c:v>
                </c:pt>
                <c:pt idx="117">
                  <c:v>1.1621651258009913</c:v>
                </c:pt>
                <c:pt idx="118">
                  <c:v>1.5106493105116923</c:v>
                </c:pt>
                <c:pt idx="119">
                  <c:v>1.8858502951931637</c:v>
                </c:pt>
                <c:pt idx="120">
                  <c:v>2.2781539838712588</c:v>
                </c:pt>
                <c:pt idx="121">
                  <c:v>2.6675913265598421</c:v>
                </c:pt>
                <c:pt idx="122">
                  <c:v>3.0399870723830924</c:v>
                </c:pt>
                <c:pt idx="123">
                  <c:v>3.3807500434788418</c:v>
                </c:pt>
                <c:pt idx="124">
                  <c:v>3.6813290327434594</c:v>
                </c:pt>
                <c:pt idx="125">
                  <c:v>3.9338785398307738</c:v>
                </c:pt>
                <c:pt idx="126">
                  <c:v>4.1420724362687702</c:v>
                </c:pt>
                <c:pt idx="127">
                  <c:v>4.3117579427152775</c:v>
                </c:pt>
                <c:pt idx="128">
                  <c:v>4.4435949087145206</c:v>
                </c:pt>
                <c:pt idx="129">
                  <c:v>4.5404573612143055</c:v>
                </c:pt>
                <c:pt idx="130">
                  <c:v>4.6047602334625362</c:v>
                </c:pt>
                <c:pt idx="131">
                  <c:v>4.6467212735542445</c:v>
                </c:pt>
                <c:pt idx="132">
                  <c:v>4.6617381438075247</c:v>
                </c:pt>
                <c:pt idx="133">
                  <c:v>4.6536040278658479</c:v>
                </c:pt>
                <c:pt idx="134">
                  <c:v>4.6210056304200222</c:v>
                </c:pt>
                <c:pt idx="135">
                  <c:v>4.5636996865981612</c:v>
                </c:pt>
                <c:pt idx="136">
                  <c:v>4.4832453677379656</c:v>
                </c:pt>
                <c:pt idx="137">
                  <c:v>4.376384440349991</c:v>
                </c:pt>
                <c:pt idx="138">
                  <c:v>4.240009403869835</c:v>
                </c:pt>
                <c:pt idx="139">
                  <c:v>4.0724903058888398</c:v>
                </c:pt>
                <c:pt idx="140">
                  <c:v>3.8702751400176889</c:v>
                </c:pt>
                <c:pt idx="141">
                  <c:v>3.6297755008610366</c:v>
                </c:pt>
                <c:pt idx="142">
                  <c:v>3.3501374212601278</c:v>
                </c:pt>
                <c:pt idx="143">
                  <c:v>3.0207305859864491</c:v>
                </c:pt>
                <c:pt idx="144">
                  <c:v>2.64029740404201</c:v>
                </c:pt>
                <c:pt idx="145">
                  <c:v>2.2154622366825034</c:v>
                </c:pt>
                <c:pt idx="146">
                  <c:v>1.7560375715322776</c:v>
                </c:pt>
                <c:pt idx="147">
                  <c:v>1.2558092132218728</c:v>
                </c:pt>
                <c:pt idx="148">
                  <c:v>0.73848064167676775</c:v>
                </c:pt>
                <c:pt idx="149">
                  <c:v>0.19064105275120563</c:v>
                </c:pt>
                <c:pt idx="150">
                  <c:v>-0.38575141141805591</c:v>
                </c:pt>
                <c:pt idx="151">
                  <c:v>-0.9873383377892706</c:v>
                </c:pt>
                <c:pt idx="152">
                  <c:v>-1.5977697622595173</c:v>
                </c:pt>
                <c:pt idx="153">
                  <c:v>-2.2039685714175818</c:v>
                </c:pt>
                <c:pt idx="154">
                  <c:v>-2.7862747468796267</c:v>
                </c:pt>
                <c:pt idx="155">
                  <c:v>-3.3338774595141438</c:v>
                </c:pt>
                <c:pt idx="156">
                  <c:v>-3.8293341568954227</c:v>
                </c:pt>
                <c:pt idx="157">
                  <c:v>-4.248712906515677</c:v>
                </c:pt>
                <c:pt idx="158">
                  <c:v>-4.580814382834232</c:v>
                </c:pt>
                <c:pt idx="159">
                  <c:v>-4.8113942140333865</c:v>
                </c:pt>
                <c:pt idx="160">
                  <c:v>-4.9474826122409663</c:v>
                </c:pt>
                <c:pt idx="161">
                  <c:v>-4.993968672103982</c:v>
                </c:pt>
                <c:pt idx="162">
                  <c:v>-4.95444549758765</c:v>
                </c:pt>
                <c:pt idx="163">
                  <c:v>-4.834450982572287</c:v>
                </c:pt>
                <c:pt idx="164">
                  <c:v>-4.6492103369707474</c:v>
                </c:pt>
                <c:pt idx="165">
                  <c:v>-4.4165417541503045</c:v>
                </c:pt>
                <c:pt idx="166">
                  <c:v>-4.1483096829831956</c:v>
                </c:pt>
                <c:pt idx="167">
                  <c:v>-3.8548667833292098</c:v>
                </c:pt>
                <c:pt idx="168">
                  <c:v>-3.5514871181786782</c:v>
                </c:pt>
                <c:pt idx="169">
                  <c:v>-3.2470903351342231</c:v>
                </c:pt>
                <c:pt idx="170">
                  <c:v>-2.9074212051968558</c:v>
                </c:pt>
                <c:pt idx="171">
                  <c:v>-2.4896094496857817</c:v>
                </c:pt>
                <c:pt idx="172">
                  <c:v>-2.018267455332067</c:v>
                </c:pt>
                <c:pt idx="173">
                  <c:v>-1.5246578361893917</c:v>
                </c:pt>
                <c:pt idx="174">
                  <c:v>-1.0384876474151272</c:v>
                </c:pt>
                <c:pt idx="175">
                  <c:v>-0.57951931683877178</c:v>
                </c:pt>
                <c:pt idx="176">
                  <c:v>-0.18480658060436578</c:v>
                </c:pt>
                <c:pt idx="177">
                  <c:v>0.11571202879470155</c:v>
                </c:pt>
                <c:pt idx="178">
                  <c:v>0.31078772943560301</c:v>
                </c:pt>
                <c:pt idx="179">
                  <c:v>0.40242718155102719</c:v>
                </c:pt>
                <c:pt idx="180">
                  <c:v>0.39840849483844865</c:v>
                </c:pt>
                <c:pt idx="181">
                  <c:v>0.31331227402533651</c:v>
                </c:pt>
                <c:pt idx="182">
                  <c:v>0.20185207759069795</c:v>
                </c:pt>
                <c:pt idx="183">
                  <c:v>9.3937351758256182E-2</c:v>
                </c:pt>
                <c:pt idx="184">
                  <c:v>2.0601377329813431E-2</c:v>
                </c:pt>
                <c:pt idx="185">
                  <c:v>1.8609803882363607E-2</c:v>
                </c:pt>
                <c:pt idx="186">
                  <c:v>0.11598967845885022</c:v>
                </c:pt>
                <c:pt idx="187">
                  <c:v>0.32834127386918732</c:v>
                </c:pt>
                <c:pt idx="188">
                  <c:v>0.65917795125768253</c:v>
                </c:pt>
                <c:pt idx="189">
                  <c:v>1.087710182886958</c:v>
                </c:pt>
                <c:pt idx="190">
                  <c:v>1.584003209215586</c:v>
                </c:pt>
                <c:pt idx="191">
                  <c:v>2.1020212373910541</c:v>
                </c:pt>
                <c:pt idx="192">
                  <c:v>2.60419443989315</c:v>
                </c:pt>
                <c:pt idx="193">
                  <c:v>3.035637300141631</c:v>
                </c:pt>
                <c:pt idx="194">
                  <c:v>3.3426574029592704</c:v>
                </c:pt>
                <c:pt idx="195">
                  <c:v>3.4772446790356057</c:v>
                </c:pt>
                <c:pt idx="196">
                  <c:v>3.4059516017812372</c:v>
                </c:pt>
                <c:pt idx="197">
                  <c:v>3.1025356890854883</c:v>
                </c:pt>
                <c:pt idx="198">
                  <c:v>2.5533054975291529</c:v>
                </c:pt>
                <c:pt idx="199">
                  <c:v>1.7742298124478626</c:v>
                </c:pt>
                <c:pt idx="200">
                  <c:v>0.79799717613477084</c:v>
                </c:pt>
                <c:pt idx="201">
                  <c:v>-0.32326178796198668</c:v>
                </c:pt>
                <c:pt idx="202">
                  <c:v>-1.5179027283419342</c:v>
                </c:pt>
                <c:pt idx="203">
                  <c:v>-2.7115594780196939</c:v>
                </c:pt>
                <c:pt idx="204">
                  <c:v>-3.8341970744720992</c:v>
                </c:pt>
                <c:pt idx="205">
                  <c:v>-4.8288379466768285</c:v>
                </c:pt>
                <c:pt idx="206">
                  <c:v>-5.6351131381118105</c:v>
                </c:pt>
                <c:pt idx="207">
                  <c:v>-6.2207678958250039</c:v>
                </c:pt>
                <c:pt idx="208">
                  <c:v>-6.5420162693359156</c:v>
                </c:pt>
                <c:pt idx="209">
                  <c:v>-6.5882583530905734</c:v>
                </c:pt>
                <c:pt idx="210">
                  <c:v>-6.3664538223728906</c:v>
                </c:pt>
                <c:pt idx="211">
                  <c:v>-5.901966250520327</c:v>
                </c:pt>
                <c:pt idx="212">
                  <c:v>-5.2388524689299922</c:v>
                </c:pt>
                <c:pt idx="213">
                  <c:v>-4.4291932318708014</c:v>
                </c:pt>
                <c:pt idx="214">
                  <c:v>-3.5361595813320497</c:v>
                </c:pt>
                <c:pt idx="215">
                  <c:v>-2.6314607012236384</c:v>
                </c:pt>
                <c:pt idx="216">
                  <c:v>-1.7794194562802084</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numCache>
            </c:numRef>
          </c:val>
          <c:smooth val="0"/>
          <c:extLst>
            <c:ext xmlns:c16="http://schemas.microsoft.com/office/drawing/2014/chart" uri="{C3380CC4-5D6E-409C-BE32-E72D297353CC}">
              <c16:uniqueId val="{00000002-5C2F-4E24-9CCD-6F373126EA90}"/>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CFFILTER!$F$17:$F$269</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CFFILTER!$G$17:$G$269</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5E04-4E23-854A-05C47F788A5D}"/>
            </c:ext>
          </c:extLst>
        </c:ser>
        <c:ser>
          <c:idx val="1"/>
          <c:order val="1"/>
          <c:tx>
            <c:v>CF trend</c:v>
          </c:tx>
          <c:spPr>
            <a:ln w="28575" cap="rnd">
              <a:solidFill>
                <a:schemeClr val="accent2"/>
              </a:solidFill>
              <a:round/>
            </a:ln>
            <a:effectLst/>
          </c:spPr>
          <c:marker>
            <c:symbol val="none"/>
          </c:marker>
          <c:cat>
            <c:numRef>
              <c:f>CFFILTER!$F$17:$F$269</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CFFILTER!$R$17:$R$269</c:f>
              <c:numCache>
                <c:formatCode>0.0</c:formatCode>
                <c:ptCount val="253"/>
                <c:pt idx="0">
                  <c:v>101.40864297484386</c:v>
                </c:pt>
                <c:pt idx="1">
                  <c:v>103.24043558804379</c:v>
                </c:pt>
                <c:pt idx="2">
                  <c:v>103.31405806336281</c:v>
                </c:pt>
                <c:pt idx="3">
                  <c:v>102.77490722616369</c:v>
                </c:pt>
                <c:pt idx="4">
                  <c:v>101.95780662046788</c:v>
                </c:pt>
                <c:pt idx="5">
                  <c:v>102.30802062887531</c:v>
                </c:pt>
                <c:pt idx="6">
                  <c:v>101.23227626065365</c:v>
                </c:pt>
                <c:pt idx="7">
                  <c:v>102.16972143680678</c:v>
                </c:pt>
                <c:pt idx="8">
                  <c:v>103.99275317535374</c:v>
                </c:pt>
                <c:pt idx="9">
                  <c:v>104.09765795620858</c:v>
                </c:pt>
                <c:pt idx="10">
                  <c:v>104.06501889035016</c:v>
                </c:pt>
                <c:pt idx="11">
                  <c:v>103.75985916884562</c:v>
                </c:pt>
                <c:pt idx="12">
                  <c:v>105.15150762318611</c:v>
                </c:pt>
                <c:pt idx="13">
                  <c:v>105.67318912677985</c:v>
                </c:pt>
                <c:pt idx="14">
                  <c:v>106.59135913313979</c:v>
                </c:pt>
                <c:pt idx="15">
                  <c:v>106.764817113264</c:v>
                </c:pt>
                <c:pt idx="16">
                  <c:v>106.28364736363343</c:v>
                </c:pt>
                <c:pt idx="17">
                  <c:v>106.76804703557066</c:v>
                </c:pt>
                <c:pt idx="18">
                  <c:v>106.91710977737576</c:v>
                </c:pt>
                <c:pt idx="19">
                  <c:v>107.15763861609985</c:v>
                </c:pt>
                <c:pt idx="20">
                  <c:v>107.94306320712701</c:v>
                </c:pt>
                <c:pt idx="21">
                  <c:v>107.40253397316005</c:v>
                </c:pt>
                <c:pt idx="22">
                  <c:v>108.32025866330696</c:v>
                </c:pt>
                <c:pt idx="23">
                  <c:v>107.79513537235</c:v>
                </c:pt>
                <c:pt idx="24">
                  <c:v>108.40072019245186</c:v>
                </c:pt>
                <c:pt idx="25">
                  <c:v>109.27554786188786</c:v>
                </c:pt>
                <c:pt idx="26">
                  <c:v>109.72380084149209</c:v>
                </c:pt>
                <c:pt idx="27">
                  <c:v>110.75629740875863</c:v>
                </c:pt>
                <c:pt idx="28">
                  <c:v>110.96174422080549</c:v>
                </c:pt>
                <c:pt idx="29">
                  <c:v>110.59817528752856</c:v>
                </c:pt>
                <c:pt idx="30">
                  <c:v>110.97447953086915</c:v>
                </c:pt>
                <c:pt idx="31">
                  <c:v>111.99190520825779</c:v>
                </c:pt>
                <c:pt idx="32">
                  <c:v>111.65542335912922</c:v>
                </c:pt>
                <c:pt idx="33">
                  <c:v>112.12483555624799</c:v>
                </c:pt>
                <c:pt idx="34">
                  <c:v>112.88552439872643</c:v>
                </c:pt>
                <c:pt idx="35">
                  <c:v>113.88876830340497</c:v>
                </c:pt>
                <c:pt idx="36">
                  <c:v>114.33157419425203</c:v>
                </c:pt>
                <c:pt idx="37">
                  <c:v>114.35602061722307</c:v>
                </c:pt>
                <c:pt idx="38">
                  <c:v>113.87814667004658</c:v>
                </c:pt>
                <c:pt idx="39">
                  <c:v>114.49646526656417</c:v>
                </c:pt>
                <c:pt idx="40">
                  <c:v>115.54021857103031</c:v>
                </c:pt>
                <c:pt idx="41">
                  <c:v>113.96752481949417</c:v>
                </c:pt>
                <c:pt idx="42">
                  <c:v>115.96358546123545</c:v>
                </c:pt>
                <c:pt idx="43">
                  <c:v>115.82912668683684</c:v>
                </c:pt>
                <c:pt idx="44">
                  <c:v>115.7592382424335</c:v>
                </c:pt>
                <c:pt idx="45">
                  <c:v>117.08274473187301</c:v>
                </c:pt>
                <c:pt idx="46">
                  <c:v>117.8222017956767</c:v>
                </c:pt>
                <c:pt idx="47">
                  <c:v>119.57455468485716</c:v>
                </c:pt>
                <c:pt idx="48">
                  <c:v>118.77243433719654</c:v>
                </c:pt>
                <c:pt idx="49">
                  <c:v>119.15600174304807</c:v>
                </c:pt>
                <c:pt idx="50">
                  <c:v>118.19519140193484</c:v>
                </c:pt>
                <c:pt idx="51">
                  <c:v>119.68215528154542</c:v>
                </c:pt>
                <c:pt idx="52">
                  <c:v>120.59367553040337</c:v>
                </c:pt>
                <c:pt idx="53">
                  <c:v>121.10330164530365</c:v>
                </c:pt>
                <c:pt idx="54">
                  <c:v>121.58297844741713</c:v>
                </c:pt>
                <c:pt idx="55">
                  <c:v>121.61396549820661</c:v>
                </c:pt>
                <c:pt idx="56">
                  <c:v>121.97690455730745</c:v>
                </c:pt>
                <c:pt idx="57">
                  <c:v>122.76096512032559</c:v>
                </c:pt>
                <c:pt idx="58">
                  <c:v>122.30208274442228</c:v>
                </c:pt>
                <c:pt idx="59">
                  <c:v>123.32039306315197</c:v>
                </c:pt>
                <c:pt idx="60">
                  <c:v>122.91704762367374</c:v>
                </c:pt>
                <c:pt idx="61">
                  <c:v>122.49066751093417</c:v>
                </c:pt>
                <c:pt idx="62">
                  <c:v>121.85373962395879</c:v>
                </c:pt>
                <c:pt idx="63">
                  <c:v>123.76928262456028</c:v>
                </c:pt>
                <c:pt idx="64">
                  <c:v>125.63810156089941</c:v>
                </c:pt>
                <c:pt idx="65">
                  <c:v>127.43691139161477</c:v>
                </c:pt>
                <c:pt idx="66">
                  <c:v>128.38754253952959</c:v>
                </c:pt>
                <c:pt idx="67">
                  <c:v>129.99735153033751</c:v>
                </c:pt>
                <c:pt idx="68">
                  <c:v>130.62085454506786</c:v>
                </c:pt>
                <c:pt idx="69">
                  <c:v>129.45249094602332</c:v>
                </c:pt>
                <c:pt idx="70">
                  <c:v>127.57031801840537</c:v>
                </c:pt>
                <c:pt idx="71">
                  <c:v>125.37034765657889</c:v>
                </c:pt>
                <c:pt idx="72">
                  <c:v>125.97116968081713</c:v>
                </c:pt>
                <c:pt idx="73">
                  <c:v>127.98847191967195</c:v>
                </c:pt>
                <c:pt idx="74">
                  <c:v>129.16906824662667</c:v>
                </c:pt>
                <c:pt idx="75">
                  <c:v>130.10408312746276</c:v>
                </c:pt>
                <c:pt idx="76">
                  <c:v>131.48101206825538</c:v>
                </c:pt>
                <c:pt idx="77">
                  <c:v>131.94447544874228</c:v>
                </c:pt>
                <c:pt idx="78">
                  <c:v>131.93559957252285</c:v>
                </c:pt>
                <c:pt idx="79">
                  <c:v>133.55008239938462</c:v>
                </c:pt>
                <c:pt idx="80">
                  <c:v>133.59512049362345</c:v>
                </c:pt>
                <c:pt idx="81">
                  <c:v>133.7954766647037</c:v>
                </c:pt>
                <c:pt idx="82">
                  <c:v>132.96904449436687</c:v>
                </c:pt>
                <c:pt idx="83">
                  <c:v>134.06230884105034</c:v>
                </c:pt>
                <c:pt idx="84">
                  <c:v>135.00610619338985</c:v>
                </c:pt>
                <c:pt idx="85">
                  <c:v>135.72205488723375</c:v>
                </c:pt>
                <c:pt idx="86">
                  <c:v>136.26995604359257</c:v>
                </c:pt>
                <c:pt idx="87">
                  <c:v>136.40636851944487</c:v>
                </c:pt>
                <c:pt idx="88">
                  <c:v>135.16444495449102</c:v>
                </c:pt>
                <c:pt idx="89">
                  <c:v>134.66499280173053</c:v>
                </c:pt>
                <c:pt idx="90">
                  <c:v>135.43860641044185</c:v>
                </c:pt>
                <c:pt idx="91">
                  <c:v>136.46861558607088</c:v>
                </c:pt>
                <c:pt idx="92">
                  <c:v>137.71452260129885</c:v>
                </c:pt>
                <c:pt idx="93">
                  <c:v>137.68556057539843</c:v>
                </c:pt>
                <c:pt idx="94">
                  <c:v>139.2940051061432</c:v>
                </c:pt>
                <c:pt idx="95">
                  <c:v>137.95790771558765</c:v>
                </c:pt>
                <c:pt idx="96">
                  <c:v>139.65298983349066</c:v>
                </c:pt>
                <c:pt idx="97">
                  <c:v>140.39353200287152</c:v>
                </c:pt>
                <c:pt idx="98">
                  <c:v>140.56220441498473</c:v>
                </c:pt>
                <c:pt idx="99">
                  <c:v>140.48889987570521</c:v>
                </c:pt>
                <c:pt idx="100">
                  <c:v>140.70873668841205</c:v>
                </c:pt>
                <c:pt idx="101">
                  <c:v>141.39948552537118</c:v>
                </c:pt>
                <c:pt idx="102">
                  <c:v>141.69873215044089</c:v>
                </c:pt>
                <c:pt idx="103">
                  <c:v>141.63111098721072</c:v>
                </c:pt>
                <c:pt idx="104">
                  <c:v>141.41593088664308</c:v>
                </c:pt>
                <c:pt idx="105">
                  <c:v>141.64546588862345</c:v>
                </c:pt>
                <c:pt idx="106">
                  <c:v>142.5941058928685</c:v>
                </c:pt>
                <c:pt idx="107">
                  <c:v>141.4884636865755</c:v>
                </c:pt>
                <c:pt idx="108">
                  <c:v>139.90842662299357</c:v>
                </c:pt>
                <c:pt idx="109">
                  <c:v>141.70903529472312</c:v>
                </c:pt>
                <c:pt idx="110">
                  <c:v>141.5529793755131</c:v>
                </c:pt>
                <c:pt idx="111">
                  <c:v>142.36343242344034</c:v>
                </c:pt>
                <c:pt idx="112">
                  <c:v>144.20691020181931</c:v>
                </c:pt>
                <c:pt idx="113">
                  <c:v>145.25583489038155</c:v>
                </c:pt>
                <c:pt idx="114">
                  <c:v>145.41052047487725</c:v>
                </c:pt>
                <c:pt idx="115">
                  <c:v>145.62035881208658</c:v>
                </c:pt>
                <c:pt idx="116">
                  <c:v>144.6840741414039</c:v>
                </c:pt>
                <c:pt idx="117">
                  <c:v>145.43901631019179</c:v>
                </c:pt>
                <c:pt idx="118">
                  <c:v>144.74956833092119</c:v>
                </c:pt>
                <c:pt idx="119">
                  <c:v>143.73484046055512</c:v>
                </c:pt>
                <c:pt idx="120">
                  <c:v>144.03590017159661</c:v>
                </c:pt>
                <c:pt idx="121">
                  <c:v>142.37283674165693</c:v>
                </c:pt>
                <c:pt idx="122">
                  <c:v>143.14197540799364</c:v>
                </c:pt>
                <c:pt idx="123">
                  <c:v>144.0035374888495</c:v>
                </c:pt>
                <c:pt idx="124">
                  <c:v>144.21999179613312</c:v>
                </c:pt>
                <c:pt idx="125">
                  <c:v>143.57526488297853</c:v>
                </c:pt>
                <c:pt idx="126">
                  <c:v>144.03488195175171</c:v>
                </c:pt>
                <c:pt idx="127">
                  <c:v>144.23700731272436</c:v>
                </c:pt>
                <c:pt idx="128">
                  <c:v>144.89425460309178</c:v>
                </c:pt>
                <c:pt idx="129">
                  <c:v>145.09605349355255</c:v>
                </c:pt>
                <c:pt idx="130">
                  <c:v>145.52130052011876</c:v>
                </c:pt>
                <c:pt idx="131">
                  <c:v>145.97099340716781</c:v>
                </c:pt>
                <c:pt idx="132">
                  <c:v>145.55055374003132</c:v>
                </c:pt>
                <c:pt idx="133">
                  <c:v>145.2415812511548</c:v>
                </c:pt>
                <c:pt idx="134">
                  <c:v>144.99284976512345</c:v>
                </c:pt>
                <c:pt idx="135">
                  <c:v>144.2304423025418</c:v>
                </c:pt>
                <c:pt idx="136">
                  <c:v>143.46702098283555</c:v>
                </c:pt>
                <c:pt idx="137">
                  <c:v>140.47032505160368</c:v>
                </c:pt>
                <c:pt idx="138">
                  <c:v>141.68107655934975</c:v>
                </c:pt>
                <c:pt idx="139">
                  <c:v>142.69053826273694</c:v>
                </c:pt>
                <c:pt idx="140">
                  <c:v>143.34800498339987</c:v>
                </c:pt>
                <c:pt idx="141">
                  <c:v>142.69851398069625</c:v>
                </c:pt>
                <c:pt idx="142">
                  <c:v>143.17103161418683</c:v>
                </c:pt>
                <c:pt idx="143">
                  <c:v>144.18731615220321</c:v>
                </c:pt>
                <c:pt idx="144">
                  <c:v>143.46157680619913</c:v>
                </c:pt>
                <c:pt idx="145">
                  <c:v>142.92095625444443</c:v>
                </c:pt>
                <c:pt idx="146">
                  <c:v>143.17676884505943</c:v>
                </c:pt>
                <c:pt idx="147">
                  <c:v>142.07634034407457</c:v>
                </c:pt>
                <c:pt idx="148">
                  <c:v>141.74522748423129</c:v>
                </c:pt>
                <c:pt idx="149">
                  <c:v>140.82955445003779</c:v>
                </c:pt>
                <c:pt idx="150">
                  <c:v>140.26819349156509</c:v>
                </c:pt>
                <c:pt idx="151">
                  <c:v>141.19453914808668</c:v>
                </c:pt>
                <c:pt idx="152">
                  <c:v>140.52767737657888</c:v>
                </c:pt>
                <c:pt idx="153">
                  <c:v>141.98282605771044</c:v>
                </c:pt>
                <c:pt idx="154">
                  <c:v>140.33101298213677</c:v>
                </c:pt>
                <c:pt idx="155">
                  <c:v>140.25805086893473</c:v>
                </c:pt>
                <c:pt idx="156">
                  <c:v>139.56295511110909</c:v>
                </c:pt>
                <c:pt idx="157">
                  <c:v>139.56601846049091</c:v>
                </c:pt>
                <c:pt idx="158">
                  <c:v>138.74679945266399</c:v>
                </c:pt>
                <c:pt idx="159">
                  <c:v>138.87229273176237</c:v>
                </c:pt>
                <c:pt idx="160">
                  <c:v>138.53552791516196</c:v>
                </c:pt>
                <c:pt idx="161">
                  <c:v>139.09479146875569</c:v>
                </c:pt>
                <c:pt idx="162">
                  <c:v>138.9835891351224</c:v>
                </c:pt>
                <c:pt idx="163">
                  <c:v>138.26137367539198</c:v>
                </c:pt>
                <c:pt idx="164">
                  <c:v>138.11496496956966</c:v>
                </c:pt>
                <c:pt idx="165">
                  <c:v>137.68049855222628</c:v>
                </c:pt>
                <c:pt idx="166">
                  <c:v>137.26566553381755</c:v>
                </c:pt>
                <c:pt idx="167">
                  <c:v>136.36196077109562</c:v>
                </c:pt>
                <c:pt idx="168">
                  <c:v>137.03664330198856</c:v>
                </c:pt>
                <c:pt idx="169">
                  <c:v>138.49413587354726</c:v>
                </c:pt>
                <c:pt idx="170">
                  <c:v>137.72664715816333</c:v>
                </c:pt>
                <c:pt idx="171">
                  <c:v>137.0638852495359</c:v>
                </c:pt>
                <c:pt idx="172">
                  <c:v>136.19183509389765</c:v>
                </c:pt>
                <c:pt idx="173">
                  <c:v>136.44068402548717</c:v>
                </c:pt>
                <c:pt idx="174">
                  <c:v>136.22208574425429</c:v>
                </c:pt>
                <c:pt idx="175">
                  <c:v>134.9760413679048</c:v>
                </c:pt>
                <c:pt idx="176">
                  <c:v>134.51773578001567</c:v>
                </c:pt>
                <c:pt idx="177">
                  <c:v>134.56469052503812</c:v>
                </c:pt>
                <c:pt idx="178">
                  <c:v>134.27457704928992</c:v>
                </c:pt>
                <c:pt idx="179">
                  <c:v>136.26397670804496</c:v>
                </c:pt>
                <c:pt idx="180">
                  <c:v>135.53828172620939</c:v>
                </c:pt>
                <c:pt idx="181">
                  <c:v>134.98281334856463</c:v>
                </c:pt>
                <c:pt idx="182">
                  <c:v>134.81510201927057</c:v>
                </c:pt>
                <c:pt idx="183">
                  <c:v>135.5781437129769</c:v>
                </c:pt>
                <c:pt idx="184">
                  <c:v>131.404330954068</c:v>
                </c:pt>
                <c:pt idx="185">
                  <c:v>135.68966980039073</c:v>
                </c:pt>
                <c:pt idx="186">
                  <c:v>136.0878455892468</c:v>
                </c:pt>
                <c:pt idx="187">
                  <c:v>136.87369705687365</c:v>
                </c:pt>
                <c:pt idx="188">
                  <c:v>135.78570231468152</c:v>
                </c:pt>
                <c:pt idx="189">
                  <c:v>135.54716782364798</c:v>
                </c:pt>
                <c:pt idx="190">
                  <c:v>135.18593488835995</c:v>
                </c:pt>
                <c:pt idx="191">
                  <c:v>135.19256520973562</c:v>
                </c:pt>
                <c:pt idx="192">
                  <c:v>134.74712280425106</c:v>
                </c:pt>
                <c:pt idx="193">
                  <c:v>132.68481796973552</c:v>
                </c:pt>
                <c:pt idx="194">
                  <c:v>131.65090424342793</c:v>
                </c:pt>
                <c:pt idx="195">
                  <c:v>131.35530786200297</c:v>
                </c:pt>
                <c:pt idx="196">
                  <c:v>133.17751109044983</c:v>
                </c:pt>
                <c:pt idx="197">
                  <c:v>133.69220063319392</c:v>
                </c:pt>
                <c:pt idx="198">
                  <c:v>133.66613020008737</c:v>
                </c:pt>
                <c:pt idx="199">
                  <c:v>134.50653759096241</c:v>
                </c:pt>
                <c:pt idx="200">
                  <c:v>136.30131169908051</c:v>
                </c:pt>
                <c:pt idx="201">
                  <c:v>138.84093780245638</c:v>
                </c:pt>
                <c:pt idx="202">
                  <c:v>139.39207703367802</c:v>
                </c:pt>
                <c:pt idx="203">
                  <c:v>140.04247534441373</c:v>
                </c:pt>
                <c:pt idx="204">
                  <c:v>142.00676489882284</c:v>
                </c:pt>
                <c:pt idx="205">
                  <c:v>142.67263017544772</c:v>
                </c:pt>
                <c:pt idx="206">
                  <c:v>133.60677149963053</c:v>
                </c:pt>
                <c:pt idx="207">
                  <c:v>121.7201144903662</c:v>
                </c:pt>
                <c:pt idx="208">
                  <c:v>125.92178361252964</c:v>
                </c:pt>
                <c:pt idx="209">
                  <c:v>132.03147483867878</c:v>
                </c:pt>
                <c:pt idx="210">
                  <c:v>135.77001473966894</c:v>
                </c:pt>
                <c:pt idx="211">
                  <c:v>138.20806596274534</c:v>
                </c:pt>
                <c:pt idx="212">
                  <c:v>140.56311482989457</c:v>
                </c:pt>
                <c:pt idx="213">
                  <c:v>142.28503826022646</c:v>
                </c:pt>
                <c:pt idx="214">
                  <c:v>141.3806784849962</c:v>
                </c:pt>
                <c:pt idx="215">
                  <c:v>140.85794232955294</c:v>
                </c:pt>
                <c:pt idx="216">
                  <c:v>140.68997885986116</c:v>
                </c:pt>
                <c:pt idx="217">
                  <c:v>140.89997185214048</c:v>
                </c:pt>
                <c:pt idx="218">
                  <c:v>135.15701427046841</c:v>
                </c:pt>
                <c:pt idx="219">
                  <c:v>136.57341835851011</c:v>
                </c:pt>
                <c:pt idx="220">
                  <c:v>137.75366905905116</c:v>
                </c:pt>
                <c:pt idx="221">
                  <c:v>138.01506534019231</c:v>
                </c:pt>
                <c:pt idx="222">
                  <c:v>137.74993019808181</c:v>
                </c:pt>
                <c:pt idx="223">
                  <c:v>138.47912197052614</c:v>
                </c:pt>
                <c:pt idx="224">
                  <c:v>138.77646159102622</c:v>
                </c:pt>
                <c:pt idx="225">
                  <c:v>139.9036136570451</c:v>
                </c:pt>
                <c:pt idx="226">
                  <c:v>141.66493037973788</c:v>
                </c:pt>
                <c:pt idx="227">
                  <c:v>142.09178830412765</c:v>
                </c:pt>
                <c:pt idx="228">
                  <c:v>141.28601472628645</c:v>
                </c:pt>
                <c:pt idx="229">
                  <c:v>141.88210594284081</c:v>
                </c:pt>
                <c:pt idx="230" formatCode="General">
                  <c:v>142.91807110364522</c:v>
                </c:pt>
                <c:pt idx="231" formatCode="General">
                  <c:v>142.97487935501047</c:v>
                </c:pt>
                <c:pt idx="232" formatCode="General">
                  <c:v>142.65462913255877</c:v>
                </c:pt>
                <c:pt idx="233" formatCode="General">
                  <c:v>143.05768256300652</c:v>
                </c:pt>
                <c:pt idx="234" formatCode="General">
                  <c:v>145.22910280575618</c:v>
                </c:pt>
                <c:pt idx="235" formatCode="General">
                  <c:v>143.94478902847135</c:v>
                </c:pt>
                <c:pt idx="236" formatCode="General">
                  <c:v>143.65771798805829</c:v>
                </c:pt>
                <c:pt idx="237" formatCode="General">
                  <c:v>143.62467286586309</c:v>
                </c:pt>
                <c:pt idx="238" formatCode="General">
                  <c:v>141.55377350572439</c:v>
                </c:pt>
                <c:pt idx="239" formatCode="General">
                  <c:v>141.08302579173323</c:v>
                </c:pt>
                <c:pt idx="240" formatCode="General">
                  <c:v>142.32999270590969</c:v>
                </c:pt>
                <c:pt idx="241" formatCode="General">
                  <c:v>146.52256835318775</c:v>
                </c:pt>
                <c:pt idx="242" formatCode="General">
                  <c:v>146.24072186901333</c:v>
                </c:pt>
                <c:pt idx="243" formatCode="General">
                  <c:v>148.35898240237171</c:v>
                </c:pt>
                <c:pt idx="244" formatCode="General">
                  <c:v>145.90936868296771</c:v>
                </c:pt>
                <c:pt idx="245" formatCode="General">
                  <c:v>146.5544331219125</c:v>
                </c:pt>
                <c:pt idx="246" formatCode="General">
                  <c:v>147.20009320281775</c:v>
                </c:pt>
                <c:pt idx="247" formatCode="General">
                  <c:v>146.51796037949546</c:v>
                </c:pt>
                <c:pt idx="248" formatCode="General">
                  <c:v>146.65694345028993</c:v>
                </c:pt>
                <c:pt idx="249" formatCode="General">
                  <c:v>146.74399112582509</c:v>
                </c:pt>
                <c:pt idx="250" formatCode="General">
                  <c:v>146.84393699408983</c:v>
                </c:pt>
                <c:pt idx="251" formatCode="General">
                  <c:v>147.93850828390123</c:v>
                </c:pt>
                <c:pt idx="252" formatCode="General">
                  <c:v>148.68464714654579</c:v>
                </c:pt>
              </c:numCache>
            </c:numRef>
          </c:val>
          <c:smooth val="0"/>
          <c:extLst>
            <c:ext xmlns:c16="http://schemas.microsoft.com/office/drawing/2014/chart" uri="{C3380CC4-5D6E-409C-BE32-E72D297353CC}">
              <c16:uniqueId val="{00000001-5E04-4E23-854A-05C47F788A5D}"/>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CF cycle (rhs)</c:v>
          </c:tx>
          <c:spPr>
            <a:ln w="28575" cap="rnd">
              <a:solidFill>
                <a:schemeClr val="accent3"/>
              </a:solidFill>
              <a:round/>
            </a:ln>
            <a:effectLst/>
          </c:spPr>
          <c:marker>
            <c:symbol val="none"/>
          </c:marker>
          <c:cat>
            <c:numRef>
              <c:f>CFFILTER!$F$18:$F$256</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CFFILTER!$S$17:$S$269</c:f>
              <c:numCache>
                <c:formatCode>0.00000</c:formatCode>
                <c:ptCount val="253"/>
                <c:pt idx="0">
                  <c:v>-0.98864297484385344</c:v>
                </c:pt>
                <c:pt idx="1">
                  <c:v>-1.250435588043793</c:v>
                </c:pt>
                <c:pt idx="2">
                  <c:v>-1.5140580633628047</c:v>
                </c:pt>
                <c:pt idx="3">
                  <c:v>-1.7649072261636904</c:v>
                </c:pt>
                <c:pt idx="4">
                  <c:v>-1.9878066204678742</c:v>
                </c:pt>
                <c:pt idx="5">
                  <c:v>-2.1680206288753059</c:v>
                </c:pt>
                <c:pt idx="6">
                  <c:v>-2.2922762606536455</c:v>
                </c:pt>
                <c:pt idx="7">
                  <c:v>-2.3497214368067953</c:v>
                </c:pt>
                <c:pt idx="8">
                  <c:v>-2.3327531753537483</c:v>
                </c:pt>
                <c:pt idx="9">
                  <c:v>-2.2376579562085741</c:v>
                </c:pt>
                <c:pt idx="10">
                  <c:v>-2.0650188903501654</c:v>
                </c:pt>
                <c:pt idx="11">
                  <c:v>-1.8198591688456185</c:v>
                </c:pt>
                <c:pt idx="12">
                  <c:v>-1.5115076231861009</c:v>
                </c:pt>
                <c:pt idx="13">
                  <c:v>-1.1531891267798526</c:v>
                </c:pt>
                <c:pt idx="14">
                  <c:v>-0.76135913313979087</c:v>
                </c:pt>
                <c:pt idx="15">
                  <c:v>-0.35481711326400189</c:v>
                </c:pt>
                <c:pt idx="16">
                  <c:v>4.6352636366566724E-2</c:v>
                </c:pt>
                <c:pt idx="17">
                  <c:v>0.42195296442933339</c:v>
                </c:pt>
                <c:pt idx="18">
                  <c:v>0.75289022262424199</c:v>
                </c:pt>
                <c:pt idx="19">
                  <c:v>1.0223613839001557</c:v>
                </c:pt>
                <c:pt idx="20">
                  <c:v>1.2169367928729802</c:v>
                </c:pt>
                <c:pt idx="21">
                  <c:v>1.3274660268399638</c:v>
                </c:pt>
                <c:pt idx="22">
                  <c:v>1.3497413366930449</c:v>
                </c:pt>
                <c:pt idx="23">
                  <c:v>1.2848646276499933</c:v>
                </c:pt>
                <c:pt idx="24">
                  <c:v>1.1392798075481536</c:v>
                </c:pt>
                <c:pt idx="25">
                  <c:v>0.92445213811214177</c:v>
                </c:pt>
                <c:pt idx="26">
                  <c:v>0.65619915850790966</c:v>
                </c:pt>
                <c:pt idx="27">
                  <c:v>0.3537025912413716</c:v>
                </c:pt>
                <c:pt idx="28">
                  <c:v>3.8255779194515616E-2</c:v>
                </c:pt>
                <c:pt idx="29">
                  <c:v>-0.26817528752856401</c:v>
                </c:pt>
                <c:pt idx="30">
                  <c:v>-0.54447953086914314</c:v>
                </c:pt>
                <c:pt idx="31">
                  <c:v>-0.77190520825779463</c:v>
                </c:pt>
                <c:pt idx="32">
                  <c:v>-0.93542335912921326</c:v>
                </c:pt>
                <c:pt idx="33">
                  <c:v>-1.0248355562479912</c:v>
                </c:pt>
                <c:pt idx="34">
                  <c:v>-1.0355243987264435</c:v>
                </c:pt>
                <c:pt idx="35">
                  <c:v>-0.96876830340497644</c:v>
                </c:pt>
                <c:pt idx="36">
                  <c:v>-0.83157419425202372</c:v>
                </c:pt>
                <c:pt idx="37">
                  <c:v>-0.63602061722307468</c:v>
                </c:pt>
                <c:pt idx="38">
                  <c:v>-0.3981466700465679</c:v>
                </c:pt>
                <c:pt idx="39">
                  <c:v>-0.13646526656416602</c:v>
                </c:pt>
                <c:pt idx="40">
                  <c:v>0.12978142896969591</c:v>
                </c:pt>
                <c:pt idx="41">
                  <c:v>0.38247518050582086</c:v>
                </c:pt>
                <c:pt idx="42">
                  <c:v>0.60641453876453832</c:v>
                </c:pt>
                <c:pt idx="43">
                  <c:v>0.79087331316315734</c:v>
                </c:pt>
                <c:pt idx="44">
                  <c:v>0.93076175756650303</c:v>
                </c:pt>
                <c:pt idx="45">
                  <c:v>1.0272552681269909</c:v>
                </c:pt>
                <c:pt idx="46">
                  <c:v>1.0877982043232897</c:v>
                </c:pt>
                <c:pt idx="47">
                  <c:v>1.1254453151428359</c:v>
                </c:pt>
                <c:pt idx="48">
                  <c:v>1.1575656628034618</c:v>
                </c:pt>
                <c:pt idx="49">
                  <c:v>1.2039982569519367</c:v>
                </c:pt>
                <c:pt idx="50">
                  <c:v>1.2848085980651738</c:v>
                </c:pt>
                <c:pt idx="51">
                  <c:v>1.4178447184545813</c:v>
                </c:pt>
                <c:pt idx="52">
                  <c:v>1.616324469596627</c:v>
                </c:pt>
                <c:pt idx="53">
                  <c:v>1.8866983546963429</c:v>
                </c:pt>
                <c:pt idx="54">
                  <c:v>2.2270215525828672</c:v>
                </c:pt>
                <c:pt idx="55">
                  <c:v>2.6260345017933906</c:v>
                </c:pt>
                <c:pt idx="56">
                  <c:v>3.0630954426925507</c:v>
                </c:pt>
                <c:pt idx="57">
                  <c:v>3.5090348796744006</c:v>
                </c:pt>
                <c:pt idx="58">
                  <c:v>3.927917255577726</c:v>
                </c:pt>
                <c:pt idx="59">
                  <c:v>4.2796069368480243</c:v>
                </c:pt>
                <c:pt idx="60">
                  <c:v>4.5229523763262653</c:v>
                </c:pt>
                <c:pt idx="61">
                  <c:v>4.6193324890658287</c:v>
                </c:pt>
                <c:pt idx="62">
                  <c:v>4.5362603760412181</c:v>
                </c:pt>
                <c:pt idx="63">
                  <c:v>4.2507173754397289</c:v>
                </c:pt>
                <c:pt idx="64">
                  <c:v>3.7518984391005699</c:v>
                </c:pt>
                <c:pt idx="65">
                  <c:v>3.0430886083852187</c:v>
                </c:pt>
                <c:pt idx="66">
                  <c:v>2.1424574604704114</c:v>
                </c:pt>
                <c:pt idx="67">
                  <c:v>1.0826484696624923</c:v>
                </c:pt>
                <c:pt idx="68">
                  <c:v>-9.0854545067860615E-2</c:v>
                </c:pt>
                <c:pt idx="69">
                  <c:v>-1.3224909460233252</c:v>
                </c:pt>
                <c:pt idx="70">
                  <c:v>-2.5503180184053793</c:v>
                </c:pt>
                <c:pt idx="71">
                  <c:v>-3.7103476565788873</c:v>
                </c:pt>
                <c:pt idx="72">
                  <c:v>-4.7411696808171184</c:v>
                </c:pt>
                <c:pt idx="73">
                  <c:v>-5.5884719196719512</c:v>
                </c:pt>
                <c:pt idx="74">
                  <c:v>-6.2090682466266589</c:v>
                </c:pt>
                <c:pt idx="75">
                  <c:v>-6.574083127462762</c:v>
                </c:pt>
                <c:pt idx="76">
                  <c:v>-6.6710120682553882</c:v>
                </c:pt>
                <c:pt idx="77">
                  <c:v>-6.5044754487422924</c:v>
                </c:pt>
                <c:pt idx="78">
                  <c:v>-6.0955995725228549</c:v>
                </c:pt>
                <c:pt idx="79">
                  <c:v>-5.4800823993846297</c:v>
                </c:pt>
                <c:pt idx="80">
                  <c:v>-4.7051204936234567</c:v>
                </c:pt>
                <c:pt idx="81">
                  <c:v>-3.8254766647037055</c:v>
                </c:pt>
                <c:pt idx="82">
                  <c:v>-2.8990444943668887</c:v>
                </c:pt>
                <c:pt idx="83">
                  <c:v>-1.9823088410503316</c:v>
                </c:pt>
                <c:pt idx="84">
                  <c:v>-1.1261061933898495</c:v>
                </c:pt>
                <c:pt idx="85">
                  <c:v>-0.37205488723376512</c:v>
                </c:pt>
                <c:pt idx="86">
                  <c:v>0.25004395640744392</c:v>
                </c:pt>
                <c:pt idx="87">
                  <c:v>0.72363148055511961</c:v>
                </c:pt>
                <c:pt idx="88">
                  <c:v>1.0455550455089968</c:v>
                </c:pt>
                <c:pt idx="89">
                  <c:v>1.2250071982694433</c:v>
                </c:pt>
                <c:pt idx="90">
                  <c:v>1.2813935895581423</c:v>
                </c:pt>
                <c:pt idx="91">
                  <c:v>1.2413844139291315</c:v>
                </c:pt>
                <c:pt idx="92">
                  <c:v>1.135477398701128</c:v>
                </c:pt>
                <c:pt idx="93">
                  <c:v>0.99443942460157708</c:v>
                </c:pt>
                <c:pt idx="94">
                  <c:v>0.84599489385679294</c:v>
                </c:pt>
                <c:pt idx="95">
                  <c:v>0.71209228441232941</c:v>
                </c:pt>
                <c:pt idx="96">
                  <c:v>0.60701016650932238</c:v>
                </c:pt>
                <c:pt idx="97">
                  <c:v>0.53646799712847315</c:v>
                </c:pt>
                <c:pt idx="98">
                  <c:v>0.49779558501526799</c:v>
                </c:pt>
                <c:pt idx="99">
                  <c:v>0.48110012429478743</c:v>
                </c:pt>
                <c:pt idx="100">
                  <c:v>0.47126331158796742</c:v>
                </c:pt>
                <c:pt idx="101">
                  <c:v>0.45051447462881899</c:v>
                </c:pt>
                <c:pt idx="102">
                  <c:v>0.40126784955909089</c:v>
                </c:pt>
                <c:pt idx="103">
                  <c:v>0.3088890127892796</c:v>
                </c:pt>
                <c:pt idx="104">
                  <c:v>0.16406911335691898</c:v>
                </c:pt>
                <c:pt idx="105">
                  <c:v>-3.5465888623438246E-2</c:v>
                </c:pt>
                <c:pt idx="106">
                  <c:v>-0.28410589286850518</c:v>
                </c:pt>
                <c:pt idx="107">
                  <c:v>-0.56846368657552082</c:v>
                </c:pt>
                <c:pt idx="108">
                  <c:v>-0.86842662299359352</c:v>
                </c:pt>
                <c:pt idx="109">
                  <c:v>-1.1590352947231035</c:v>
                </c:pt>
                <c:pt idx="110">
                  <c:v>-1.4129793755131046</c:v>
                </c:pt>
                <c:pt idx="111">
                  <c:v>-1.6034324234403665</c:v>
                </c:pt>
                <c:pt idx="112">
                  <c:v>-1.7069102018193103</c:v>
                </c:pt>
                <c:pt idx="113">
                  <c:v>-1.7058348903815412</c:v>
                </c:pt>
                <c:pt idx="114">
                  <c:v>-1.590520474877259</c:v>
                </c:pt>
                <c:pt idx="115">
                  <c:v>-1.3603588120865888</c:v>
                </c:pt>
                <c:pt idx="116">
                  <c:v>-1.0240741414038874</c:v>
                </c:pt>
                <c:pt idx="117">
                  <c:v>-0.59901631019179247</c:v>
                </c:pt>
                <c:pt idx="118">
                  <c:v>-0.10956833092122054</c:v>
                </c:pt>
                <c:pt idx="119">
                  <c:v>0.41515953944488881</c:v>
                </c:pt>
                <c:pt idx="120">
                  <c:v>0.94409982840338791</c:v>
                </c:pt>
                <c:pt idx="121">
                  <c:v>1.4471632583430698</c:v>
                </c:pt>
                <c:pt idx="122">
                  <c:v>1.8980245920063434</c:v>
                </c:pt>
                <c:pt idx="123">
                  <c:v>2.2764625111505019</c:v>
                </c:pt>
                <c:pt idx="124">
                  <c:v>2.5700082038668799</c:v>
                </c:pt>
                <c:pt idx="125">
                  <c:v>2.7747351170214669</c:v>
                </c:pt>
                <c:pt idx="126">
                  <c:v>2.8951180482483028</c:v>
                </c:pt>
                <c:pt idx="127">
                  <c:v>2.9429926872756527</c:v>
                </c:pt>
                <c:pt idx="128">
                  <c:v>2.9357453969082226</c:v>
                </c:pt>
                <c:pt idx="129">
                  <c:v>2.8939465064474645</c:v>
                </c:pt>
                <c:pt idx="130">
                  <c:v>2.8386994798812535</c:v>
                </c:pt>
                <c:pt idx="131">
                  <c:v>2.7890065928321848</c:v>
                </c:pt>
                <c:pt idx="132">
                  <c:v>2.7594462599686791</c:v>
                </c:pt>
                <c:pt idx="133">
                  <c:v>2.7584187488452052</c:v>
                </c:pt>
                <c:pt idx="134">
                  <c:v>2.7871502348765542</c:v>
                </c:pt>
                <c:pt idx="135">
                  <c:v>2.8395576974581789</c:v>
                </c:pt>
                <c:pt idx="136">
                  <c:v>2.9029790171644674</c:v>
                </c:pt>
                <c:pt idx="137">
                  <c:v>2.9596749483963327</c:v>
                </c:pt>
                <c:pt idx="138">
                  <c:v>2.9889234406502423</c:v>
                </c:pt>
                <c:pt idx="139">
                  <c:v>2.9694617372630487</c:v>
                </c:pt>
                <c:pt idx="140">
                  <c:v>2.8819950166001065</c:v>
                </c:pt>
                <c:pt idx="141">
                  <c:v>2.7114860193037398</c:v>
                </c:pt>
                <c:pt idx="142">
                  <c:v>2.4489683858131785</c:v>
                </c:pt>
                <c:pt idx="143">
                  <c:v>2.0926838477967857</c:v>
                </c:pt>
                <c:pt idx="144">
                  <c:v>1.6484231938008889</c:v>
                </c:pt>
                <c:pt idx="145">
                  <c:v>1.1290437455555837</c:v>
                </c:pt>
                <c:pt idx="146">
                  <c:v>0.55323115494054997</c:v>
                </c:pt>
                <c:pt idx="147">
                  <c:v>-5.6340344074556459E-2</c:v>
                </c:pt>
                <c:pt idx="148">
                  <c:v>-0.6752274842313053</c:v>
                </c:pt>
                <c:pt idx="149">
                  <c:v>-1.2795544500377893</c:v>
                </c:pt>
                <c:pt idx="150">
                  <c:v>-1.8481934915650893</c:v>
                </c:pt>
                <c:pt idx="151">
                  <c:v>-2.3645391480866595</c:v>
                </c:pt>
                <c:pt idx="152">
                  <c:v>-2.8176773765788812</c:v>
                </c:pt>
                <c:pt idx="153">
                  <c:v>-3.2028260577104457</c:v>
                </c:pt>
                <c:pt idx="154">
                  <c:v>-3.5210129821367628</c:v>
                </c:pt>
                <c:pt idx="155">
                  <c:v>-3.7780508689347427</c:v>
                </c:pt>
                <c:pt idx="156">
                  <c:v>-3.9829551111090873</c:v>
                </c:pt>
                <c:pt idx="157">
                  <c:v>-4.1460184604909243</c:v>
                </c:pt>
                <c:pt idx="158">
                  <c:v>-4.2767994526640036</c:v>
                </c:pt>
                <c:pt idx="159">
                  <c:v>-4.3822927317623668</c:v>
                </c:pt>
                <c:pt idx="160">
                  <c:v>-4.4655279151619807</c:v>
                </c:pt>
                <c:pt idx="161">
                  <c:v>-4.5247914687557076</c:v>
                </c:pt>
                <c:pt idx="162">
                  <c:v>-4.5535891351224063</c:v>
                </c:pt>
                <c:pt idx="163">
                  <c:v>-4.54137367539197</c:v>
                </c:pt>
                <c:pt idx="164">
                  <c:v>-4.4749649695696707</c:v>
                </c:pt>
                <c:pt idx="165">
                  <c:v>-4.3404985522262756</c:v>
                </c:pt>
                <c:pt idx="166">
                  <c:v>-4.1256655338175801</c:v>
                </c:pt>
                <c:pt idx="167">
                  <c:v>-3.8219607710956405</c:v>
                </c:pt>
                <c:pt idx="168">
                  <c:v>-3.4266433019885598</c:v>
                </c:pt>
                <c:pt idx="169">
                  <c:v>-2.9441358735472667</c:v>
                </c:pt>
                <c:pt idx="170">
                  <c:v>-2.3866471581633188</c:v>
                </c:pt>
                <c:pt idx="171">
                  <c:v>-1.7738852495359141</c:v>
                </c:pt>
                <c:pt idx="172">
                  <c:v>-1.131835093897656</c:v>
                </c:pt>
                <c:pt idx="173">
                  <c:v>-0.49068402548718071</c:v>
                </c:pt>
                <c:pt idx="174">
                  <c:v>0.1179142557457209</c:v>
                </c:pt>
                <c:pt idx="175">
                  <c:v>0.66395863209519945</c:v>
                </c:pt>
                <c:pt idx="176">
                  <c:v>1.1222642199843216</c:v>
                </c:pt>
                <c:pt idx="177">
                  <c:v>1.47530947496187</c:v>
                </c:pt>
                <c:pt idx="178">
                  <c:v>1.7154229507101051</c:v>
                </c:pt>
                <c:pt idx="179">
                  <c:v>1.8460232919550374</c:v>
                </c:pt>
                <c:pt idx="180">
                  <c:v>1.8817182737905875</c:v>
                </c:pt>
                <c:pt idx="181">
                  <c:v>1.8471866514353885</c:v>
                </c:pt>
                <c:pt idx="182">
                  <c:v>1.7748979807294325</c:v>
                </c:pt>
                <c:pt idx="183">
                  <c:v>1.7018562870230931</c:v>
                </c:pt>
                <c:pt idx="184">
                  <c:v>1.6656690459319885</c:v>
                </c:pt>
                <c:pt idx="185">
                  <c:v>1.7003301996092683</c:v>
                </c:pt>
                <c:pt idx="186">
                  <c:v>1.8321544107531862</c:v>
                </c:pt>
                <c:pt idx="187">
                  <c:v>2.0763029431263433</c:v>
                </c:pt>
                <c:pt idx="188">
                  <c:v>2.4342976853184872</c:v>
                </c:pt>
                <c:pt idx="189">
                  <c:v>2.8928321763520146</c:v>
                </c:pt>
                <c:pt idx="190">
                  <c:v>3.424065111640064</c:v>
                </c:pt>
                <c:pt idx="191">
                  <c:v>3.9874347902643779</c:v>
                </c:pt>
                <c:pt idx="192">
                  <c:v>4.5328771957489273</c:v>
                </c:pt>
                <c:pt idx="193">
                  <c:v>5.0051820302644865</c:v>
                </c:pt>
                <c:pt idx="194">
                  <c:v>5.3490957565720727</c:v>
                </c:pt>
                <c:pt idx="195">
                  <c:v>5.5146921379970308</c:v>
                </c:pt>
                <c:pt idx="196">
                  <c:v>5.4624889095501565</c:v>
                </c:pt>
                <c:pt idx="197">
                  <c:v>5.1677993668060838</c:v>
                </c:pt>
                <c:pt idx="198">
                  <c:v>4.6238697999126348</c:v>
                </c:pt>
                <c:pt idx="199">
                  <c:v>3.8434624090375911</c:v>
                </c:pt>
                <c:pt idx="200">
                  <c:v>2.8586883009194937</c:v>
                </c:pt>
                <c:pt idx="201">
                  <c:v>1.7190621975436118</c:v>
                </c:pt>
                <c:pt idx="202">
                  <c:v>0.48792296632197285</c:v>
                </c:pt>
                <c:pt idx="203">
                  <c:v>-0.76247534441372977</c:v>
                </c:pt>
                <c:pt idx="204">
                  <c:v>-1.956764898822831</c:v>
                </c:pt>
                <c:pt idx="205">
                  <c:v>-3.0226301754477189</c:v>
                </c:pt>
                <c:pt idx="206">
                  <c:v>-3.8967714996305238</c:v>
                </c:pt>
                <c:pt idx="207">
                  <c:v>-4.5301144903661994</c:v>
                </c:pt>
                <c:pt idx="208">
                  <c:v>-4.8917836125296352</c:v>
                </c:pt>
                <c:pt idx="209">
                  <c:v>-4.9714748386787715</c:v>
                </c:pt>
                <c:pt idx="210">
                  <c:v>-4.7800147396689336</c:v>
                </c:pt>
                <c:pt idx="211">
                  <c:v>-4.348065962745312</c:v>
                </c:pt>
                <c:pt idx="212">
                  <c:v>-3.7231148298945573</c:v>
                </c:pt>
                <c:pt idx="213">
                  <c:v>-2.9650382602264553</c:v>
                </c:pt>
                <c:pt idx="214">
                  <c:v>-2.1406784849961795</c:v>
                </c:pt>
                <c:pt idx="215">
                  <c:v>-1.3179423295529542</c:v>
                </c:pt>
                <c:pt idx="216">
                  <c:v>-0.55997885986115659</c:v>
                </c:pt>
                <c:pt idx="217">
                  <c:v>8.0028147859521503E-2</c:v>
                </c:pt>
                <c:pt idx="218">
                  <c:v>0.56298572953157766</c:v>
                </c:pt>
                <c:pt idx="219">
                  <c:v>0.86658164148987638</c:v>
                </c:pt>
                <c:pt idx="220">
                  <c:v>0.98633094094885254</c:v>
                </c:pt>
                <c:pt idx="221">
                  <c:v>0.9349346598076832</c:v>
                </c:pt>
                <c:pt idx="222">
                  <c:v>0.74006980191820526</c:v>
                </c:pt>
                <c:pt idx="223">
                  <c:v>0.44087802947385368</c:v>
                </c:pt>
                <c:pt idx="224">
                  <c:v>8.3538408973781841E-2</c:v>
                </c:pt>
                <c:pt idx="225">
                  <c:v>-0.28361365704510266</c:v>
                </c:pt>
                <c:pt idx="226">
                  <c:v>-0.61493037973788045</c:v>
                </c:pt>
                <c:pt idx="227">
                  <c:v>-0.87178830412765507</c:v>
                </c:pt>
                <c:pt idx="228">
                  <c:v>-1.0260147262864505</c:v>
                </c:pt>
                <c:pt idx="229">
                  <c:v>-1.0621059428408257</c:v>
                </c:pt>
                <c:pt idx="230">
                  <c:v>-0.97807110364522121</c:v>
                </c:pt>
                <c:pt idx="231">
                  <c:v>-0.78487935501047534</c:v>
                </c:pt>
                <c:pt idx="232">
                  <c:v>-0.50462913255875819</c:v>
                </c:pt>
                <c:pt idx="233">
                  <c:v>-0.16768256300652418</c:v>
                </c:pt>
                <c:pt idx="234">
                  <c:v>0.19089719424379581</c:v>
                </c:pt>
                <c:pt idx="235">
                  <c:v>0.53521097152862751</c:v>
                </c:pt>
                <c:pt idx="236">
                  <c:v>0.83228201194171803</c:v>
                </c:pt>
                <c:pt idx="237">
                  <c:v>1.0553271341369133</c:v>
                </c:pt>
                <c:pt idx="238">
                  <c:v>1.1862264942756227</c:v>
                </c:pt>
                <c:pt idx="239">
                  <c:v>1.2169742082667732</c:v>
                </c:pt>
                <c:pt idx="240">
                  <c:v>1.150007294090301</c:v>
                </c:pt>
                <c:pt idx="241">
                  <c:v>0.99743164681224528</c:v>
                </c:pt>
                <c:pt idx="242">
                  <c:v>0.77927813098666832</c:v>
                </c:pt>
                <c:pt idx="243">
                  <c:v>0.52101759762829403</c:v>
                </c:pt>
                <c:pt idx="244">
                  <c:v>0.25063131703229402</c:v>
                </c:pt>
                <c:pt idx="245">
                  <c:v>-4.4331219124700283E-3</c:v>
                </c:pt>
                <c:pt idx="246">
                  <c:v>-0.22009320281777178</c:v>
                </c:pt>
                <c:pt idx="247">
                  <c:v>-0.37796037949547667</c:v>
                </c:pt>
                <c:pt idx="248">
                  <c:v>-0.46694345028992146</c:v>
                </c:pt>
                <c:pt idx="249">
                  <c:v>-0.48399112582510284</c:v>
                </c:pt>
                <c:pt idx="250">
                  <c:v>-0.43393699408983188</c:v>
                </c:pt>
                <c:pt idx="251">
                  <c:v>-0.32850828390122633</c:v>
                </c:pt>
                <c:pt idx="252">
                  <c:v>-0.18464714654578618</c:v>
                </c:pt>
              </c:numCache>
            </c:numRef>
          </c:val>
          <c:smooth val="0"/>
          <c:extLst>
            <c:ext xmlns:c16="http://schemas.microsoft.com/office/drawing/2014/chart" uri="{C3380CC4-5D6E-409C-BE32-E72D297353CC}">
              <c16:uniqueId val="{00000002-5E04-4E23-854A-05C47F788A5D}"/>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RWFILTER!$F$15:$F$267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RWFILTER!$G$15:$G$267</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C705-472C-AC19-11CFD3B1105A}"/>
            </c:ext>
          </c:extLst>
        </c:ser>
        <c:ser>
          <c:idx val="1"/>
          <c:order val="1"/>
          <c:tx>
            <c:v>RW trend</c:v>
          </c:tx>
          <c:spPr>
            <a:ln w="28575" cap="rnd">
              <a:solidFill>
                <a:schemeClr val="accent2"/>
              </a:solidFill>
              <a:round/>
            </a:ln>
            <a:effectLst/>
          </c:spPr>
          <c:marker>
            <c:symbol val="none"/>
          </c:marker>
          <c:cat>
            <c:numRef>
              <c:f>RWFILTER!$F$15:$F$267</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RWFILTER!$P$15:$P$267</c:f>
              <c:numCache>
                <c:formatCode>0.0</c:formatCode>
                <c:ptCount val="253"/>
                <c:pt idx="0">
                  <c:v>101.40864297484386</c:v>
                </c:pt>
                <c:pt idx="1">
                  <c:v>103.24043558804379</c:v>
                </c:pt>
                <c:pt idx="2">
                  <c:v>103.31405806336281</c:v>
                </c:pt>
                <c:pt idx="3">
                  <c:v>102.77490722616369</c:v>
                </c:pt>
                <c:pt idx="4">
                  <c:v>101.95780662046788</c:v>
                </c:pt>
                <c:pt idx="5">
                  <c:v>102.30802062887531</c:v>
                </c:pt>
                <c:pt idx="6">
                  <c:v>101.23227626065365</c:v>
                </c:pt>
                <c:pt idx="7">
                  <c:v>102.16972143680678</c:v>
                </c:pt>
                <c:pt idx="8">
                  <c:v>103.99275317535374</c:v>
                </c:pt>
                <c:pt idx="9">
                  <c:v>104.09765795620858</c:v>
                </c:pt>
                <c:pt idx="10">
                  <c:v>104.06501889035016</c:v>
                </c:pt>
                <c:pt idx="11">
                  <c:v>103.75985916884562</c:v>
                </c:pt>
                <c:pt idx="12">
                  <c:v>105.15150762318611</c:v>
                </c:pt>
                <c:pt idx="13">
                  <c:v>105.67318912677985</c:v>
                </c:pt>
                <c:pt idx="14">
                  <c:v>106.59135913313979</c:v>
                </c:pt>
                <c:pt idx="15">
                  <c:v>106.764817113264</c:v>
                </c:pt>
                <c:pt idx="16">
                  <c:v>106.28364736363343</c:v>
                </c:pt>
                <c:pt idx="17">
                  <c:v>106.76804703557066</c:v>
                </c:pt>
                <c:pt idx="18">
                  <c:v>106.91710977737576</c:v>
                </c:pt>
                <c:pt idx="19">
                  <c:v>107.15763861609985</c:v>
                </c:pt>
                <c:pt idx="20">
                  <c:v>107.94306320712701</c:v>
                </c:pt>
                <c:pt idx="21">
                  <c:v>107.40253397316005</c:v>
                </c:pt>
                <c:pt idx="22">
                  <c:v>108.32025866330696</c:v>
                </c:pt>
                <c:pt idx="23">
                  <c:v>107.79513537235</c:v>
                </c:pt>
                <c:pt idx="24">
                  <c:v>108.40072019245186</c:v>
                </c:pt>
                <c:pt idx="25">
                  <c:v>109.27554786188786</c:v>
                </c:pt>
                <c:pt idx="26">
                  <c:v>109.72380084149209</c:v>
                </c:pt>
                <c:pt idx="27">
                  <c:v>110.75629740875863</c:v>
                </c:pt>
                <c:pt idx="28">
                  <c:v>110.96174422080549</c:v>
                </c:pt>
                <c:pt idx="29">
                  <c:v>110.59817528752856</c:v>
                </c:pt>
                <c:pt idx="30">
                  <c:v>110.97447953086915</c:v>
                </c:pt>
                <c:pt idx="31">
                  <c:v>111.99190520825779</c:v>
                </c:pt>
                <c:pt idx="32">
                  <c:v>111.65542335912922</c:v>
                </c:pt>
                <c:pt idx="33">
                  <c:v>112.12483555624799</c:v>
                </c:pt>
                <c:pt idx="34">
                  <c:v>112.88552439872643</c:v>
                </c:pt>
                <c:pt idx="35">
                  <c:v>113.88876830340497</c:v>
                </c:pt>
                <c:pt idx="36">
                  <c:v>114.33157419425203</c:v>
                </c:pt>
                <c:pt idx="37">
                  <c:v>114.35602061722307</c:v>
                </c:pt>
                <c:pt idx="38">
                  <c:v>113.87814667004658</c:v>
                </c:pt>
                <c:pt idx="39">
                  <c:v>114.49646526656417</c:v>
                </c:pt>
                <c:pt idx="40">
                  <c:v>115.54021857103031</c:v>
                </c:pt>
                <c:pt idx="41">
                  <c:v>113.96752481949417</c:v>
                </c:pt>
                <c:pt idx="42">
                  <c:v>115.96358546123545</c:v>
                </c:pt>
                <c:pt idx="43">
                  <c:v>115.82912668683684</c:v>
                </c:pt>
                <c:pt idx="44">
                  <c:v>115.7592382424335</c:v>
                </c:pt>
                <c:pt idx="45">
                  <c:v>117.08274473187301</c:v>
                </c:pt>
                <c:pt idx="46">
                  <c:v>117.8222017956767</c:v>
                </c:pt>
                <c:pt idx="47">
                  <c:v>119.57455468485716</c:v>
                </c:pt>
                <c:pt idx="48">
                  <c:v>118.77243433719654</c:v>
                </c:pt>
                <c:pt idx="49">
                  <c:v>119.15600174304807</c:v>
                </c:pt>
                <c:pt idx="50">
                  <c:v>118.19519140193484</c:v>
                </c:pt>
                <c:pt idx="51">
                  <c:v>119.68215528154542</c:v>
                </c:pt>
                <c:pt idx="52">
                  <c:v>120.59367553040337</c:v>
                </c:pt>
                <c:pt idx="53">
                  <c:v>121.10330164530365</c:v>
                </c:pt>
                <c:pt idx="54">
                  <c:v>121.58297844741713</c:v>
                </c:pt>
                <c:pt idx="55">
                  <c:v>121.61396549820661</c:v>
                </c:pt>
                <c:pt idx="56">
                  <c:v>121.97690455730745</c:v>
                </c:pt>
                <c:pt idx="57">
                  <c:v>122.76096512032559</c:v>
                </c:pt>
                <c:pt idx="58">
                  <c:v>122.30208274442228</c:v>
                </c:pt>
                <c:pt idx="59">
                  <c:v>123.32039306315197</c:v>
                </c:pt>
                <c:pt idx="60">
                  <c:v>122.91704762367374</c:v>
                </c:pt>
                <c:pt idx="61">
                  <c:v>122.49066751093417</c:v>
                </c:pt>
                <c:pt idx="62">
                  <c:v>121.85373962395879</c:v>
                </c:pt>
                <c:pt idx="63">
                  <c:v>123.76928262456028</c:v>
                </c:pt>
                <c:pt idx="64">
                  <c:v>125.63810156089941</c:v>
                </c:pt>
                <c:pt idx="65">
                  <c:v>127.43691139161477</c:v>
                </c:pt>
                <c:pt idx="66">
                  <c:v>128.38754253952959</c:v>
                </c:pt>
                <c:pt idx="67">
                  <c:v>129.99735153033751</c:v>
                </c:pt>
                <c:pt idx="68">
                  <c:v>130.62085454506786</c:v>
                </c:pt>
                <c:pt idx="69">
                  <c:v>129.45249094602332</c:v>
                </c:pt>
                <c:pt idx="70">
                  <c:v>127.57031801840537</c:v>
                </c:pt>
                <c:pt idx="71">
                  <c:v>125.37034765657889</c:v>
                </c:pt>
                <c:pt idx="72">
                  <c:v>125.97116968081713</c:v>
                </c:pt>
                <c:pt idx="73">
                  <c:v>127.98847191967195</c:v>
                </c:pt>
                <c:pt idx="74">
                  <c:v>129.16906824662667</c:v>
                </c:pt>
                <c:pt idx="75">
                  <c:v>130.10408312746276</c:v>
                </c:pt>
                <c:pt idx="76">
                  <c:v>131.48101206825538</c:v>
                </c:pt>
                <c:pt idx="77">
                  <c:v>131.94447544874228</c:v>
                </c:pt>
                <c:pt idx="78">
                  <c:v>131.93559957252285</c:v>
                </c:pt>
                <c:pt idx="79">
                  <c:v>133.55008239938462</c:v>
                </c:pt>
                <c:pt idx="80">
                  <c:v>133.59512049362345</c:v>
                </c:pt>
                <c:pt idx="81">
                  <c:v>133.7954766647037</c:v>
                </c:pt>
                <c:pt idx="82">
                  <c:v>132.96904449436687</c:v>
                </c:pt>
                <c:pt idx="83">
                  <c:v>134.06230884105034</c:v>
                </c:pt>
                <c:pt idx="84">
                  <c:v>135.00610619338985</c:v>
                </c:pt>
                <c:pt idx="85">
                  <c:v>135.72205488723375</c:v>
                </c:pt>
                <c:pt idx="86">
                  <c:v>136.26995604359257</c:v>
                </c:pt>
                <c:pt idx="87">
                  <c:v>136.40636851944487</c:v>
                </c:pt>
                <c:pt idx="88">
                  <c:v>135.16444495449102</c:v>
                </c:pt>
                <c:pt idx="89">
                  <c:v>134.66499280173053</c:v>
                </c:pt>
                <c:pt idx="90">
                  <c:v>135.43860641044185</c:v>
                </c:pt>
                <c:pt idx="91">
                  <c:v>136.46861558607088</c:v>
                </c:pt>
                <c:pt idx="92">
                  <c:v>137.71452260129885</c:v>
                </c:pt>
                <c:pt idx="93">
                  <c:v>137.68556057539843</c:v>
                </c:pt>
                <c:pt idx="94">
                  <c:v>139.2940051061432</c:v>
                </c:pt>
                <c:pt idx="95">
                  <c:v>137.95790771558765</c:v>
                </c:pt>
                <c:pt idx="96">
                  <c:v>139.65298983349066</c:v>
                </c:pt>
                <c:pt idx="97">
                  <c:v>140.39353200287152</c:v>
                </c:pt>
                <c:pt idx="98">
                  <c:v>140.56220441498473</c:v>
                </c:pt>
                <c:pt idx="99">
                  <c:v>140.48889987570521</c:v>
                </c:pt>
                <c:pt idx="100">
                  <c:v>140.70873668841205</c:v>
                </c:pt>
                <c:pt idx="101">
                  <c:v>141.39948552537118</c:v>
                </c:pt>
                <c:pt idx="102">
                  <c:v>141.69873215044089</c:v>
                </c:pt>
                <c:pt idx="103">
                  <c:v>141.63111098721072</c:v>
                </c:pt>
                <c:pt idx="104">
                  <c:v>141.41593088664308</c:v>
                </c:pt>
                <c:pt idx="105">
                  <c:v>141.64546588862345</c:v>
                </c:pt>
                <c:pt idx="106">
                  <c:v>142.5941058928685</c:v>
                </c:pt>
                <c:pt idx="107">
                  <c:v>141.4884636865755</c:v>
                </c:pt>
                <c:pt idx="108">
                  <c:v>139.90842662299357</c:v>
                </c:pt>
                <c:pt idx="109">
                  <c:v>141.70903529472312</c:v>
                </c:pt>
                <c:pt idx="110">
                  <c:v>141.5529793755131</c:v>
                </c:pt>
                <c:pt idx="111">
                  <c:v>142.36343242344034</c:v>
                </c:pt>
                <c:pt idx="112">
                  <c:v>144.20691020181931</c:v>
                </c:pt>
                <c:pt idx="113">
                  <c:v>145.25583489038155</c:v>
                </c:pt>
                <c:pt idx="114">
                  <c:v>145.41052047487725</c:v>
                </c:pt>
                <c:pt idx="115">
                  <c:v>145.62035881208658</c:v>
                </c:pt>
                <c:pt idx="116">
                  <c:v>144.6840741414039</c:v>
                </c:pt>
                <c:pt idx="117">
                  <c:v>145.43901631019179</c:v>
                </c:pt>
                <c:pt idx="118">
                  <c:v>144.74956833092119</c:v>
                </c:pt>
                <c:pt idx="119">
                  <c:v>143.73484046055512</c:v>
                </c:pt>
                <c:pt idx="120">
                  <c:v>144.03590017159661</c:v>
                </c:pt>
                <c:pt idx="121">
                  <c:v>142.37283674165693</c:v>
                </c:pt>
                <c:pt idx="122">
                  <c:v>143.14197540799364</c:v>
                </c:pt>
                <c:pt idx="123">
                  <c:v>144.0035374888495</c:v>
                </c:pt>
                <c:pt idx="124">
                  <c:v>144.21999179613312</c:v>
                </c:pt>
                <c:pt idx="125">
                  <c:v>143.57526488297853</c:v>
                </c:pt>
                <c:pt idx="126">
                  <c:v>144.03488195175171</c:v>
                </c:pt>
                <c:pt idx="127">
                  <c:v>144.23700731272436</c:v>
                </c:pt>
                <c:pt idx="128">
                  <c:v>144.89425460309178</c:v>
                </c:pt>
                <c:pt idx="129">
                  <c:v>145.09605349355255</c:v>
                </c:pt>
                <c:pt idx="130">
                  <c:v>145.52130052011876</c:v>
                </c:pt>
                <c:pt idx="131">
                  <c:v>145.97099340716781</c:v>
                </c:pt>
                <c:pt idx="132">
                  <c:v>145.55055374003132</c:v>
                </c:pt>
                <c:pt idx="133">
                  <c:v>145.2415812511548</c:v>
                </c:pt>
                <c:pt idx="134">
                  <c:v>144.99284976512345</c:v>
                </c:pt>
                <c:pt idx="135">
                  <c:v>144.2304423025418</c:v>
                </c:pt>
                <c:pt idx="136">
                  <c:v>143.46702098283555</c:v>
                </c:pt>
                <c:pt idx="137">
                  <c:v>140.47032505160368</c:v>
                </c:pt>
                <c:pt idx="138">
                  <c:v>141.68107655934975</c:v>
                </c:pt>
                <c:pt idx="139">
                  <c:v>142.69053826273694</c:v>
                </c:pt>
                <c:pt idx="140">
                  <c:v>143.34800498339987</c:v>
                </c:pt>
                <c:pt idx="141">
                  <c:v>142.69851398069625</c:v>
                </c:pt>
                <c:pt idx="142">
                  <c:v>143.17103161418683</c:v>
                </c:pt>
                <c:pt idx="143">
                  <c:v>144.18731615220321</c:v>
                </c:pt>
                <c:pt idx="144">
                  <c:v>143.46157680619913</c:v>
                </c:pt>
                <c:pt idx="145">
                  <c:v>142.92095625444443</c:v>
                </c:pt>
                <c:pt idx="146">
                  <c:v>143.17676884505943</c:v>
                </c:pt>
                <c:pt idx="147">
                  <c:v>142.07634034407457</c:v>
                </c:pt>
                <c:pt idx="148">
                  <c:v>141.74522748423129</c:v>
                </c:pt>
                <c:pt idx="149">
                  <c:v>140.82955445003779</c:v>
                </c:pt>
                <c:pt idx="150">
                  <c:v>140.26819349156509</c:v>
                </c:pt>
                <c:pt idx="151">
                  <c:v>141.19453914808668</c:v>
                </c:pt>
                <c:pt idx="152">
                  <c:v>140.52767737657888</c:v>
                </c:pt>
                <c:pt idx="153">
                  <c:v>141.98282605771044</c:v>
                </c:pt>
                <c:pt idx="154">
                  <c:v>140.33101298213677</c:v>
                </c:pt>
                <c:pt idx="155">
                  <c:v>140.25805086893473</c:v>
                </c:pt>
                <c:pt idx="156">
                  <c:v>139.56295511110909</c:v>
                </c:pt>
                <c:pt idx="157">
                  <c:v>139.56601846049091</c:v>
                </c:pt>
                <c:pt idx="158">
                  <c:v>138.74679945266399</c:v>
                </c:pt>
                <c:pt idx="159">
                  <c:v>138.87229273176237</c:v>
                </c:pt>
                <c:pt idx="160">
                  <c:v>138.53552791516196</c:v>
                </c:pt>
                <c:pt idx="161">
                  <c:v>139.09479146875569</c:v>
                </c:pt>
                <c:pt idx="162">
                  <c:v>138.9835891351224</c:v>
                </c:pt>
                <c:pt idx="163">
                  <c:v>138.26137367539198</c:v>
                </c:pt>
                <c:pt idx="164">
                  <c:v>138.11496496956966</c:v>
                </c:pt>
                <c:pt idx="165">
                  <c:v>137.68049855222628</c:v>
                </c:pt>
                <c:pt idx="166">
                  <c:v>137.26566553381755</c:v>
                </c:pt>
                <c:pt idx="167">
                  <c:v>136.36196077109562</c:v>
                </c:pt>
                <c:pt idx="168">
                  <c:v>137.03664330198856</c:v>
                </c:pt>
                <c:pt idx="169">
                  <c:v>138.49413587354726</c:v>
                </c:pt>
                <c:pt idx="170">
                  <c:v>137.72664715816333</c:v>
                </c:pt>
                <c:pt idx="171">
                  <c:v>137.0638852495359</c:v>
                </c:pt>
                <c:pt idx="172">
                  <c:v>136.19183509389765</c:v>
                </c:pt>
                <c:pt idx="173">
                  <c:v>136.44068402548717</c:v>
                </c:pt>
                <c:pt idx="174">
                  <c:v>136.22208574425429</c:v>
                </c:pt>
                <c:pt idx="175">
                  <c:v>134.9760413679048</c:v>
                </c:pt>
                <c:pt idx="176">
                  <c:v>134.51773578001567</c:v>
                </c:pt>
                <c:pt idx="177">
                  <c:v>134.56469052503812</c:v>
                </c:pt>
                <c:pt idx="178">
                  <c:v>134.27457704928992</c:v>
                </c:pt>
                <c:pt idx="179">
                  <c:v>136.26397670804496</c:v>
                </c:pt>
                <c:pt idx="180">
                  <c:v>135.53828172620939</c:v>
                </c:pt>
                <c:pt idx="181">
                  <c:v>134.98281334856463</c:v>
                </c:pt>
                <c:pt idx="182">
                  <c:v>134.81510201927057</c:v>
                </c:pt>
                <c:pt idx="183">
                  <c:v>135.5781437129769</c:v>
                </c:pt>
                <c:pt idx="184">
                  <c:v>131.404330954068</c:v>
                </c:pt>
                <c:pt idx="185">
                  <c:v>135.68966980039073</c:v>
                </c:pt>
                <c:pt idx="186">
                  <c:v>136.0878455892468</c:v>
                </c:pt>
                <c:pt idx="187">
                  <c:v>136.87369705687365</c:v>
                </c:pt>
                <c:pt idx="188">
                  <c:v>135.78570231468152</c:v>
                </c:pt>
                <c:pt idx="189">
                  <c:v>135.54716782364798</c:v>
                </c:pt>
                <c:pt idx="190">
                  <c:v>135.18593488835995</c:v>
                </c:pt>
                <c:pt idx="191">
                  <c:v>135.19256520973562</c:v>
                </c:pt>
                <c:pt idx="192">
                  <c:v>134.74712280425106</c:v>
                </c:pt>
                <c:pt idx="193">
                  <c:v>132.68481796973552</c:v>
                </c:pt>
                <c:pt idx="194">
                  <c:v>131.65090424342793</c:v>
                </c:pt>
                <c:pt idx="195">
                  <c:v>131.35530786200297</c:v>
                </c:pt>
                <c:pt idx="196">
                  <c:v>133.17751109044983</c:v>
                </c:pt>
                <c:pt idx="197">
                  <c:v>133.69220063319392</c:v>
                </c:pt>
                <c:pt idx="198">
                  <c:v>133.66613020008737</c:v>
                </c:pt>
                <c:pt idx="199">
                  <c:v>134.50653759096241</c:v>
                </c:pt>
                <c:pt idx="200">
                  <c:v>136.30131169908051</c:v>
                </c:pt>
                <c:pt idx="201">
                  <c:v>138.84093780245638</c:v>
                </c:pt>
                <c:pt idx="202">
                  <c:v>139.39207703367802</c:v>
                </c:pt>
                <c:pt idx="203">
                  <c:v>140.04247534441373</c:v>
                </c:pt>
                <c:pt idx="204">
                  <c:v>142.00676489882284</c:v>
                </c:pt>
                <c:pt idx="205">
                  <c:v>142.67263017544772</c:v>
                </c:pt>
                <c:pt idx="206">
                  <c:v>133.60677149963053</c:v>
                </c:pt>
                <c:pt idx="207">
                  <c:v>121.7201144903662</c:v>
                </c:pt>
                <c:pt idx="208">
                  <c:v>125.92178361252964</c:v>
                </c:pt>
                <c:pt idx="209">
                  <c:v>132.03147483867878</c:v>
                </c:pt>
                <c:pt idx="210">
                  <c:v>135.77001473966894</c:v>
                </c:pt>
                <c:pt idx="211">
                  <c:v>138.20806596274534</c:v>
                </c:pt>
                <c:pt idx="212">
                  <c:v>140.56311482989457</c:v>
                </c:pt>
                <c:pt idx="213">
                  <c:v>142.28503826022646</c:v>
                </c:pt>
                <c:pt idx="214">
                  <c:v>141.3806784849962</c:v>
                </c:pt>
                <c:pt idx="215">
                  <c:v>140.85794232955294</c:v>
                </c:pt>
                <c:pt idx="216">
                  <c:v>140.68997885986116</c:v>
                </c:pt>
                <c:pt idx="217">
                  <c:v>140.89997185214048</c:v>
                </c:pt>
                <c:pt idx="218">
                  <c:v>135.15701427046841</c:v>
                </c:pt>
                <c:pt idx="219">
                  <c:v>136.57341835851011</c:v>
                </c:pt>
                <c:pt idx="220">
                  <c:v>137.75366905905116</c:v>
                </c:pt>
                <c:pt idx="221">
                  <c:v>138.01506534019231</c:v>
                </c:pt>
                <c:pt idx="222">
                  <c:v>137.74993019808181</c:v>
                </c:pt>
                <c:pt idx="223">
                  <c:v>138.47912197052614</c:v>
                </c:pt>
                <c:pt idx="224">
                  <c:v>138.77646159102622</c:v>
                </c:pt>
                <c:pt idx="225">
                  <c:v>139.9036136570451</c:v>
                </c:pt>
                <c:pt idx="226">
                  <c:v>141.66493037973788</c:v>
                </c:pt>
                <c:pt idx="227">
                  <c:v>142.09178830412765</c:v>
                </c:pt>
                <c:pt idx="228">
                  <c:v>141.28601472628645</c:v>
                </c:pt>
                <c:pt idx="229">
                  <c:v>141.88210594284081</c:v>
                </c:pt>
                <c:pt idx="230" formatCode="General">
                  <c:v>142.91807110364522</c:v>
                </c:pt>
                <c:pt idx="231" formatCode="General">
                  <c:v>142.97487935501047</c:v>
                </c:pt>
                <c:pt idx="232" formatCode="General">
                  <c:v>142.65462913255877</c:v>
                </c:pt>
                <c:pt idx="233" formatCode="General">
                  <c:v>143.05768256300652</c:v>
                </c:pt>
                <c:pt idx="234" formatCode="General">
                  <c:v>145.22910280575618</c:v>
                </c:pt>
                <c:pt idx="235" formatCode="General">
                  <c:v>143.94478902847135</c:v>
                </c:pt>
                <c:pt idx="236" formatCode="General">
                  <c:v>143.65771798805829</c:v>
                </c:pt>
                <c:pt idx="237" formatCode="General">
                  <c:v>143.62467286586309</c:v>
                </c:pt>
                <c:pt idx="238" formatCode="General">
                  <c:v>141.55377350572439</c:v>
                </c:pt>
                <c:pt idx="239" formatCode="General">
                  <c:v>141.08302579173323</c:v>
                </c:pt>
                <c:pt idx="240" formatCode="General">
                  <c:v>142.32999270590969</c:v>
                </c:pt>
                <c:pt idx="241" formatCode="General">
                  <c:v>146.52256835318775</c:v>
                </c:pt>
                <c:pt idx="242" formatCode="General">
                  <c:v>146.24072186901333</c:v>
                </c:pt>
                <c:pt idx="243" formatCode="General">
                  <c:v>148.35898240237171</c:v>
                </c:pt>
                <c:pt idx="244" formatCode="General">
                  <c:v>145.90936868296771</c:v>
                </c:pt>
                <c:pt idx="245" formatCode="General">
                  <c:v>146.5544331219125</c:v>
                </c:pt>
                <c:pt idx="246" formatCode="General">
                  <c:v>147.20009320281775</c:v>
                </c:pt>
                <c:pt idx="247" formatCode="General">
                  <c:v>146.51796037949546</c:v>
                </c:pt>
                <c:pt idx="248" formatCode="General">
                  <c:v>146.65694345028993</c:v>
                </c:pt>
                <c:pt idx="249" formatCode="General">
                  <c:v>146.74399112582509</c:v>
                </c:pt>
                <c:pt idx="250" formatCode="General">
                  <c:v>146.84393699408983</c:v>
                </c:pt>
                <c:pt idx="251" formatCode="General">
                  <c:v>147.93850828390123</c:v>
                </c:pt>
                <c:pt idx="252" formatCode="General">
                  <c:v>148.68464714654579</c:v>
                </c:pt>
              </c:numCache>
            </c:numRef>
          </c:val>
          <c:smooth val="0"/>
          <c:extLst>
            <c:ext xmlns:c16="http://schemas.microsoft.com/office/drawing/2014/chart" uri="{C3380CC4-5D6E-409C-BE32-E72D297353CC}">
              <c16:uniqueId val="{00000001-C705-472C-AC19-11CFD3B1105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RW cycle (rhs)</c:v>
          </c:tx>
          <c:spPr>
            <a:ln w="28575" cap="rnd">
              <a:solidFill>
                <a:schemeClr val="accent3"/>
              </a:solidFill>
              <a:round/>
            </a:ln>
            <a:effectLst/>
          </c:spPr>
          <c:marker>
            <c:symbol val="none"/>
          </c:marker>
          <c:cat>
            <c:numRef>
              <c:f>RWFILTER!$F$16:$F$254</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RWFILTER!$Q$15:$Q$267</c:f>
              <c:numCache>
                <c:formatCode>General</c:formatCode>
                <c:ptCount val="253"/>
                <c:pt idx="0">
                  <c:v>-0.98864297484385344</c:v>
                </c:pt>
                <c:pt idx="1">
                  <c:v>-1.250435588043793</c:v>
                </c:pt>
                <c:pt idx="2">
                  <c:v>-1.5140580633628047</c:v>
                </c:pt>
                <c:pt idx="3">
                  <c:v>-1.7649072261636904</c:v>
                </c:pt>
                <c:pt idx="4">
                  <c:v>-1.9878066204678742</c:v>
                </c:pt>
                <c:pt idx="5">
                  <c:v>-2.1680206288753059</c:v>
                </c:pt>
                <c:pt idx="6">
                  <c:v>-2.2922762606536455</c:v>
                </c:pt>
                <c:pt idx="7">
                  <c:v>-2.3497214368067953</c:v>
                </c:pt>
                <c:pt idx="8">
                  <c:v>-2.3327531753537483</c:v>
                </c:pt>
                <c:pt idx="9">
                  <c:v>-2.2376579562085741</c:v>
                </c:pt>
                <c:pt idx="10">
                  <c:v>-2.0650188903501654</c:v>
                </c:pt>
                <c:pt idx="11">
                  <c:v>-1.8198591688456185</c:v>
                </c:pt>
                <c:pt idx="12">
                  <c:v>-1.5115076231861009</c:v>
                </c:pt>
                <c:pt idx="13">
                  <c:v>-1.1531891267798526</c:v>
                </c:pt>
                <c:pt idx="14">
                  <c:v>-0.76135913313979087</c:v>
                </c:pt>
                <c:pt idx="15">
                  <c:v>-0.35481711326400189</c:v>
                </c:pt>
                <c:pt idx="16">
                  <c:v>4.6352636366566724E-2</c:v>
                </c:pt>
                <c:pt idx="17">
                  <c:v>0.42195296442933339</c:v>
                </c:pt>
                <c:pt idx="18">
                  <c:v>0.75289022262424199</c:v>
                </c:pt>
                <c:pt idx="19">
                  <c:v>1.0223613839001557</c:v>
                </c:pt>
                <c:pt idx="20">
                  <c:v>1.2169367928729802</c:v>
                </c:pt>
                <c:pt idx="21">
                  <c:v>1.3274660268399638</c:v>
                </c:pt>
                <c:pt idx="22">
                  <c:v>1.3497413366930449</c:v>
                </c:pt>
                <c:pt idx="23">
                  <c:v>1.2848646276499933</c:v>
                </c:pt>
                <c:pt idx="24">
                  <c:v>1.1392798075481536</c:v>
                </c:pt>
                <c:pt idx="25">
                  <c:v>0.92445213811214177</c:v>
                </c:pt>
                <c:pt idx="26">
                  <c:v>0.65619915850790966</c:v>
                </c:pt>
                <c:pt idx="27">
                  <c:v>0.3537025912413716</c:v>
                </c:pt>
                <c:pt idx="28">
                  <c:v>3.8255779194515616E-2</c:v>
                </c:pt>
                <c:pt idx="29">
                  <c:v>-0.26817528752856401</c:v>
                </c:pt>
                <c:pt idx="30">
                  <c:v>-0.54447953086914314</c:v>
                </c:pt>
                <c:pt idx="31">
                  <c:v>-0.77190520825779463</c:v>
                </c:pt>
                <c:pt idx="32">
                  <c:v>-0.93542335912921326</c:v>
                </c:pt>
                <c:pt idx="33">
                  <c:v>-1.0248355562479912</c:v>
                </c:pt>
                <c:pt idx="34">
                  <c:v>-1.0355243987264435</c:v>
                </c:pt>
                <c:pt idx="35">
                  <c:v>-0.96876830340497644</c:v>
                </c:pt>
                <c:pt idx="36">
                  <c:v>-0.83157419425202372</c:v>
                </c:pt>
                <c:pt idx="37">
                  <c:v>-0.63602061722307468</c:v>
                </c:pt>
                <c:pt idx="38">
                  <c:v>-0.3981466700465679</c:v>
                </c:pt>
                <c:pt idx="39">
                  <c:v>-0.13646526656416602</c:v>
                </c:pt>
                <c:pt idx="40">
                  <c:v>0.12978142896969591</c:v>
                </c:pt>
                <c:pt idx="41">
                  <c:v>0.38247518050582086</c:v>
                </c:pt>
                <c:pt idx="42">
                  <c:v>0.60641453876453832</c:v>
                </c:pt>
                <c:pt idx="43">
                  <c:v>0.79087331316315734</c:v>
                </c:pt>
                <c:pt idx="44">
                  <c:v>0.93076175756650303</c:v>
                </c:pt>
                <c:pt idx="45">
                  <c:v>1.0272552681269909</c:v>
                </c:pt>
                <c:pt idx="46">
                  <c:v>1.0877982043232897</c:v>
                </c:pt>
                <c:pt idx="47">
                  <c:v>1.1254453151428359</c:v>
                </c:pt>
                <c:pt idx="48">
                  <c:v>1.1575656628034618</c:v>
                </c:pt>
                <c:pt idx="49">
                  <c:v>1.2039982569519367</c:v>
                </c:pt>
                <c:pt idx="50">
                  <c:v>1.2848085980651738</c:v>
                </c:pt>
                <c:pt idx="51">
                  <c:v>1.4178447184545813</c:v>
                </c:pt>
                <c:pt idx="52">
                  <c:v>1.616324469596627</c:v>
                </c:pt>
                <c:pt idx="53">
                  <c:v>1.8866983546963429</c:v>
                </c:pt>
                <c:pt idx="54">
                  <c:v>2.2270215525828672</c:v>
                </c:pt>
                <c:pt idx="55">
                  <c:v>2.6260345017933906</c:v>
                </c:pt>
                <c:pt idx="56">
                  <c:v>3.0630954426925507</c:v>
                </c:pt>
                <c:pt idx="57">
                  <c:v>3.5090348796744006</c:v>
                </c:pt>
                <c:pt idx="58">
                  <c:v>3.927917255577726</c:v>
                </c:pt>
                <c:pt idx="59">
                  <c:v>4.2796069368480243</c:v>
                </c:pt>
                <c:pt idx="60">
                  <c:v>4.5229523763262653</c:v>
                </c:pt>
                <c:pt idx="61">
                  <c:v>4.6193324890658287</c:v>
                </c:pt>
                <c:pt idx="62">
                  <c:v>4.5362603760412181</c:v>
                </c:pt>
                <c:pt idx="63">
                  <c:v>4.2507173754397289</c:v>
                </c:pt>
                <c:pt idx="64">
                  <c:v>3.7518984391005699</c:v>
                </c:pt>
                <c:pt idx="65">
                  <c:v>3.0430886083852187</c:v>
                </c:pt>
                <c:pt idx="66">
                  <c:v>2.1424574604704114</c:v>
                </c:pt>
                <c:pt idx="67">
                  <c:v>1.0826484696624923</c:v>
                </c:pt>
                <c:pt idx="68">
                  <c:v>-9.0854545067860615E-2</c:v>
                </c:pt>
                <c:pt idx="69">
                  <c:v>-1.3224909460233252</c:v>
                </c:pt>
                <c:pt idx="70">
                  <c:v>-2.5503180184053793</c:v>
                </c:pt>
                <c:pt idx="71">
                  <c:v>-3.7103476565788873</c:v>
                </c:pt>
                <c:pt idx="72">
                  <c:v>-4.7411696808171184</c:v>
                </c:pt>
                <c:pt idx="73">
                  <c:v>-5.5884719196719512</c:v>
                </c:pt>
                <c:pt idx="74">
                  <c:v>-6.2090682466266589</c:v>
                </c:pt>
                <c:pt idx="75">
                  <c:v>-6.574083127462762</c:v>
                </c:pt>
                <c:pt idx="76">
                  <c:v>-6.6710120682553882</c:v>
                </c:pt>
                <c:pt idx="77">
                  <c:v>-6.5044754487422924</c:v>
                </c:pt>
                <c:pt idx="78">
                  <c:v>-6.0955995725228549</c:v>
                </c:pt>
                <c:pt idx="79">
                  <c:v>-5.4800823993846297</c:v>
                </c:pt>
                <c:pt idx="80">
                  <c:v>-4.7051204936234567</c:v>
                </c:pt>
                <c:pt idx="81">
                  <c:v>-3.8254766647037055</c:v>
                </c:pt>
                <c:pt idx="82">
                  <c:v>-2.8990444943668887</c:v>
                </c:pt>
                <c:pt idx="83">
                  <c:v>-1.9823088410503316</c:v>
                </c:pt>
                <c:pt idx="84">
                  <c:v>-1.1261061933898495</c:v>
                </c:pt>
                <c:pt idx="85">
                  <c:v>-0.37205488723376512</c:v>
                </c:pt>
                <c:pt idx="86">
                  <c:v>0.25004395640744392</c:v>
                </c:pt>
                <c:pt idx="87">
                  <c:v>0.72363148055511961</c:v>
                </c:pt>
                <c:pt idx="88">
                  <c:v>1.0455550455089968</c:v>
                </c:pt>
                <c:pt idx="89">
                  <c:v>1.2250071982694433</c:v>
                </c:pt>
                <c:pt idx="90">
                  <c:v>1.2813935895581423</c:v>
                </c:pt>
                <c:pt idx="91">
                  <c:v>1.2413844139291315</c:v>
                </c:pt>
                <c:pt idx="92">
                  <c:v>1.135477398701128</c:v>
                </c:pt>
                <c:pt idx="93">
                  <c:v>0.99443942460157708</c:v>
                </c:pt>
                <c:pt idx="94">
                  <c:v>0.84599489385679294</c:v>
                </c:pt>
                <c:pt idx="95">
                  <c:v>0.71209228441232941</c:v>
                </c:pt>
                <c:pt idx="96">
                  <c:v>0.60701016650932238</c:v>
                </c:pt>
                <c:pt idx="97">
                  <c:v>0.53646799712847315</c:v>
                </c:pt>
                <c:pt idx="98">
                  <c:v>0.49779558501526799</c:v>
                </c:pt>
                <c:pt idx="99">
                  <c:v>0.48110012429478743</c:v>
                </c:pt>
                <c:pt idx="100">
                  <c:v>0.47126331158796742</c:v>
                </c:pt>
                <c:pt idx="101">
                  <c:v>0.45051447462881899</c:v>
                </c:pt>
                <c:pt idx="102">
                  <c:v>0.40126784955909089</c:v>
                </c:pt>
                <c:pt idx="103">
                  <c:v>0.3088890127892796</c:v>
                </c:pt>
                <c:pt idx="104">
                  <c:v>0.16406911335691898</c:v>
                </c:pt>
                <c:pt idx="105">
                  <c:v>-3.5465888623438246E-2</c:v>
                </c:pt>
                <c:pt idx="106">
                  <c:v>-0.28410589286850518</c:v>
                </c:pt>
                <c:pt idx="107">
                  <c:v>-0.56846368657552082</c:v>
                </c:pt>
                <c:pt idx="108">
                  <c:v>-0.86842662299359352</c:v>
                </c:pt>
                <c:pt idx="109">
                  <c:v>-1.1590352947231035</c:v>
                </c:pt>
                <c:pt idx="110">
                  <c:v>-1.4129793755131046</c:v>
                </c:pt>
                <c:pt idx="111">
                  <c:v>-1.6034324234403665</c:v>
                </c:pt>
                <c:pt idx="112">
                  <c:v>-1.7069102018193103</c:v>
                </c:pt>
                <c:pt idx="113">
                  <c:v>-1.7058348903815412</c:v>
                </c:pt>
                <c:pt idx="114">
                  <c:v>-1.590520474877259</c:v>
                </c:pt>
                <c:pt idx="115">
                  <c:v>-1.3603588120865888</c:v>
                </c:pt>
                <c:pt idx="116">
                  <c:v>-1.0240741414038874</c:v>
                </c:pt>
                <c:pt idx="117">
                  <c:v>-0.59901631019179247</c:v>
                </c:pt>
                <c:pt idx="118">
                  <c:v>-0.10956833092122054</c:v>
                </c:pt>
                <c:pt idx="119">
                  <c:v>0.41515953944488881</c:v>
                </c:pt>
                <c:pt idx="120">
                  <c:v>0.94409982840338791</c:v>
                </c:pt>
                <c:pt idx="121">
                  <c:v>1.4471632583430698</c:v>
                </c:pt>
                <c:pt idx="122">
                  <c:v>1.8980245920063434</c:v>
                </c:pt>
                <c:pt idx="123">
                  <c:v>2.2764625111505019</c:v>
                </c:pt>
                <c:pt idx="124">
                  <c:v>2.5700082038668799</c:v>
                </c:pt>
                <c:pt idx="125">
                  <c:v>2.7747351170214669</c:v>
                </c:pt>
                <c:pt idx="126">
                  <c:v>2.8951180482483028</c:v>
                </c:pt>
                <c:pt idx="127">
                  <c:v>2.9429926872756527</c:v>
                </c:pt>
                <c:pt idx="128">
                  <c:v>2.9357453969082226</c:v>
                </c:pt>
                <c:pt idx="129">
                  <c:v>2.8939465064474645</c:v>
                </c:pt>
                <c:pt idx="130">
                  <c:v>2.8386994798812535</c:v>
                </c:pt>
                <c:pt idx="131">
                  <c:v>2.7890065928321848</c:v>
                </c:pt>
                <c:pt idx="132">
                  <c:v>2.7594462599686791</c:v>
                </c:pt>
                <c:pt idx="133">
                  <c:v>2.7584187488452052</c:v>
                </c:pt>
                <c:pt idx="134">
                  <c:v>2.7871502348765542</c:v>
                </c:pt>
                <c:pt idx="135">
                  <c:v>2.8395576974581789</c:v>
                </c:pt>
                <c:pt idx="136">
                  <c:v>2.9029790171644674</c:v>
                </c:pt>
                <c:pt idx="137">
                  <c:v>2.9596749483963327</c:v>
                </c:pt>
                <c:pt idx="138">
                  <c:v>2.9889234406502423</c:v>
                </c:pt>
                <c:pt idx="139">
                  <c:v>2.9694617372630487</c:v>
                </c:pt>
                <c:pt idx="140">
                  <c:v>2.8819950166001065</c:v>
                </c:pt>
                <c:pt idx="141">
                  <c:v>2.7114860193037398</c:v>
                </c:pt>
                <c:pt idx="142">
                  <c:v>2.4489683858131785</c:v>
                </c:pt>
                <c:pt idx="143">
                  <c:v>2.0926838477967857</c:v>
                </c:pt>
                <c:pt idx="144">
                  <c:v>1.6484231938008889</c:v>
                </c:pt>
                <c:pt idx="145">
                  <c:v>1.1290437455555837</c:v>
                </c:pt>
                <c:pt idx="146">
                  <c:v>0.55323115494054997</c:v>
                </c:pt>
                <c:pt idx="147">
                  <c:v>-5.6340344074556459E-2</c:v>
                </c:pt>
                <c:pt idx="148">
                  <c:v>-0.6752274842313053</c:v>
                </c:pt>
                <c:pt idx="149">
                  <c:v>-1.2795544500377893</c:v>
                </c:pt>
                <c:pt idx="150">
                  <c:v>-1.8481934915650893</c:v>
                </c:pt>
                <c:pt idx="151">
                  <c:v>-2.3645391480866595</c:v>
                </c:pt>
                <c:pt idx="152">
                  <c:v>-2.8176773765788812</c:v>
                </c:pt>
                <c:pt idx="153">
                  <c:v>-3.2028260577104457</c:v>
                </c:pt>
                <c:pt idx="154">
                  <c:v>-3.5210129821367628</c:v>
                </c:pt>
                <c:pt idx="155">
                  <c:v>-3.7780508689347427</c:v>
                </c:pt>
                <c:pt idx="156">
                  <c:v>-3.9829551111090873</c:v>
                </c:pt>
                <c:pt idx="157">
                  <c:v>-4.1460184604909243</c:v>
                </c:pt>
                <c:pt idx="158">
                  <c:v>-4.2767994526640036</c:v>
                </c:pt>
                <c:pt idx="159">
                  <c:v>-4.3822927317623668</c:v>
                </c:pt>
                <c:pt idx="160">
                  <c:v>-4.4655279151619807</c:v>
                </c:pt>
                <c:pt idx="161">
                  <c:v>-4.5247914687557076</c:v>
                </c:pt>
                <c:pt idx="162">
                  <c:v>-4.5535891351224063</c:v>
                </c:pt>
                <c:pt idx="163">
                  <c:v>-4.54137367539197</c:v>
                </c:pt>
                <c:pt idx="164">
                  <c:v>-4.4749649695696707</c:v>
                </c:pt>
                <c:pt idx="165">
                  <c:v>-4.3404985522262756</c:v>
                </c:pt>
                <c:pt idx="166">
                  <c:v>-4.1256655338175801</c:v>
                </c:pt>
                <c:pt idx="167">
                  <c:v>-3.8219607710956405</c:v>
                </c:pt>
                <c:pt idx="168">
                  <c:v>-3.4266433019885598</c:v>
                </c:pt>
                <c:pt idx="169">
                  <c:v>-2.9441358735472667</c:v>
                </c:pt>
                <c:pt idx="170">
                  <c:v>-2.3866471581633188</c:v>
                </c:pt>
                <c:pt idx="171">
                  <c:v>-1.7738852495359141</c:v>
                </c:pt>
                <c:pt idx="172">
                  <c:v>-1.131835093897656</c:v>
                </c:pt>
                <c:pt idx="173">
                  <c:v>-0.49068402548718071</c:v>
                </c:pt>
                <c:pt idx="174">
                  <c:v>0.1179142557457209</c:v>
                </c:pt>
                <c:pt idx="175">
                  <c:v>0.66395863209519945</c:v>
                </c:pt>
                <c:pt idx="176">
                  <c:v>1.1222642199843216</c:v>
                </c:pt>
                <c:pt idx="177">
                  <c:v>1.47530947496187</c:v>
                </c:pt>
                <c:pt idx="178">
                  <c:v>1.7154229507101051</c:v>
                </c:pt>
                <c:pt idx="179">
                  <c:v>1.8460232919550374</c:v>
                </c:pt>
                <c:pt idx="180">
                  <c:v>1.8817182737905875</c:v>
                </c:pt>
                <c:pt idx="181">
                  <c:v>1.8471866514353885</c:v>
                </c:pt>
                <c:pt idx="182">
                  <c:v>1.7748979807294325</c:v>
                </c:pt>
                <c:pt idx="183">
                  <c:v>1.7018562870230931</c:v>
                </c:pt>
                <c:pt idx="184">
                  <c:v>1.6656690459319885</c:v>
                </c:pt>
                <c:pt idx="185">
                  <c:v>1.7003301996092683</c:v>
                </c:pt>
                <c:pt idx="186">
                  <c:v>1.8321544107531862</c:v>
                </c:pt>
                <c:pt idx="187">
                  <c:v>2.0763029431263433</c:v>
                </c:pt>
                <c:pt idx="188">
                  <c:v>2.4342976853184872</c:v>
                </c:pt>
                <c:pt idx="189">
                  <c:v>2.8928321763520146</c:v>
                </c:pt>
                <c:pt idx="190">
                  <c:v>3.424065111640064</c:v>
                </c:pt>
                <c:pt idx="191">
                  <c:v>3.9874347902643779</c:v>
                </c:pt>
                <c:pt idx="192">
                  <c:v>4.5328771957489273</c:v>
                </c:pt>
                <c:pt idx="193">
                  <c:v>5.0051820302644865</c:v>
                </c:pt>
                <c:pt idx="194">
                  <c:v>5.3490957565720727</c:v>
                </c:pt>
                <c:pt idx="195">
                  <c:v>5.5146921379970308</c:v>
                </c:pt>
                <c:pt idx="196">
                  <c:v>5.4624889095501565</c:v>
                </c:pt>
                <c:pt idx="197">
                  <c:v>5.1677993668060838</c:v>
                </c:pt>
                <c:pt idx="198">
                  <c:v>4.6238697999126348</c:v>
                </c:pt>
                <c:pt idx="199">
                  <c:v>3.8434624090375911</c:v>
                </c:pt>
                <c:pt idx="200">
                  <c:v>2.8586883009194937</c:v>
                </c:pt>
                <c:pt idx="201">
                  <c:v>1.7190621975436118</c:v>
                </c:pt>
                <c:pt idx="202">
                  <c:v>0.48792296632197285</c:v>
                </c:pt>
                <c:pt idx="203">
                  <c:v>-0.76247534441372977</c:v>
                </c:pt>
                <c:pt idx="204">
                  <c:v>-1.956764898822831</c:v>
                </c:pt>
                <c:pt idx="205">
                  <c:v>-3.0226301754477189</c:v>
                </c:pt>
                <c:pt idx="206">
                  <c:v>-3.8967714996305238</c:v>
                </c:pt>
                <c:pt idx="207">
                  <c:v>-4.5301144903661994</c:v>
                </c:pt>
                <c:pt idx="208">
                  <c:v>-4.8917836125296352</c:v>
                </c:pt>
                <c:pt idx="209">
                  <c:v>-4.9714748386787715</c:v>
                </c:pt>
                <c:pt idx="210">
                  <c:v>-4.7800147396689336</c:v>
                </c:pt>
                <c:pt idx="211">
                  <c:v>-4.348065962745312</c:v>
                </c:pt>
                <c:pt idx="212">
                  <c:v>-3.7231148298945573</c:v>
                </c:pt>
                <c:pt idx="213">
                  <c:v>-2.9650382602264553</c:v>
                </c:pt>
                <c:pt idx="214">
                  <c:v>-2.1406784849961795</c:v>
                </c:pt>
                <c:pt idx="215">
                  <c:v>-1.3179423295529542</c:v>
                </c:pt>
                <c:pt idx="216">
                  <c:v>-0.55997885986115659</c:v>
                </c:pt>
                <c:pt idx="217">
                  <c:v>8.0028147859521503E-2</c:v>
                </c:pt>
                <c:pt idx="218">
                  <c:v>0.56298572953157766</c:v>
                </c:pt>
                <c:pt idx="219">
                  <c:v>0.86658164148987638</c:v>
                </c:pt>
                <c:pt idx="220">
                  <c:v>0.98633094094885254</c:v>
                </c:pt>
                <c:pt idx="221">
                  <c:v>0.9349346598076832</c:v>
                </c:pt>
                <c:pt idx="222">
                  <c:v>0.74006980191820526</c:v>
                </c:pt>
                <c:pt idx="223">
                  <c:v>0.44087802947385368</c:v>
                </c:pt>
                <c:pt idx="224">
                  <c:v>8.3538408973781841E-2</c:v>
                </c:pt>
                <c:pt idx="225">
                  <c:v>-0.28361365704510266</c:v>
                </c:pt>
                <c:pt idx="226">
                  <c:v>-0.61493037973788045</c:v>
                </c:pt>
                <c:pt idx="227">
                  <c:v>-0.87178830412765507</c:v>
                </c:pt>
                <c:pt idx="228">
                  <c:v>-1.0260147262864505</c:v>
                </c:pt>
                <c:pt idx="229">
                  <c:v>-1.0621059428408257</c:v>
                </c:pt>
                <c:pt idx="230">
                  <c:v>-0.97807110364522121</c:v>
                </c:pt>
                <c:pt idx="231">
                  <c:v>-0.78487935501047534</c:v>
                </c:pt>
                <c:pt idx="232">
                  <c:v>-0.50462913255875819</c:v>
                </c:pt>
                <c:pt idx="233">
                  <c:v>-0.16768256300652418</c:v>
                </c:pt>
                <c:pt idx="234">
                  <c:v>0.19089719424379581</c:v>
                </c:pt>
                <c:pt idx="235">
                  <c:v>0.53521097152862751</c:v>
                </c:pt>
                <c:pt idx="236">
                  <c:v>0.83228201194171803</c:v>
                </c:pt>
                <c:pt idx="237">
                  <c:v>1.0553271341369133</c:v>
                </c:pt>
                <c:pt idx="238">
                  <c:v>1.1862264942756227</c:v>
                </c:pt>
                <c:pt idx="239">
                  <c:v>1.2169742082667732</c:v>
                </c:pt>
                <c:pt idx="240">
                  <c:v>1.150007294090301</c:v>
                </c:pt>
                <c:pt idx="241">
                  <c:v>0.99743164681224528</c:v>
                </c:pt>
                <c:pt idx="242">
                  <c:v>0.77927813098666832</c:v>
                </c:pt>
                <c:pt idx="243">
                  <c:v>0.52101759762829403</c:v>
                </c:pt>
                <c:pt idx="244">
                  <c:v>0.25063131703229402</c:v>
                </c:pt>
                <c:pt idx="245">
                  <c:v>-4.4331219124700283E-3</c:v>
                </c:pt>
                <c:pt idx="246">
                  <c:v>-0.22009320281777178</c:v>
                </c:pt>
                <c:pt idx="247">
                  <c:v>-0.37796037949547667</c:v>
                </c:pt>
                <c:pt idx="248">
                  <c:v>-0.46694345028992146</c:v>
                </c:pt>
                <c:pt idx="249">
                  <c:v>-0.48399112582510284</c:v>
                </c:pt>
                <c:pt idx="250">
                  <c:v>-0.43393699408983188</c:v>
                </c:pt>
                <c:pt idx="251">
                  <c:v>-0.32850828390122633</c:v>
                </c:pt>
                <c:pt idx="252">
                  <c:v>-0.18464714654578618</c:v>
                </c:pt>
              </c:numCache>
            </c:numRef>
          </c:val>
          <c:smooth val="0"/>
          <c:extLst>
            <c:ext xmlns:c16="http://schemas.microsoft.com/office/drawing/2014/chart" uri="{C3380CC4-5D6E-409C-BE32-E72D297353CC}">
              <c16:uniqueId val="{00000002-C705-472C-AC19-11CFD3B1105A}"/>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 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Original</c:v>
          </c:tx>
          <c:spPr>
            <a:ln w="12700" cap="rnd">
              <a:solidFill>
                <a:schemeClr val="accent1"/>
              </a:solidFill>
              <a:round/>
            </a:ln>
            <a:effectLst/>
          </c:spPr>
          <c:marker>
            <c:symbol val="none"/>
          </c:marker>
          <c:cat>
            <c:numRef>
              <c:f>MAFILTER!$F$14:$F$266</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MAFILTER!$G$14:$G$266</c:f>
              <c:numCache>
                <c:formatCode>0.00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0-1A93-45F7-AD53-A41168E5D37E}"/>
            </c:ext>
          </c:extLst>
        </c:ser>
        <c:ser>
          <c:idx val="1"/>
          <c:order val="1"/>
          <c:tx>
            <c:v>RW trend</c:v>
          </c:tx>
          <c:spPr>
            <a:ln w="28575" cap="rnd">
              <a:solidFill>
                <a:schemeClr val="accent2"/>
              </a:solidFill>
              <a:round/>
            </a:ln>
            <a:effectLst/>
          </c:spPr>
          <c:marker>
            <c:symbol val="none"/>
          </c:marker>
          <c:cat>
            <c:numRef>
              <c:f>MAFILTER!$F$14:$F$266</c:f>
              <c:numCache>
                <c:formatCode>[$-416]mmm\-yy;@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MAFILTER!$O$14:$O$266</c:f>
              <c:numCache>
                <c:formatCode>0.0000</c:formatCode>
                <c:ptCount val="253"/>
                <c:pt idx="0">
                  <c:v>#N/A</c:v>
                </c:pt>
                <c:pt idx="1">
                  <c:v>#N/A</c:v>
                </c:pt>
                <c:pt idx="2">
                  <c:v>#N/A</c:v>
                </c:pt>
                <c:pt idx="3">
                  <c:v>#N/A</c:v>
                </c:pt>
                <c:pt idx="4">
                  <c:v>#N/A</c:v>
                </c:pt>
                <c:pt idx="5">
                  <c:v>#N/A</c:v>
                </c:pt>
                <c:pt idx="6">
                  <c:v>100.61</c:v>
                </c:pt>
                <c:pt idx="7">
                  <c:v>100.5242857142857</c:v>
                </c:pt>
                <c:pt idx="8">
                  <c:v>100.47714285714285</c:v>
                </c:pt>
                <c:pt idx="9">
                  <c:v>100.48571428571428</c:v>
                </c:pt>
                <c:pt idx="10">
                  <c:v>100.62714285714286</c:v>
                </c:pt>
                <c:pt idx="11">
                  <c:v>100.90857142857142</c:v>
                </c:pt>
                <c:pt idx="12">
                  <c:v>101.40857142857143</c:v>
                </c:pt>
                <c:pt idx="13">
                  <c:v>102.20571428571428</c:v>
                </c:pt>
                <c:pt idx="14">
                  <c:v>103.06428571428572</c:v>
                </c:pt>
                <c:pt idx="15">
                  <c:v>103.74285714285715</c:v>
                </c:pt>
                <c:pt idx="16">
                  <c:v>104.38142857142857</c:v>
                </c:pt>
                <c:pt idx="17">
                  <c:v>105.12285714285713</c:v>
                </c:pt>
                <c:pt idx="18">
                  <c:v>105.94142857142857</c:v>
                </c:pt>
                <c:pt idx="19">
                  <c:v>106.58999999999999</c:v>
                </c:pt>
                <c:pt idx="20">
                  <c:v>107.25285714285712</c:v>
                </c:pt>
                <c:pt idx="21">
                  <c:v>107.66714285714285</c:v>
                </c:pt>
                <c:pt idx="22">
                  <c:v>108.13285714285713</c:v>
                </c:pt>
                <c:pt idx="23">
                  <c:v>108.5257142857143</c:v>
                </c:pt>
                <c:pt idx="24">
                  <c:v>108.86142857142856</c:v>
                </c:pt>
                <c:pt idx="25">
                  <c:v>109.22285714285715</c:v>
                </c:pt>
                <c:pt idx="26">
                  <c:v>109.53714285714285</c:v>
                </c:pt>
                <c:pt idx="27">
                  <c:v>109.81571428571429</c:v>
                </c:pt>
                <c:pt idx="28">
                  <c:v>110.14</c:v>
                </c:pt>
                <c:pt idx="29">
                  <c:v>110.23428571428572</c:v>
                </c:pt>
                <c:pt idx="30">
                  <c:v>110.42714285714285</c:v>
                </c:pt>
                <c:pt idx="31">
                  <c:v>110.66714285714286</c:v>
                </c:pt>
                <c:pt idx="32">
                  <c:v>110.74142857142859</c:v>
                </c:pt>
                <c:pt idx="33">
                  <c:v>110.84428571428573</c:v>
                </c:pt>
                <c:pt idx="34">
                  <c:v>110.95000000000002</c:v>
                </c:pt>
                <c:pt idx="35">
                  <c:v>111.22428571428573</c:v>
                </c:pt>
                <c:pt idx="36">
                  <c:v>111.67714285714285</c:v>
                </c:pt>
                <c:pt idx="37">
                  <c:v>112.14714285714285</c:v>
                </c:pt>
                <c:pt idx="38">
                  <c:v>112.47</c:v>
                </c:pt>
                <c:pt idx="39">
                  <c:v>112.99000000000001</c:v>
                </c:pt>
                <c:pt idx="40">
                  <c:v>113.64285714285714</c:v>
                </c:pt>
                <c:pt idx="41">
                  <c:v>114</c:v>
                </c:pt>
                <c:pt idx="42">
                  <c:v>114.52142857142859</c:v>
                </c:pt>
                <c:pt idx="43">
                  <c:v>114.96714285714287</c:v>
                </c:pt>
                <c:pt idx="44">
                  <c:v>115.39142857142858</c:v>
                </c:pt>
                <c:pt idx="45">
                  <c:v>116.05285714285715</c:v>
                </c:pt>
                <c:pt idx="46">
                  <c:v>116.70285714285714</c:v>
                </c:pt>
                <c:pt idx="47">
                  <c:v>117.42142857142856</c:v>
                </c:pt>
                <c:pt idx="48">
                  <c:v>118.21857142857142</c:v>
                </c:pt>
                <c:pt idx="49">
                  <c:v>118.76</c:v>
                </c:pt>
                <c:pt idx="50">
                  <c:v>119.16857142857144</c:v>
                </c:pt>
                <c:pt idx="51">
                  <c:v>119.79857142857144</c:v>
                </c:pt>
                <c:pt idx="52">
                  <c:v>120.38428571428572</c:v>
                </c:pt>
                <c:pt idx="53">
                  <c:v>120.96714285714287</c:v>
                </c:pt>
                <c:pt idx="54">
                  <c:v>121.41142857142859</c:v>
                </c:pt>
                <c:pt idx="55">
                  <c:v>122.02714285714286</c:v>
                </c:pt>
                <c:pt idx="56">
                  <c:v>122.69571428571427</c:v>
                </c:pt>
                <c:pt idx="57">
                  <c:v>123.66571428571429</c:v>
                </c:pt>
                <c:pt idx="58">
                  <c:v>124.39857142857143</c:v>
                </c:pt>
                <c:pt idx="59">
                  <c:v>125.16857142857144</c:v>
                </c:pt>
                <c:pt idx="60">
                  <c:v>125.80428571428573</c:v>
                </c:pt>
                <c:pt idx="61">
                  <c:v>126.27571428571427</c:v>
                </c:pt>
                <c:pt idx="62">
                  <c:v>126.58285714285714</c:v>
                </c:pt>
                <c:pt idx="63">
                  <c:v>127.00857142857141</c:v>
                </c:pt>
                <c:pt idx="64">
                  <c:v>127.4542857142857</c:v>
                </c:pt>
                <c:pt idx="65">
                  <c:v>128.06142857142856</c:v>
                </c:pt>
                <c:pt idx="66">
                  <c:v>128.47999999999999</c:v>
                </c:pt>
                <c:pt idx="67">
                  <c:v>129</c:v>
                </c:pt>
                <c:pt idx="68">
                  <c:v>129.48857142857142</c:v>
                </c:pt>
                <c:pt idx="69">
                  <c:v>129.73714285714286</c:v>
                </c:pt>
                <c:pt idx="70">
                  <c:v>129.30857142857141</c:v>
                </c:pt>
                <c:pt idx="71">
                  <c:v>128.2042857142857</c:v>
                </c:pt>
                <c:pt idx="72">
                  <c:v>126.88285714285713</c:v>
                </c:pt>
                <c:pt idx="73">
                  <c:v>125.72142857142856</c:v>
                </c:pt>
                <c:pt idx="74">
                  <c:v>124.56142857142856</c:v>
                </c:pt>
                <c:pt idx="75">
                  <c:v>123.56142857142856</c:v>
                </c:pt>
                <c:pt idx="76">
                  <c:v>123.08714285714288</c:v>
                </c:pt>
                <c:pt idx="77">
                  <c:v>123.14714285714285</c:v>
                </c:pt>
                <c:pt idx="78">
                  <c:v>123.74428571428574</c:v>
                </c:pt>
                <c:pt idx="79">
                  <c:v>124.72142857142856</c:v>
                </c:pt>
                <c:pt idx="80">
                  <c:v>125.64857142857144</c:v>
                </c:pt>
                <c:pt idx="81">
                  <c:v>126.65</c:v>
                </c:pt>
                <c:pt idx="82">
                  <c:v>127.5842857142857</c:v>
                </c:pt>
                <c:pt idx="83">
                  <c:v>128.62285714285716</c:v>
                </c:pt>
                <c:pt idx="84">
                  <c:v>129.82857142857142</c:v>
                </c:pt>
                <c:pt idx="85">
                  <c:v>131.18714285714287</c:v>
                </c:pt>
                <c:pt idx="86">
                  <c:v>132.3942857142857</c:v>
                </c:pt>
                <c:pt idx="87">
                  <c:v>133.57142857142858</c:v>
                </c:pt>
                <c:pt idx="88">
                  <c:v>134.46285714285713</c:v>
                </c:pt>
                <c:pt idx="89">
                  <c:v>135.29428571428573</c:v>
                </c:pt>
                <c:pt idx="90">
                  <c:v>135.95714285714286</c:v>
                </c:pt>
                <c:pt idx="91">
                  <c:v>136.50428571428571</c:v>
                </c:pt>
                <c:pt idx="92">
                  <c:v>137.00428571428571</c:v>
                </c:pt>
                <c:pt idx="93">
                  <c:v>137.31285714285715</c:v>
                </c:pt>
                <c:pt idx="94">
                  <c:v>137.74285714285716</c:v>
                </c:pt>
                <c:pt idx="95">
                  <c:v>138.09428571428572</c:v>
                </c:pt>
                <c:pt idx="96">
                  <c:v>138.71857142857144</c:v>
                </c:pt>
                <c:pt idx="97">
                  <c:v>139.32</c:v>
                </c:pt>
                <c:pt idx="98">
                  <c:v>139.79857142857142</c:v>
                </c:pt>
                <c:pt idx="99">
                  <c:v>140.10142857142858</c:v>
                </c:pt>
                <c:pt idx="100">
                  <c:v>140.45857142857145</c:v>
                </c:pt>
                <c:pt idx="101">
                  <c:v>140.70285714285714</c:v>
                </c:pt>
                <c:pt idx="102">
                  <c:v>141.19285714285715</c:v>
                </c:pt>
                <c:pt idx="103">
                  <c:v>141.43285714285716</c:v>
                </c:pt>
                <c:pt idx="104">
                  <c:v>141.52571428571429</c:v>
                </c:pt>
                <c:pt idx="105">
                  <c:v>141.60428571428571</c:v>
                </c:pt>
                <c:pt idx="106">
                  <c:v>141.79571428571427</c:v>
                </c:pt>
                <c:pt idx="107">
                  <c:v>141.75857142857143</c:v>
                </c:pt>
                <c:pt idx="108">
                  <c:v>141.35714285714283</c:v>
                </c:pt>
                <c:pt idx="109">
                  <c:v>141.1357142857143</c:v>
                </c:pt>
                <c:pt idx="110">
                  <c:v>140.87857142857143</c:v>
                </c:pt>
                <c:pt idx="111">
                  <c:v>140.76142857142858</c:v>
                </c:pt>
                <c:pt idx="112">
                  <c:v>140.88857142857142</c:v>
                </c:pt>
                <c:pt idx="113">
                  <c:v>141.06571428571428</c:v>
                </c:pt>
                <c:pt idx="114">
                  <c:v>141.47999999999999</c:v>
                </c:pt>
                <c:pt idx="115">
                  <c:v>142.22571428571428</c:v>
                </c:pt>
                <c:pt idx="116">
                  <c:v>142.66999999999999</c:v>
                </c:pt>
                <c:pt idx="117">
                  <c:v>143.34142857142857</c:v>
                </c:pt>
                <c:pt idx="118">
                  <c:v>143.89571428571429</c:v>
                </c:pt>
                <c:pt idx="119">
                  <c:v>144.13142857142856</c:v>
                </c:pt>
                <c:pt idx="120">
                  <c:v>144.33571428571429</c:v>
                </c:pt>
                <c:pt idx="121">
                  <c:v>144.33571428571426</c:v>
                </c:pt>
                <c:pt idx="122">
                  <c:v>144.44714285714284</c:v>
                </c:pt>
                <c:pt idx="123">
                  <c:v>144.82142857142858</c:v>
                </c:pt>
                <c:pt idx="124">
                  <c:v>145.09999999999997</c:v>
                </c:pt>
                <c:pt idx="125">
                  <c:v>145.34428571428572</c:v>
                </c:pt>
                <c:pt idx="126">
                  <c:v>145.74142857142854</c:v>
                </c:pt>
                <c:pt idx="127">
                  <c:v>146.05571428571429</c:v>
                </c:pt>
                <c:pt idx="128">
                  <c:v>146.62857142857143</c:v>
                </c:pt>
                <c:pt idx="129">
                  <c:v>147.04999999999998</c:v>
                </c:pt>
                <c:pt idx="130">
                  <c:v>147.34714285714287</c:v>
                </c:pt>
                <c:pt idx="131">
                  <c:v>147.62857142857143</c:v>
                </c:pt>
                <c:pt idx="132">
                  <c:v>147.90857142857143</c:v>
                </c:pt>
                <c:pt idx="133">
                  <c:v>148.06142857142859</c:v>
                </c:pt>
                <c:pt idx="134">
                  <c:v>148.14714285714285</c:v>
                </c:pt>
                <c:pt idx="135">
                  <c:v>148.03857142857143</c:v>
                </c:pt>
                <c:pt idx="136">
                  <c:v>147.80714285714288</c:v>
                </c:pt>
                <c:pt idx="137">
                  <c:v>147.10285714285715</c:v>
                </c:pt>
                <c:pt idx="138">
                  <c:v>146.51857142857145</c:v>
                </c:pt>
                <c:pt idx="139">
                  <c:v>146.14000000000001</c:v>
                </c:pt>
                <c:pt idx="140">
                  <c:v>145.88714285714286</c:v>
                </c:pt>
                <c:pt idx="141">
                  <c:v>145.54857142857142</c:v>
                </c:pt>
                <c:pt idx="142">
                  <c:v>145.34142857142857</c:v>
                </c:pt>
                <c:pt idx="143">
                  <c:v>145.32857142857142</c:v>
                </c:pt>
                <c:pt idx="144">
                  <c:v>145.5685714285714</c:v>
                </c:pt>
                <c:pt idx="145">
                  <c:v>145.47999999999999</c:v>
                </c:pt>
                <c:pt idx="146">
                  <c:v>145.20428571428573</c:v>
                </c:pt>
                <c:pt idx="147">
                  <c:v>144.60285714285715</c:v>
                </c:pt>
                <c:pt idx="148">
                  <c:v>143.98285714285711</c:v>
                </c:pt>
                <c:pt idx="149">
                  <c:v>143.11571428571429</c:v>
                </c:pt>
                <c:pt idx="150">
                  <c:v>141.99285714285713</c:v>
                </c:pt>
                <c:pt idx="151">
                  <c:v>141.09571428571425</c:v>
                </c:pt>
                <c:pt idx="152">
                  <c:v>140.19</c:v>
                </c:pt>
                <c:pt idx="153">
                  <c:v>139.48285714285717</c:v>
                </c:pt>
                <c:pt idx="154">
                  <c:v>138.73857142857145</c:v>
                </c:pt>
                <c:pt idx="155">
                  <c:v>138.08285714285716</c:v>
                </c:pt>
                <c:pt idx="156">
                  <c:v>137.5157142857143</c:v>
                </c:pt>
                <c:pt idx="157">
                  <c:v>137.08714285714288</c:v>
                </c:pt>
                <c:pt idx="158">
                  <c:v>136.46428571428572</c:v>
                </c:pt>
                <c:pt idx="159">
                  <c:v>136.00428571428571</c:v>
                </c:pt>
                <c:pt idx="160">
                  <c:v>135.33142857142857</c:v>
                </c:pt>
                <c:pt idx="161">
                  <c:v>135.01142857142855</c:v>
                </c:pt>
                <c:pt idx="162">
                  <c:v>134.71857142857144</c:v>
                </c:pt>
                <c:pt idx="163">
                  <c:v>134.45285714285714</c:v>
                </c:pt>
                <c:pt idx="164">
                  <c:v>134.19857142857143</c:v>
                </c:pt>
                <c:pt idx="165">
                  <c:v>134.03714285714287</c:v>
                </c:pt>
                <c:pt idx="166">
                  <c:v>133.84428571428572</c:v>
                </c:pt>
                <c:pt idx="167">
                  <c:v>133.62571428571428</c:v>
                </c:pt>
                <c:pt idx="168">
                  <c:v>133.48857142857142</c:v>
                </c:pt>
                <c:pt idx="169">
                  <c:v>133.64857142857142</c:v>
                </c:pt>
                <c:pt idx="170">
                  <c:v>133.88</c:v>
                </c:pt>
                <c:pt idx="171">
                  <c:v>134.11571428571429</c:v>
                </c:pt>
                <c:pt idx="172">
                  <c:v>134.36142857142858</c:v>
                </c:pt>
                <c:pt idx="173">
                  <c:v>134.76285714285714</c:v>
                </c:pt>
                <c:pt idx="174">
                  <c:v>135.30571428571429</c:v>
                </c:pt>
                <c:pt idx="175">
                  <c:v>135.59571428571431</c:v>
                </c:pt>
                <c:pt idx="176">
                  <c:v>135.60857142857142</c:v>
                </c:pt>
                <c:pt idx="177">
                  <c:v>135.70857142857142</c:v>
                </c:pt>
                <c:pt idx="178">
                  <c:v>135.80857142857141</c:v>
                </c:pt>
                <c:pt idx="179">
                  <c:v>136.2442857142857</c:v>
                </c:pt>
                <c:pt idx="180">
                  <c:v>136.4542857142857</c:v>
                </c:pt>
                <c:pt idx="181">
                  <c:v>136.5242857142857</c:v>
                </c:pt>
                <c:pt idx="182">
                  <c:v>136.66</c:v>
                </c:pt>
                <c:pt idx="183">
                  <c:v>136.8942857142857</c:v>
                </c:pt>
                <c:pt idx="184">
                  <c:v>136.47</c:v>
                </c:pt>
                <c:pt idx="185">
                  <c:v>136.66999999999999</c:v>
                </c:pt>
                <c:pt idx="186">
                  <c:v>136.64285714285714</c:v>
                </c:pt>
                <c:pt idx="187">
                  <c:v>136.86142857142858</c:v>
                </c:pt>
                <c:pt idx="188">
                  <c:v>137.05999999999997</c:v>
                </c:pt>
                <c:pt idx="189">
                  <c:v>137.32428571428571</c:v>
                </c:pt>
                <c:pt idx="190">
                  <c:v>137.51428571428571</c:v>
                </c:pt>
                <c:pt idx="191">
                  <c:v>138.38714285714283</c:v>
                </c:pt>
                <c:pt idx="192">
                  <c:v>138.65714285714284</c:v>
                </c:pt>
                <c:pt idx="193">
                  <c:v>138.62428571428572</c:v>
                </c:pt>
                <c:pt idx="194">
                  <c:v>138.34571428571431</c:v>
                </c:pt>
                <c:pt idx="195">
                  <c:v>138.15285714285716</c:v>
                </c:pt>
                <c:pt idx="196">
                  <c:v>138.18142857142857</c:v>
                </c:pt>
                <c:pt idx="197">
                  <c:v>138.21714285714287</c:v>
                </c:pt>
                <c:pt idx="198">
                  <c:v>138.09</c:v>
                </c:pt>
                <c:pt idx="199">
                  <c:v>137.95714285714286</c:v>
                </c:pt>
                <c:pt idx="200">
                  <c:v>138.16714285714286</c:v>
                </c:pt>
                <c:pt idx="201">
                  <c:v>138.67571428571429</c:v>
                </c:pt>
                <c:pt idx="202">
                  <c:v>139.10571428571427</c:v>
                </c:pt>
                <c:pt idx="203">
                  <c:v>139.19714285714286</c:v>
                </c:pt>
                <c:pt idx="204">
                  <c:v>139.36714285714285</c:v>
                </c:pt>
                <c:pt idx="205">
                  <c:v>139.56142857142856</c:v>
                </c:pt>
                <c:pt idx="206">
                  <c:v>138.32714285714286</c:v>
                </c:pt>
                <c:pt idx="207">
                  <c:v>135.18857142857141</c:v>
                </c:pt>
                <c:pt idx="208">
                  <c:v>132.39857142857142</c:v>
                </c:pt>
                <c:pt idx="209">
                  <c:v>130.56714285714287</c:v>
                </c:pt>
                <c:pt idx="210">
                  <c:v>129.38285714285715</c:v>
                </c:pt>
                <c:pt idx="211">
                  <c:v>128.49857142857144</c:v>
                </c:pt>
                <c:pt idx="212">
                  <c:v>128.09714285714287</c:v>
                </c:pt>
                <c:pt idx="213">
                  <c:v>129.47</c:v>
                </c:pt>
                <c:pt idx="214">
                  <c:v>132.62000000000003</c:v>
                </c:pt>
                <c:pt idx="215">
                  <c:v>135.26428571428571</c:v>
                </c:pt>
                <c:pt idx="216">
                  <c:v>137.13142857142856</c:v>
                </c:pt>
                <c:pt idx="217">
                  <c:v>138.55857142857141</c:v>
                </c:pt>
                <c:pt idx="218">
                  <c:v>138.82428571428571</c:v>
                </c:pt>
                <c:pt idx="219">
                  <c:v>138.91000000000003</c:v>
                </c:pt>
                <c:pt idx="220">
                  <c:v>138.82714285714286</c:v>
                </c:pt>
                <c:pt idx="221">
                  <c:v>138.78571428571428</c:v>
                </c:pt>
                <c:pt idx="222">
                  <c:v>138.6357142857143</c:v>
                </c:pt>
                <c:pt idx="223">
                  <c:v>138.46285714285713</c:v>
                </c:pt>
                <c:pt idx="224">
                  <c:v>138.16</c:v>
                </c:pt>
                <c:pt idx="225">
                  <c:v>138.71714285714285</c:v>
                </c:pt>
                <c:pt idx="226">
                  <c:v>139.23285714285717</c:v>
                </c:pt>
                <c:pt idx="227">
                  <c:v>139.58714285714288</c:v>
                </c:pt>
                <c:pt idx="228">
                  <c:v>139.77428571428572</c:v>
                </c:pt>
                <c:pt idx="229">
                  <c:v>140.10714285714286</c:v>
                </c:pt>
                <c:pt idx="230">
                  <c:v>140.53857142857143</c:v>
                </c:pt>
                <c:pt idx="231">
                  <c:v>141.01428571428573</c:v>
                </c:pt>
                <c:pt idx="232">
                  <c:v>141.37571428571428</c:v>
                </c:pt>
                <c:pt idx="233">
                  <c:v>141.63857142857142</c:v>
                </c:pt>
                <c:pt idx="234">
                  <c:v>142.23857142857142</c:v>
                </c:pt>
                <c:pt idx="235">
                  <c:v>142.84142857142857</c:v>
                </c:pt>
                <c:pt idx="236">
                  <c:v>143.36571428571429</c:v>
                </c:pt>
                <c:pt idx="237">
                  <c:v>143.75714285714284</c:v>
                </c:pt>
                <c:pt idx="238">
                  <c:v>143.83571428571426</c:v>
                </c:pt>
                <c:pt idx="239">
                  <c:v>143.85714285714286</c:v>
                </c:pt>
                <c:pt idx="240">
                  <c:v>143.94142857142856</c:v>
                </c:pt>
                <c:pt idx="241">
                  <c:v>144.24142857142857</c:v>
                </c:pt>
                <c:pt idx="242">
                  <c:v>144.60428571428571</c:v>
                </c:pt>
                <c:pt idx="243">
                  <c:v>145.23142857142858</c:v>
                </c:pt>
                <c:pt idx="244">
                  <c:v>145.44285714285712</c:v>
                </c:pt>
                <c:pt idx="245">
                  <c:v>145.98714285714283</c:v>
                </c:pt>
                <c:pt idx="246">
                  <c:v>146.65571428571428</c:v>
                </c:pt>
                <c:pt idx="247">
                  <c:v>147.03571428571428</c:v>
                </c:pt>
                <c:pt idx="248">
                  <c:v>146.84571428571425</c:v>
                </c:pt>
                <c:pt idx="249">
                  <c:v>146.73714285714283</c:v>
                </c:pt>
                <c:pt idx="250">
                  <c:v>146.38428571428571</c:v>
                </c:pt>
                <c:pt idx="251">
                  <c:v>146.59142857142857</c:v>
                </c:pt>
                <c:pt idx="252">
                  <c:v>146.86999999999998</c:v>
                </c:pt>
              </c:numCache>
            </c:numRef>
          </c:val>
          <c:smooth val="0"/>
          <c:extLst>
            <c:ext xmlns:c16="http://schemas.microsoft.com/office/drawing/2014/chart" uri="{C3380CC4-5D6E-409C-BE32-E72D297353CC}">
              <c16:uniqueId val="{00000001-1A93-45F7-AD53-A41168E5D37E}"/>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2"/>
          <c:order val="2"/>
          <c:tx>
            <c:v>RW cycle (rhs)</c:v>
          </c:tx>
          <c:spPr>
            <a:ln w="28575" cap="rnd">
              <a:solidFill>
                <a:schemeClr val="accent3"/>
              </a:solidFill>
              <a:round/>
            </a:ln>
            <a:effectLst/>
          </c:spPr>
          <c:marker>
            <c:symbol val="none"/>
          </c:marker>
          <c:cat>
            <c:numRef>
              <c:f>MAFILTER!$F$15:$F$253</c:f>
              <c:numCache>
                <c:formatCode>[$-416]mmm\-yy;@</c:formatCode>
                <c:ptCount val="239"/>
                <c:pt idx="0">
                  <c:v>37653</c:v>
                </c:pt>
                <c:pt idx="1">
                  <c:v>37681</c:v>
                </c:pt>
                <c:pt idx="2">
                  <c:v>37712</c:v>
                </c:pt>
                <c:pt idx="3">
                  <c:v>37742</c:v>
                </c:pt>
                <c:pt idx="4">
                  <c:v>37773</c:v>
                </c:pt>
                <c:pt idx="5">
                  <c:v>37803</c:v>
                </c:pt>
                <c:pt idx="6">
                  <c:v>37834</c:v>
                </c:pt>
                <c:pt idx="7">
                  <c:v>37865</c:v>
                </c:pt>
                <c:pt idx="8">
                  <c:v>37895</c:v>
                </c:pt>
                <c:pt idx="9">
                  <c:v>37926</c:v>
                </c:pt>
                <c:pt idx="10">
                  <c:v>37956</c:v>
                </c:pt>
                <c:pt idx="11">
                  <c:v>37987</c:v>
                </c:pt>
                <c:pt idx="12">
                  <c:v>38018</c:v>
                </c:pt>
                <c:pt idx="13">
                  <c:v>38047</c:v>
                </c:pt>
                <c:pt idx="14">
                  <c:v>38078</c:v>
                </c:pt>
                <c:pt idx="15">
                  <c:v>38108</c:v>
                </c:pt>
                <c:pt idx="16">
                  <c:v>38139</c:v>
                </c:pt>
                <c:pt idx="17">
                  <c:v>38169</c:v>
                </c:pt>
                <c:pt idx="18">
                  <c:v>38200</c:v>
                </c:pt>
                <c:pt idx="19">
                  <c:v>38231</c:v>
                </c:pt>
                <c:pt idx="20">
                  <c:v>38261</c:v>
                </c:pt>
                <c:pt idx="21">
                  <c:v>38292</c:v>
                </c:pt>
                <c:pt idx="22">
                  <c:v>38322</c:v>
                </c:pt>
                <c:pt idx="23">
                  <c:v>38353</c:v>
                </c:pt>
                <c:pt idx="24">
                  <c:v>38384</c:v>
                </c:pt>
                <c:pt idx="25">
                  <c:v>38412</c:v>
                </c:pt>
                <c:pt idx="26">
                  <c:v>38443</c:v>
                </c:pt>
                <c:pt idx="27">
                  <c:v>38473</c:v>
                </c:pt>
                <c:pt idx="28">
                  <c:v>38504</c:v>
                </c:pt>
                <c:pt idx="29">
                  <c:v>38534</c:v>
                </c:pt>
                <c:pt idx="30">
                  <c:v>38565</c:v>
                </c:pt>
                <c:pt idx="31">
                  <c:v>38596</c:v>
                </c:pt>
                <c:pt idx="32">
                  <c:v>38626</c:v>
                </c:pt>
                <c:pt idx="33">
                  <c:v>38657</c:v>
                </c:pt>
                <c:pt idx="34">
                  <c:v>38687</c:v>
                </c:pt>
                <c:pt idx="35">
                  <c:v>38718</c:v>
                </c:pt>
                <c:pt idx="36">
                  <c:v>38749</c:v>
                </c:pt>
                <c:pt idx="37">
                  <c:v>38777</c:v>
                </c:pt>
                <c:pt idx="38">
                  <c:v>38808</c:v>
                </c:pt>
                <c:pt idx="39">
                  <c:v>38838</c:v>
                </c:pt>
                <c:pt idx="40">
                  <c:v>38869</c:v>
                </c:pt>
                <c:pt idx="41">
                  <c:v>38899</c:v>
                </c:pt>
                <c:pt idx="42">
                  <c:v>38930</c:v>
                </c:pt>
                <c:pt idx="43">
                  <c:v>38961</c:v>
                </c:pt>
                <c:pt idx="44">
                  <c:v>38991</c:v>
                </c:pt>
                <c:pt idx="45">
                  <c:v>39022</c:v>
                </c:pt>
                <c:pt idx="46">
                  <c:v>39052</c:v>
                </c:pt>
                <c:pt idx="47">
                  <c:v>39083</c:v>
                </c:pt>
                <c:pt idx="48">
                  <c:v>39114</c:v>
                </c:pt>
                <c:pt idx="49">
                  <c:v>39142</c:v>
                </c:pt>
                <c:pt idx="50">
                  <c:v>39173</c:v>
                </c:pt>
                <c:pt idx="51">
                  <c:v>39203</c:v>
                </c:pt>
                <c:pt idx="52">
                  <c:v>39234</c:v>
                </c:pt>
                <c:pt idx="53">
                  <c:v>39264</c:v>
                </c:pt>
                <c:pt idx="54">
                  <c:v>39295</c:v>
                </c:pt>
                <c:pt idx="55">
                  <c:v>39326</c:v>
                </c:pt>
                <c:pt idx="56">
                  <c:v>39356</c:v>
                </c:pt>
                <c:pt idx="57">
                  <c:v>39387</c:v>
                </c:pt>
                <c:pt idx="58">
                  <c:v>39417</c:v>
                </c:pt>
                <c:pt idx="59">
                  <c:v>39448</c:v>
                </c:pt>
                <c:pt idx="60">
                  <c:v>39479</c:v>
                </c:pt>
                <c:pt idx="61">
                  <c:v>39508</c:v>
                </c:pt>
                <c:pt idx="62">
                  <c:v>39539</c:v>
                </c:pt>
                <c:pt idx="63">
                  <c:v>39569</c:v>
                </c:pt>
                <c:pt idx="64">
                  <c:v>39600</c:v>
                </c:pt>
                <c:pt idx="65">
                  <c:v>39630</c:v>
                </c:pt>
                <c:pt idx="66">
                  <c:v>39661</c:v>
                </c:pt>
                <c:pt idx="67">
                  <c:v>39692</c:v>
                </c:pt>
                <c:pt idx="68">
                  <c:v>39722</c:v>
                </c:pt>
                <c:pt idx="69">
                  <c:v>39753</c:v>
                </c:pt>
                <c:pt idx="70">
                  <c:v>39783</c:v>
                </c:pt>
                <c:pt idx="71">
                  <c:v>39814</c:v>
                </c:pt>
                <c:pt idx="72">
                  <c:v>39845</c:v>
                </c:pt>
                <c:pt idx="73">
                  <c:v>39873</c:v>
                </c:pt>
                <c:pt idx="74">
                  <c:v>39904</c:v>
                </c:pt>
                <c:pt idx="75">
                  <c:v>39934</c:v>
                </c:pt>
                <c:pt idx="76">
                  <c:v>39965</c:v>
                </c:pt>
                <c:pt idx="77">
                  <c:v>39995</c:v>
                </c:pt>
                <c:pt idx="78">
                  <c:v>40026</c:v>
                </c:pt>
                <c:pt idx="79">
                  <c:v>40057</c:v>
                </c:pt>
                <c:pt idx="80">
                  <c:v>40087</c:v>
                </c:pt>
                <c:pt idx="81">
                  <c:v>40118</c:v>
                </c:pt>
                <c:pt idx="82">
                  <c:v>40148</c:v>
                </c:pt>
                <c:pt idx="83">
                  <c:v>40179</c:v>
                </c:pt>
                <c:pt idx="84">
                  <c:v>40210</c:v>
                </c:pt>
                <c:pt idx="85">
                  <c:v>40238</c:v>
                </c:pt>
                <c:pt idx="86">
                  <c:v>40269</c:v>
                </c:pt>
                <c:pt idx="87">
                  <c:v>40299</c:v>
                </c:pt>
                <c:pt idx="88">
                  <c:v>40330</c:v>
                </c:pt>
                <c:pt idx="89">
                  <c:v>40360</c:v>
                </c:pt>
                <c:pt idx="90">
                  <c:v>40391</c:v>
                </c:pt>
                <c:pt idx="91">
                  <c:v>40422</c:v>
                </c:pt>
                <c:pt idx="92">
                  <c:v>40452</c:v>
                </c:pt>
                <c:pt idx="93">
                  <c:v>40483</c:v>
                </c:pt>
                <c:pt idx="94">
                  <c:v>40513</c:v>
                </c:pt>
                <c:pt idx="95">
                  <c:v>40544</c:v>
                </c:pt>
                <c:pt idx="96">
                  <c:v>40575</c:v>
                </c:pt>
                <c:pt idx="97">
                  <c:v>40603</c:v>
                </c:pt>
                <c:pt idx="98">
                  <c:v>40634</c:v>
                </c:pt>
                <c:pt idx="99">
                  <c:v>40664</c:v>
                </c:pt>
                <c:pt idx="100">
                  <c:v>40695</c:v>
                </c:pt>
                <c:pt idx="101">
                  <c:v>40725</c:v>
                </c:pt>
                <c:pt idx="102">
                  <c:v>40756</c:v>
                </c:pt>
                <c:pt idx="103">
                  <c:v>40787</c:v>
                </c:pt>
                <c:pt idx="104">
                  <c:v>40817</c:v>
                </c:pt>
                <c:pt idx="105">
                  <c:v>40848</c:v>
                </c:pt>
                <c:pt idx="106">
                  <c:v>40878</c:v>
                </c:pt>
                <c:pt idx="107">
                  <c:v>40909</c:v>
                </c:pt>
                <c:pt idx="108">
                  <c:v>40940</c:v>
                </c:pt>
                <c:pt idx="109">
                  <c:v>40969</c:v>
                </c:pt>
                <c:pt idx="110">
                  <c:v>41000</c:v>
                </c:pt>
                <c:pt idx="111">
                  <c:v>41030</c:v>
                </c:pt>
                <c:pt idx="112">
                  <c:v>41061</c:v>
                </c:pt>
                <c:pt idx="113">
                  <c:v>41091</c:v>
                </c:pt>
                <c:pt idx="114">
                  <c:v>41122</c:v>
                </c:pt>
                <c:pt idx="115">
                  <c:v>41153</c:v>
                </c:pt>
                <c:pt idx="116">
                  <c:v>41183</c:v>
                </c:pt>
                <c:pt idx="117">
                  <c:v>41214</c:v>
                </c:pt>
                <c:pt idx="118">
                  <c:v>41244</c:v>
                </c:pt>
                <c:pt idx="119">
                  <c:v>41275</c:v>
                </c:pt>
                <c:pt idx="120">
                  <c:v>41306</c:v>
                </c:pt>
                <c:pt idx="121">
                  <c:v>41334</c:v>
                </c:pt>
                <c:pt idx="122">
                  <c:v>41365</c:v>
                </c:pt>
                <c:pt idx="123">
                  <c:v>41395</c:v>
                </c:pt>
                <c:pt idx="124">
                  <c:v>41426</c:v>
                </c:pt>
                <c:pt idx="125">
                  <c:v>41456</c:v>
                </c:pt>
                <c:pt idx="126">
                  <c:v>41487</c:v>
                </c:pt>
                <c:pt idx="127">
                  <c:v>41518</c:v>
                </c:pt>
                <c:pt idx="128">
                  <c:v>41548</c:v>
                </c:pt>
                <c:pt idx="129">
                  <c:v>41579</c:v>
                </c:pt>
                <c:pt idx="130">
                  <c:v>41609</c:v>
                </c:pt>
                <c:pt idx="131">
                  <c:v>41640</c:v>
                </c:pt>
                <c:pt idx="132">
                  <c:v>41671</c:v>
                </c:pt>
                <c:pt idx="133">
                  <c:v>41699</c:v>
                </c:pt>
                <c:pt idx="134">
                  <c:v>41730</c:v>
                </c:pt>
                <c:pt idx="135">
                  <c:v>41760</c:v>
                </c:pt>
                <c:pt idx="136">
                  <c:v>41791</c:v>
                </c:pt>
                <c:pt idx="137">
                  <c:v>41821</c:v>
                </c:pt>
                <c:pt idx="138">
                  <c:v>41852</c:v>
                </c:pt>
                <c:pt idx="139">
                  <c:v>41883</c:v>
                </c:pt>
                <c:pt idx="140">
                  <c:v>41913</c:v>
                </c:pt>
                <c:pt idx="141">
                  <c:v>41944</c:v>
                </c:pt>
                <c:pt idx="142">
                  <c:v>41974</c:v>
                </c:pt>
                <c:pt idx="143">
                  <c:v>42005</c:v>
                </c:pt>
                <c:pt idx="144">
                  <c:v>42036</c:v>
                </c:pt>
                <c:pt idx="145">
                  <c:v>42064</c:v>
                </c:pt>
                <c:pt idx="146">
                  <c:v>42095</c:v>
                </c:pt>
                <c:pt idx="147">
                  <c:v>42125</c:v>
                </c:pt>
                <c:pt idx="148">
                  <c:v>42156</c:v>
                </c:pt>
                <c:pt idx="149">
                  <c:v>42186</c:v>
                </c:pt>
                <c:pt idx="150">
                  <c:v>42217</c:v>
                </c:pt>
                <c:pt idx="151">
                  <c:v>42248</c:v>
                </c:pt>
                <c:pt idx="152">
                  <c:v>42278</c:v>
                </c:pt>
                <c:pt idx="153">
                  <c:v>42309</c:v>
                </c:pt>
                <c:pt idx="154">
                  <c:v>42339</c:v>
                </c:pt>
                <c:pt idx="155">
                  <c:v>42370</c:v>
                </c:pt>
                <c:pt idx="156">
                  <c:v>42401</c:v>
                </c:pt>
                <c:pt idx="157">
                  <c:v>42430</c:v>
                </c:pt>
                <c:pt idx="158">
                  <c:v>42461</c:v>
                </c:pt>
                <c:pt idx="159">
                  <c:v>42491</c:v>
                </c:pt>
                <c:pt idx="160">
                  <c:v>42522</c:v>
                </c:pt>
                <c:pt idx="161">
                  <c:v>42552</c:v>
                </c:pt>
                <c:pt idx="162">
                  <c:v>42583</c:v>
                </c:pt>
                <c:pt idx="163">
                  <c:v>42614</c:v>
                </c:pt>
                <c:pt idx="164">
                  <c:v>42644</c:v>
                </c:pt>
                <c:pt idx="165">
                  <c:v>42675</c:v>
                </c:pt>
                <c:pt idx="166">
                  <c:v>42705</c:v>
                </c:pt>
                <c:pt idx="167">
                  <c:v>42736</c:v>
                </c:pt>
                <c:pt idx="168">
                  <c:v>42767</c:v>
                </c:pt>
                <c:pt idx="169">
                  <c:v>42795</c:v>
                </c:pt>
                <c:pt idx="170">
                  <c:v>42826</c:v>
                </c:pt>
                <c:pt idx="171">
                  <c:v>42856</c:v>
                </c:pt>
                <c:pt idx="172">
                  <c:v>42887</c:v>
                </c:pt>
                <c:pt idx="173">
                  <c:v>42917</c:v>
                </c:pt>
                <c:pt idx="174">
                  <c:v>42948</c:v>
                </c:pt>
                <c:pt idx="175">
                  <c:v>42979</c:v>
                </c:pt>
                <c:pt idx="176">
                  <c:v>43009</c:v>
                </c:pt>
                <c:pt idx="177">
                  <c:v>43040</c:v>
                </c:pt>
                <c:pt idx="178">
                  <c:v>43070</c:v>
                </c:pt>
                <c:pt idx="179">
                  <c:v>43101</c:v>
                </c:pt>
                <c:pt idx="180">
                  <c:v>43132</c:v>
                </c:pt>
                <c:pt idx="181">
                  <c:v>43160</c:v>
                </c:pt>
                <c:pt idx="182">
                  <c:v>43191</c:v>
                </c:pt>
                <c:pt idx="183">
                  <c:v>43221</c:v>
                </c:pt>
                <c:pt idx="184">
                  <c:v>43252</c:v>
                </c:pt>
                <c:pt idx="185">
                  <c:v>43282</c:v>
                </c:pt>
                <c:pt idx="186">
                  <c:v>43313</c:v>
                </c:pt>
                <c:pt idx="187">
                  <c:v>43344</c:v>
                </c:pt>
                <c:pt idx="188">
                  <c:v>43374</c:v>
                </c:pt>
                <c:pt idx="189">
                  <c:v>43405</c:v>
                </c:pt>
                <c:pt idx="190">
                  <c:v>43435</c:v>
                </c:pt>
                <c:pt idx="191">
                  <c:v>43466</c:v>
                </c:pt>
                <c:pt idx="192">
                  <c:v>43497</c:v>
                </c:pt>
                <c:pt idx="193">
                  <c:v>43525</c:v>
                </c:pt>
                <c:pt idx="194">
                  <c:v>43556</c:v>
                </c:pt>
                <c:pt idx="195">
                  <c:v>43586</c:v>
                </c:pt>
                <c:pt idx="196">
                  <c:v>43617</c:v>
                </c:pt>
                <c:pt idx="197">
                  <c:v>43647</c:v>
                </c:pt>
                <c:pt idx="198">
                  <c:v>43678</c:v>
                </c:pt>
                <c:pt idx="199">
                  <c:v>43709</c:v>
                </c:pt>
                <c:pt idx="200">
                  <c:v>43739</c:v>
                </c:pt>
                <c:pt idx="201">
                  <c:v>43770</c:v>
                </c:pt>
                <c:pt idx="202">
                  <c:v>43800</c:v>
                </c:pt>
                <c:pt idx="203">
                  <c:v>43831</c:v>
                </c:pt>
                <c:pt idx="204">
                  <c:v>43862</c:v>
                </c:pt>
                <c:pt idx="205">
                  <c:v>43891</c:v>
                </c:pt>
                <c:pt idx="206">
                  <c:v>43922</c:v>
                </c:pt>
                <c:pt idx="207">
                  <c:v>43952</c:v>
                </c:pt>
                <c:pt idx="208">
                  <c:v>43983</c:v>
                </c:pt>
                <c:pt idx="209">
                  <c:v>44013</c:v>
                </c:pt>
                <c:pt idx="210">
                  <c:v>44044</c:v>
                </c:pt>
                <c:pt idx="211">
                  <c:v>44075</c:v>
                </c:pt>
                <c:pt idx="212">
                  <c:v>44105</c:v>
                </c:pt>
                <c:pt idx="213">
                  <c:v>44136</c:v>
                </c:pt>
                <c:pt idx="214">
                  <c:v>44166</c:v>
                </c:pt>
                <c:pt idx="215">
                  <c:v>44197</c:v>
                </c:pt>
                <c:pt idx="216">
                  <c:v>44228</c:v>
                </c:pt>
                <c:pt idx="217">
                  <c:v>44256</c:v>
                </c:pt>
                <c:pt idx="218">
                  <c:v>44287</c:v>
                </c:pt>
                <c:pt idx="219">
                  <c:v>44317</c:v>
                </c:pt>
                <c:pt idx="220">
                  <c:v>44348</c:v>
                </c:pt>
                <c:pt idx="221">
                  <c:v>44378</c:v>
                </c:pt>
                <c:pt idx="222">
                  <c:v>44409</c:v>
                </c:pt>
                <c:pt idx="223">
                  <c:v>44440</c:v>
                </c:pt>
                <c:pt idx="224">
                  <c:v>44470</c:v>
                </c:pt>
                <c:pt idx="225">
                  <c:v>44501</c:v>
                </c:pt>
                <c:pt idx="226">
                  <c:v>44531</c:v>
                </c:pt>
                <c:pt idx="227">
                  <c:v>44562</c:v>
                </c:pt>
                <c:pt idx="228">
                  <c:v>44593</c:v>
                </c:pt>
                <c:pt idx="229">
                  <c:v>44621</c:v>
                </c:pt>
                <c:pt idx="230">
                  <c:v>44652</c:v>
                </c:pt>
                <c:pt idx="231">
                  <c:v>44682</c:v>
                </c:pt>
                <c:pt idx="232">
                  <c:v>44713</c:v>
                </c:pt>
                <c:pt idx="233">
                  <c:v>44743</c:v>
                </c:pt>
                <c:pt idx="234">
                  <c:v>44774</c:v>
                </c:pt>
                <c:pt idx="235">
                  <c:v>44805</c:v>
                </c:pt>
                <c:pt idx="236">
                  <c:v>44835</c:v>
                </c:pt>
                <c:pt idx="237">
                  <c:v>44866</c:v>
                </c:pt>
                <c:pt idx="238">
                  <c:v>44896</c:v>
                </c:pt>
              </c:numCache>
            </c:numRef>
          </c:cat>
          <c:val>
            <c:numRef>
              <c:f>MAFILTER!$P$14:$P$266</c:f>
              <c:numCache>
                <c:formatCode>General</c:formatCode>
                <c:ptCount val="253"/>
                <c:pt idx="0">
                  <c:v>#N/A</c:v>
                </c:pt>
                <c:pt idx="1">
                  <c:v>#N/A</c:v>
                </c:pt>
                <c:pt idx="2">
                  <c:v>#N/A</c:v>
                </c:pt>
                <c:pt idx="3">
                  <c:v>#N/A</c:v>
                </c:pt>
                <c:pt idx="4">
                  <c:v>#N/A</c:v>
                </c:pt>
                <c:pt idx="5">
                  <c:v>#N/A</c:v>
                </c:pt>
                <c:pt idx="6">
                  <c:v>-1.6700000000000017</c:v>
                </c:pt>
                <c:pt idx="7">
                  <c:v>-0.70428571428570308</c:v>
                </c:pt>
                <c:pt idx="8">
                  <c:v>1.182857142857145</c:v>
                </c:pt>
                <c:pt idx="9">
                  <c:v>1.374285714285719</c:v>
                </c:pt>
                <c:pt idx="10">
                  <c:v>1.3728571428571428</c:v>
                </c:pt>
                <c:pt idx="11">
                  <c:v>1.0314285714285774</c:v>
                </c:pt>
                <c:pt idx="12">
                  <c:v>2.231428571428566</c:v>
                </c:pt>
                <c:pt idx="13">
                  <c:v>2.3142857142857167</c:v>
                </c:pt>
                <c:pt idx="14">
                  <c:v>2.7657142857142816</c:v>
                </c:pt>
                <c:pt idx="15">
                  <c:v>2.6671428571428493</c:v>
                </c:pt>
                <c:pt idx="16">
                  <c:v>1.9485714285714266</c:v>
                </c:pt>
                <c:pt idx="17">
                  <c:v>2.0671428571428692</c:v>
                </c:pt>
                <c:pt idx="18">
                  <c:v>1.7285714285714278</c:v>
                </c:pt>
                <c:pt idx="19">
                  <c:v>1.5900000000000176</c:v>
                </c:pt>
                <c:pt idx="20">
                  <c:v>1.9071428571428726</c:v>
                </c:pt>
                <c:pt idx="21">
                  <c:v>1.0628571428571547</c:v>
                </c:pt>
                <c:pt idx="22">
                  <c:v>1.537142857142868</c:v>
                </c:pt>
                <c:pt idx="23">
                  <c:v>0.5542857142856974</c:v>
                </c:pt>
                <c:pt idx="24">
                  <c:v>0.67857142857144481</c:v>
                </c:pt>
                <c:pt idx="25">
                  <c:v>0.97714285714285154</c:v>
                </c:pt>
                <c:pt idx="26">
                  <c:v>0.84285714285714164</c:v>
                </c:pt>
                <c:pt idx="27">
                  <c:v>1.2942857142857065</c:v>
                </c:pt>
                <c:pt idx="28">
                  <c:v>0.85999999999999943</c:v>
                </c:pt>
                <c:pt idx="29">
                  <c:v>9.5714285714279868E-2</c:v>
                </c:pt>
                <c:pt idx="30">
                  <c:v>2.8571428571524393E-3</c:v>
                </c:pt>
                <c:pt idx="31">
                  <c:v>0.55285714285713539</c:v>
                </c:pt>
                <c:pt idx="32">
                  <c:v>-2.1428571428586451E-2</c:v>
                </c:pt>
                <c:pt idx="33">
                  <c:v>0.25571428571426225</c:v>
                </c:pt>
                <c:pt idx="34">
                  <c:v>0.89999999999997726</c:v>
                </c:pt>
                <c:pt idx="35">
                  <c:v>1.6957142857142742</c:v>
                </c:pt>
                <c:pt idx="36">
                  <c:v>1.8228571428571456</c:v>
                </c:pt>
                <c:pt idx="37">
                  <c:v>1.5728571428571456</c:v>
                </c:pt>
                <c:pt idx="38">
                  <c:v>1.0100000000000051</c:v>
                </c:pt>
                <c:pt idx="39">
                  <c:v>1.3699999999999903</c:v>
                </c:pt>
                <c:pt idx="40">
                  <c:v>2.0271428571428629</c:v>
                </c:pt>
                <c:pt idx="41">
                  <c:v>0.34999999999999432</c:v>
                </c:pt>
                <c:pt idx="42">
                  <c:v>2.0485714285714067</c:v>
                </c:pt>
                <c:pt idx="43">
                  <c:v>1.6528571428571297</c:v>
                </c:pt>
                <c:pt idx="44">
                  <c:v>1.2985714285714209</c:v>
                </c:pt>
                <c:pt idx="45">
                  <c:v>2.0571428571428498</c:v>
                </c:pt>
                <c:pt idx="46">
                  <c:v>2.2071428571428555</c:v>
                </c:pt>
                <c:pt idx="47">
                  <c:v>3.2785714285714391</c:v>
                </c:pt>
                <c:pt idx="48">
                  <c:v>1.7114285714285842</c:v>
                </c:pt>
                <c:pt idx="49">
                  <c:v>1.5999999999999943</c:v>
                </c:pt>
                <c:pt idx="50">
                  <c:v>0.31142857142856428</c:v>
                </c:pt>
                <c:pt idx="51">
                  <c:v>1.3014285714285592</c:v>
                </c:pt>
                <c:pt idx="52">
                  <c:v>1.8257142857142696</c:v>
                </c:pt>
                <c:pt idx="53">
                  <c:v>2.02285714285712</c:v>
                </c:pt>
                <c:pt idx="54">
                  <c:v>2.3985714285714153</c:v>
                </c:pt>
                <c:pt idx="55">
                  <c:v>2.212857142857132</c:v>
                </c:pt>
                <c:pt idx="56">
                  <c:v>2.3442857142857321</c:v>
                </c:pt>
                <c:pt idx="57">
                  <c:v>2.6042857142857088</c:v>
                </c:pt>
                <c:pt idx="58">
                  <c:v>1.8314285714285745</c:v>
                </c:pt>
                <c:pt idx="59">
                  <c:v>2.4314285714285546</c:v>
                </c:pt>
                <c:pt idx="60">
                  <c:v>1.6357142857142719</c:v>
                </c:pt>
                <c:pt idx="61">
                  <c:v>0.83428571428572695</c:v>
                </c:pt>
                <c:pt idx="62">
                  <c:v>-0.19285714285713595</c:v>
                </c:pt>
                <c:pt idx="63">
                  <c:v>1.0114285714285955</c:v>
                </c:pt>
                <c:pt idx="64">
                  <c:v>1.9357142857142833</c:v>
                </c:pt>
                <c:pt idx="65">
                  <c:v>2.4185714285714255</c:v>
                </c:pt>
                <c:pt idx="66">
                  <c:v>2.0500000000000114</c:v>
                </c:pt>
                <c:pt idx="67">
                  <c:v>2.0800000000000125</c:v>
                </c:pt>
                <c:pt idx="68">
                  <c:v>1.0414285714285825</c:v>
                </c:pt>
                <c:pt idx="69">
                  <c:v>-1.6071428571428612</c:v>
                </c:pt>
                <c:pt idx="70">
                  <c:v>-4.2885714285714158</c:v>
                </c:pt>
                <c:pt idx="71">
                  <c:v>-6.5442857142857065</c:v>
                </c:pt>
                <c:pt idx="72">
                  <c:v>-5.6528571428571297</c:v>
                </c:pt>
                <c:pt idx="73">
                  <c:v>-3.3214285714285552</c:v>
                </c:pt>
                <c:pt idx="74">
                  <c:v>-1.6014285714285705</c:v>
                </c:pt>
                <c:pt idx="75">
                  <c:v>-3.1428571428563146E-2</c:v>
                </c:pt>
                <c:pt idx="76">
                  <c:v>1.7228571428571229</c:v>
                </c:pt>
                <c:pt idx="77">
                  <c:v>2.2928571428571445</c:v>
                </c:pt>
                <c:pt idx="78">
                  <c:v>2.0957142857142657</c:v>
                </c:pt>
                <c:pt idx="79">
                  <c:v>3.3485714285714323</c:v>
                </c:pt>
                <c:pt idx="80">
                  <c:v>3.2414285714285427</c:v>
                </c:pt>
                <c:pt idx="81">
                  <c:v>3.3199999999999932</c:v>
                </c:pt>
                <c:pt idx="82">
                  <c:v>2.4857142857142946</c:v>
                </c:pt>
                <c:pt idx="83">
                  <c:v>3.4571428571428555</c:v>
                </c:pt>
                <c:pt idx="84">
                  <c:v>4.0514285714285734</c:v>
                </c:pt>
                <c:pt idx="85">
                  <c:v>4.1628571428571206</c:v>
                </c:pt>
                <c:pt idx="86">
                  <c:v>4.1257142857143094</c:v>
                </c:pt>
                <c:pt idx="87">
                  <c:v>3.5585714285714118</c:v>
                </c:pt>
                <c:pt idx="88">
                  <c:v>1.747142857142876</c:v>
                </c:pt>
                <c:pt idx="89">
                  <c:v>0.59571428571425145</c:v>
                </c:pt>
                <c:pt idx="90">
                  <c:v>0.76285714285714334</c:v>
                </c:pt>
                <c:pt idx="91">
                  <c:v>1.2057142857142935</c:v>
                </c:pt>
                <c:pt idx="92">
                  <c:v>1.8457142857142799</c:v>
                </c:pt>
                <c:pt idx="93">
                  <c:v>1.3671428571428521</c:v>
                </c:pt>
                <c:pt idx="94">
                  <c:v>2.3971428571428248</c:v>
                </c:pt>
                <c:pt idx="95">
                  <c:v>0.57571428571426964</c:v>
                </c:pt>
                <c:pt idx="96">
                  <c:v>1.5414285714285541</c:v>
                </c:pt>
                <c:pt idx="97">
                  <c:v>1.6100000000000136</c:v>
                </c:pt>
                <c:pt idx="98">
                  <c:v>1.2614285714285813</c:v>
                </c:pt>
                <c:pt idx="99">
                  <c:v>0.86857142857141412</c:v>
                </c:pt>
                <c:pt idx="100">
                  <c:v>0.72142857142856087</c:v>
                </c:pt>
                <c:pt idx="101">
                  <c:v>1.1471428571428532</c:v>
                </c:pt>
                <c:pt idx="102">
                  <c:v>0.90714285714284415</c:v>
                </c:pt>
                <c:pt idx="103">
                  <c:v>0.50714285714283847</c:v>
                </c:pt>
                <c:pt idx="104">
                  <c:v>5.4285714285725817E-2</c:v>
                </c:pt>
                <c:pt idx="105">
                  <c:v>5.7142857143048786E-3</c:v>
                </c:pt>
                <c:pt idx="106">
                  <c:v>0.51428571428573377</c:v>
                </c:pt>
                <c:pt idx="107">
                  <c:v>-0.8385714285714414</c:v>
                </c:pt>
                <c:pt idx="108">
                  <c:v>-2.3171428571428407</c:v>
                </c:pt>
                <c:pt idx="109">
                  <c:v>-0.58571428571428896</c:v>
                </c:pt>
                <c:pt idx="110">
                  <c:v>-0.73857142857144709</c:v>
                </c:pt>
                <c:pt idx="111">
                  <c:v>-1.4285714285904305E-3</c:v>
                </c:pt>
                <c:pt idx="112">
                  <c:v>1.6114285714285757</c:v>
                </c:pt>
                <c:pt idx="113">
                  <c:v>2.4842857142857326</c:v>
                </c:pt>
                <c:pt idx="114">
                  <c:v>2.3400000000000034</c:v>
                </c:pt>
                <c:pt idx="115">
                  <c:v>2.0342857142857156</c:v>
                </c:pt>
                <c:pt idx="116">
                  <c:v>0.99000000000000909</c:v>
                </c:pt>
                <c:pt idx="117">
                  <c:v>1.498571428571438</c:v>
                </c:pt>
                <c:pt idx="118">
                  <c:v>0.74428571428569512</c:v>
                </c:pt>
                <c:pt idx="119">
                  <c:v>1.8571428571448223E-2</c:v>
                </c:pt>
                <c:pt idx="120">
                  <c:v>0.64428571428570081</c:v>
                </c:pt>
                <c:pt idx="121">
                  <c:v>-0.51571428571426736</c:v>
                </c:pt>
                <c:pt idx="122">
                  <c:v>0.59285714285715585</c:v>
                </c:pt>
                <c:pt idx="123">
                  <c:v>1.4585714285714175</c:v>
                </c:pt>
                <c:pt idx="124">
                  <c:v>1.6900000000000261</c:v>
                </c:pt>
                <c:pt idx="125">
                  <c:v>1.0057142857142765</c:v>
                </c:pt>
                <c:pt idx="126">
                  <c:v>1.1885714285714641</c:v>
                </c:pt>
                <c:pt idx="127">
                  <c:v>1.124285714285719</c:v>
                </c:pt>
                <c:pt idx="128">
                  <c:v>1.2014285714285791</c:v>
                </c:pt>
                <c:pt idx="129">
                  <c:v>0.94000000000002615</c:v>
                </c:pt>
                <c:pt idx="130">
                  <c:v>1.0128571428571433</c:v>
                </c:pt>
                <c:pt idx="131">
                  <c:v>1.1314285714285575</c:v>
                </c:pt>
                <c:pt idx="132">
                  <c:v>0.40142857142856769</c:v>
                </c:pt>
                <c:pt idx="133">
                  <c:v>-6.1428571428592704E-2</c:v>
                </c:pt>
                <c:pt idx="134">
                  <c:v>-0.36714285714285211</c:v>
                </c:pt>
                <c:pt idx="135">
                  <c:v>-0.96857142857143685</c:v>
                </c:pt>
                <c:pt idx="136">
                  <c:v>-1.4371428571428737</c:v>
                </c:pt>
                <c:pt idx="137">
                  <c:v>-3.6728571428571399</c:v>
                </c:pt>
                <c:pt idx="138">
                  <c:v>-1.8485714285714607</c:v>
                </c:pt>
                <c:pt idx="139">
                  <c:v>-0.48000000000001819</c:v>
                </c:pt>
                <c:pt idx="140">
                  <c:v>0.34285714285712743</c:v>
                </c:pt>
                <c:pt idx="141">
                  <c:v>-0.13857142857142435</c:v>
                </c:pt>
                <c:pt idx="142">
                  <c:v>0.27857142857143913</c:v>
                </c:pt>
                <c:pt idx="143">
                  <c:v>0.95142857142857906</c:v>
                </c:pt>
                <c:pt idx="144">
                  <c:v>-0.45857142857138911</c:v>
                </c:pt>
                <c:pt idx="145">
                  <c:v>-1.4299999999999784</c:v>
                </c:pt>
                <c:pt idx="146">
                  <c:v>-1.4742857142857417</c:v>
                </c:pt>
                <c:pt idx="147">
                  <c:v>-2.5828571428571365</c:v>
                </c:pt>
                <c:pt idx="148">
                  <c:v>-2.9128571428571206</c:v>
                </c:pt>
                <c:pt idx="149">
                  <c:v>-3.5657142857142787</c:v>
                </c:pt>
                <c:pt idx="150">
                  <c:v>-3.5728571428571456</c:v>
                </c:pt>
                <c:pt idx="151">
                  <c:v>-2.2657142857142389</c:v>
                </c:pt>
                <c:pt idx="152">
                  <c:v>-2.4799999999999898</c:v>
                </c:pt>
                <c:pt idx="153">
                  <c:v>-0.70285714285716949</c:v>
                </c:pt>
                <c:pt idx="154">
                  <c:v>-1.9285714285714448</c:v>
                </c:pt>
                <c:pt idx="155">
                  <c:v>-1.6028571428571752</c:v>
                </c:pt>
                <c:pt idx="156">
                  <c:v>-1.9357142857142833</c:v>
                </c:pt>
                <c:pt idx="157">
                  <c:v>-1.6671428571428919</c:v>
                </c:pt>
                <c:pt idx="158">
                  <c:v>-1.9942857142857235</c:v>
                </c:pt>
                <c:pt idx="159">
                  <c:v>-1.5142857142857054</c:v>
                </c:pt>
                <c:pt idx="160">
                  <c:v>-1.2614285714285813</c:v>
                </c:pt>
                <c:pt idx="161">
                  <c:v>-0.44142857142855974</c:v>
                </c:pt>
                <c:pt idx="162">
                  <c:v>-0.28857142857143003</c:v>
                </c:pt>
                <c:pt idx="163">
                  <c:v>-0.73285714285714221</c:v>
                </c:pt>
                <c:pt idx="164">
                  <c:v>-0.55857142857144026</c:v>
                </c:pt>
                <c:pt idx="165">
                  <c:v>-0.69714285714286461</c:v>
                </c:pt>
                <c:pt idx="166">
                  <c:v>-0.7042857142857315</c:v>
                </c:pt>
                <c:pt idx="167">
                  <c:v>-1.085714285714289</c:v>
                </c:pt>
                <c:pt idx="168">
                  <c:v>0.12142857142859498</c:v>
                </c:pt>
                <c:pt idx="169">
                  <c:v>1.9014285714285961</c:v>
                </c:pt>
                <c:pt idx="170">
                  <c:v>1.460000000000008</c:v>
                </c:pt>
                <c:pt idx="171">
                  <c:v>1.1742857142857019</c:v>
                </c:pt>
                <c:pt idx="172">
                  <c:v>0.69857142857142662</c:v>
                </c:pt>
                <c:pt idx="173">
                  <c:v>1.1871428571428453</c:v>
                </c:pt>
                <c:pt idx="174">
                  <c:v>1.0342857142857156</c:v>
                </c:pt>
                <c:pt idx="175">
                  <c:v>4.4285714285678068E-2</c:v>
                </c:pt>
                <c:pt idx="176">
                  <c:v>3.1428571428563146E-2</c:v>
                </c:pt>
                <c:pt idx="177">
                  <c:v>0.33142857142857451</c:v>
                </c:pt>
                <c:pt idx="178">
                  <c:v>0.18142857142859725</c:v>
                </c:pt>
                <c:pt idx="179">
                  <c:v>1.8657142857143185</c:v>
                </c:pt>
                <c:pt idx="180">
                  <c:v>0.96571428571428442</c:v>
                </c:pt>
                <c:pt idx="181">
                  <c:v>0.30571428571431625</c:v>
                </c:pt>
                <c:pt idx="182">
                  <c:v>-6.9999999999993179E-2</c:v>
                </c:pt>
                <c:pt idx="183">
                  <c:v>0.38571428571430033</c:v>
                </c:pt>
                <c:pt idx="184">
                  <c:v>-3.4000000000000057</c:v>
                </c:pt>
                <c:pt idx="185">
                  <c:v>0.71999999999999886</c:v>
                </c:pt>
                <c:pt idx="186">
                  <c:v>1.2771428571428487</c:v>
                </c:pt>
                <c:pt idx="187">
                  <c:v>2.088571428571413</c:v>
                </c:pt>
                <c:pt idx="188">
                  <c:v>1.160000000000025</c:v>
                </c:pt>
                <c:pt idx="189">
                  <c:v>1.1157142857142901</c:v>
                </c:pt>
                <c:pt idx="190">
                  <c:v>1.0957142857143083</c:v>
                </c:pt>
                <c:pt idx="191">
                  <c:v>0.7928571428571729</c:v>
                </c:pt>
                <c:pt idx="192">
                  <c:v>0.62285714285715699</c:v>
                </c:pt>
                <c:pt idx="193">
                  <c:v>-0.93428571428572127</c:v>
                </c:pt>
                <c:pt idx="194">
                  <c:v>-1.3457142857143083</c:v>
                </c:pt>
                <c:pt idx="195">
                  <c:v>-1.2828571428571536</c:v>
                </c:pt>
                <c:pt idx="196">
                  <c:v>0.45857142857141753</c:v>
                </c:pt>
                <c:pt idx="197">
                  <c:v>0.6428571428571388</c:v>
                </c:pt>
                <c:pt idx="198">
                  <c:v>0.19999999999998863</c:v>
                </c:pt>
                <c:pt idx="199">
                  <c:v>0.3928571428571388</c:v>
                </c:pt>
                <c:pt idx="200">
                  <c:v>0.99285714285713311</c:v>
                </c:pt>
                <c:pt idx="201">
                  <c:v>1.8842857142857099</c:v>
                </c:pt>
                <c:pt idx="202">
                  <c:v>0.77428571428572468</c:v>
                </c:pt>
                <c:pt idx="203">
                  <c:v>8.2857142857136523E-2</c:v>
                </c:pt>
                <c:pt idx="204">
                  <c:v>0.68285714285715926</c:v>
                </c:pt>
                <c:pt idx="205">
                  <c:v>8.8571428571441402E-2</c:v>
                </c:pt>
                <c:pt idx="206">
                  <c:v>-8.6171428571428521</c:v>
                </c:pt>
                <c:pt idx="207">
                  <c:v>-17.99857142857141</c:v>
                </c:pt>
                <c:pt idx="208">
                  <c:v>-11.368571428571414</c:v>
                </c:pt>
                <c:pt idx="209">
                  <c:v>-3.5071428571428669</c:v>
                </c:pt>
                <c:pt idx="210">
                  <c:v>1.6071428571428612</c:v>
                </c:pt>
                <c:pt idx="211">
                  <c:v>5.3614285714285757</c:v>
                </c:pt>
                <c:pt idx="212">
                  <c:v>8.7428571428571331</c:v>
                </c:pt>
                <c:pt idx="213">
                  <c:v>9.8499999999999943</c:v>
                </c:pt>
                <c:pt idx="214">
                  <c:v>6.6199999999999761</c:v>
                </c:pt>
                <c:pt idx="215">
                  <c:v>4.2757142857142867</c:v>
                </c:pt>
                <c:pt idx="216">
                  <c:v>2.998571428571438</c:v>
                </c:pt>
                <c:pt idx="217">
                  <c:v>2.4214285714285779</c:v>
                </c:pt>
                <c:pt idx="218">
                  <c:v>-3.1042857142857088</c:v>
                </c:pt>
                <c:pt idx="219">
                  <c:v>-1.4700000000000273</c:v>
                </c:pt>
                <c:pt idx="220">
                  <c:v>-8.7142857142850971E-2</c:v>
                </c:pt>
                <c:pt idx="221">
                  <c:v>0.16428571428571104</c:v>
                </c:pt>
                <c:pt idx="222">
                  <c:v>-0.14571428571429124</c:v>
                </c:pt>
                <c:pt idx="223">
                  <c:v>0.45714285714285552</c:v>
                </c:pt>
                <c:pt idx="224">
                  <c:v>0.70000000000001705</c:v>
                </c:pt>
                <c:pt idx="225">
                  <c:v>0.90285714285715812</c:v>
                </c:pt>
                <c:pt idx="226">
                  <c:v>1.8171428571428407</c:v>
                </c:pt>
                <c:pt idx="227">
                  <c:v>1.6328571428571195</c:v>
                </c:pt>
                <c:pt idx="228">
                  <c:v>0.48571428571426623</c:v>
                </c:pt>
                <c:pt idx="229">
                  <c:v>0.71285714285713198</c:v>
                </c:pt>
                <c:pt idx="230">
                  <c:v>1.4014285714285677</c:v>
                </c:pt>
                <c:pt idx="231">
                  <c:v>1.175714285714264</c:v>
                </c:pt>
                <c:pt idx="232">
                  <c:v>0.77428571428572468</c:v>
                </c:pt>
                <c:pt idx="233">
                  <c:v>1.251428571428562</c:v>
                </c:pt>
                <c:pt idx="234">
                  <c:v>3.1814285714285688</c:v>
                </c:pt>
                <c:pt idx="235">
                  <c:v>1.6385714285714243</c:v>
                </c:pt>
                <c:pt idx="236">
                  <c:v>1.124285714285719</c:v>
                </c:pt>
                <c:pt idx="237">
                  <c:v>0.92285714285716836</c:v>
                </c:pt>
                <c:pt idx="238">
                  <c:v>-1.0957142857142514</c:v>
                </c:pt>
                <c:pt idx="239">
                  <c:v>-1.5571428571428498</c:v>
                </c:pt>
                <c:pt idx="240">
                  <c:v>-0.46142857142856997</c:v>
                </c:pt>
                <c:pt idx="241">
                  <c:v>3.2785714285714391</c:v>
                </c:pt>
                <c:pt idx="242">
                  <c:v>2.4157142857143015</c:v>
                </c:pt>
                <c:pt idx="243">
                  <c:v>3.6485714285714153</c:v>
                </c:pt>
                <c:pt idx="244">
                  <c:v>0.71714285714287485</c:v>
                </c:pt>
                <c:pt idx="245">
                  <c:v>0.56285714285718313</c:v>
                </c:pt>
                <c:pt idx="246">
                  <c:v>0.32428571428570763</c:v>
                </c:pt>
                <c:pt idx="247">
                  <c:v>-0.89571428571429124</c:v>
                </c:pt>
                <c:pt idx="248">
                  <c:v>-0.65571428571425372</c:v>
                </c:pt>
                <c:pt idx="249">
                  <c:v>-0.47714285714283733</c:v>
                </c:pt>
                <c:pt idx="250">
                  <c:v>2.5714285714286689E-2</c:v>
                </c:pt>
                <c:pt idx="251">
                  <c:v>1.0185714285714482</c:v>
                </c:pt>
                <c:pt idx="252">
                  <c:v>1.6300000000000239</c:v>
                </c:pt>
              </c:numCache>
            </c:numRef>
          </c:val>
          <c:smooth val="0"/>
          <c:extLst>
            <c:ext xmlns:c16="http://schemas.microsoft.com/office/drawing/2014/chart" uri="{C3380CC4-5D6E-409C-BE32-E72D297353CC}">
              <c16:uniqueId val="{00000002-1A93-45F7-AD53-A41168E5D37E}"/>
            </c:ext>
          </c:extLst>
        </c:ser>
        <c:dLbls>
          <c:showLegendKey val="0"/>
          <c:showVal val="0"/>
          <c:showCatName val="0"/>
          <c:showSerName val="0"/>
          <c:showPercent val="0"/>
          <c:showBubbleSize val="0"/>
        </c:dLbls>
        <c:marker val="1"/>
        <c:smooth val="0"/>
        <c:axId val="1773992240"/>
        <c:axId val="1773995568"/>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773995568"/>
        <c:scaling>
          <c:orientation val="minMax"/>
          <c:max val="90"/>
          <c:min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3992240"/>
        <c:crosses val="max"/>
        <c:crossBetween val="between"/>
        <c:majorUnit val="10"/>
      </c:valAx>
      <c:dateAx>
        <c:axId val="1773992240"/>
        <c:scaling>
          <c:orientation val="minMax"/>
        </c:scaling>
        <c:delete val="1"/>
        <c:axPos val="b"/>
        <c:numFmt formatCode="[$-416]mmm\-yy;@" sourceLinked="1"/>
        <c:majorTickMark val="out"/>
        <c:minorTickMark val="none"/>
        <c:tickLblPos val="nextTo"/>
        <c:crossAx val="1773995568"/>
        <c:crosses val="autoZero"/>
        <c:auto val="1"/>
        <c:lblOffset val="100"/>
        <c:baseTimeUnit val="month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DIFF!$G$10:$G$248</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4AFC-470E-8B11-8DCBC9AC7954}"/>
            </c:ext>
          </c:extLst>
        </c:ser>
        <c:ser>
          <c:idx val="1"/>
          <c:order val="1"/>
          <c:tx>
            <c:v>Difference</c:v>
          </c:tx>
          <c:spPr>
            <a:ln w="19050" cap="rnd">
              <a:solidFill>
                <a:schemeClr val="accent2"/>
              </a:solidFill>
              <a:round/>
            </a:ln>
            <a:effectLst/>
          </c:spPr>
          <c:marker>
            <c:symbol val="none"/>
          </c:marker>
          <c:cat>
            <c:numRef>
              <c:f>DIFF!$F$10:$F$248</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DIFF!$K$10:$K$298</c:f>
              <c:numCache>
                <c:formatCode>0.0</c:formatCode>
                <c:ptCount val="289"/>
                <c:pt idx="0">
                  <c:v>7.7000000000000028</c:v>
                </c:pt>
                <c:pt idx="1">
                  <c:v>2.1999999999999886</c:v>
                </c:pt>
                <c:pt idx="2">
                  <c:v>0.80000000000001137</c:v>
                </c:pt>
                <c:pt idx="3">
                  <c:v>-2.9000000000000057</c:v>
                </c:pt>
                <c:pt idx="4">
                  <c:v>5.7999999999999972</c:v>
                </c:pt>
                <c:pt idx="5">
                  <c:v>0.29999999999999716</c:v>
                </c:pt>
                <c:pt idx="6">
                  <c:v>-1.5</c:v>
                </c:pt>
                <c:pt idx="7">
                  <c:v>7.1000000000000085</c:v>
                </c:pt>
                <c:pt idx="8">
                  <c:v>-5.2999999999999972</c:v>
                </c:pt>
                <c:pt idx="9">
                  <c:v>-9.3000000000000114</c:v>
                </c:pt>
                <c:pt idx="10">
                  <c:v>-0.59999999999999432</c:v>
                </c:pt>
                <c:pt idx="11">
                  <c:v>-2.2000000000000028</c:v>
                </c:pt>
                <c:pt idx="12">
                  <c:v>5.6000000000000085</c:v>
                </c:pt>
                <c:pt idx="13">
                  <c:v>-0.90000000000000568</c:v>
                </c:pt>
                <c:pt idx="14">
                  <c:v>3.2000000000000028</c:v>
                </c:pt>
                <c:pt idx="15">
                  <c:v>-3.4000000000000057</c:v>
                </c:pt>
                <c:pt idx="16">
                  <c:v>5</c:v>
                </c:pt>
                <c:pt idx="17">
                  <c:v>0.29999999999999716</c:v>
                </c:pt>
                <c:pt idx="18">
                  <c:v>4.1000000000000085</c:v>
                </c:pt>
                <c:pt idx="19">
                  <c:v>4.2999999999999972</c:v>
                </c:pt>
                <c:pt idx="20">
                  <c:v>-5.4000000000000057</c:v>
                </c:pt>
                <c:pt idx="21">
                  <c:v>-6.6999999999999886</c:v>
                </c:pt>
                <c:pt idx="22">
                  <c:v>-1.1000000000000085</c:v>
                </c:pt>
                <c:pt idx="23">
                  <c:v>-2.7999999999999972</c:v>
                </c:pt>
                <c:pt idx="24">
                  <c:v>12.900000000000006</c:v>
                </c:pt>
                <c:pt idx="25">
                  <c:v>-4.7000000000000028</c:v>
                </c:pt>
                <c:pt idx="26">
                  <c:v>4.0999999999999943</c:v>
                </c:pt>
                <c:pt idx="27">
                  <c:v>-0.20000000000000284</c:v>
                </c:pt>
                <c:pt idx="28">
                  <c:v>4</c:v>
                </c:pt>
                <c:pt idx="29">
                  <c:v>2</c:v>
                </c:pt>
                <c:pt idx="30">
                  <c:v>0</c:v>
                </c:pt>
                <c:pt idx="31">
                  <c:v>1.4000000000000057</c:v>
                </c:pt>
                <c:pt idx="32">
                  <c:v>-1.7000000000000028</c:v>
                </c:pt>
                <c:pt idx="33">
                  <c:v>-7.0999999999999943</c:v>
                </c:pt>
                <c:pt idx="34">
                  <c:v>-3.7000000000000028</c:v>
                </c:pt>
                <c:pt idx="35">
                  <c:v>-4.5999999999999943</c:v>
                </c:pt>
                <c:pt idx="36">
                  <c:v>11.599999999999994</c:v>
                </c:pt>
                <c:pt idx="37">
                  <c:v>-1</c:v>
                </c:pt>
                <c:pt idx="38">
                  <c:v>4.0999999999999943</c:v>
                </c:pt>
                <c:pt idx="39">
                  <c:v>0.30000000000001137</c:v>
                </c:pt>
                <c:pt idx="40">
                  <c:v>-0.90000000000000568</c:v>
                </c:pt>
                <c:pt idx="41">
                  <c:v>5.0999999999999943</c:v>
                </c:pt>
                <c:pt idx="42">
                  <c:v>-3.5999999999999943</c:v>
                </c:pt>
                <c:pt idx="43">
                  <c:v>1.7000000000000028</c:v>
                </c:pt>
                <c:pt idx="44">
                  <c:v>-1.2999999999999972</c:v>
                </c:pt>
                <c:pt idx="45">
                  <c:v>-5.8000000000000114</c:v>
                </c:pt>
                <c:pt idx="46">
                  <c:v>-2.8999999999999915</c:v>
                </c:pt>
                <c:pt idx="47">
                  <c:v>-3.5</c:v>
                </c:pt>
                <c:pt idx="48">
                  <c:v>12.200000000000003</c:v>
                </c:pt>
                <c:pt idx="49">
                  <c:v>-6.7000000000000028</c:v>
                </c:pt>
                <c:pt idx="50">
                  <c:v>9.7000000000000028</c:v>
                </c:pt>
                <c:pt idx="51">
                  <c:v>-4.3000000000000114</c:v>
                </c:pt>
                <c:pt idx="52">
                  <c:v>2.7000000000000028</c:v>
                </c:pt>
                <c:pt idx="53">
                  <c:v>4.7999999999999972</c:v>
                </c:pt>
                <c:pt idx="54">
                  <c:v>-5.3999999999999915</c:v>
                </c:pt>
                <c:pt idx="55">
                  <c:v>4.2999999999999972</c:v>
                </c:pt>
                <c:pt idx="56">
                  <c:v>-1.5999999999999943</c:v>
                </c:pt>
                <c:pt idx="57">
                  <c:v>-8.9000000000000057</c:v>
                </c:pt>
                <c:pt idx="58">
                  <c:v>0</c:v>
                </c:pt>
                <c:pt idx="59">
                  <c:v>-4.4000000000000057</c:v>
                </c:pt>
                <c:pt idx="60">
                  <c:v>13.800000000000011</c:v>
                </c:pt>
                <c:pt idx="61">
                  <c:v>-5.8000000000000114</c:v>
                </c:pt>
                <c:pt idx="62">
                  <c:v>9.3000000000000114</c:v>
                </c:pt>
                <c:pt idx="63">
                  <c:v>-3</c:v>
                </c:pt>
                <c:pt idx="64">
                  <c:v>2.8999999999999915</c:v>
                </c:pt>
                <c:pt idx="65">
                  <c:v>5.1000000000000085</c:v>
                </c:pt>
                <c:pt idx="66">
                  <c:v>-6.5</c:v>
                </c:pt>
                <c:pt idx="67">
                  <c:v>9.3999999999999915</c:v>
                </c:pt>
                <c:pt idx="68">
                  <c:v>-5.3999999999999915</c:v>
                </c:pt>
                <c:pt idx="69">
                  <c:v>-9.8000000000000114</c:v>
                </c:pt>
                <c:pt idx="70">
                  <c:v>2.2000000000000028</c:v>
                </c:pt>
                <c:pt idx="71">
                  <c:v>-3.7000000000000028</c:v>
                </c:pt>
                <c:pt idx="72">
                  <c:v>6.6000000000000085</c:v>
                </c:pt>
                <c:pt idx="73">
                  <c:v>1.5</c:v>
                </c:pt>
                <c:pt idx="74">
                  <c:v>3.2999999999999972</c:v>
                </c:pt>
                <c:pt idx="75">
                  <c:v>0.79999999999999716</c:v>
                </c:pt>
                <c:pt idx="76">
                  <c:v>5.2000000000000028</c:v>
                </c:pt>
                <c:pt idx="77">
                  <c:v>-1.5999999999999943</c:v>
                </c:pt>
                <c:pt idx="78">
                  <c:v>0.39999999999999147</c:v>
                </c:pt>
                <c:pt idx="79">
                  <c:v>1.1000000000000085</c:v>
                </c:pt>
                <c:pt idx="80">
                  <c:v>-12.200000000000003</c:v>
                </c:pt>
                <c:pt idx="81">
                  <c:v>-17.100000000000009</c:v>
                </c:pt>
                <c:pt idx="82">
                  <c:v>-0.39999999999999147</c:v>
                </c:pt>
                <c:pt idx="83">
                  <c:v>-2.6000000000000085</c:v>
                </c:pt>
                <c:pt idx="84">
                  <c:v>12.5</c:v>
                </c:pt>
                <c:pt idx="85">
                  <c:v>-3.3999999999999915</c:v>
                </c:pt>
                <c:pt idx="86">
                  <c:v>6.0999999999999943</c:v>
                </c:pt>
                <c:pt idx="87">
                  <c:v>0.90000000000000568</c:v>
                </c:pt>
                <c:pt idx="88">
                  <c:v>5.5</c:v>
                </c:pt>
                <c:pt idx="89">
                  <c:v>1.8999999999999915</c:v>
                </c:pt>
                <c:pt idx="90">
                  <c:v>-0.19999999999998863</c:v>
                </c:pt>
                <c:pt idx="91">
                  <c:v>6.1999999999999886</c:v>
                </c:pt>
                <c:pt idx="92">
                  <c:v>-4.1999999999999886</c:v>
                </c:pt>
                <c:pt idx="93">
                  <c:v>-7.3000000000000114</c:v>
                </c:pt>
                <c:pt idx="94">
                  <c:v>-2.8999999999999915</c:v>
                </c:pt>
                <c:pt idx="95">
                  <c:v>-2.2000000000000028</c:v>
                </c:pt>
                <c:pt idx="96">
                  <c:v>16.099999999999994</c:v>
                </c:pt>
                <c:pt idx="97">
                  <c:v>-5.7999999999999972</c:v>
                </c:pt>
                <c:pt idx="98">
                  <c:v>5</c:v>
                </c:pt>
                <c:pt idx="99">
                  <c:v>-1.7999999999999972</c:v>
                </c:pt>
                <c:pt idx="100">
                  <c:v>4.4000000000000057</c:v>
                </c:pt>
                <c:pt idx="101">
                  <c:v>1.1999999999999886</c:v>
                </c:pt>
                <c:pt idx="102">
                  <c:v>-2.2999999999999972</c:v>
                </c:pt>
                <c:pt idx="103">
                  <c:v>1.9000000000000057</c:v>
                </c:pt>
                <c:pt idx="104">
                  <c:v>-0.90000000000000568</c:v>
                </c:pt>
                <c:pt idx="105">
                  <c:v>-10.200000000000003</c:v>
                </c:pt>
                <c:pt idx="106">
                  <c:v>-3.3999999999999915</c:v>
                </c:pt>
                <c:pt idx="107">
                  <c:v>2.2000000000000028</c:v>
                </c:pt>
                <c:pt idx="108">
                  <c:v>9</c:v>
                </c:pt>
                <c:pt idx="109">
                  <c:v>-6.9000000000000057</c:v>
                </c:pt>
                <c:pt idx="110">
                  <c:v>9.5999999999999943</c:v>
                </c:pt>
                <c:pt idx="111">
                  <c:v>-4.2999999999999972</c:v>
                </c:pt>
                <c:pt idx="112">
                  <c:v>3.2999999999999972</c:v>
                </c:pt>
                <c:pt idx="113">
                  <c:v>4.7000000000000028</c:v>
                </c:pt>
                <c:pt idx="114">
                  <c:v>-6</c:v>
                </c:pt>
                <c:pt idx="115">
                  <c:v>1.5</c:v>
                </c:pt>
                <c:pt idx="116">
                  <c:v>-2.0999999999999943</c:v>
                </c:pt>
                <c:pt idx="117">
                  <c:v>-8.5</c:v>
                </c:pt>
                <c:pt idx="118">
                  <c:v>-7</c:v>
                </c:pt>
                <c:pt idx="119">
                  <c:v>1.0999999999999943</c:v>
                </c:pt>
                <c:pt idx="120">
                  <c:v>9.9000000000000057</c:v>
                </c:pt>
                <c:pt idx="121">
                  <c:v>-6.9000000000000057</c:v>
                </c:pt>
                <c:pt idx="122">
                  <c:v>9.7000000000000028</c:v>
                </c:pt>
                <c:pt idx="123">
                  <c:v>-4.2000000000000028</c:v>
                </c:pt>
                <c:pt idx="124">
                  <c:v>6.2000000000000028</c:v>
                </c:pt>
                <c:pt idx="125">
                  <c:v>7</c:v>
                </c:pt>
                <c:pt idx="126">
                  <c:v>-8.0999999999999943</c:v>
                </c:pt>
                <c:pt idx="127">
                  <c:v>8.3999999999999915</c:v>
                </c:pt>
                <c:pt idx="128">
                  <c:v>-7</c:v>
                </c:pt>
                <c:pt idx="129">
                  <c:v>-12.599999999999994</c:v>
                </c:pt>
                <c:pt idx="130">
                  <c:v>2.2999999999999972</c:v>
                </c:pt>
                <c:pt idx="131">
                  <c:v>-6.4000000000000057</c:v>
                </c:pt>
                <c:pt idx="132">
                  <c:v>9.6000000000000085</c:v>
                </c:pt>
                <c:pt idx="133">
                  <c:v>4.0999999999999943</c:v>
                </c:pt>
                <c:pt idx="134">
                  <c:v>3.2000000000000028</c:v>
                </c:pt>
                <c:pt idx="135">
                  <c:v>-3.2999999999999972</c:v>
                </c:pt>
                <c:pt idx="136">
                  <c:v>6.2999999999999972</c:v>
                </c:pt>
                <c:pt idx="137">
                  <c:v>4</c:v>
                </c:pt>
                <c:pt idx="138">
                  <c:v>-4.7000000000000028</c:v>
                </c:pt>
                <c:pt idx="139">
                  <c:v>5.2999999999999972</c:v>
                </c:pt>
                <c:pt idx="140">
                  <c:v>-6.5</c:v>
                </c:pt>
                <c:pt idx="141">
                  <c:v>-16</c:v>
                </c:pt>
                <c:pt idx="142">
                  <c:v>2.5</c:v>
                </c:pt>
                <c:pt idx="143">
                  <c:v>-0.29999999999999716</c:v>
                </c:pt>
                <c:pt idx="144">
                  <c:v>5</c:v>
                </c:pt>
                <c:pt idx="145">
                  <c:v>-1.2999999999999972</c:v>
                </c:pt>
                <c:pt idx="146">
                  <c:v>5.7000000000000028</c:v>
                </c:pt>
                <c:pt idx="147">
                  <c:v>-6.7999999999999972</c:v>
                </c:pt>
                <c:pt idx="148">
                  <c:v>9.5</c:v>
                </c:pt>
                <c:pt idx="149">
                  <c:v>1.8999999999999915</c:v>
                </c:pt>
                <c:pt idx="150">
                  <c:v>-0.70000000000000284</c:v>
                </c:pt>
                <c:pt idx="151">
                  <c:v>3.7000000000000028</c:v>
                </c:pt>
                <c:pt idx="152">
                  <c:v>-9.5</c:v>
                </c:pt>
                <c:pt idx="153">
                  <c:v>-12.099999999999994</c:v>
                </c:pt>
                <c:pt idx="154">
                  <c:v>0.39999999999999147</c:v>
                </c:pt>
                <c:pt idx="155">
                  <c:v>-4.3999999999999915</c:v>
                </c:pt>
                <c:pt idx="156">
                  <c:v>10.599999999999994</c:v>
                </c:pt>
                <c:pt idx="157">
                  <c:v>-5.5</c:v>
                </c:pt>
                <c:pt idx="158">
                  <c:v>4.2999999999999972</c:v>
                </c:pt>
                <c:pt idx="159">
                  <c:v>-0.59999999999999432</c:v>
                </c:pt>
                <c:pt idx="160">
                  <c:v>3</c:v>
                </c:pt>
                <c:pt idx="161">
                  <c:v>2.0999999999999943</c:v>
                </c:pt>
                <c:pt idx="162">
                  <c:v>-3.2999999999999972</c:v>
                </c:pt>
                <c:pt idx="163">
                  <c:v>2.9000000000000057</c:v>
                </c:pt>
                <c:pt idx="164">
                  <c:v>-9.6000000000000085</c:v>
                </c:pt>
                <c:pt idx="165">
                  <c:v>-10.399999999999991</c:v>
                </c:pt>
                <c:pt idx="166">
                  <c:v>-0.90000000000000568</c:v>
                </c:pt>
                <c:pt idx="167">
                  <c:v>-0.5</c:v>
                </c:pt>
                <c:pt idx="168">
                  <c:v>7.9000000000000057</c:v>
                </c:pt>
                <c:pt idx="169">
                  <c:v>-0.70000000000000284</c:v>
                </c:pt>
                <c:pt idx="170">
                  <c:v>3.2999999999999972</c:v>
                </c:pt>
                <c:pt idx="171">
                  <c:v>1.4000000000000057</c:v>
                </c:pt>
                <c:pt idx="172">
                  <c:v>1.8999999999999915</c:v>
                </c:pt>
                <c:pt idx="173">
                  <c:v>3.4000000000000057</c:v>
                </c:pt>
                <c:pt idx="174">
                  <c:v>-2.2999999999999972</c:v>
                </c:pt>
                <c:pt idx="175">
                  <c:v>-0.5</c:v>
                </c:pt>
                <c:pt idx="176">
                  <c:v>-3.7000000000000028</c:v>
                </c:pt>
                <c:pt idx="177">
                  <c:v>-9.2999999999999972</c:v>
                </c:pt>
                <c:pt idx="178">
                  <c:v>0.70000000000000284</c:v>
                </c:pt>
                <c:pt idx="179">
                  <c:v>-2</c:v>
                </c:pt>
                <c:pt idx="180">
                  <c:v>9.5</c:v>
                </c:pt>
                <c:pt idx="181">
                  <c:v>-6.1000000000000085</c:v>
                </c:pt>
                <c:pt idx="182">
                  <c:v>10.799999999999997</c:v>
                </c:pt>
                <c:pt idx="183">
                  <c:v>-1.6999999999999886</c:v>
                </c:pt>
                <c:pt idx="184">
                  <c:v>3.6999999999999886</c:v>
                </c:pt>
                <c:pt idx="185">
                  <c:v>4.6000000000000085</c:v>
                </c:pt>
                <c:pt idx="186">
                  <c:v>-3.7000000000000028</c:v>
                </c:pt>
                <c:pt idx="187">
                  <c:v>2.0999999999999943</c:v>
                </c:pt>
                <c:pt idx="188">
                  <c:v>-4.5</c:v>
                </c:pt>
                <c:pt idx="189">
                  <c:v>-9.5999999999999943</c:v>
                </c:pt>
                <c:pt idx="190">
                  <c:v>1.2999999999999972</c:v>
                </c:pt>
                <c:pt idx="191">
                  <c:v>-5</c:v>
                </c:pt>
                <c:pt idx="192">
                  <c:v>8.9000000000000057</c:v>
                </c:pt>
                <c:pt idx="193">
                  <c:v>0.29999999999999716</c:v>
                </c:pt>
                <c:pt idx="194">
                  <c:v>-2.0999999999999943</c:v>
                </c:pt>
                <c:pt idx="195">
                  <c:v>6.6999999999999886</c:v>
                </c:pt>
                <c:pt idx="196">
                  <c:v>4.7000000000000028</c:v>
                </c:pt>
                <c:pt idx="197">
                  <c:v>2.4000000000000057</c:v>
                </c:pt>
                <c:pt idx="198">
                  <c:v>-7.5</c:v>
                </c:pt>
                <c:pt idx="199">
                  <c:v>5.0999999999999943</c:v>
                </c:pt>
                <c:pt idx="200">
                  <c:v>-6.2999999999999972</c:v>
                </c:pt>
                <c:pt idx="201">
                  <c:v>-11.5</c:v>
                </c:pt>
                <c:pt idx="202">
                  <c:v>2.7000000000000028</c:v>
                </c:pt>
                <c:pt idx="203">
                  <c:v>-1.6000000000000085</c:v>
                </c:pt>
                <c:pt idx="204">
                  <c:v>1.9000000000000057</c:v>
                </c:pt>
                <c:pt idx="205">
                  <c:v>2.2999999999999972</c:v>
                </c:pt>
                <c:pt idx="206">
                  <c:v>7.7000000000000028</c:v>
                </c:pt>
                <c:pt idx="207">
                  <c:v>-5.2000000000000028</c:v>
                </c:pt>
                <c:pt idx="208">
                  <c:v>7.6000000000000085</c:v>
                </c:pt>
                <c:pt idx="209">
                  <c:v>2.7999999999999972</c:v>
                </c:pt>
                <c:pt idx="210">
                  <c:v>-4.4000000000000057</c:v>
                </c:pt>
                <c:pt idx="211">
                  <c:v>5.2000000000000028</c:v>
                </c:pt>
                <c:pt idx="212">
                  <c:v>-9</c:v>
                </c:pt>
                <c:pt idx="213">
                  <c:v>-11.099999999999994</c:v>
                </c:pt>
                <c:pt idx="214">
                  <c:v>3.0999999999999943</c:v>
                </c:pt>
                <c:pt idx="215">
                  <c:v>-1.0999999999999943</c:v>
                </c:pt>
                <c:pt idx="216">
                  <c:v>-1</c:v>
                </c:pt>
                <c:pt idx="217">
                  <c:v>-17.600000000000009</c:v>
                </c:pt>
                <c:pt idx="218">
                  <c:v>10.900000000000006</c:v>
                </c:pt>
                <c:pt idx="219">
                  <c:v>7.2000000000000028</c:v>
                </c:pt>
                <c:pt idx="220">
                  <c:v>12.599999999999994</c:v>
                </c:pt>
                <c:pt idx="221">
                  <c:v>2.9000000000000057</c:v>
                </c:pt>
                <c:pt idx="222">
                  <c:v>1.5</c:v>
                </c:pt>
                <c:pt idx="223">
                  <c:v>1.8999999999999915</c:v>
                </c:pt>
                <c:pt idx="224">
                  <c:v>-7.0999999999999943</c:v>
                </c:pt>
                <c:pt idx="225">
                  <c:v>-6.9000000000000057</c:v>
                </c:pt>
                <c:pt idx="226">
                  <c:v>-1.3999999999999915</c:v>
                </c:pt>
                <c:pt idx="227">
                  <c:v>-2.8000000000000114</c:v>
                </c:pt>
                <c:pt idx="228">
                  <c:v>7</c:v>
                </c:pt>
                <c:pt idx="229">
                  <c:v>-4.7999999999999972</c:v>
                </c:pt>
                <c:pt idx="230">
                  <c:v>7.1000000000000085</c:v>
                </c:pt>
                <c:pt idx="231">
                  <c:v>-0.5</c:v>
                </c:pt>
                <c:pt idx="232">
                  <c:v>4.2999999999999972</c:v>
                </c:pt>
                <c:pt idx="233">
                  <c:v>1.2000000000000028</c:v>
                </c:pt>
                <c:pt idx="234">
                  <c:v>-1.9000000000000057</c:v>
                </c:pt>
                <c:pt idx="235">
                  <c:v>-1.7999999999999972</c:v>
                </c:pt>
                <c:pt idx="236">
                  <c:v>-3.4000000000000057</c:v>
                </c:pt>
                <c:pt idx="237">
                  <c:v>-7.0999999999999943</c:v>
                </c:pt>
              </c:numCache>
            </c:numRef>
          </c:val>
          <c:smooth val="0"/>
          <c:extLst>
            <c:ext xmlns:c16="http://schemas.microsoft.com/office/drawing/2014/chart" uri="{C3380CC4-5D6E-409C-BE32-E72D297353CC}">
              <c16:uniqueId val="{00000001-4AFC-470E-8B11-8DCBC9AC7954}"/>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8DDB-4461-9308-6A022A52EEEC}"/>
            </c:ext>
          </c:extLst>
        </c:ser>
        <c:ser>
          <c:idx val="1"/>
          <c:order val="1"/>
          <c:tx>
            <c:v>Difference</c:v>
          </c:tx>
          <c:spPr>
            <a:ln w="19050" cap="rnd">
              <a:solidFill>
                <a:schemeClr val="accent2"/>
              </a:solidFill>
              <a:round/>
            </a:ln>
            <a:effectLst/>
          </c:spPr>
          <c:marker>
            <c:symbol val="none"/>
          </c:marker>
          <c:cat>
            <c:numRef>
              <c:f>MOVAVG!$F$12:$F$250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MOVAVG!$O$12:$O$300</c:f>
              <c:numCache>
                <c:formatCode>0.0</c:formatCode>
                <c:ptCount val="289"/>
                <c:pt idx="0">
                  <c:v>#N/A</c:v>
                </c:pt>
                <c:pt idx="1">
                  <c:v>73.166666666666671</c:v>
                </c:pt>
                <c:pt idx="2">
                  <c:v>75.566666666666677</c:v>
                </c:pt>
                <c:pt idx="3">
                  <c:v>79.13333333333334</c:v>
                </c:pt>
                <c:pt idx="4">
                  <c:v>79.166666666666671</c:v>
                </c:pt>
                <c:pt idx="5">
                  <c:v>80.399999999999991</c:v>
                </c:pt>
                <c:pt idx="6">
                  <c:v>81.466666666666669</c:v>
                </c:pt>
                <c:pt idx="7">
                  <c:v>82.999999999999986</c:v>
                </c:pt>
                <c:pt idx="8">
                  <c:v>84.966666666666654</c:v>
                </c:pt>
                <c:pt idx="9">
                  <c:v>85.066666666666677</c:v>
                </c:pt>
                <c:pt idx="10">
                  <c:v>82.566666666666677</c:v>
                </c:pt>
                <c:pt idx="11">
                  <c:v>77.5</c:v>
                </c:pt>
                <c:pt idx="12">
                  <c:v>73.466666666666654</c:v>
                </c:pt>
                <c:pt idx="13">
                  <c:v>74.400000000000006</c:v>
                </c:pt>
                <c:pt idx="14">
                  <c:v>75.233333333333334</c:v>
                </c:pt>
                <c:pt idx="15">
                  <c:v>77.866666666666674</c:v>
                </c:pt>
                <c:pt idx="16">
                  <c:v>77.5</c:v>
                </c:pt>
                <c:pt idx="17">
                  <c:v>79.100000000000009</c:v>
                </c:pt>
                <c:pt idx="18">
                  <c:v>79.733333333333334</c:v>
                </c:pt>
                <c:pt idx="19">
                  <c:v>82.86666666666666</c:v>
                </c:pt>
                <c:pt idx="20">
                  <c:v>85.766666666666666</c:v>
                </c:pt>
                <c:pt idx="21">
                  <c:v>86.766666666666652</c:v>
                </c:pt>
                <c:pt idx="22">
                  <c:v>84.166666666666671</c:v>
                </c:pt>
                <c:pt idx="23">
                  <c:v>79.766666666666666</c:v>
                </c:pt>
                <c:pt idx="24">
                  <c:v>76.233333333333334</c:v>
                </c:pt>
                <c:pt idx="25">
                  <c:v>79.233333333333334</c:v>
                </c:pt>
                <c:pt idx="26">
                  <c:v>81.033333333333346</c:v>
                </c:pt>
                <c:pt idx="27">
                  <c:v>85.13333333333334</c:v>
                </c:pt>
                <c:pt idx="28">
                  <c:v>84.86666666666666</c:v>
                </c:pt>
                <c:pt idx="29">
                  <c:v>87.5</c:v>
                </c:pt>
                <c:pt idx="30">
                  <c:v>89.433333333333323</c:v>
                </c:pt>
                <c:pt idx="31">
                  <c:v>91.433333333333323</c:v>
                </c:pt>
                <c:pt idx="32">
                  <c:v>92.566666666666663</c:v>
                </c:pt>
                <c:pt idx="33">
                  <c:v>92.466666666666654</c:v>
                </c:pt>
                <c:pt idx="34">
                  <c:v>90</c:v>
                </c:pt>
                <c:pt idx="35">
                  <c:v>85.833333333333329</c:v>
                </c:pt>
                <c:pt idx="36">
                  <c:v>80.7</c:v>
                </c:pt>
                <c:pt idx="37">
                  <c:v>81.8</c:v>
                </c:pt>
                <c:pt idx="38">
                  <c:v>83.8</c:v>
                </c:pt>
                <c:pt idx="39">
                  <c:v>88.7</c:v>
                </c:pt>
                <c:pt idx="40">
                  <c:v>89.833333333333329</c:v>
                </c:pt>
                <c:pt idx="41">
                  <c:v>91</c:v>
                </c:pt>
                <c:pt idx="42">
                  <c:v>92.5</c:v>
                </c:pt>
                <c:pt idx="43">
                  <c:v>92.7</c:v>
                </c:pt>
                <c:pt idx="44">
                  <c:v>93.766666666666666</c:v>
                </c:pt>
                <c:pt idx="45">
                  <c:v>92.7</c:v>
                </c:pt>
                <c:pt idx="46">
                  <c:v>90.90000000000002</c:v>
                </c:pt>
                <c:pt idx="47">
                  <c:v>87.566666666666663</c:v>
                </c:pt>
                <c:pt idx="48">
                  <c:v>83.5</c:v>
                </c:pt>
                <c:pt idx="49">
                  <c:v>85.433333333333337</c:v>
                </c:pt>
                <c:pt idx="50">
                  <c:v>86.100000000000009</c:v>
                </c:pt>
                <c:pt idx="51">
                  <c:v>91.166666666666671</c:v>
                </c:pt>
                <c:pt idx="52">
                  <c:v>90.733333333333348</c:v>
                </c:pt>
                <c:pt idx="53">
                  <c:v>93.433333333333337</c:v>
                </c:pt>
                <c:pt idx="54">
                  <c:v>94.5</c:v>
                </c:pt>
                <c:pt idx="55">
                  <c:v>95.199999999999989</c:v>
                </c:pt>
                <c:pt idx="56">
                  <c:v>96.433333333333337</c:v>
                </c:pt>
                <c:pt idx="57">
                  <c:v>95.533333333333346</c:v>
                </c:pt>
                <c:pt idx="58">
                  <c:v>93.466666666666654</c:v>
                </c:pt>
                <c:pt idx="59">
                  <c:v>89.966666666666654</c:v>
                </c:pt>
                <c:pt idx="60">
                  <c:v>85.533333333333346</c:v>
                </c:pt>
                <c:pt idx="61">
                  <c:v>88.666666666666671</c:v>
                </c:pt>
                <c:pt idx="62">
                  <c:v>89.866666666666674</c:v>
                </c:pt>
                <c:pt idx="63">
                  <c:v>95.633333333333326</c:v>
                </c:pt>
                <c:pt idx="64">
                  <c:v>95.8</c:v>
                </c:pt>
                <c:pt idx="65">
                  <c:v>98.866666666666674</c:v>
                </c:pt>
                <c:pt idx="66">
                  <c:v>100.53333333333335</c:v>
                </c:pt>
                <c:pt idx="67">
                  <c:v>101.03333333333335</c:v>
                </c:pt>
                <c:pt idx="68">
                  <c:v>103.7</c:v>
                </c:pt>
                <c:pt idx="69">
                  <c:v>102.86666666666667</c:v>
                </c:pt>
                <c:pt idx="70">
                  <c:v>100.93333333333332</c:v>
                </c:pt>
                <c:pt idx="71">
                  <c:v>96.600000000000009</c:v>
                </c:pt>
                <c:pt idx="72">
                  <c:v>92.833333333333329</c:v>
                </c:pt>
                <c:pt idx="73">
                  <c:v>94.533333333333317</c:v>
                </c:pt>
                <c:pt idx="74">
                  <c:v>96</c:v>
                </c:pt>
                <c:pt idx="75">
                  <c:v>99.8</c:v>
                </c:pt>
                <c:pt idx="76">
                  <c:v>101.66666666666667</c:v>
                </c:pt>
                <c:pt idx="77">
                  <c:v>104.76666666666667</c:v>
                </c:pt>
                <c:pt idx="78">
                  <c:v>106.23333333333335</c:v>
                </c:pt>
                <c:pt idx="79">
                  <c:v>107.56666666666666</c:v>
                </c:pt>
                <c:pt idx="80">
                  <c:v>107.53333333333335</c:v>
                </c:pt>
                <c:pt idx="81">
                  <c:v>103.96666666666665</c:v>
                </c:pt>
                <c:pt idx="82">
                  <c:v>94.566666666666677</c:v>
                </c:pt>
                <c:pt idx="83">
                  <c:v>84.666666666666671</c:v>
                </c:pt>
                <c:pt idx="84">
                  <c:v>77.966666666666669</c:v>
                </c:pt>
                <c:pt idx="85">
                  <c:v>81.13333333333334</c:v>
                </c:pt>
                <c:pt idx="86">
                  <c:v>83.3</c:v>
                </c:pt>
                <c:pt idx="87">
                  <c:v>88.366666666666674</c:v>
                </c:pt>
                <c:pt idx="88">
                  <c:v>89.566666666666663</c:v>
                </c:pt>
                <c:pt idx="89">
                  <c:v>93.733333333333334</c:v>
                </c:pt>
                <c:pt idx="90">
                  <c:v>96.5</c:v>
                </c:pt>
                <c:pt idx="91">
                  <c:v>98.90000000000002</c:v>
                </c:pt>
                <c:pt idx="92">
                  <c:v>101.53333333333335</c:v>
                </c:pt>
                <c:pt idx="93">
                  <c:v>102.13333333333333</c:v>
                </c:pt>
                <c:pt idx="94">
                  <c:v>100.36666666666667</c:v>
                </c:pt>
                <c:pt idx="95">
                  <c:v>95.566666666666663</c:v>
                </c:pt>
                <c:pt idx="96">
                  <c:v>91.433333333333337</c:v>
                </c:pt>
                <c:pt idx="97">
                  <c:v>95.09999999999998</c:v>
                </c:pt>
                <c:pt idx="98">
                  <c:v>97.8</c:v>
                </c:pt>
                <c:pt idx="99">
                  <c:v>102.89999999999999</c:v>
                </c:pt>
                <c:pt idx="100">
                  <c:v>102.03333333333335</c:v>
                </c:pt>
                <c:pt idx="101">
                  <c:v>104.56666666666668</c:v>
                </c:pt>
                <c:pt idx="102">
                  <c:v>105.83333333333333</c:v>
                </c:pt>
                <c:pt idx="103">
                  <c:v>106.93333333333334</c:v>
                </c:pt>
                <c:pt idx="104">
                  <c:v>107.19999999999999</c:v>
                </c:pt>
                <c:pt idx="105">
                  <c:v>106.76666666666667</c:v>
                </c:pt>
                <c:pt idx="106">
                  <c:v>103.7</c:v>
                </c:pt>
                <c:pt idx="107">
                  <c:v>98.86666666666666</c:v>
                </c:pt>
                <c:pt idx="108">
                  <c:v>95.066666666666677</c:v>
                </c:pt>
                <c:pt idx="109">
                  <c:v>97.666666666666671</c:v>
                </c:pt>
                <c:pt idx="110">
                  <c:v>99.100000000000009</c:v>
                </c:pt>
                <c:pt idx="111">
                  <c:v>103</c:v>
                </c:pt>
                <c:pt idx="112">
                  <c:v>102.46666666666665</c:v>
                </c:pt>
                <c:pt idx="113">
                  <c:v>105.33333333333333</c:v>
                </c:pt>
                <c:pt idx="114">
                  <c:v>106.56666666666666</c:v>
                </c:pt>
                <c:pt idx="115">
                  <c:v>107.23333333333333</c:v>
                </c:pt>
                <c:pt idx="116">
                  <c:v>107.3</c:v>
                </c:pt>
                <c:pt idx="117">
                  <c:v>105.10000000000001</c:v>
                </c:pt>
                <c:pt idx="118">
                  <c:v>102.06666666666666</c:v>
                </c:pt>
                <c:pt idx="119">
                  <c:v>96.2</c:v>
                </c:pt>
                <c:pt idx="120">
                  <c:v>91.399999999999991</c:v>
                </c:pt>
                <c:pt idx="121">
                  <c:v>92.733333333333334</c:v>
                </c:pt>
                <c:pt idx="122">
                  <c:v>94.100000000000009</c:v>
                </c:pt>
                <c:pt idx="123">
                  <c:v>98.333333333333329</c:v>
                </c:pt>
                <c:pt idx="124">
                  <c:v>97.866666666666674</c:v>
                </c:pt>
                <c:pt idx="125">
                  <c:v>101.76666666666667</c:v>
                </c:pt>
                <c:pt idx="126">
                  <c:v>104.76666666666667</c:v>
                </c:pt>
                <c:pt idx="127">
                  <c:v>106.46666666666665</c:v>
                </c:pt>
                <c:pt idx="128">
                  <c:v>108.89999999999999</c:v>
                </c:pt>
                <c:pt idx="129">
                  <c:v>106.66666666666667</c:v>
                </c:pt>
                <c:pt idx="130">
                  <c:v>102.93333333333334</c:v>
                </c:pt>
                <c:pt idx="131">
                  <c:v>97.166666666666671</c:v>
                </c:pt>
                <c:pt idx="132">
                  <c:v>91.59999999999998</c:v>
                </c:pt>
                <c:pt idx="133">
                  <c:v>93.433333333333337</c:v>
                </c:pt>
                <c:pt idx="134">
                  <c:v>95.866666666666674</c:v>
                </c:pt>
                <c:pt idx="135">
                  <c:v>101.5</c:v>
                </c:pt>
                <c:pt idx="136">
                  <c:v>102.83333333333333</c:v>
                </c:pt>
                <c:pt idx="137">
                  <c:v>104.89999999999999</c:v>
                </c:pt>
                <c:pt idx="138">
                  <c:v>107.23333333333333</c:v>
                </c:pt>
                <c:pt idx="139">
                  <c:v>109.10000000000001</c:v>
                </c:pt>
                <c:pt idx="140">
                  <c:v>110.63333333333333</c:v>
                </c:pt>
                <c:pt idx="141">
                  <c:v>108.66666666666667</c:v>
                </c:pt>
                <c:pt idx="142">
                  <c:v>102.93333333333332</c:v>
                </c:pt>
                <c:pt idx="143">
                  <c:v>96.266666666666652</c:v>
                </c:pt>
                <c:pt idx="144">
                  <c:v>91.666666666666671</c:v>
                </c:pt>
                <c:pt idx="145">
                  <c:v>94.066666666666663</c:v>
                </c:pt>
                <c:pt idx="146">
                  <c:v>95.2</c:v>
                </c:pt>
                <c:pt idx="147">
                  <c:v>98.333333333333329</c:v>
                </c:pt>
                <c:pt idx="148">
                  <c:v>97.533333333333346</c:v>
                </c:pt>
                <c:pt idx="149">
                  <c:v>100.33333333333333</c:v>
                </c:pt>
                <c:pt idx="150">
                  <c:v>101.86666666666667</c:v>
                </c:pt>
                <c:pt idx="151">
                  <c:v>105.43333333333332</c:v>
                </c:pt>
                <c:pt idx="152">
                  <c:v>107.06666666666666</c:v>
                </c:pt>
                <c:pt idx="153">
                  <c:v>104.89999999999999</c:v>
                </c:pt>
                <c:pt idx="154">
                  <c:v>98.933333333333337</c:v>
                </c:pt>
                <c:pt idx="155">
                  <c:v>91.866666666666674</c:v>
                </c:pt>
                <c:pt idx="156">
                  <c:v>86.5</c:v>
                </c:pt>
                <c:pt idx="157">
                  <c:v>88.7</c:v>
                </c:pt>
                <c:pt idx="158">
                  <c:v>88.933333333333337</c:v>
                </c:pt>
                <c:pt idx="159">
                  <c:v>92.066666666666663</c:v>
                </c:pt>
                <c:pt idx="160">
                  <c:v>91.466666666666654</c:v>
                </c:pt>
                <c:pt idx="161">
                  <c:v>93.7</c:v>
                </c:pt>
                <c:pt idx="162">
                  <c:v>95.2</c:v>
                </c:pt>
                <c:pt idx="163">
                  <c:v>95.8</c:v>
                </c:pt>
                <c:pt idx="164">
                  <c:v>96.36666666666666</c:v>
                </c:pt>
                <c:pt idx="165">
                  <c:v>93.033333333333346</c:v>
                </c:pt>
                <c:pt idx="166">
                  <c:v>87.333333333333329</c:v>
                </c:pt>
                <c:pt idx="167">
                  <c:v>80.366666666666674</c:v>
                </c:pt>
                <c:pt idx="168">
                  <c:v>76.433333333333337</c:v>
                </c:pt>
                <c:pt idx="169">
                  <c:v>78.600000000000009</c:v>
                </c:pt>
                <c:pt idx="170">
                  <c:v>80.833333333333329</c:v>
                </c:pt>
                <c:pt idx="171">
                  <c:v>84.333333333333329</c:v>
                </c:pt>
                <c:pt idx="172">
                  <c:v>85.666666666666671</c:v>
                </c:pt>
                <c:pt idx="173">
                  <c:v>87.866666666666674</c:v>
                </c:pt>
                <c:pt idx="174">
                  <c:v>90.100000000000009</c:v>
                </c:pt>
                <c:pt idx="175">
                  <c:v>91.100000000000009</c:v>
                </c:pt>
                <c:pt idx="176">
                  <c:v>91.3</c:v>
                </c:pt>
                <c:pt idx="177">
                  <c:v>89.133333333333326</c:v>
                </c:pt>
                <c:pt idx="178">
                  <c:v>84.633333333333326</c:v>
                </c:pt>
                <c:pt idx="179">
                  <c:v>80.533333333333331</c:v>
                </c:pt>
                <c:pt idx="180">
                  <c:v>77.000000000000014</c:v>
                </c:pt>
                <c:pt idx="181">
                  <c:v>79.733333333333334</c:v>
                </c:pt>
                <c:pt idx="182">
                  <c:v>80.2</c:v>
                </c:pt>
                <c:pt idx="183">
                  <c:v>84.933333333333323</c:v>
                </c:pt>
                <c:pt idx="184">
                  <c:v>85.933333333333323</c:v>
                </c:pt>
                <c:pt idx="185">
                  <c:v>90.2</c:v>
                </c:pt>
                <c:pt idx="186">
                  <c:v>92.399999999999991</c:v>
                </c:pt>
                <c:pt idx="187">
                  <c:v>93.933333333333337</c:v>
                </c:pt>
                <c:pt idx="188">
                  <c:v>94.933333333333323</c:v>
                </c:pt>
                <c:pt idx="189">
                  <c:v>92.899999999999991</c:v>
                </c:pt>
                <c:pt idx="190">
                  <c:v>88.899999999999991</c:v>
                </c:pt>
                <c:pt idx="191">
                  <c:v>84.633333333333326</c:v>
                </c:pt>
                <c:pt idx="192">
                  <c:v>80.2</c:v>
                </c:pt>
                <c:pt idx="193">
                  <c:v>81.933333333333337</c:v>
                </c:pt>
                <c:pt idx="194">
                  <c:v>83.333333333333329</c:v>
                </c:pt>
                <c:pt idx="195">
                  <c:v>85.7</c:v>
                </c:pt>
                <c:pt idx="196">
                  <c:v>87.333333333333329</c:v>
                </c:pt>
                <c:pt idx="197">
                  <c:v>90.433333333333337</c:v>
                </c:pt>
                <c:pt idx="198">
                  <c:v>95.033333333333317</c:v>
                </c:pt>
                <c:pt idx="199">
                  <c:v>94.899999999999991</c:v>
                </c:pt>
                <c:pt idx="200">
                  <c:v>94.899999999999991</c:v>
                </c:pt>
                <c:pt idx="201">
                  <c:v>92</c:v>
                </c:pt>
                <c:pt idx="202">
                  <c:v>87.766666666666666</c:v>
                </c:pt>
                <c:pt idx="203">
                  <c:v>82.733333333333334</c:v>
                </c:pt>
                <c:pt idx="204">
                  <c:v>79.266666666666666</c:v>
                </c:pt>
                <c:pt idx="205">
                  <c:v>80.266666666666666</c:v>
                </c:pt>
                <c:pt idx="206">
                  <c:v>81.133333333333326</c:v>
                </c:pt>
                <c:pt idx="207">
                  <c:v>85.100000000000009</c:v>
                </c:pt>
                <c:pt idx="208">
                  <c:v>86.7</c:v>
                </c:pt>
                <c:pt idx="209">
                  <c:v>90.066666666666677</c:v>
                </c:pt>
                <c:pt idx="210">
                  <c:v>91.8</c:v>
                </c:pt>
                <c:pt idx="211">
                  <c:v>93.800000000000011</c:v>
                </c:pt>
                <c:pt idx="212">
                  <c:v>95</c:v>
                </c:pt>
                <c:pt idx="213">
                  <c:v>92.266666666666666</c:v>
                </c:pt>
                <c:pt idx="214">
                  <c:v>87.3</c:v>
                </c:pt>
                <c:pt idx="215">
                  <c:v>81.63333333333334</c:v>
                </c:pt>
                <c:pt idx="216">
                  <c:v>78.600000000000009</c:v>
                </c:pt>
                <c:pt idx="217">
                  <c:v>78.933333333333337</c:v>
                </c:pt>
                <c:pt idx="218">
                  <c:v>72.366666666666674</c:v>
                </c:pt>
                <c:pt idx="219">
                  <c:v>69.8</c:v>
                </c:pt>
                <c:pt idx="220">
                  <c:v>69.966666666666669</c:v>
                </c:pt>
                <c:pt idx="221">
                  <c:v>80.2</c:v>
                </c:pt>
                <c:pt idx="222">
                  <c:v>87.766666666666666</c:v>
                </c:pt>
                <c:pt idx="223">
                  <c:v>93.433333333333337</c:v>
                </c:pt>
                <c:pt idx="224">
                  <c:v>95.533333333333346</c:v>
                </c:pt>
                <c:pt idx="225">
                  <c:v>94.3</c:v>
                </c:pt>
                <c:pt idx="226">
                  <c:v>90.266666666666666</c:v>
                </c:pt>
                <c:pt idx="227">
                  <c:v>85.13333333333334</c:v>
                </c:pt>
                <c:pt idx="228">
                  <c:v>81.433333333333323</c:v>
                </c:pt>
                <c:pt idx="229">
                  <c:v>82.36666666666666</c:v>
                </c:pt>
                <c:pt idx="230">
                  <c:v>82.166666666666671</c:v>
                </c:pt>
                <c:pt idx="231">
                  <c:v>85.266666666666666</c:v>
                </c:pt>
                <c:pt idx="232">
                  <c:v>85.866666666666674</c:v>
                </c:pt>
                <c:pt idx="233">
                  <c:v>89.5</c:v>
                </c:pt>
                <c:pt idx="234">
                  <c:v>91.166666666666671</c:v>
                </c:pt>
                <c:pt idx="235">
                  <c:v>92.366666666666674</c:v>
                </c:pt>
                <c:pt idx="236">
                  <c:v>91.533333333333346</c:v>
                </c:pt>
                <c:pt idx="237">
                  <c:v>89.166666666666671</c:v>
                </c:pt>
                <c:pt idx="238">
                  <c:v>85.066666666666663</c:v>
                </c:pt>
              </c:numCache>
            </c:numRef>
          </c:val>
          <c:smooth val="0"/>
          <c:extLst>
            <c:ext xmlns:c16="http://schemas.microsoft.com/office/drawing/2014/chart" uri="{C3380CC4-5D6E-409C-BE32-E72D297353CC}">
              <c16:uniqueId val="{00000001-8DDB-4461-9308-6A022A52EEEC}"/>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EB78-4572-A4CB-6425DB49282F}"/>
            </c:ext>
          </c:extLst>
        </c:ser>
        <c:ser>
          <c:idx val="1"/>
          <c:order val="1"/>
          <c:tx>
            <c:v>Difference</c:v>
          </c:tx>
          <c:spPr>
            <a:ln w="19050" cap="rnd">
              <a:solidFill>
                <a:schemeClr val="accent2"/>
              </a:solidFill>
              <a:round/>
            </a:ln>
            <a:effectLst/>
          </c:spPr>
          <c:marker>
            <c:symbol val="none"/>
          </c:marker>
          <c:cat>
            <c:numRef>
              <c:f>MOVSUM!$F$12:$F$250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MOVSUM!$O$12:$O$300</c:f>
              <c:numCache>
                <c:formatCode>0.0</c:formatCode>
                <c:ptCount val="289"/>
                <c:pt idx="0">
                  <c:v>#N/A</c:v>
                </c:pt>
                <c:pt idx="1">
                  <c:v>219.50000000000003</c:v>
                </c:pt>
                <c:pt idx="2">
                  <c:v>226.70000000000002</c:v>
                </c:pt>
                <c:pt idx="3">
                  <c:v>237.4</c:v>
                </c:pt>
                <c:pt idx="4">
                  <c:v>237.5</c:v>
                </c:pt>
                <c:pt idx="5">
                  <c:v>241.2</c:v>
                </c:pt>
                <c:pt idx="6">
                  <c:v>244.4</c:v>
                </c:pt>
                <c:pt idx="7">
                  <c:v>248.99999999999997</c:v>
                </c:pt>
                <c:pt idx="8">
                  <c:v>254.89999999999998</c:v>
                </c:pt>
                <c:pt idx="9">
                  <c:v>255.20000000000002</c:v>
                </c:pt>
                <c:pt idx="10">
                  <c:v>247.70000000000002</c:v>
                </c:pt>
                <c:pt idx="11">
                  <c:v>232.5</c:v>
                </c:pt>
                <c:pt idx="12">
                  <c:v>220.39999999999998</c:v>
                </c:pt>
                <c:pt idx="13">
                  <c:v>223.20000000000002</c:v>
                </c:pt>
                <c:pt idx="14">
                  <c:v>225.7</c:v>
                </c:pt>
                <c:pt idx="15">
                  <c:v>233.60000000000002</c:v>
                </c:pt>
                <c:pt idx="16">
                  <c:v>232.5</c:v>
                </c:pt>
                <c:pt idx="17">
                  <c:v>237.3</c:v>
                </c:pt>
                <c:pt idx="18">
                  <c:v>239.2</c:v>
                </c:pt>
                <c:pt idx="19">
                  <c:v>248.59999999999997</c:v>
                </c:pt>
                <c:pt idx="20">
                  <c:v>257.3</c:v>
                </c:pt>
                <c:pt idx="21">
                  <c:v>260.29999999999995</c:v>
                </c:pt>
                <c:pt idx="22">
                  <c:v>252.5</c:v>
                </c:pt>
                <c:pt idx="23">
                  <c:v>239.3</c:v>
                </c:pt>
                <c:pt idx="24">
                  <c:v>228.7</c:v>
                </c:pt>
                <c:pt idx="25">
                  <c:v>237.70000000000002</c:v>
                </c:pt>
                <c:pt idx="26">
                  <c:v>243.10000000000002</c:v>
                </c:pt>
                <c:pt idx="27">
                  <c:v>255.40000000000003</c:v>
                </c:pt>
                <c:pt idx="28">
                  <c:v>254.6</c:v>
                </c:pt>
                <c:pt idx="29">
                  <c:v>262.5</c:v>
                </c:pt>
                <c:pt idx="30">
                  <c:v>268.29999999999995</c:v>
                </c:pt>
                <c:pt idx="31">
                  <c:v>274.29999999999995</c:v>
                </c:pt>
                <c:pt idx="32">
                  <c:v>277.7</c:v>
                </c:pt>
                <c:pt idx="33">
                  <c:v>277.39999999999998</c:v>
                </c:pt>
                <c:pt idx="34">
                  <c:v>270</c:v>
                </c:pt>
                <c:pt idx="35">
                  <c:v>257.5</c:v>
                </c:pt>
                <c:pt idx="36">
                  <c:v>242.1</c:v>
                </c:pt>
                <c:pt idx="37">
                  <c:v>245.4</c:v>
                </c:pt>
                <c:pt idx="38">
                  <c:v>251.4</c:v>
                </c:pt>
                <c:pt idx="39">
                  <c:v>266.10000000000002</c:v>
                </c:pt>
                <c:pt idx="40">
                  <c:v>269.5</c:v>
                </c:pt>
                <c:pt idx="41">
                  <c:v>273</c:v>
                </c:pt>
                <c:pt idx="42">
                  <c:v>277.5</c:v>
                </c:pt>
                <c:pt idx="43">
                  <c:v>278.10000000000002</c:v>
                </c:pt>
                <c:pt idx="44">
                  <c:v>281.3</c:v>
                </c:pt>
                <c:pt idx="45">
                  <c:v>278.10000000000002</c:v>
                </c:pt>
                <c:pt idx="46">
                  <c:v>272.70000000000005</c:v>
                </c:pt>
                <c:pt idx="47">
                  <c:v>262.7</c:v>
                </c:pt>
                <c:pt idx="48">
                  <c:v>250.5</c:v>
                </c:pt>
                <c:pt idx="49">
                  <c:v>256.3</c:v>
                </c:pt>
                <c:pt idx="50">
                  <c:v>258.3</c:v>
                </c:pt>
                <c:pt idx="51">
                  <c:v>273.5</c:v>
                </c:pt>
                <c:pt idx="52">
                  <c:v>272.20000000000005</c:v>
                </c:pt>
                <c:pt idx="53">
                  <c:v>280.3</c:v>
                </c:pt>
                <c:pt idx="54">
                  <c:v>283.5</c:v>
                </c:pt>
                <c:pt idx="55">
                  <c:v>285.59999999999997</c:v>
                </c:pt>
                <c:pt idx="56">
                  <c:v>289.3</c:v>
                </c:pt>
                <c:pt idx="57">
                  <c:v>286.60000000000002</c:v>
                </c:pt>
                <c:pt idx="58">
                  <c:v>280.39999999999998</c:v>
                </c:pt>
                <c:pt idx="59">
                  <c:v>269.89999999999998</c:v>
                </c:pt>
                <c:pt idx="60">
                  <c:v>256.60000000000002</c:v>
                </c:pt>
                <c:pt idx="61">
                  <c:v>266</c:v>
                </c:pt>
                <c:pt idx="62">
                  <c:v>269.60000000000002</c:v>
                </c:pt>
                <c:pt idx="63">
                  <c:v>286.89999999999998</c:v>
                </c:pt>
                <c:pt idx="64">
                  <c:v>287.39999999999998</c:v>
                </c:pt>
                <c:pt idx="65">
                  <c:v>296.60000000000002</c:v>
                </c:pt>
                <c:pt idx="66">
                  <c:v>301.60000000000002</c:v>
                </c:pt>
                <c:pt idx="67">
                  <c:v>303.10000000000002</c:v>
                </c:pt>
                <c:pt idx="68">
                  <c:v>311.10000000000002</c:v>
                </c:pt>
                <c:pt idx="69">
                  <c:v>308.60000000000002</c:v>
                </c:pt>
                <c:pt idx="70">
                  <c:v>302.79999999999995</c:v>
                </c:pt>
                <c:pt idx="71">
                  <c:v>289.8</c:v>
                </c:pt>
                <c:pt idx="72">
                  <c:v>278.5</c:v>
                </c:pt>
                <c:pt idx="73">
                  <c:v>283.59999999999997</c:v>
                </c:pt>
                <c:pt idx="74">
                  <c:v>288</c:v>
                </c:pt>
                <c:pt idx="75">
                  <c:v>299.39999999999998</c:v>
                </c:pt>
                <c:pt idx="76">
                  <c:v>305</c:v>
                </c:pt>
                <c:pt idx="77">
                  <c:v>314.3</c:v>
                </c:pt>
                <c:pt idx="78">
                  <c:v>318.70000000000005</c:v>
                </c:pt>
                <c:pt idx="79">
                  <c:v>322.7</c:v>
                </c:pt>
                <c:pt idx="80">
                  <c:v>322.60000000000002</c:v>
                </c:pt>
                <c:pt idx="81">
                  <c:v>311.89999999999998</c:v>
                </c:pt>
                <c:pt idx="82">
                  <c:v>283.70000000000005</c:v>
                </c:pt>
                <c:pt idx="83">
                  <c:v>254</c:v>
                </c:pt>
                <c:pt idx="84">
                  <c:v>233.9</c:v>
                </c:pt>
                <c:pt idx="85">
                  <c:v>243.4</c:v>
                </c:pt>
                <c:pt idx="86">
                  <c:v>249.89999999999998</c:v>
                </c:pt>
                <c:pt idx="87">
                  <c:v>265.10000000000002</c:v>
                </c:pt>
                <c:pt idx="88">
                  <c:v>268.7</c:v>
                </c:pt>
                <c:pt idx="89">
                  <c:v>281.2</c:v>
                </c:pt>
                <c:pt idx="90">
                  <c:v>289.5</c:v>
                </c:pt>
                <c:pt idx="91">
                  <c:v>296.70000000000005</c:v>
                </c:pt>
                <c:pt idx="92">
                  <c:v>304.60000000000002</c:v>
                </c:pt>
                <c:pt idx="93">
                  <c:v>306.39999999999998</c:v>
                </c:pt>
                <c:pt idx="94">
                  <c:v>301.10000000000002</c:v>
                </c:pt>
                <c:pt idx="95">
                  <c:v>286.7</c:v>
                </c:pt>
                <c:pt idx="96">
                  <c:v>274.3</c:v>
                </c:pt>
                <c:pt idx="97">
                  <c:v>285.29999999999995</c:v>
                </c:pt>
                <c:pt idx="98">
                  <c:v>293.39999999999998</c:v>
                </c:pt>
                <c:pt idx="99">
                  <c:v>308.7</c:v>
                </c:pt>
                <c:pt idx="100">
                  <c:v>306.10000000000002</c:v>
                </c:pt>
                <c:pt idx="101">
                  <c:v>313.70000000000005</c:v>
                </c:pt>
                <c:pt idx="102">
                  <c:v>317.5</c:v>
                </c:pt>
                <c:pt idx="103">
                  <c:v>320.8</c:v>
                </c:pt>
                <c:pt idx="104">
                  <c:v>321.59999999999997</c:v>
                </c:pt>
                <c:pt idx="105">
                  <c:v>320.3</c:v>
                </c:pt>
                <c:pt idx="106">
                  <c:v>311.10000000000002</c:v>
                </c:pt>
                <c:pt idx="107">
                  <c:v>296.59999999999997</c:v>
                </c:pt>
                <c:pt idx="108">
                  <c:v>285.20000000000005</c:v>
                </c:pt>
                <c:pt idx="109">
                  <c:v>293</c:v>
                </c:pt>
                <c:pt idx="110">
                  <c:v>297.3</c:v>
                </c:pt>
                <c:pt idx="111">
                  <c:v>309</c:v>
                </c:pt>
                <c:pt idx="112">
                  <c:v>307.39999999999998</c:v>
                </c:pt>
                <c:pt idx="113">
                  <c:v>316</c:v>
                </c:pt>
                <c:pt idx="114">
                  <c:v>319.7</c:v>
                </c:pt>
                <c:pt idx="115">
                  <c:v>321.7</c:v>
                </c:pt>
                <c:pt idx="116">
                  <c:v>321.89999999999998</c:v>
                </c:pt>
                <c:pt idx="117">
                  <c:v>315.3</c:v>
                </c:pt>
                <c:pt idx="118">
                  <c:v>306.2</c:v>
                </c:pt>
                <c:pt idx="119">
                  <c:v>288.60000000000002</c:v>
                </c:pt>
                <c:pt idx="120">
                  <c:v>274.2</c:v>
                </c:pt>
                <c:pt idx="121">
                  <c:v>278.2</c:v>
                </c:pt>
                <c:pt idx="122">
                  <c:v>282.3</c:v>
                </c:pt>
                <c:pt idx="123">
                  <c:v>295</c:v>
                </c:pt>
                <c:pt idx="124">
                  <c:v>293.60000000000002</c:v>
                </c:pt>
                <c:pt idx="125">
                  <c:v>305.3</c:v>
                </c:pt>
                <c:pt idx="126">
                  <c:v>314.3</c:v>
                </c:pt>
                <c:pt idx="127">
                  <c:v>319.39999999999998</c:v>
                </c:pt>
                <c:pt idx="128">
                  <c:v>326.7</c:v>
                </c:pt>
                <c:pt idx="129">
                  <c:v>320</c:v>
                </c:pt>
                <c:pt idx="130">
                  <c:v>308.8</c:v>
                </c:pt>
                <c:pt idx="131">
                  <c:v>291.5</c:v>
                </c:pt>
                <c:pt idx="132">
                  <c:v>274.79999999999995</c:v>
                </c:pt>
                <c:pt idx="133">
                  <c:v>280.3</c:v>
                </c:pt>
                <c:pt idx="134">
                  <c:v>287.60000000000002</c:v>
                </c:pt>
                <c:pt idx="135">
                  <c:v>304.5</c:v>
                </c:pt>
                <c:pt idx="136">
                  <c:v>308.5</c:v>
                </c:pt>
                <c:pt idx="137">
                  <c:v>314.7</c:v>
                </c:pt>
                <c:pt idx="138">
                  <c:v>321.7</c:v>
                </c:pt>
                <c:pt idx="139">
                  <c:v>327.3</c:v>
                </c:pt>
                <c:pt idx="140">
                  <c:v>331.9</c:v>
                </c:pt>
                <c:pt idx="141">
                  <c:v>326</c:v>
                </c:pt>
                <c:pt idx="142">
                  <c:v>308.79999999999995</c:v>
                </c:pt>
                <c:pt idx="143">
                  <c:v>288.79999999999995</c:v>
                </c:pt>
                <c:pt idx="144">
                  <c:v>275</c:v>
                </c:pt>
                <c:pt idx="145">
                  <c:v>282.2</c:v>
                </c:pt>
                <c:pt idx="146">
                  <c:v>285.60000000000002</c:v>
                </c:pt>
                <c:pt idx="147">
                  <c:v>295</c:v>
                </c:pt>
                <c:pt idx="148">
                  <c:v>292.60000000000002</c:v>
                </c:pt>
                <c:pt idx="149">
                  <c:v>301</c:v>
                </c:pt>
                <c:pt idx="150">
                  <c:v>305.60000000000002</c:v>
                </c:pt>
                <c:pt idx="151">
                  <c:v>316.29999999999995</c:v>
                </c:pt>
                <c:pt idx="152">
                  <c:v>321.2</c:v>
                </c:pt>
                <c:pt idx="153">
                  <c:v>314.7</c:v>
                </c:pt>
                <c:pt idx="154">
                  <c:v>296.8</c:v>
                </c:pt>
                <c:pt idx="155">
                  <c:v>275.60000000000002</c:v>
                </c:pt>
                <c:pt idx="156">
                  <c:v>259.5</c:v>
                </c:pt>
                <c:pt idx="157">
                  <c:v>266.10000000000002</c:v>
                </c:pt>
                <c:pt idx="158">
                  <c:v>266.8</c:v>
                </c:pt>
                <c:pt idx="159">
                  <c:v>276.2</c:v>
                </c:pt>
                <c:pt idx="160">
                  <c:v>274.39999999999998</c:v>
                </c:pt>
                <c:pt idx="161">
                  <c:v>281.10000000000002</c:v>
                </c:pt>
                <c:pt idx="162">
                  <c:v>285.60000000000002</c:v>
                </c:pt>
                <c:pt idx="163">
                  <c:v>287.39999999999998</c:v>
                </c:pt>
                <c:pt idx="164">
                  <c:v>289.09999999999997</c:v>
                </c:pt>
                <c:pt idx="165">
                  <c:v>279.10000000000002</c:v>
                </c:pt>
                <c:pt idx="166">
                  <c:v>262</c:v>
                </c:pt>
                <c:pt idx="167">
                  <c:v>241.10000000000002</c:v>
                </c:pt>
                <c:pt idx="168">
                  <c:v>229.3</c:v>
                </c:pt>
                <c:pt idx="169">
                  <c:v>235.8</c:v>
                </c:pt>
                <c:pt idx="170">
                  <c:v>242.5</c:v>
                </c:pt>
                <c:pt idx="171">
                  <c:v>253</c:v>
                </c:pt>
                <c:pt idx="172">
                  <c:v>257</c:v>
                </c:pt>
                <c:pt idx="173">
                  <c:v>263.60000000000002</c:v>
                </c:pt>
                <c:pt idx="174">
                  <c:v>270.3</c:v>
                </c:pt>
                <c:pt idx="175">
                  <c:v>273.3</c:v>
                </c:pt>
                <c:pt idx="176">
                  <c:v>273.89999999999998</c:v>
                </c:pt>
                <c:pt idx="177">
                  <c:v>267.39999999999998</c:v>
                </c:pt>
                <c:pt idx="178">
                  <c:v>253.89999999999998</c:v>
                </c:pt>
                <c:pt idx="179">
                  <c:v>241.6</c:v>
                </c:pt>
                <c:pt idx="180">
                  <c:v>231.00000000000003</c:v>
                </c:pt>
                <c:pt idx="181">
                  <c:v>239.20000000000002</c:v>
                </c:pt>
                <c:pt idx="182">
                  <c:v>240.60000000000002</c:v>
                </c:pt>
                <c:pt idx="183">
                  <c:v>254.79999999999998</c:v>
                </c:pt>
                <c:pt idx="184">
                  <c:v>257.79999999999995</c:v>
                </c:pt>
                <c:pt idx="185">
                  <c:v>270.60000000000002</c:v>
                </c:pt>
                <c:pt idx="186">
                  <c:v>277.2</c:v>
                </c:pt>
                <c:pt idx="187">
                  <c:v>281.8</c:v>
                </c:pt>
                <c:pt idx="188">
                  <c:v>284.79999999999995</c:v>
                </c:pt>
                <c:pt idx="189">
                  <c:v>278.7</c:v>
                </c:pt>
                <c:pt idx="190">
                  <c:v>266.7</c:v>
                </c:pt>
                <c:pt idx="191">
                  <c:v>253.89999999999998</c:v>
                </c:pt>
                <c:pt idx="192">
                  <c:v>240.60000000000002</c:v>
                </c:pt>
                <c:pt idx="193">
                  <c:v>245.8</c:v>
                </c:pt>
                <c:pt idx="194">
                  <c:v>250</c:v>
                </c:pt>
                <c:pt idx="195">
                  <c:v>257.10000000000002</c:v>
                </c:pt>
                <c:pt idx="196">
                  <c:v>262</c:v>
                </c:pt>
                <c:pt idx="197">
                  <c:v>271.3</c:v>
                </c:pt>
                <c:pt idx="198">
                  <c:v>285.09999999999997</c:v>
                </c:pt>
                <c:pt idx="199">
                  <c:v>284.7</c:v>
                </c:pt>
                <c:pt idx="200">
                  <c:v>284.7</c:v>
                </c:pt>
                <c:pt idx="201">
                  <c:v>276</c:v>
                </c:pt>
                <c:pt idx="202">
                  <c:v>263.3</c:v>
                </c:pt>
                <c:pt idx="203">
                  <c:v>248.2</c:v>
                </c:pt>
                <c:pt idx="204">
                  <c:v>237.79999999999998</c:v>
                </c:pt>
                <c:pt idx="205">
                  <c:v>240.8</c:v>
                </c:pt>
                <c:pt idx="206">
                  <c:v>243.39999999999998</c:v>
                </c:pt>
                <c:pt idx="207">
                  <c:v>255.3</c:v>
                </c:pt>
                <c:pt idx="208">
                  <c:v>260.10000000000002</c:v>
                </c:pt>
                <c:pt idx="209">
                  <c:v>270.20000000000005</c:v>
                </c:pt>
                <c:pt idx="210">
                  <c:v>275.39999999999998</c:v>
                </c:pt>
                <c:pt idx="211">
                  <c:v>281.40000000000003</c:v>
                </c:pt>
                <c:pt idx="212">
                  <c:v>285</c:v>
                </c:pt>
                <c:pt idx="213">
                  <c:v>276.8</c:v>
                </c:pt>
                <c:pt idx="214">
                  <c:v>261.89999999999998</c:v>
                </c:pt>
                <c:pt idx="215">
                  <c:v>244.9</c:v>
                </c:pt>
                <c:pt idx="216">
                  <c:v>235.8</c:v>
                </c:pt>
                <c:pt idx="217">
                  <c:v>236.8</c:v>
                </c:pt>
                <c:pt idx="218">
                  <c:v>217.10000000000002</c:v>
                </c:pt>
                <c:pt idx="219">
                  <c:v>209.39999999999998</c:v>
                </c:pt>
                <c:pt idx="220">
                  <c:v>209.9</c:v>
                </c:pt>
                <c:pt idx="221">
                  <c:v>240.60000000000002</c:v>
                </c:pt>
                <c:pt idx="222">
                  <c:v>263.3</c:v>
                </c:pt>
                <c:pt idx="223">
                  <c:v>280.3</c:v>
                </c:pt>
                <c:pt idx="224">
                  <c:v>286.60000000000002</c:v>
                </c:pt>
                <c:pt idx="225">
                  <c:v>282.89999999999998</c:v>
                </c:pt>
                <c:pt idx="226">
                  <c:v>270.8</c:v>
                </c:pt>
                <c:pt idx="227">
                  <c:v>255.4</c:v>
                </c:pt>
                <c:pt idx="228">
                  <c:v>244.29999999999998</c:v>
                </c:pt>
                <c:pt idx="229">
                  <c:v>247.1</c:v>
                </c:pt>
                <c:pt idx="230">
                  <c:v>246.5</c:v>
                </c:pt>
                <c:pt idx="231">
                  <c:v>255.79999999999998</c:v>
                </c:pt>
                <c:pt idx="232">
                  <c:v>257.60000000000002</c:v>
                </c:pt>
                <c:pt idx="233">
                  <c:v>268.5</c:v>
                </c:pt>
                <c:pt idx="234">
                  <c:v>273.5</c:v>
                </c:pt>
                <c:pt idx="235">
                  <c:v>277.10000000000002</c:v>
                </c:pt>
                <c:pt idx="236">
                  <c:v>274.60000000000002</c:v>
                </c:pt>
                <c:pt idx="237">
                  <c:v>267.5</c:v>
                </c:pt>
                <c:pt idx="238">
                  <c:v>255.2</c:v>
                </c:pt>
              </c:numCache>
            </c:numRef>
          </c:val>
          <c:smooth val="0"/>
          <c:extLst>
            <c:ext xmlns:c16="http://schemas.microsoft.com/office/drawing/2014/chart" uri="{C3380CC4-5D6E-409C-BE32-E72D297353CC}">
              <c16:uniqueId val="{00000001-EB78-4572-A4CB-6425DB49282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MOVPROD!$G$12:$G$250</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1899-4761-AB1D-AE7882FED9B5}"/>
            </c:ext>
          </c:extLst>
        </c:ser>
        <c:ser>
          <c:idx val="1"/>
          <c:order val="1"/>
          <c:tx>
            <c:v>Difference</c:v>
          </c:tx>
          <c:spPr>
            <a:ln w="19050" cap="rnd">
              <a:solidFill>
                <a:schemeClr val="accent2"/>
              </a:solidFill>
              <a:round/>
            </a:ln>
            <a:effectLst/>
          </c:spPr>
          <c:marker>
            <c:symbol val="none"/>
          </c:marker>
          <c:cat>
            <c:numRef>
              <c:f>MOVPROD!$F$12:$F$250</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MOVPROD!$O$12:$O$300</c:f>
              <c:numCache>
                <c:formatCode>0.0</c:formatCode>
                <c:ptCount val="289"/>
                <c:pt idx="0">
                  <c:v>#N/A</c:v>
                </c:pt>
                <c:pt idx="1">
                  <c:v>390582.0720000001</c:v>
                </c:pt>
                <c:pt idx="2">
                  <c:v>429424.48800000001</c:v>
                </c:pt>
                <c:pt idx="3">
                  <c:v>495347.61600000004</c:v>
                </c:pt>
                <c:pt idx="4">
                  <c:v>495987.60000000003</c:v>
                </c:pt>
                <c:pt idx="5">
                  <c:v>519042.3</c:v>
                </c:pt>
                <c:pt idx="6">
                  <c:v>539700.69999999995</c:v>
                </c:pt>
                <c:pt idx="7">
                  <c:v>571734.54799999995</c:v>
                </c:pt>
                <c:pt idx="8">
                  <c:v>612229.55200000003</c:v>
                </c:pt>
                <c:pt idx="9">
                  <c:v>614426.54800000007</c:v>
                </c:pt>
                <c:pt idx="10">
                  <c:v>558297.44800000009</c:v>
                </c:pt>
                <c:pt idx="11">
                  <c:v>463161.56</c:v>
                </c:pt>
                <c:pt idx="12">
                  <c:v>396364.72</c:v>
                </c:pt>
                <c:pt idx="13">
                  <c:v>411241.68</c:v>
                </c:pt>
                <c:pt idx="14">
                  <c:v>425134.98000000004</c:v>
                </c:pt>
                <c:pt idx="15">
                  <c:v>471911.67000000004</c:v>
                </c:pt>
                <c:pt idx="16">
                  <c:v>465204.91499999998</c:v>
                </c:pt>
                <c:pt idx="17">
                  <c:v>494394.24299999996</c:v>
                </c:pt>
                <c:pt idx="18">
                  <c:v>506180.30399999995</c:v>
                </c:pt>
                <c:pt idx="19">
                  <c:v>568540.65599999996</c:v>
                </c:pt>
                <c:pt idx="20">
                  <c:v>629380.80000000005</c:v>
                </c:pt>
                <c:pt idx="21">
                  <c:v>652519.79999999993</c:v>
                </c:pt>
                <c:pt idx="22">
                  <c:v>593130.6</c:v>
                </c:pt>
                <c:pt idx="23">
                  <c:v>506138.11199999996</c:v>
                </c:pt>
                <c:pt idx="24">
                  <c:v>442721.28000000003</c:v>
                </c:pt>
                <c:pt idx="25">
                  <c:v>493870.08000000002</c:v>
                </c:pt>
                <c:pt idx="26">
                  <c:v>528595.32000000007</c:v>
                </c:pt>
                <c:pt idx="27">
                  <c:v>616456.43400000001</c:v>
                </c:pt>
                <c:pt idx="28">
                  <c:v>610781.3459999999</c:v>
                </c:pt>
                <c:pt idx="29">
                  <c:v>669481.7429999999</c:v>
                </c:pt>
                <c:pt idx="30">
                  <c:v>714475.88099999982</c:v>
                </c:pt>
                <c:pt idx="31">
                  <c:v>764265.14099999983</c:v>
                </c:pt>
                <c:pt idx="32">
                  <c:v>793105.33499999996</c:v>
                </c:pt>
                <c:pt idx="33">
                  <c:v>790521.93</c:v>
                </c:pt>
                <c:pt idx="34">
                  <c:v>727005.51</c:v>
                </c:pt>
                <c:pt idx="35">
                  <c:v>629812.26</c:v>
                </c:pt>
                <c:pt idx="36">
                  <c:v>524157.48000000004</c:v>
                </c:pt>
                <c:pt idx="37">
                  <c:v>544579.20000000007</c:v>
                </c:pt>
                <c:pt idx="38">
                  <c:v>584918.4</c:v>
                </c:pt>
                <c:pt idx="39">
                  <c:v>697461.6</c:v>
                </c:pt>
                <c:pt idx="40">
                  <c:v>724408.98</c:v>
                </c:pt>
                <c:pt idx="41">
                  <c:v>753551.87000000011</c:v>
                </c:pt>
                <c:pt idx="42">
                  <c:v>790774.52</c:v>
                </c:pt>
                <c:pt idx="43">
                  <c:v>795965.6</c:v>
                </c:pt>
                <c:pt idx="44">
                  <c:v>824110.23999999987</c:v>
                </c:pt>
                <c:pt idx="45">
                  <c:v>796524.96</c:v>
                </c:pt>
                <c:pt idx="46">
                  <c:v>749772.40800000005</c:v>
                </c:pt>
                <c:pt idx="47">
                  <c:v>669754.00800000003</c:v>
                </c:pt>
                <c:pt idx="48">
                  <c:v>581323.28399999999</c:v>
                </c:pt>
                <c:pt idx="49">
                  <c:v>620257.17600000009</c:v>
                </c:pt>
                <c:pt idx="50">
                  <c:v>635078.13600000006</c:v>
                </c:pt>
                <c:pt idx="51">
                  <c:v>755442.07200000016</c:v>
                </c:pt>
                <c:pt idx="52">
                  <c:v>744813.55799999996</c:v>
                </c:pt>
                <c:pt idx="53">
                  <c:v>815210.17200000002</c:v>
                </c:pt>
                <c:pt idx="54">
                  <c:v>842554.74799999979</c:v>
                </c:pt>
                <c:pt idx="55">
                  <c:v>861976.97599999991</c:v>
                </c:pt>
                <c:pt idx="56">
                  <c:v>895978.20000000007</c:v>
                </c:pt>
                <c:pt idx="57">
                  <c:v>871443.3</c:v>
                </c:pt>
                <c:pt idx="58">
                  <c:v>813471.75</c:v>
                </c:pt>
                <c:pt idx="59">
                  <c:v>725867.10000000009</c:v>
                </c:pt>
                <c:pt idx="60">
                  <c:v>625199.39999999991</c:v>
                </c:pt>
                <c:pt idx="61">
                  <c:v>692749.68</c:v>
                </c:pt>
                <c:pt idx="62">
                  <c:v>721415.18400000001</c:v>
                </c:pt>
                <c:pt idx="63">
                  <c:v>872510.61600000004</c:v>
                </c:pt>
                <c:pt idx="64">
                  <c:v>877036.08600000013</c:v>
                </c:pt>
                <c:pt idx="65">
                  <c:v>966094.93800000008</c:v>
                </c:pt>
                <c:pt idx="66">
                  <c:v>1014448.0380000002</c:v>
                </c:pt>
                <c:pt idx="67">
                  <c:v>1030151.5680000001</c:v>
                </c:pt>
                <c:pt idx="68">
                  <c:v>1112728.8480000002</c:v>
                </c:pt>
                <c:pt idx="69">
                  <c:v>1086210.0480000002</c:v>
                </c:pt>
                <c:pt idx="70">
                  <c:v>1022185.4720000001</c:v>
                </c:pt>
                <c:pt idx="71">
                  <c:v>898916.35199999996</c:v>
                </c:pt>
                <c:pt idx="72">
                  <c:v>799719.52799999993</c:v>
                </c:pt>
                <c:pt idx="73">
                  <c:v>843764.55599999987</c:v>
                </c:pt>
                <c:pt idx="74">
                  <c:v>882926.62399999995</c:v>
                </c:pt>
                <c:pt idx="75">
                  <c:v>993413.6</c:v>
                </c:pt>
                <c:pt idx="76">
                  <c:v>1050354.3999999999</c:v>
                </c:pt>
                <c:pt idx="77">
                  <c:v>1148825.125</c:v>
                </c:pt>
                <c:pt idx="78">
                  <c:v>1198140.5449999999</c:v>
                </c:pt>
                <c:pt idx="79">
                  <c:v>1244535.145</c:v>
                </c:pt>
                <c:pt idx="80">
                  <c:v>1243388.1080000002</c:v>
                </c:pt>
                <c:pt idx="81">
                  <c:v>1118932.9839999999</c:v>
                </c:pt>
                <c:pt idx="82">
                  <c:v>824861.12800000003</c:v>
                </c:pt>
                <c:pt idx="83">
                  <c:v>598861.35400000005</c:v>
                </c:pt>
                <c:pt idx="84">
                  <c:v>473735.43699999998</c:v>
                </c:pt>
                <c:pt idx="85">
                  <c:v>530631.60199999996</c:v>
                </c:pt>
                <c:pt idx="86">
                  <c:v>574457.59199999995</c:v>
                </c:pt>
                <c:pt idx="87">
                  <c:v>689198.13599999994</c:v>
                </c:pt>
                <c:pt idx="88">
                  <c:v>717201.67200000002</c:v>
                </c:pt>
                <c:pt idx="89">
                  <c:v>822424.92200000014</c:v>
                </c:pt>
                <c:pt idx="90">
                  <c:v>897190.82400000002</c:v>
                </c:pt>
                <c:pt idx="91">
                  <c:v>967253.44800000009</c:v>
                </c:pt>
                <c:pt idx="92">
                  <c:v>1045465.3439999999</c:v>
                </c:pt>
                <c:pt idx="93">
                  <c:v>1064359.2960000001</c:v>
                </c:pt>
                <c:pt idx="94">
                  <c:v>1007607.7439999999</c:v>
                </c:pt>
                <c:pt idx="95">
                  <c:v>870206.68799999997</c:v>
                </c:pt>
                <c:pt idx="96">
                  <c:v>763790.88</c:v>
                </c:pt>
                <c:pt idx="97">
                  <c:v>853075.67999999993</c:v>
                </c:pt>
                <c:pt idx="98">
                  <c:v>928842.2699999999</c:v>
                </c:pt>
                <c:pt idx="99">
                  <c:v>1088519.6489999997</c:v>
                </c:pt>
                <c:pt idx="100">
                  <c:v>1061591.4750000001</c:v>
                </c:pt>
                <c:pt idx="101">
                  <c:v>1142841.175</c:v>
                </c:pt>
                <c:pt idx="102">
                  <c:v>1184478.7249999999</c:v>
                </c:pt>
                <c:pt idx="103">
                  <c:v>1222613.162</c:v>
                </c:pt>
                <c:pt idx="104">
                  <c:v>1231762.746</c:v>
                </c:pt>
                <c:pt idx="105">
                  <c:v>1216949.6879999998</c:v>
                </c:pt>
                <c:pt idx="106">
                  <c:v>1111127.976</c:v>
                </c:pt>
                <c:pt idx="107">
                  <c:v>961533.2159999999</c:v>
                </c:pt>
                <c:pt idx="108">
                  <c:v>858897.64799999993</c:v>
                </c:pt>
                <c:pt idx="109">
                  <c:v>928249.6320000001</c:v>
                </c:pt>
                <c:pt idx="110">
                  <c:v>971076.60000000021</c:v>
                </c:pt>
                <c:pt idx="111">
                  <c:v>1090170.8999999999</c:v>
                </c:pt>
                <c:pt idx="112">
                  <c:v>1073463.3</c:v>
                </c:pt>
                <c:pt idx="113">
                  <c:v>1168148.2679999999</c:v>
                </c:pt>
                <c:pt idx="114">
                  <c:v>1208504.4639999999</c:v>
                </c:pt>
                <c:pt idx="115">
                  <c:v>1232016.2239999999</c:v>
                </c:pt>
                <c:pt idx="116">
                  <c:v>1234338.5919999999</c:v>
                </c:pt>
                <c:pt idx="117">
                  <c:v>1160813.0079999999</c:v>
                </c:pt>
                <c:pt idx="118">
                  <c:v>1060017.2219999998</c:v>
                </c:pt>
                <c:pt idx="119">
                  <c:v>884511.0780000001</c:v>
                </c:pt>
                <c:pt idx="120">
                  <c:v>762275.38199999998</c:v>
                </c:pt>
                <c:pt idx="121">
                  <c:v>794136.42200000002</c:v>
                </c:pt>
                <c:pt idx="122">
                  <c:v>830843.96799999988</c:v>
                </c:pt>
                <c:pt idx="123">
                  <c:v>948346.4</c:v>
                </c:pt>
                <c:pt idx="124">
                  <c:v>935029.6</c:v>
                </c:pt>
                <c:pt idx="125">
                  <c:v>1052915.875</c:v>
                </c:pt>
                <c:pt idx="126">
                  <c:v>1145367.0250000001</c:v>
                </c:pt>
                <c:pt idx="127">
                  <c:v>1204790.95</c:v>
                </c:pt>
                <c:pt idx="128">
                  <c:v>1288953.3800000001</c:v>
                </c:pt>
                <c:pt idx="129">
                  <c:v>1211500.5760000001</c:v>
                </c:pt>
                <c:pt idx="130">
                  <c:v>1080274.2079999999</c:v>
                </c:pt>
                <c:pt idx="131">
                  <c:v>913111.91999999993</c:v>
                </c:pt>
                <c:pt idx="132">
                  <c:v>767606.48999999987</c:v>
                </c:pt>
                <c:pt idx="133">
                  <c:v>813396.46499999997</c:v>
                </c:pt>
                <c:pt idx="134">
                  <c:v>876230.26599999983</c:v>
                </c:pt>
                <c:pt idx="135">
                  <c:v>1044315.3</c:v>
                </c:pt>
                <c:pt idx="136">
                  <c:v>1087071.3</c:v>
                </c:pt>
                <c:pt idx="137">
                  <c:v>1153278</c:v>
                </c:pt>
                <c:pt idx="138">
                  <c:v>1230163.2</c:v>
                </c:pt>
                <c:pt idx="139">
                  <c:v>1297900.8</c:v>
                </c:pt>
                <c:pt idx="140">
                  <c:v>1353181.76</c:v>
                </c:pt>
                <c:pt idx="141">
                  <c:v>1281898.078</c:v>
                </c:pt>
                <c:pt idx="142">
                  <c:v>1076412.0859999999</c:v>
                </c:pt>
                <c:pt idx="143">
                  <c:v>885219.88599999982</c:v>
                </c:pt>
                <c:pt idx="144">
                  <c:v>770082.89799999981</c:v>
                </c:pt>
                <c:pt idx="145">
                  <c:v>831621.15399999998</c:v>
                </c:pt>
                <c:pt idx="146">
                  <c:v>862155.83999999985</c:v>
                </c:pt>
                <c:pt idx="147">
                  <c:v>949959.36</c:v>
                </c:pt>
                <c:pt idx="148">
                  <c:v>926527.68000000017</c:v>
                </c:pt>
                <c:pt idx="149">
                  <c:v>1007598.8520000002</c:v>
                </c:pt>
                <c:pt idx="150">
                  <c:v>1053173.628</c:v>
                </c:pt>
                <c:pt idx="151">
                  <c:v>1171919.2320000001</c:v>
                </c:pt>
                <c:pt idx="152">
                  <c:v>1226923.1039999998</c:v>
                </c:pt>
                <c:pt idx="153">
                  <c:v>1151899.584</c:v>
                </c:pt>
                <c:pt idx="154">
                  <c:v>956643.87800000003</c:v>
                </c:pt>
                <c:pt idx="155">
                  <c:v>771091.72599999991</c:v>
                </c:pt>
                <c:pt idx="156">
                  <c:v>646697.16899999999</c:v>
                </c:pt>
                <c:pt idx="157">
                  <c:v>695365.37099999993</c:v>
                </c:pt>
                <c:pt idx="158">
                  <c:v>700890.40799999994</c:v>
                </c:pt>
                <c:pt idx="159">
                  <c:v>779604.50399999996</c:v>
                </c:pt>
                <c:pt idx="160">
                  <c:v>764723.39999999991</c:v>
                </c:pt>
                <c:pt idx="161">
                  <c:v>822422.125</c:v>
                </c:pt>
                <c:pt idx="162">
                  <c:v>862174</c:v>
                </c:pt>
                <c:pt idx="163">
                  <c:v>878951.44</c:v>
                </c:pt>
                <c:pt idx="164">
                  <c:v>894597.69599999988</c:v>
                </c:pt>
                <c:pt idx="165">
                  <c:v>802938.0959999999</c:v>
                </c:pt>
                <c:pt idx="166">
                  <c:v>657336.38399999996</c:v>
                </c:pt>
                <c:pt idx="167">
                  <c:v>515995.53600000002</c:v>
                </c:pt>
                <c:pt idx="168">
                  <c:v>446489.28799999994</c:v>
                </c:pt>
                <c:pt idx="169">
                  <c:v>484082.29800000001</c:v>
                </c:pt>
                <c:pt idx="170">
                  <c:v>526590.18000000005</c:v>
                </c:pt>
                <c:pt idx="171">
                  <c:v>599534.73</c:v>
                </c:pt>
                <c:pt idx="172">
                  <c:v>628186.32999999996</c:v>
                </c:pt>
                <c:pt idx="173">
                  <c:v>678138.49599999993</c:v>
                </c:pt>
                <c:pt idx="174">
                  <c:v>730786.56</c:v>
                </c:pt>
                <c:pt idx="175">
                  <c:v>755784.96</c:v>
                </c:pt>
                <c:pt idx="176">
                  <c:v>760846.02</c:v>
                </c:pt>
                <c:pt idx="177">
                  <c:v>707668.61</c:v>
                </c:pt>
                <c:pt idx="178">
                  <c:v>602337.56000000006</c:v>
                </c:pt>
                <c:pt idx="179">
                  <c:v>520200.62000000005</c:v>
                </c:pt>
                <c:pt idx="180">
                  <c:v>456453.49200000009</c:v>
                </c:pt>
                <c:pt idx="181">
                  <c:v>504936.89400000009</c:v>
                </c:pt>
                <c:pt idx="182">
                  <c:v>514011.49800000002</c:v>
                </c:pt>
                <c:pt idx="183">
                  <c:v>610177.022</c:v>
                </c:pt>
                <c:pt idx="184">
                  <c:v>631611.81200000003</c:v>
                </c:pt>
                <c:pt idx="185">
                  <c:v>733561.76399999997</c:v>
                </c:pt>
                <c:pt idx="186">
                  <c:v>787296.58800000011</c:v>
                </c:pt>
                <c:pt idx="187">
                  <c:v>828264.51</c:v>
                </c:pt>
                <c:pt idx="188">
                  <c:v>855243.80999999994</c:v>
                </c:pt>
                <c:pt idx="189">
                  <c:v>801293.57999999984</c:v>
                </c:pt>
                <c:pt idx="190">
                  <c:v>697900.86</c:v>
                </c:pt>
                <c:pt idx="191">
                  <c:v>603966.77999999991</c:v>
                </c:pt>
                <c:pt idx="192">
                  <c:v>515304.99</c:v>
                </c:pt>
                <c:pt idx="193">
                  <c:v>548386.29800000007</c:v>
                </c:pt>
                <c:pt idx="194">
                  <c:v>576371.99</c:v>
                </c:pt>
                <c:pt idx="195">
                  <c:v>629311.72000000009</c:v>
                </c:pt>
                <c:pt idx="196">
                  <c:v>665084.66</c:v>
                </c:pt>
                <c:pt idx="197">
                  <c:v>736590.87199999997</c:v>
                </c:pt>
                <c:pt idx="198">
                  <c:v>857028.7159999999</c:v>
                </c:pt>
                <c:pt idx="199">
                  <c:v>853265.69199999992</c:v>
                </c:pt>
                <c:pt idx="200">
                  <c:v>853265.69199999992</c:v>
                </c:pt>
                <c:pt idx="201">
                  <c:v>777670.87</c:v>
                </c:pt>
                <c:pt idx="202">
                  <c:v>668779.80000000005</c:v>
                </c:pt>
                <c:pt idx="203">
                  <c:v>563366.70000000007</c:v>
                </c:pt>
                <c:pt idx="204">
                  <c:v>497902.86</c:v>
                </c:pt>
                <c:pt idx="205">
                  <c:v>517052.97</c:v>
                </c:pt>
                <c:pt idx="206">
                  <c:v>533711.42999999993</c:v>
                </c:pt>
                <c:pt idx="207">
                  <c:v>614004.30000000005</c:v>
                </c:pt>
                <c:pt idx="208">
                  <c:v>650389.74</c:v>
                </c:pt>
                <c:pt idx="209">
                  <c:v>729248.52</c:v>
                </c:pt>
                <c:pt idx="210">
                  <c:v>770919.86400000006</c:v>
                </c:pt>
                <c:pt idx="211">
                  <c:v>824830.34399999992</c:v>
                </c:pt>
                <c:pt idx="212">
                  <c:v>856622.52</c:v>
                </c:pt>
                <c:pt idx="213">
                  <c:v>783604.8</c:v>
                </c:pt>
                <c:pt idx="214">
                  <c:v>656418.4</c:v>
                </c:pt>
                <c:pt idx="215">
                  <c:v>541376</c:v>
                </c:pt>
                <c:pt idx="216">
                  <c:v>485392.80000000005</c:v>
                </c:pt>
                <c:pt idx="217">
                  <c:v>491704.80000000005</c:v>
                </c:pt>
                <c:pt idx="218">
                  <c:v>370622.49300000007</c:v>
                </c:pt>
                <c:pt idx="219">
                  <c:v>334452.74400000001</c:v>
                </c:pt>
                <c:pt idx="220">
                  <c:v>336599.424</c:v>
                </c:pt>
                <c:pt idx="221">
                  <c:v>507969.28000000009</c:v>
                </c:pt>
                <c:pt idx="222">
                  <c:v>669920.16000000015</c:v>
                </c:pt>
                <c:pt idx="223">
                  <c:v>815183.46</c:v>
                </c:pt>
                <c:pt idx="224">
                  <c:v>871619.23800000013</c:v>
                </c:pt>
                <c:pt idx="225">
                  <c:v>837274.28399999999</c:v>
                </c:pt>
                <c:pt idx="226">
                  <c:v>731079.1179999999</c:v>
                </c:pt>
                <c:pt idx="227">
                  <c:v>615368.75400000007</c:v>
                </c:pt>
                <c:pt idx="228">
                  <c:v>539641.55700000003</c:v>
                </c:pt>
                <c:pt idx="229">
                  <c:v>557780.76899999997</c:v>
                </c:pt>
                <c:pt idx="230">
                  <c:v>553694.46299999987</c:v>
                </c:pt>
                <c:pt idx="231">
                  <c:v>618793.81200000003</c:v>
                </c:pt>
                <c:pt idx="232">
                  <c:v>631730.26800000004</c:v>
                </c:pt>
                <c:pt idx="233">
                  <c:v>716427.19200000004</c:v>
                </c:pt>
                <c:pt idx="234">
                  <c:v>756949.09200000018</c:v>
                </c:pt>
                <c:pt idx="235">
                  <c:v>787950.42000000016</c:v>
                </c:pt>
                <c:pt idx="236">
                  <c:v>766585.17</c:v>
                </c:pt>
                <c:pt idx="237">
                  <c:v>708311.56500000006</c:v>
                </c:pt>
                <c:pt idx="238">
                  <c:v>613095.91200000001</c:v>
                </c:pt>
              </c:numCache>
            </c:numRef>
          </c:val>
          <c:smooth val="0"/>
          <c:extLst>
            <c:ext xmlns:c16="http://schemas.microsoft.com/office/drawing/2014/chart" uri="{C3380CC4-5D6E-409C-BE32-E72D297353CC}">
              <c16:uniqueId val="{00000001-1899-4761-AB1D-AE7882FED9B5}"/>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9643-4C65-A2B1-675C4E1C1101}"/>
            </c:ext>
          </c:extLst>
        </c:ser>
        <c:ser>
          <c:idx val="1"/>
          <c:order val="1"/>
          <c:tx>
            <c:v>Detrended</c:v>
          </c:tx>
          <c:spPr>
            <a:ln w="19050" cap="rnd">
              <a:solidFill>
                <a:schemeClr val="accent2"/>
              </a:solidFill>
              <a:round/>
            </a:ln>
            <a:effectLst/>
          </c:spPr>
          <c:marker>
            <c:symbol val="none"/>
          </c:marker>
          <c:cat>
            <c:numRef>
              <c:f>DETREND!$F$9:$F$247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DETREND!$J$9:$J$297</c:f>
              <c:numCache>
                <c:formatCode>0.0</c:formatCode>
                <c:ptCount val="289"/>
                <c:pt idx="0">
                  <c:v>-20.700272758308301</c:v>
                </c:pt>
                <c:pt idx="1">
                  <c:v>-13.00376233869126</c:v>
                </c:pt>
                <c:pt idx="2">
                  <c:v>-10.807252053777134</c:v>
                </c:pt>
                <c:pt idx="3">
                  <c:v>-10.010741903570903</c:v>
                </c:pt>
                <c:pt idx="4">
                  <c:v>-12.914231888077978</c:v>
                </c:pt>
                <c:pt idx="5">
                  <c:v>-7.1177220073033851</c:v>
                </c:pt>
                <c:pt idx="6">
                  <c:v>-6.8212122612525121</c:v>
                </c:pt>
                <c:pt idx="7">
                  <c:v>-8.3247026499303303</c:v>
                </c:pt>
                <c:pt idx="8">
                  <c:v>-1.2281931733422908</c:v>
                </c:pt>
                <c:pt idx="9">
                  <c:v>-6.5316838314933534</c:v>
                </c:pt>
                <c:pt idx="10">
                  <c:v>-15.835174624388941</c:v>
                </c:pt>
                <c:pt idx="11">
                  <c:v>-16.438665552034053</c:v>
                </c:pt>
                <c:pt idx="12">
                  <c:v>-18.642156614434143</c:v>
                </c:pt>
                <c:pt idx="13">
                  <c:v>-13.045647811594066</c:v>
                </c:pt>
                <c:pt idx="14">
                  <c:v>-13.949139143519361</c:v>
                </c:pt>
                <c:pt idx="15">
                  <c:v>-10.752630610214965</c:v>
                </c:pt>
                <c:pt idx="16">
                  <c:v>-14.156122211686238</c:v>
                </c:pt>
                <c:pt idx="17">
                  <c:v>-9.1596139479383396</c:v>
                </c:pt>
                <c:pt idx="18">
                  <c:v>-8.8631058189765213</c:v>
                </c:pt>
                <c:pt idx="19">
                  <c:v>-4.7665978248059133</c:v>
                </c:pt>
                <c:pt idx="20">
                  <c:v>-0.47008996543171122</c:v>
                </c:pt>
                <c:pt idx="21">
                  <c:v>-5.8735822408592071</c:v>
                </c:pt>
                <c:pt idx="22">
                  <c:v>-12.57707465109354</c:v>
                </c:pt>
                <c:pt idx="23">
                  <c:v>-13.680567196139947</c:v>
                </c:pt>
                <c:pt idx="24">
                  <c:v>-16.484059876003499</c:v>
                </c:pt>
                <c:pt idx="25">
                  <c:v>-3.5875526906896766</c:v>
                </c:pt>
                <c:pt idx="26">
                  <c:v>-8.2910456402033503</c:v>
                </c:pt>
                <c:pt idx="27">
                  <c:v>-4.1945387245500854</c:v>
                </c:pt>
                <c:pt idx="28">
                  <c:v>-4.3980319437347646</c:v>
                </c:pt>
                <c:pt idx="29">
                  <c:v>-0.40152529776275969</c:v>
                </c:pt>
                <c:pt idx="30">
                  <c:v>1.5949812133608248</c:v>
                </c:pt>
                <c:pt idx="31">
                  <c:v>1.5914875896307166</c:v>
                </c:pt>
                <c:pt idx="32">
                  <c:v>2.9879938310416634</c:v>
                </c:pt>
                <c:pt idx="33">
                  <c:v>1.2844999375885493</c:v>
                </c:pt>
                <c:pt idx="34">
                  <c:v>-5.8189940907339235</c:v>
                </c:pt>
                <c:pt idx="35">
                  <c:v>-9.5224882539308311</c:v>
                </c:pt>
                <c:pt idx="36">
                  <c:v>-14.125982552007599</c:v>
                </c:pt>
                <c:pt idx="37">
                  <c:v>-2.5294769849691221</c:v>
                </c:pt>
                <c:pt idx="38">
                  <c:v>-3.5329715528209391</c:v>
                </c:pt>
                <c:pt idx="39">
                  <c:v>0.563533744431993</c:v>
                </c:pt>
                <c:pt idx="40">
                  <c:v>0.86003890678438211</c:v>
                </c:pt>
                <c:pt idx="41">
                  <c:v>-4.3456065768950225E-2</c:v>
                </c:pt>
                <c:pt idx="42">
                  <c:v>5.0530488267666698</c:v>
                </c:pt>
                <c:pt idx="43">
                  <c:v>1.4495535843861944</c:v>
                </c:pt>
                <c:pt idx="44">
                  <c:v>3.1460582070842236</c:v>
                </c:pt>
                <c:pt idx="45">
                  <c:v>1.8425626948558005</c:v>
                </c:pt>
                <c:pt idx="46">
                  <c:v>-3.9609329523044039</c:v>
                </c:pt>
                <c:pt idx="47">
                  <c:v>-6.8644287344016988</c:v>
                </c:pt>
                <c:pt idx="48">
                  <c:v>-10.367924651441115</c:v>
                </c:pt>
                <c:pt idx="49">
                  <c:v>1.8285792965719025</c:v>
                </c:pt>
                <c:pt idx="50">
                  <c:v>-4.8749168903675297</c:v>
                </c:pt>
                <c:pt idx="51">
                  <c:v>4.821586787735086</c:v>
                </c:pt>
                <c:pt idx="52">
                  <c:v>0.5180903308746565</c:v>
                </c:pt>
                <c:pt idx="53">
                  <c:v>3.2145937390459665</c:v>
                </c:pt>
                <c:pt idx="54">
                  <c:v>8.0110970122438658</c:v>
                </c:pt>
                <c:pt idx="55">
                  <c:v>2.6076001504630995</c:v>
                </c:pt>
                <c:pt idx="56">
                  <c:v>6.9041031536983866</c:v>
                </c:pt>
                <c:pt idx="57">
                  <c:v>5.3006060219445743</c:v>
                </c:pt>
                <c:pt idx="58">
                  <c:v>-3.6028912448035015</c:v>
                </c:pt>
                <c:pt idx="59">
                  <c:v>-3.6063886465511672</c:v>
                </c:pt>
                <c:pt idx="60">
                  <c:v>-8.0098861833034505</c:v>
                </c:pt>
                <c:pt idx="61">
                  <c:v>5.7866161449341575</c:v>
                </c:pt>
                <c:pt idx="62">
                  <c:v>-1.6881661843214602E-2</c:v>
                </c:pt>
                <c:pt idx="63">
                  <c:v>9.2796203963590074</c:v>
                </c:pt>
                <c:pt idx="64">
                  <c:v>6.2761223195355456</c:v>
                </c:pt>
                <c:pt idx="65">
                  <c:v>9.1726241076814148</c:v>
                </c:pt>
                <c:pt idx="66">
                  <c:v>14.269125760791155</c:v>
                </c:pt>
                <c:pt idx="67">
                  <c:v>7.7656272788597818</c:v>
                </c:pt>
                <c:pt idx="68">
                  <c:v>17.162128661881979</c:v>
                </c:pt>
                <c:pt idx="69">
                  <c:v>11.758629909852488</c:v>
                </c:pt>
                <c:pt idx="70">
                  <c:v>1.9551310227661389</c:v>
                </c:pt>
                <c:pt idx="71">
                  <c:v>4.1516320006178233</c:v>
                </c:pt>
                <c:pt idx="72">
                  <c:v>0.44813284340204973</c:v>
                </c:pt>
                <c:pt idx="73">
                  <c:v>7.0446335511139893</c:v>
                </c:pt>
                <c:pt idx="74">
                  <c:v>8.5411341237480656</c:v>
                </c:pt>
                <c:pt idx="75">
                  <c:v>11.837634561299282</c:v>
                </c:pt>
                <c:pt idx="76">
                  <c:v>12.63413486376227</c:v>
                </c:pt>
                <c:pt idx="77">
                  <c:v>17.830635031132061</c:v>
                </c:pt>
                <c:pt idx="78">
                  <c:v>16.227135063403111</c:v>
                </c:pt>
                <c:pt idx="79">
                  <c:v>16.623634960570527</c:v>
                </c:pt>
                <c:pt idx="80">
                  <c:v>17.720134722628956</c:v>
                </c:pt>
                <c:pt idx="81">
                  <c:v>5.5166343495730246</c:v>
                </c:pt>
                <c:pt idx="82">
                  <c:v>-11.586866158602177</c:v>
                </c:pt>
                <c:pt idx="83">
                  <c:v>-11.990366801902169</c:v>
                </c:pt>
                <c:pt idx="84">
                  <c:v>-14.593867580331889</c:v>
                </c:pt>
                <c:pt idx="85">
                  <c:v>-2.0973684938967807</c:v>
                </c:pt>
                <c:pt idx="86">
                  <c:v>-5.5008695426018619</c:v>
                </c:pt>
                <c:pt idx="87">
                  <c:v>0.59562927354743067</c:v>
                </c:pt>
                <c:pt idx="88">
                  <c:v>1.4921279545460635</c:v>
                </c:pt>
                <c:pt idx="89">
                  <c:v>6.9886265003887331</c:v>
                </c:pt>
                <c:pt idx="90">
                  <c:v>8.8851249110702213</c:v>
                </c:pt>
                <c:pt idx="91">
                  <c:v>8.6816231865853553</c:v>
                </c:pt>
                <c:pt idx="92">
                  <c:v>14.878121326928905</c:v>
                </c:pt>
                <c:pt idx="93">
                  <c:v>10.674619332095631</c:v>
                </c:pt>
                <c:pt idx="94">
                  <c:v>3.3711172020803701</c:v>
                </c:pt>
                <c:pt idx="95">
                  <c:v>0.46761493687785105</c:v>
                </c:pt>
                <c:pt idx="96">
                  <c:v>-1.7358874635172441</c:v>
                </c:pt>
                <c:pt idx="97">
                  <c:v>14.360610000890119</c:v>
                </c:pt>
                <c:pt idx="98">
                  <c:v>8.5571073300944676</c:v>
                </c:pt>
                <c:pt idx="99">
                  <c:v>13.553604524090758</c:v>
                </c:pt>
                <c:pt idx="100">
                  <c:v>11.750101582873654</c:v>
                </c:pt>
                <c:pt idx="101">
                  <c:v>16.146598506437996</c:v>
                </c:pt>
                <c:pt idx="102">
                  <c:v>17.343095294778522</c:v>
                </c:pt>
                <c:pt idx="103">
                  <c:v>15.039591947890173</c:v>
                </c:pt>
                <c:pt idx="104">
                  <c:v>16.936088465767469</c:v>
                </c:pt>
                <c:pt idx="105">
                  <c:v>16.032584848405463</c:v>
                </c:pt>
                <c:pt idx="106">
                  <c:v>5.8290810957986849</c:v>
                </c:pt>
                <c:pt idx="107">
                  <c:v>2.4255772079420979</c:v>
                </c:pt>
                <c:pt idx="108">
                  <c:v>4.6220731848302989</c:v>
                </c:pt>
                <c:pt idx="109">
                  <c:v>13.61856902645826</c:v>
                </c:pt>
                <c:pt idx="110">
                  <c:v>6.7150647328206503</c:v>
                </c:pt>
                <c:pt idx="111">
                  <c:v>16.311560303912231</c:v>
                </c:pt>
                <c:pt idx="112">
                  <c:v>12.008055739727936</c:v>
                </c:pt>
                <c:pt idx="113">
                  <c:v>15.30455104026224</c:v>
                </c:pt>
                <c:pt idx="114">
                  <c:v>20.001046205510306</c:v>
                </c:pt>
                <c:pt idx="115">
                  <c:v>13.997541235466571</c:v>
                </c:pt>
                <c:pt idx="116">
                  <c:v>15.494036130126048</c:v>
                </c:pt>
                <c:pt idx="117">
                  <c:v>13.390530889483387</c:v>
                </c:pt>
                <c:pt idx="118">
                  <c:v>4.8870255135334446</c:v>
                </c:pt>
                <c:pt idx="119">
                  <c:v>-2.1164799977290727</c:v>
                </c:pt>
                <c:pt idx="120">
                  <c:v>-1.0199856443093438</c:v>
                </c:pt>
                <c:pt idx="121">
                  <c:v>8.8765085737872909</c:v>
                </c:pt>
                <c:pt idx="122">
                  <c:v>1.9730026565558489</c:v>
                </c:pt>
                <c:pt idx="123">
                  <c:v>11.669496603990879</c:v>
                </c:pt>
                <c:pt idx="124">
                  <c:v>7.4659904160872657</c:v>
                </c:pt>
                <c:pt idx="125">
                  <c:v>13.662484092839733</c:v>
                </c:pt>
                <c:pt idx="126">
                  <c:v>20.658977634243172</c:v>
                </c:pt>
                <c:pt idx="127">
                  <c:v>12.555471040292247</c:v>
                </c:pt>
                <c:pt idx="128">
                  <c:v>20.951964310981694</c:v>
                </c:pt>
                <c:pt idx="129">
                  <c:v>13.948457446306406</c:v>
                </c:pt>
                <c:pt idx="130">
                  <c:v>1.3449504462610662</c:v>
                </c:pt>
                <c:pt idx="131">
                  <c:v>3.6414433108405717</c:v>
                </c:pt>
                <c:pt idx="132">
                  <c:v>-2.7620639599604857</c:v>
                </c:pt>
                <c:pt idx="133">
                  <c:v>6.8344286338528519</c:v>
                </c:pt>
                <c:pt idx="134">
                  <c:v>10.930921092275128</c:v>
                </c:pt>
                <c:pt idx="135">
                  <c:v>14.12741341530139</c:v>
                </c:pt>
                <c:pt idx="136">
                  <c:v>10.823905602926203</c:v>
                </c:pt>
                <c:pt idx="137">
                  <c:v>17.120397655144558</c:v>
                </c:pt>
                <c:pt idx="138">
                  <c:v>21.116889571950892</c:v>
                </c:pt>
                <c:pt idx="139">
                  <c:v>16.413381353340341</c:v>
                </c:pt>
                <c:pt idx="140">
                  <c:v>21.709872999307436</c:v>
                </c:pt>
                <c:pt idx="141">
                  <c:v>15.20636450984702</c:v>
                </c:pt>
                <c:pt idx="142">
                  <c:v>-0.79714411504613736</c:v>
                </c:pt>
                <c:pt idx="143">
                  <c:v>1.6993471246228324</c:v>
                </c:pt>
                <c:pt idx="144">
                  <c:v>1.395838228848632</c:v>
                </c:pt>
                <c:pt idx="145">
                  <c:v>6.392329197625827</c:v>
                </c:pt>
                <c:pt idx="146">
                  <c:v>5.0888200309495488</c:v>
                </c:pt>
                <c:pt idx="147">
                  <c:v>10.785310728814281</c:v>
                </c:pt>
                <c:pt idx="148">
                  <c:v>3.9818012912150209</c:v>
                </c:pt>
                <c:pt idx="149">
                  <c:v>13.478291718146352</c:v>
                </c:pt>
                <c:pt idx="150">
                  <c:v>15.374782009603109</c:v>
                </c:pt>
                <c:pt idx="151">
                  <c:v>14.671272165580092</c:v>
                </c:pt>
                <c:pt idx="152">
                  <c:v>18.367762186072127</c:v>
                </c:pt>
                <c:pt idx="153">
                  <c:v>8.8642520710737926</c:v>
                </c:pt>
                <c:pt idx="154">
                  <c:v>-3.2392581794199486</c:v>
                </c:pt>
                <c:pt idx="155">
                  <c:v>-2.842768565414417</c:v>
                </c:pt>
                <c:pt idx="156">
                  <c:v>-7.2462790869148108</c:v>
                </c:pt>
                <c:pt idx="157">
                  <c:v>3.3502102560735665</c:v>
                </c:pt>
                <c:pt idx="158">
                  <c:v>-2.1533005364543953</c:v>
                </c:pt>
                <c:pt idx="159">
                  <c:v>2.1431885354960372</c:v>
                </c:pt>
                <c:pt idx="160">
                  <c:v>1.5396774719195605</c:v>
                </c:pt>
                <c:pt idx="161">
                  <c:v>4.5361662728109735</c:v>
                </c:pt>
                <c:pt idx="162">
                  <c:v>6.6326549381650324</c:v>
                </c:pt>
                <c:pt idx="163">
                  <c:v>3.3291434679765644</c:v>
                </c:pt>
                <c:pt idx="164">
                  <c:v>6.2256318622402347</c:v>
                </c:pt>
                <c:pt idx="165">
                  <c:v>-3.3778798790489901</c:v>
                </c:pt>
                <c:pt idx="166">
                  <c:v>-13.781391755896578</c:v>
                </c:pt>
                <c:pt idx="167">
                  <c:v>-14.68490376830762</c:v>
                </c:pt>
                <c:pt idx="168">
                  <c:v>-15.188415916287411</c:v>
                </c:pt>
                <c:pt idx="169">
                  <c:v>-7.2919281998410952</c:v>
                </c:pt>
                <c:pt idx="170">
                  <c:v>-7.9954406189740155</c:v>
                </c:pt>
                <c:pt idx="171">
                  <c:v>-4.698953173691379</c:v>
                </c:pt>
                <c:pt idx="172">
                  <c:v>-3.3024658639984068</c:v>
                </c:pt>
                <c:pt idx="173">
                  <c:v>-1.405978689900266</c:v>
                </c:pt>
                <c:pt idx="174">
                  <c:v>1.9905083485978281</c:v>
                </c:pt>
                <c:pt idx="175">
                  <c:v>-0.31300474850959858</c:v>
                </c:pt>
                <c:pt idx="176">
                  <c:v>-0.81651798122753405</c:v>
                </c:pt>
                <c:pt idx="177">
                  <c:v>-4.5200313495613642</c:v>
                </c:pt>
                <c:pt idx="178">
                  <c:v>-13.823544853516211</c:v>
                </c:pt>
                <c:pt idx="179">
                  <c:v>-13.127058493097437</c:v>
                </c:pt>
                <c:pt idx="180">
                  <c:v>-15.130572268310061</c:v>
                </c:pt>
                <c:pt idx="181">
                  <c:v>-5.6340861791595813</c:v>
                </c:pt>
                <c:pt idx="182">
                  <c:v>-11.737600225650993</c:v>
                </c:pt>
                <c:pt idx="183">
                  <c:v>-0.94111440778981148</c:v>
                </c:pt>
                <c:pt idx="184">
                  <c:v>-2.6446287255808869</c:v>
                </c:pt>
                <c:pt idx="185">
                  <c:v>1.0518568209701016</c:v>
                </c:pt>
                <c:pt idx="186">
                  <c:v>5.6483422318582512</c:v>
                </c:pt>
                <c:pt idx="187">
                  <c:v>1.9448275070782302</c:v>
                </c:pt>
                <c:pt idx="188">
                  <c:v>4.0413126466247462</c:v>
                </c:pt>
                <c:pt idx="189">
                  <c:v>-0.46220234950740746</c:v>
                </c:pt>
                <c:pt idx="190">
                  <c:v>-10.065717481323375</c:v>
                </c:pt>
                <c:pt idx="191">
                  <c:v>-8.7692327488285571</c:v>
                </c:pt>
                <c:pt idx="192">
                  <c:v>-13.772748152028115</c:v>
                </c:pt>
                <c:pt idx="193">
                  <c:v>-4.8762636909272175</c:v>
                </c:pt>
                <c:pt idx="194">
                  <c:v>-4.5797793655312802</c:v>
                </c:pt>
                <c:pt idx="195">
                  <c:v>-6.6832951758453731</c:v>
                </c:pt>
                <c:pt idx="196">
                  <c:v>1.3188878125120596E-2</c:v>
                </c:pt>
                <c:pt idx="197">
                  <c:v>4.7096727963751448</c:v>
                </c:pt>
                <c:pt idx="198">
                  <c:v>7.1061565788993022</c:v>
                </c:pt>
                <c:pt idx="199">
                  <c:v>-0.3973597743074464</c:v>
                </c:pt>
                <c:pt idx="200">
                  <c:v>4.6991237367493142</c:v>
                </c:pt>
                <c:pt idx="201">
                  <c:v>-1.6043928879352762</c:v>
                </c:pt>
                <c:pt idx="202">
                  <c:v>-13.107909648366729</c:v>
                </c:pt>
                <c:pt idx="203">
                  <c:v>-10.41142654455011</c:v>
                </c:pt>
                <c:pt idx="204">
                  <c:v>-12.014943576490822</c:v>
                </c:pt>
                <c:pt idx="205">
                  <c:v>-10.118460744193925</c:v>
                </c:pt>
                <c:pt idx="206">
                  <c:v>-7.8219780476648708</c:v>
                </c:pt>
                <c:pt idx="207">
                  <c:v>-0.12549548690871859</c:v>
                </c:pt>
                <c:pt idx="208">
                  <c:v>-5.3290130619307234</c:v>
                </c:pt>
                <c:pt idx="209">
                  <c:v>2.2674692272637458</c:v>
                </c:pt>
                <c:pt idx="210">
                  <c:v>5.0639513806695646</c:v>
                </c:pt>
                <c:pt idx="211">
                  <c:v>0.66043339828141256</c:v>
                </c:pt>
                <c:pt idx="212">
                  <c:v>5.8569152800941566</c:v>
                </c:pt>
                <c:pt idx="213">
                  <c:v>-3.146602973897572</c:v>
                </c:pt>
                <c:pt idx="214">
                  <c:v>-14.250121363698909</c:v>
                </c:pt>
                <c:pt idx="215">
                  <c:v>-11.153639889315286</c:v>
                </c:pt>
                <c:pt idx="216">
                  <c:v>-12.257158550751612</c:v>
                </c:pt>
                <c:pt idx="217">
                  <c:v>-13.260677348013502</c:v>
                </c:pt>
                <c:pt idx="218">
                  <c:v>-30.864196281105869</c:v>
                </c:pt>
                <c:pt idx="219">
                  <c:v>-19.967715350034226</c:v>
                </c:pt>
                <c:pt idx="220">
                  <c:v>-12.771234554803556</c:v>
                </c:pt>
                <c:pt idx="221">
                  <c:v>-0.17475389541944253</c:v>
                </c:pt>
                <c:pt idx="222">
                  <c:v>2.7217266281132169</c:v>
                </c:pt>
                <c:pt idx="223">
                  <c:v>4.2182070157890763</c:v>
                </c:pt>
                <c:pt idx="224">
                  <c:v>6.1146872676026618</c:v>
                </c:pt>
                <c:pt idx="225">
                  <c:v>-0.9888326164509067</c:v>
                </c:pt>
                <c:pt idx="226">
                  <c:v>-7.892352636377197</c:v>
                </c:pt>
                <c:pt idx="227">
                  <c:v>-9.2958727921812283</c:v>
                </c:pt>
                <c:pt idx="228">
                  <c:v>-12.099393083868392</c:v>
                </c:pt>
                <c:pt idx="229">
                  <c:v>-5.1029135114438589</c:v>
                </c:pt>
                <c:pt idx="230">
                  <c:v>-9.9064340749128377</c:v>
                </c:pt>
                <c:pt idx="231">
                  <c:v>-2.8099547742805981</c:v>
                </c:pt>
                <c:pt idx="232">
                  <c:v>-3.3134756095525262</c:v>
                </c:pt>
                <c:pt idx="233">
                  <c:v>0.98300341926629642</c:v>
                </c:pt>
                <c:pt idx="234">
                  <c:v>2.1794823121705633</c:v>
                </c:pt>
                <c:pt idx="235">
                  <c:v>0.27596106915511598</c:v>
                </c:pt>
                <c:pt idx="236">
                  <c:v>-1.5275603097855281</c:v>
                </c:pt>
                <c:pt idx="237">
                  <c:v>-4.9310818246563173</c:v>
                </c:pt>
                <c:pt idx="238">
                  <c:v>-12.034603475462617</c:v>
                </c:pt>
              </c:numCache>
            </c:numRef>
          </c:val>
          <c:smooth val="0"/>
          <c:extLst>
            <c:ext xmlns:c16="http://schemas.microsoft.com/office/drawing/2014/chart" uri="{C3380CC4-5D6E-409C-BE32-E72D297353CC}">
              <c16:uniqueId val="{00000001-9643-4C65-A2B1-675C4E1C1101}"/>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NSA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TSTREND!$G$9:$G$247</c:f>
              <c:numCache>
                <c:formatCode>0.0</c:formatCode>
                <c:ptCount val="239"/>
                <c:pt idx="0">
                  <c:v>69.7</c:v>
                </c:pt>
                <c:pt idx="1">
                  <c:v>77.400000000000006</c:v>
                </c:pt>
                <c:pt idx="2">
                  <c:v>79.599999999999994</c:v>
                </c:pt>
                <c:pt idx="3">
                  <c:v>80.400000000000006</c:v>
                </c:pt>
                <c:pt idx="4">
                  <c:v>77.5</c:v>
                </c:pt>
                <c:pt idx="5">
                  <c:v>83.3</c:v>
                </c:pt>
                <c:pt idx="6">
                  <c:v>83.6</c:v>
                </c:pt>
                <c:pt idx="7">
                  <c:v>82.1</c:v>
                </c:pt>
                <c:pt idx="8">
                  <c:v>89.2</c:v>
                </c:pt>
                <c:pt idx="9">
                  <c:v>83.9</c:v>
                </c:pt>
                <c:pt idx="10">
                  <c:v>74.599999999999994</c:v>
                </c:pt>
                <c:pt idx="11">
                  <c:v>74</c:v>
                </c:pt>
                <c:pt idx="12">
                  <c:v>71.8</c:v>
                </c:pt>
                <c:pt idx="13">
                  <c:v>77.400000000000006</c:v>
                </c:pt>
                <c:pt idx="14">
                  <c:v>76.5</c:v>
                </c:pt>
                <c:pt idx="15">
                  <c:v>79.7</c:v>
                </c:pt>
                <c:pt idx="16">
                  <c:v>76.3</c:v>
                </c:pt>
                <c:pt idx="17">
                  <c:v>81.3</c:v>
                </c:pt>
                <c:pt idx="18">
                  <c:v>81.599999999999994</c:v>
                </c:pt>
                <c:pt idx="19">
                  <c:v>85.7</c:v>
                </c:pt>
                <c:pt idx="20">
                  <c:v>90</c:v>
                </c:pt>
                <c:pt idx="21">
                  <c:v>84.6</c:v>
                </c:pt>
                <c:pt idx="22">
                  <c:v>77.900000000000006</c:v>
                </c:pt>
                <c:pt idx="23">
                  <c:v>76.8</c:v>
                </c:pt>
                <c:pt idx="24">
                  <c:v>74</c:v>
                </c:pt>
                <c:pt idx="25">
                  <c:v>86.9</c:v>
                </c:pt>
                <c:pt idx="26">
                  <c:v>82.2</c:v>
                </c:pt>
                <c:pt idx="27">
                  <c:v>86.3</c:v>
                </c:pt>
                <c:pt idx="28">
                  <c:v>86.1</c:v>
                </c:pt>
                <c:pt idx="29">
                  <c:v>90.1</c:v>
                </c:pt>
                <c:pt idx="30">
                  <c:v>92.1</c:v>
                </c:pt>
                <c:pt idx="31">
                  <c:v>92.1</c:v>
                </c:pt>
                <c:pt idx="32">
                  <c:v>93.5</c:v>
                </c:pt>
                <c:pt idx="33">
                  <c:v>91.8</c:v>
                </c:pt>
                <c:pt idx="34">
                  <c:v>84.7</c:v>
                </c:pt>
                <c:pt idx="35">
                  <c:v>81</c:v>
                </c:pt>
                <c:pt idx="36">
                  <c:v>76.400000000000006</c:v>
                </c:pt>
                <c:pt idx="37">
                  <c:v>88</c:v>
                </c:pt>
                <c:pt idx="38">
                  <c:v>87</c:v>
                </c:pt>
                <c:pt idx="39">
                  <c:v>91.1</c:v>
                </c:pt>
                <c:pt idx="40">
                  <c:v>91.4</c:v>
                </c:pt>
                <c:pt idx="41">
                  <c:v>90.5</c:v>
                </c:pt>
                <c:pt idx="42">
                  <c:v>95.6</c:v>
                </c:pt>
                <c:pt idx="43">
                  <c:v>92</c:v>
                </c:pt>
                <c:pt idx="44">
                  <c:v>93.7</c:v>
                </c:pt>
                <c:pt idx="45">
                  <c:v>92.4</c:v>
                </c:pt>
                <c:pt idx="46">
                  <c:v>86.6</c:v>
                </c:pt>
                <c:pt idx="47">
                  <c:v>83.7</c:v>
                </c:pt>
                <c:pt idx="48">
                  <c:v>80.2</c:v>
                </c:pt>
                <c:pt idx="49">
                  <c:v>92.4</c:v>
                </c:pt>
                <c:pt idx="50">
                  <c:v>85.7</c:v>
                </c:pt>
                <c:pt idx="51">
                  <c:v>95.4</c:v>
                </c:pt>
                <c:pt idx="52">
                  <c:v>91.1</c:v>
                </c:pt>
                <c:pt idx="53">
                  <c:v>93.8</c:v>
                </c:pt>
                <c:pt idx="54">
                  <c:v>98.6</c:v>
                </c:pt>
                <c:pt idx="55">
                  <c:v>93.2</c:v>
                </c:pt>
                <c:pt idx="56">
                  <c:v>97.5</c:v>
                </c:pt>
                <c:pt idx="57">
                  <c:v>95.9</c:v>
                </c:pt>
                <c:pt idx="58">
                  <c:v>87</c:v>
                </c:pt>
                <c:pt idx="59">
                  <c:v>87</c:v>
                </c:pt>
                <c:pt idx="60">
                  <c:v>82.6</c:v>
                </c:pt>
                <c:pt idx="61">
                  <c:v>96.4</c:v>
                </c:pt>
                <c:pt idx="62">
                  <c:v>90.6</c:v>
                </c:pt>
                <c:pt idx="63">
                  <c:v>99.9</c:v>
                </c:pt>
                <c:pt idx="64">
                  <c:v>96.9</c:v>
                </c:pt>
                <c:pt idx="65">
                  <c:v>99.8</c:v>
                </c:pt>
                <c:pt idx="66">
                  <c:v>104.9</c:v>
                </c:pt>
                <c:pt idx="67">
                  <c:v>98.4</c:v>
                </c:pt>
                <c:pt idx="68">
                  <c:v>107.8</c:v>
                </c:pt>
                <c:pt idx="69">
                  <c:v>102.4</c:v>
                </c:pt>
                <c:pt idx="70">
                  <c:v>92.6</c:v>
                </c:pt>
                <c:pt idx="71">
                  <c:v>94.8</c:v>
                </c:pt>
                <c:pt idx="72">
                  <c:v>91.1</c:v>
                </c:pt>
                <c:pt idx="73">
                  <c:v>97.7</c:v>
                </c:pt>
                <c:pt idx="74">
                  <c:v>99.2</c:v>
                </c:pt>
                <c:pt idx="75">
                  <c:v>102.5</c:v>
                </c:pt>
                <c:pt idx="76">
                  <c:v>103.3</c:v>
                </c:pt>
                <c:pt idx="77">
                  <c:v>108.5</c:v>
                </c:pt>
                <c:pt idx="78">
                  <c:v>106.9</c:v>
                </c:pt>
                <c:pt idx="79">
                  <c:v>107.3</c:v>
                </c:pt>
                <c:pt idx="80">
                  <c:v>108.4</c:v>
                </c:pt>
                <c:pt idx="81">
                  <c:v>96.2</c:v>
                </c:pt>
                <c:pt idx="82">
                  <c:v>79.099999999999994</c:v>
                </c:pt>
                <c:pt idx="83">
                  <c:v>78.7</c:v>
                </c:pt>
                <c:pt idx="84">
                  <c:v>76.099999999999994</c:v>
                </c:pt>
                <c:pt idx="85">
                  <c:v>88.6</c:v>
                </c:pt>
                <c:pt idx="86">
                  <c:v>85.2</c:v>
                </c:pt>
                <c:pt idx="87">
                  <c:v>91.3</c:v>
                </c:pt>
                <c:pt idx="88">
                  <c:v>92.2</c:v>
                </c:pt>
                <c:pt idx="89">
                  <c:v>97.7</c:v>
                </c:pt>
                <c:pt idx="90">
                  <c:v>99.6</c:v>
                </c:pt>
                <c:pt idx="91">
                  <c:v>99.4</c:v>
                </c:pt>
                <c:pt idx="92">
                  <c:v>105.6</c:v>
                </c:pt>
                <c:pt idx="93">
                  <c:v>101.4</c:v>
                </c:pt>
                <c:pt idx="94">
                  <c:v>94.1</c:v>
                </c:pt>
                <c:pt idx="95">
                  <c:v>91.2</c:v>
                </c:pt>
                <c:pt idx="96">
                  <c:v>89</c:v>
                </c:pt>
                <c:pt idx="97">
                  <c:v>105.1</c:v>
                </c:pt>
                <c:pt idx="98">
                  <c:v>99.3</c:v>
                </c:pt>
                <c:pt idx="99">
                  <c:v>104.3</c:v>
                </c:pt>
                <c:pt idx="100">
                  <c:v>102.5</c:v>
                </c:pt>
                <c:pt idx="101">
                  <c:v>106.9</c:v>
                </c:pt>
                <c:pt idx="102">
                  <c:v>108.1</c:v>
                </c:pt>
                <c:pt idx="103">
                  <c:v>105.8</c:v>
                </c:pt>
                <c:pt idx="104">
                  <c:v>107.7</c:v>
                </c:pt>
                <c:pt idx="105">
                  <c:v>106.8</c:v>
                </c:pt>
                <c:pt idx="106">
                  <c:v>96.6</c:v>
                </c:pt>
                <c:pt idx="107">
                  <c:v>93.2</c:v>
                </c:pt>
                <c:pt idx="108">
                  <c:v>95.4</c:v>
                </c:pt>
                <c:pt idx="109">
                  <c:v>104.4</c:v>
                </c:pt>
                <c:pt idx="110">
                  <c:v>97.5</c:v>
                </c:pt>
                <c:pt idx="111">
                  <c:v>107.1</c:v>
                </c:pt>
                <c:pt idx="112">
                  <c:v>102.8</c:v>
                </c:pt>
                <c:pt idx="113">
                  <c:v>106.1</c:v>
                </c:pt>
                <c:pt idx="114">
                  <c:v>110.8</c:v>
                </c:pt>
                <c:pt idx="115">
                  <c:v>104.8</c:v>
                </c:pt>
                <c:pt idx="116">
                  <c:v>106.3</c:v>
                </c:pt>
                <c:pt idx="117">
                  <c:v>104.2</c:v>
                </c:pt>
                <c:pt idx="118">
                  <c:v>95.7</c:v>
                </c:pt>
                <c:pt idx="119">
                  <c:v>88.7</c:v>
                </c:pt>
                <c:pt idx="120">
                  <c:v>89.8</c:v>
                </c:pt>
                <c:pt idx="121">
                  <c:v>99.7</c:v>
                </c:pt>
                <c:pt idx="122">
                  <c:v>92.8</c:v>
                </c:pt>
                <c:pt idx="123">
                  <c:v>102.5</c:v>
                </c:pt>
                <c:pt idx="124">
                  <c:v>98.3</c:v>
                </c:pt>
                <c:pt idx="125">
                  <c:v>104.5</c:v>
                </c:pt>
                <c:pt idx="126">
                  <c:v>111.5</c:v>
                </c:pt>
                <c:pt idx="127">
                  <c:v>103.4</c:v>
                </c:pt>
                <c:pt idx="128">
                  <c:v>111.8</c:v>
                </c:pt>
                <c:pt idx="129">
                  <c:v>104.8</c:v>
                </c:pt>
                <c:pt idx="130">
                  <c:v>92.2</c:v>
                </c:pt>
                <c:pt idx="131">
                  <c:v>94.5</c:v>
                </c:pt>
                <c:pt idx="132">
                  <c:v>88.1</c:v>
                </c:pt>
                <c:pt idx="133">
                  <c:v>97.7</c:v>
                </c:pt>
                <c:pt idx="134">
                  <c:v>101.8</c:v>
                </c:pt>
                <c:pt idx="135">
                  <c:v>105</c:v>
                </c:pt>
                <c:pt idx="136">
                  <c:v>101.7</c:v>
                </c:pt>
                <c:pt idx="137">
                  <c:v>108</c:v>
                </c:pt>
                <c:pt idx="138">
                  <c:v>112</c:v>
                </c:pt>
                <c:pt idx="139">
                  <c:v>107.3</c:v>
                </c:pt>
                <c:pt idx="140">
                  <c:v>112.6</c:v>
                </c:pt>
                <c:pt idx="141">
                  <c:v>106.1</c:v>
                </c:pt>
                <c:pt idx="142">
                  <c:v>90.1</c:v>
                </c:pt>
                <c:pt idx="143">
                  <c:v>92.6</c:v>
                </c:pt>
                <c:pt idx="144">
                  <c:v>92.3</c:v>
                </c:pt>
                <c:pt idx="145">
                  <c:v>97.3</c:v>
                </c:pt>
                <c:pt idx="146">
                  <c:v>96</c:v>
                </c:pt>
                <c:pt idx="147">
                  <c:v>101.7</c:v>
                </c:pt>
                <c:pt idx="148">
                  <c:v>94.9</c:v>
                </c:pt>
                <c:pt idx="149">
                  <c:v>104.4</c:v>
                </c:pt>
                <c:pt idx="150">
                  <c:v>106.3</c:v>
                </c:pt>
                <c:pt idx="151">
                  <c:v>105.6</c:v>
                </c:pt>
                <c:pt idx="152">
                  <c:v>109.3</c:v>
                </c:pt>
                <c:pt idx="153">
                  <c:v>99.8</c:v>
                </c:pt>
                <c:pt idx="154">
                  <c:v>87.7</c:v>
                </c:pt>
                <c:pt idx="155">
                  <c:v>88.1</c:v>
                </c:pt>
                <c:pt idx="156">
                  <c:v>83.7</c:v>
                </c:pt>
                <c:pt idx="157">
                  <c:v>94.3</c:v>
                </c:pt>
                <c:pt idx="158">
                  <c:v>88.8</c:v>
                </c:pt>
                <c:pt idx="159">
                  <c:v>93.1</c:v>
                </c:pt>
                <c:pt idx="160">
                  <c:v>92.5</c:v>
                </c:pt>
                <c:pt idx="161">
                  <c:v>95.5</c:v>
                </c:pt>
                <c:pt idx="162">
                  <c:v>97.6</c:v>
                </c:pt>
                <c:pt idx="163">
                  <c:v>94.3</c:v>
                </c:pt>
                <c:pt idx="164">
                  <c:v>97.2</c:v>
                </c:pt>
                <c:pt idx="165">
                  <c:v>87.6</c:v>
                </c:pt>
                <c:pt idx="166">
                  <c:v>77.2</c:v>
                </c:pt>
                <c:pt idx="167">
                  <c:v>76.3</c:v>
                </c:pt>
                <c:pt idx="168">
                  <c:v>75.8</c:v>
                </c:pt>
                <c:pt idx="169">
                  <c:v>83.7</c:v>
                </c:pt>
                <c:pt idx="170">
                  <c:v>83</c:v>
                </c:pt>
                <c:pt idx="171">
                  <c:v>86.3</c:v>
                </c:pt>
                <c:pt idx="172">
                  <c:v>87.7</c:v>
                </c:pt>
                <c:pt idx="173">
                  <c:v>89.6</c:v>
                </c:pt>
                <c:pt idx="174">
                  <c:v>93</c:v>
                </c:pt>
                <c:pt idx="175">
                  <c:v>90.7</c:v>
                </c:pt>
                <c:pt idx="176">
                  <c:v>90.2</c:v>
                </c:pt>
                <c:pt idx="177">
                  <c:v>86.5</c:v>
                </c:pt>
                <c:pt idx="178">
                  <c:v>77.2</c:v>
                </c:pt>
                <c:pt idx="179">
                  <c:v>77.900000000000006</c:v>
                </c:pt>
                <c:pt idx="180">
                  <c:v>75.900000000000006</c:v>
                </c:pt>
                <c:pt idx="181">
                  <c:v>85.4</c:v>
                </c:pt>
                <c:pt idx="182">
                  <c:v>79.3</c:v>
                </c:pt>
                <c:pt idx="183">
                  <c:v>90.1</c:v>
                </c:pt>
                <c:pt idx="184">
                  <c:v>88.4</c:v>
                </c:pt>
                <c:pt idx="185">
                  <c:v>92.1</c:v>
                </c:pt>
                <c:pt idx="186">
                  <c:v>96.7</c:v>
                </c:pt>
                <c:pt idx="187">
                  <c:v>93</c:v>
                </c:pt>
                <c:pt idx="188">
                  <c:v>95.1</c:v>
                </c:pt>
                <c:pt idx="189">
                  <c:v>90.6</c:v>
                </c:pt>
                <c:pt idx="190">
                  <c:v>81</c:v>
                </c:pt>
                <c:pt idx="191">
                  <c:v>82.3</c:v>
                </c:pt>
                <c:pt idx="192">
                  <c:v>77.3</c:v>
                </c:pt>
                <c:pt idx="193">
                  <c:v>86.2</c:v>
                </c:pt>
                <c:pt idx="194">
                  <c:v>86.5</c:v>
                </c:pt>
                <c:pt idx="195">
                  <c:v>84.4</c:v>
                </c:pt>
                <c:pt idx="196">
                  <c:v>91.1</c:v>
                </c:pt>
                <c:pt idx="197">
                  <c:v>95.8</c:v>
                </c:pt>
                <c:pt idx="198">
                  <c:v>98.2</c:v>
                </c:pt>
                <c:pt idx="199">
                  <c:v>90.7</c:v>
                </c:pt>
                <c:pt idx="200">
                  <c:v>95.8</c:v>
                </c:pt>
                <c:pt idx="201">
                  <c:v>89.5</c:v>
                </c:pt>
                <c:pt idx="202">
                  <c:v>78</c:v>
                </c:pt>
                <c:pt idx="203">
                  <c:v>80.7</c:v>
                </c:pt>
                <c:pt idx="204">
                  <c:v>79.099999999999994</c:v>
                </c:pt>
                <c:pt idx="205">
                  <c:v>81</c:v>
                </c:pt>
                <c:pt idx="206">
                  <c:v>83.3</c:v>
                </c:pt>
                <c:pt idx="207">
                  <c:v>91</c:v>
                </c:pt>
                <c:pt idx="208">
                  <c:v>85.8</c:v>
                </c:pt>
                <c:pt idx="209">
                  <c:v>93.4</c:v>
                </c:pt>
                <c:pt idx="210">
                  <c:v>96.2</c:v>
                </c:pt>
                <c:pt idx="211">
                  <c:v>91.8</c:v>
                </c:pt>
                <c:pt idx="212">
                  <c:v>97</c:v>
                </c:pt>
                <c:pt idx="213">
                  <c:v>88</c:v>
                </c:pt>
                <c:pt idx="214">
                  <c:v>76.900000000000006</c:v>
                </c:pt>
                <c:pt idx="215">
                  <c:v>80</c:v>
                </c:pt>
                <c:pt idx="216">
                  <c:v>78.900000000000006</c:v>
                </c:pt>
                <c:pt idx="217">
                  <c:v>77.900000000000006</c:v>
                </c:pt>
                <c:pt idx="218">
                  <c:v>60.3</c:v>
                </c:pt>
                <c:pt idx="219">
                  <c:v>71.2</c:v>
                </c:pt>
                <c:pt idx="220">
                  <c:v>78.400000000000006</c:v>
                </c:pt>
                <c:pt idx="221">
                  <c:v>91</c:v>
                </c:pt>
                <c:pt idx="222">
                  <c:v>93.9</c:v>
                </c:pt>
                <c:pt idx="223">
                  <c:v>95.4</c:v>
                </c:pt>
                <c:pt idx="224">
                  <c:v>97.3</c:v>
                </c:pt>
                <c:pt idx="225">
                  <c:v>90.2</c:v>
                </c:pt>
                <c:pt idx="226">
                  <c:v>83.3</c:v>
                </c:pt>
                <c:pt idx="227">
                  <c:v>81.900000000000006</c:v>
                </c:pt>
                <c:pt idx="228">
                  <c:v>79.099999999999994</c:v>
                </c:pt>
                <c:pt idx="229">
                  <c:v>86.1</c:v>
                </c:pt>
                <c:pt idx="230">
                  <c:v>81.3</c:v>
                </c:pt>
                <c:pt idx="231">
                  <c:v>88.4</c:v>
                </c:pt>
                <c:pt idx="232">
                  <c:v>87.9</c:v>
                </c:pt>
                <c:pt idx="233">
                  <c:v>92.2</c:v>
                </c:pt>
                <c:pt idx="234">
                  <c:v>93.4</c:v>
                </c:pt>
                <c:pt idx="235">
                  <c:v>91.5</c:v>
                </c:pt>
                <c:pt idx="236">
                  <c:v>89.7</c:v>
                </c:pt>
                <c:pt idx="237">
                  <c:v>86.3</c:v>
                </c:pt>
                <c:pt idx="238">
                  <c:v>79.2</c:v>
                </c:pt>
              </c:numCache>
            </c:numRef>
          </c:val>
          <c:smooth val="0"/>
          <c:extLst>
            <c:ext xmlns:c16="http://schemas.microsoft.com/office/drawing/2014/chart" uri="{C3380CC4-5D6E-409C-BE32-E72D297353CC}">
              <c16:uniqueId val="{00000000-2D1A-4773-91B7-8D03B6485558}"/>
            </c:ext>
          </c:extLst>
        </c:ser>
        <c:ser>
          <c:idx val="1"/>
          <c:order val="1"/>
          <c:tx>
            <c:v>Trend</c:v>
          </c:tx>
          <c:spPr>
            <a:ln w="19050" cap="rnd">
              <a:solidFill>
                <a:schemeClr val="accent2"/>
              </a:solidFill>
              <a:round/>
            </a:ln>
            <a:effectLst/>
          </c:spPr>
          <c:marker>
            <c:symbol val="none"/>
          </c:marker>
          <c:cat>
            <c:numRef>
              <c:f>TSTREND!$F$9:$F$247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TSTREND!$J$9:$J$297</c:f>
              <c:numCache>
                <c:formatCode>0.0</c:formatCode>
                <c:ptCount val="289"/>
                <c:pt idx="0">
                  <c:v>91.021939790621474</c:v>
                </c:pt>
                <c:pt idx="1">
                  <c:v>91.024782070869392</c:v>
                </c:pt>
                <c:pt idx="2">
                  <c:v>91.027624351117325</c:v>
                </c:pt>
                <c:pt idx="3">
                  <c:v>91.030466631365243</c:v>
                </c:pt>
                <c:pt idx="4">
                  <c:v>91.033308911613162</c:v>
                </c:pt>
                <c:pt idx="5">
                  <c:v>91.03615119186108</c:v>
                </c:pt>
                <c:pt idx="6">
                  <c:v>91.038993472108999</c:v>
                </c:pt>
                <c:pt idx="7">
                  <c:v>91.041835752356917</c:v>
                </c:pt>
                <c:pt idx="8">
                  <c:v>91.04467803260485</c:v>
                </c:pt>
                <c:pt idx="9">
                  <c:v>91.047520312852768</c:v>
                </c:pt>
                <c:pt idx="10">
                  <c:v>91.050362593100687</c:v>
                </c:pt>
                <c:pt idx="11">
                  <c:v>91.053204873348605</c:v>
                </c:pt>
                <c:pt idx="12">
                  <c:v>91.056047153596523</c:v>
                </c:pt>
                <c:pt idx="13">
                  <c:v>91.058889433844442</c:v>
                </c:pt>
                <c:pt idx="14">
                  <c:v>91.06173171409236</c:v>
                </c:pt>
                <c:pt idx="15">
                  <c:v>91.064573994340293</c:v>
                </c:pt>
                <c:pt idx="16">
                  <c:v>91.067416274588211</c:v>
                </c:pt>
                <c:pt idx="17">
                  <c:v>91.07025855483613</c:v>
                </c:pt>
                <c:pt idx="18">
                  <c:v>91.073100835084048</c:v>
                </c:pt>
                <c:pt idx="19">
                  <c:v>91.075943115331967</c:v>
                </c:pt>
                <c:pt idx="20">
                  <c:v>91.078785395579885</c:v>
                </c:pt>
                <c:pt idx="21">
                  <c:v>91.081627675827818</c:v>
                </c:pt>
                <c:pt idx="22">
                  <c:v>91.084469956075736</c:v>
                </c:pt>
                <c:pt idx="23">
                  <c:v>91.087312236323655</c:v>
                </c:pt>
                <c:pt idx="24">
                  <c:v>91.090154516571573</c:v>
                </c:pt>
                <c:pt idx="25">
                  <c:v>91.092996796819492</c:v>
                </c:pt>
                <c:pt idx="26">
                  <c:v>91.09583907706741</c:v>
                </c:pt>
                <c:pt idx="27">
                  <c:v>91.098681357315343</c:v>
                </c:pt>
                <c:pt idx="28">
                  <c:v>91.101523637563261</c:v>
                </c:pt>
                <c:pt idx="29">
                  <c:v>91.10436591781118</c:v>
                </c:pt>
                <c:pt idx="30">
                  <c:v>91.107208198059098</c:v>
                </c:pt>
                <c:pt idx="31">
                  <c:v>91.110050478307016</c:v>
                </c:pt>
                <c:pt idx="32">
                  <c:v>91.112892758554935</c:v>
                </c:pt>
                <c:pt idx="33">
                  <c:v>91.115735038802853</c:v>
                </c:pt>
                <c:pt idx="34">
                  <c:v>91.118577319050786</c:v>
                </c:pt>
                <c:pt idx="35">
                  <c:v>91.121419599298704</c:v>
                </c:pt>
                <c:pt idx="36">
                  <c:v>91.124261879546623</c:v>
                </c:pt>
                <c:pt idx="37">
                  <c:v>91.127104159794541</c:v>
                </c:pt>
                <c:pt idx="38">
                  <c:v>91.12994644004246</c:v>
                </c:pt>
                <c:pt idx="39">
                  <c:v>91.132788720290378</c:v>
                </c:pt>
                <c:pt idx="40">
                  <c:v>91.135631000538311</c:v>
                </c:pt>
                <c:pt idx="41">
                  <c:v>91.138473280786229</c:v>
                </c:pt>
                <c:pt idx="42">
                  <c:v>91.141315561034148</c:v>
                </c:pt>
                <c:pt idx="43">
                  <c:v>91.144157841282066</c:v>
                </c:pt>
                <c:pt idx="44">
                  <c:v>91.147000121529985</c:v>
                </c:pt>
                <c:pt idx="45">
                  <c:v>91.149842401777903</c:v>
                </c:pt>
                <c:pt idx="46">
                  <c:v>91.152684682025836</c:v>
                </c:pt>
                <c:pt idx="47">
                  <c:v>91.155526962273754</c:v>
                </c:pt>
                <c:pt idx="48">
                  <c:v>91.158369242521673</c:v>
                </c:pt>
                <c:pt idx="49">
                  <c:v>91.161211522769591</c:v>
                </c:pt>
                <c:pt idx="50">
                  <c:v>91.164053803017509</c:v>
                </c:pt>
                <c:pt idx="51">
                  <c:v>91.166896083265428</c:v>
                </c:pt>
                <c:pt idx="52">
                  <c:v>91.169738363513346</c:v>
                </c:pt>
                <c:pt idx="53">
                  <c:v>91.172580643761279</c:v>
                </c:pt>
                <c:pt idx="54">
                  <c:v>91.175422924009197</c:v>
                </c:pt>
                <c:pt idx="55">
                  <c:v>91.178265204257116</c:v>
                </c:pt>
                <c:pt idx="56">
                  <c:v>91.181107484505034</c:v>
                </c:pt>
                <c:pt idx="57">
                  <c:v>91.183949764752953</c:v>
                </c:pt>
                <c:pt idx="58">
                  <c:v>91.186792045000871</c:v>
                </c:pt>
                <c:pt idx="59">
                  <c:v>91.189634325248804</c:v>
                </c:pt>
                <c:pt idx="60">
                  <c:v>91.192476605496722</c:v>
                </c:pt>
                <c:pt idx="61">
                  <c:v>91.195318885744641</c:v>
                </c:pt>
                <c:pt idx="62">
                  <c:v>91.198161165992559</c:v>
                </c:pt>
                <c:pt idx="63">
                  <c:v>91.201003446240478</c:v>
                </c:pt>
                <c:pt idx="64">
                  <c:v>91.203845726488396</c:v>
                </c:pt>
                <c:pt idx="65">
                  <c:v>91.206688006736314</c:v>
                </c:pt>
                <c:pt idx="66">
                  <c:v>91.209530286984247</c:v>
                </c:pt>
                <c:pt idx="67">
                  <c:v>91.212372567232165</c:v>
                </c:pt>
                <c:pt idx="68">
                  <c:v>91.215214847480084</c:v>
                </c:pt>
                <c:pt idx="69">
                  <c:v>91.218057127728002</c:v>
                </c:pt>
                <c:pt idx="70">
                  <c:v>91.220899407975921</c:v>
                </c:pt>
                <c:pt idx="71">
                  <c:v>91.223741688223839</c:v>
                </c:pt>
                <c:pt idx="72">
                  <c:v>91.226583968471772</c:v>
                </c:pt>
                <c:pt idx="73">
                  <c:v>91.22942624871969</c:v>
                </c:pt>
                <c:pt idx="74">
                  <c:v>91.232268528967609</c:v>
                </c:pt>
                <c:pt idx="75">
                  <c:v>91.235110809215527</c:v>
                </c:pt>
                <c:pt idx="76">
                  <c:v>91.237953089463446</c:v>
                </c:pt>
                <c:pt idx="77">
                  <c:v>91.240795369711364</c:v>
                </c:pt>
                <c:pt idx="78">
                  <c:v>91.243637649959282</c:v>
                </c:pt>
                <c:pt idx="79">
                  <c:v>91.246479930207215</c:v>
                </c:pt>
                <c:pt idx="80">
                  <c:v>91.249322210455134</c:v>
                </c:pt>
                <c:pt idx="81">
                  <c:v>91.252164490703052</c:v>
                </c:pt>
                <c:pt idx="82">
                  <c:v>91.25500677095097</c:v>
                </c:pt>
                <c:pt idx="83">
                  <c:v>91.257849051198889</c:v>
                </c:pt>
                <c:pt idx="84">
                  <c:v>91.260691331446807</c:v>
                </c:pt>
                <c:pt idx="85">
                  <c:v>91.26353361169474</c:v>
                </c:pt>
                <c:pt idx="86">
                  <c:v>91.266375891942658</c:v>
                </c:pt>
                <c:pt idx="87">
                  <c:v>91.269218172190577</c:v>
                </c:pt>
                <c:pt idx="88">
                  <c:v>91.272060452438495</c:v>
                </c:pt>
                <c:pt idx="89">
                  <c:v>91.274902732686414</c:v>
                </c:pt>
                <c:pt idx="90">
                  <c:v>91.277745012934332</c:v>
                </c:pt>
                <c:pt idx="91">
                  <c:v>91.280587293182265</c:v>
                </c:pt>
                <c:pt idx="92">
                  <c:v>91.283429573430183</c:v>
                </c:pt>
                <c:pt idx="93">
                  <c:v>91.286271853678102</c:v>
                </c:pt>
                <c:pt idx="94">
                  <c:v>91.28911413392602</c:v>
                </c:pt>
                <c:pt idx="95">
                  <c:v>91.291956414173939</c:v>
                </c:pt>
                <c:pt idx="96">
                  <c:v>91.294798694421857</c:v>
                </c:pt>
                <c:pt idx="97">
                  <c:v>91.297640974669775</c:v>
                </c:pt>
                <c:pt idx="98">
                  <c:v>91.300483254917708</c:v>
                </c:pt>
                <c:pt idx="99">
                  <c:v>91.303325535165627</c:v>
                </c:pt>
                <c:pt idx="100">
                  <c:v>91.306167815413545</c:v>
                </c:pt>
                <c:pt idx="101">
                  <c:v>91.309010095661463</c:v>
                </c:pt>
                <c:pt idx="102">
                  <c:v>91.311852375909382</c:v>
                </c:pt>
                <c:pt idx="103">
                  <c:v>91.3146946561573</c:v>
                </c:pt>
                <c:pt idx="104">
                  <c:v>91.317536936405233</c:v>
                </c:pt>
                <c:pt idx="105">
                  <c:v>91.320379216653151</c:v>
                </c:pt>
                <c:pt idx="106">
                  <c:v>91.32322149690107</c:v>
                </c:pt>
                <c:pt idx="107">
                  <c:v>91.326063777148988</c:v>
                </c:pt>
                <c:pt idx="108">
                  <c:v>91.328906057396907</c:v>
                </c:pt>
                <c:pt idx="109">
                  <c:v>91.331748337644825</c:v>
                </c:pt>
                <c:pt idx="110">
                  <c:v>91.334590617892758</c:v>
                </c:pt>
                <c:pt idx="111">
                  <c:v>91.337432898140676</c:v>
                </c:pt>
                <c:pt idx="112">
                  <c:v>91.340275178388595</c:v>
                </c:pt>
                <c:pt idx="113">
                  <c:v>91.343117458636513</c:v>
                </c:pt>
                <c:pt idx="114">
                  <c:v>91.345959738884432</c:v>
                </c:pt>
                <c:pt idx="115">
                  <c:v>91.34880201913235</c:v>
                </c:pt>
                <c:pt idx="116">
                  <c:v>91.351644299380268</c:v>
                </c:pt>
                <c:pt idx="117">
                  <c:v>91.354486579628201</c:v>
                </c:pt>
                <c:pt idx="118">
                  <c:v>91.35732885987612</c:v>
                </c:pt>
                <c:pt idx="119">
                  <c:v>91.360171140124038</c:v>
                </c:pt>
                <c:pt idx="120">
                  <c:v>91.363013420371956</c:v>
                </c:pt>
                <c:pt idx="121">
                  <c:v>91.365855700619875</c:v>
                </c:pt>
                <c:pt idx="122">
                  <c:v>91.368697980867793</c:v>
                </c:pt>
                <c:pt idx="123">
                  <c:v>91.371540261115726</c:v>
                </c:pt>
                <c:pt idx="124">
                  <c:v>91.374382541363644</c:v>
                </c:pt>
                <c:pt idx="125">
                  <c:v>91.377224821611563</c:v>
                </c:pt>
                <c:pt idx="126">
                  <c:v>91.380067101859481</c:v>
                </c:pt>
                <c:pt idx="127">
                  <c:v>91.3829093821074</c:v>
                </c:pt>
                <c:pt idx="128">
                  <c:v>91.385751662355318</c:v>
                </c:pt>
                <c:pt idx="129">
                  <c:v>91.388593942603237</c:v>
                </c:pt>
                <c:pt idx="130">
                  <c:v>91.391436222851169</c:v>
                </c:pt>
                <c:pt idx="131">
                  <c:v>91.394278503099088</c:v>
                </c:pt>
                <c:pt idx="132">
                  <c:v>91.397120783347006</c:v>
                </c:pt>
                <c:pt idx="133">
                  <c:v>91.399963063594925</c:v>
                </c:pt>
                <c:pt idx="134">
                  <c:v>91.402805343842843</c:v>
                </c:pt>
                <c:pt idx="135">
                  <c:v>91.405647624090761</c:v>
                </c:pt>
                <c:pt idx="136">
                  <c:v>91.408489904338694</c:v>
                </c:pt>
                <c:pt idx="137">
                  <c:v>91.411332184586612</c:v>
                </c:pt>
                <c:pt idx="138">
                  <c:v>91.414174464834531</c:v>
                </c:pt>
                <c:pt idx="139">
                  <c:v>91.417016745082449</c:v>
                </c:pt>
                <c:pt idx="140">
                  <c:v>91.419859025330368</c:v>
                </c:pt>
                <c:pt idx="141">
                  <c:v>91.422701305578286</c:v>
                </c:pt>
                <c:pt idx="142">
                  <c:v>91.425543585826205</c:v>
                </c:pt>
                <c:pt idx="143">
                  <c:v>91.428385866074137</c:v>
                </c:pt>
                <c:pt idx="144">
                  <c:v>91.431228146322056</c:v>
                </c:pt>
                <c:pt idx="145">
                  <c:v>91.434070426569974</c:v>
                </c:pt>
                <c:pt idx="146">
                  <c:v>91.436912706817893</c:v>
                </c:pt>
                <c:pt idx="147">
                  <c:v>91.439754987065811</c:v>
                </c:pt>
                <c:pt idx="148">
                  <c:v>91.44259726731373</c:v>
                </c:pt>
                <c:pt idx="149">
                  <c:v>91.445439547561662</c:v>
                </c:pt>
                <c:pt idx="150">
                  <c:v>91.448281827809581</c:v>
                </c:pt>
                <c:pt idx="151">
                  <c:v>91.451124108057499</c:v>
                </c:pt>
                <c:pt idx="152">
                  <c:v>91.453966388305417</c:v>
                </c:pt>
                <c:pt idx="153">
                  <c:v>91.456808668553336</c:v>
                </c:pt>
                <c:pt idx="154">
                  <c:v>91.459650948801254</c:v>
                </c:pt>
                <c:pt idx="155">
                  <c:v>91.462493229049187</c:v>
                </c:pt>
                <c:pt idx="156">
                  <c:v>91.465335509297105</c:v>
                </c:pt>
                <c:pt idx="157">
                  <c:v>91.468177789545024</c:v>
                </c:pt>
                <c:pt idx="158">
                  <c:v>91.471020069792942</c:v>
                </c:pt>
                <c:pt idx="159">
                  <c:v>91.473862350040861</c:v>
                </c:pt>
                <c:pt idx="160">
                  <c:v>91.476704630288779</c:v>
                </c:pt>
                <c:pt idx="161">
                  <c:v>91.479546910536698</c:v>
                </c:pt>
                <c:pt idx="162">
                  <c:v>91.48238919078463</c:v>
                </c:pt>
                <c:pt idx="163">
                  <c:v>91.485231471032549</c:v>
                </c:pt>
                <c:pt idx="164">
                  <c:v>91.488073751280467</c:v>
                </c:pt>
                <c:pt idx="165">
                  <c:v>91.490916031528386</c:v>
                </c:pt>
                <c:pt idx="166">
                  <c:v>91.493758311776304</c:v>
                </c:pt>
                <c:pt idx="167">
                  <c:v>91.496600592024222</c:v>
                </c:pt>
                <c:pt idx="168">
                  <c:v>91.499442872272155</c:v>
                </c:pt>
                <c:pt idx="169">
                  <c:v>91.502285152520074</c:v>
                </c:pt>
                <c:pt idx="170">
                  <c:v>91.505127432767992</c:v>
                </c:pt>
                <c:pt idx="171">
                  <c:v>91.50796971301591</c:v>
                </c:pt>
                <c:pt idx="172">
                  <c:v>91.510811993263829</c:v>
                </c:pt>
                <c:pt idx="173">
                  <c:v>91.513654273511747</c:v>
                </c:pt>
                <c:pt idx="174">
                  <c:v>91.51649655375968</c:v>
                </c:pt>
                <c:pt idx="175">
                  <c:v>91.519338834007598</c:v>
                </c:pt>
                <c:pt idx="176">
                  <c:v>91.522181114255517</c:v>
                </c:pt>
                <c:pt idx="177">
                  <c:v>91.525023394503435</c:v>
                </c:pt>
                <c:pt idx="178">
                  <c:v>91.527865674751354</c:v>
                </c:pt>
                <c:pt idx="179">
                  <c:v>91.530707954999272</c:v>
                </c:pt>
                <c:pt idx="180">
                  <c:v>91.533550235247191</c:v>
                </c:pt>
                <c:pt idx="181">
                  <c:v>91.536392515495123</c:v>
                </c:pt>
                <c:pt idx="182">
                  <c:v>91.539234795743042</c:v>
                </c:pt>
                <c:pt idx="183">
                  <c:v>91.54207707599096</c:v>
                </c:pt>
                <c:pt idx="184">
                  <c:v>91.544919356238879</c:v>
                </c:pt>
                <c:pt idx="185">
                  <c:v>91.547761636486797</c:v>
                </c:pt>
                <c:pt idx="186">
                  <c:v>91.550603916734715</c:v>
                </c:pt>
                <c:pt idx="187">
                  <c:v>91.553446196982648</c:v>
                </c:pt>
                <c:pt idx="188">
                  <c:v>91.556288477230567</c:v>
                </c:pt>
                <c:pt idx="189">
                  <c:v>91.559130757478485</c:v>
                </c:pt>
                <c:pt idx="190">
                  <c:v>91.561973037726403</c:v>
                </c:pt>
                <c:pt idx="191">
                  <c:v>91.564815317974322</c:v>
                </c:pt>
                <c:pt idx="192">
                  <c:v>91.56765759822224</c:v>
                </c:pt>
                <c:pt idx="193">
                  <c:v>91.570499878470159</c:v>
                </c:pt>
                <c:pt idx="194">
                  <c:v>91.573342158718091</c:v>
                </c:pt>
                <c:pt idx="195">
                  <c:v>91.57618443896601</c:v>
                </c:pt>
                <c:pt idx="196">
                  <c:v>91.579026719213928</c:v>
                </c:pt>
                <c:pt idx="197">
                  <c:v>91.581868999461847</c:v>
                </c:pt>
                <c:pt idx="198">
                  <c:v>91.584711279709765</c:v>
                </c:pt>
                <c:pt idx="199">
                  <c:v>91.587553559957684</c:v>
                </c:pt>
                <c:pt idx="200">
                  <c:v>91.590395840205616</c:v>
                </c:pt>
                <c:pt idx="201">
                  <c:v>91.593238120453535</c:v>
                </c:pt>
                <c:pt idx="202">
                  <c:v>91.596080400701453</c:v>
                </c:pt>
                <c:pt idx="203">
                  <c:v>91.598922680949372</c:v>
                </c:pt>
                <c:pt idx="204">
                  <c:v>91.60176496119729</c:v>
                </c:pt>
                <c:pt idx="205">
                  <c:v>91.604607241445208</c:v>
                </c:pt>
                <c:pt idx="206">
                  <c:v>91.607449521693127</c:v>
                </c:pt>
                <c:pt idx="207">
                  <c:v>91.610291801941059</c:v>
                </c:pt>
                <c:pt idx="208">
                  <c:v>91.613134082188978</c:v>
                </c:pt>
                <c:pt idx="209">
                  <c:v>91.615976362436896</c:v>
                </c:pt>
                <c:pt idx="210">
                  <c:v>91.618818642684815</c:v>
                </c:pt>
                <c:pt idx="211">
                  <c:v>91.621660922932733</c:v>
                </c:pt>
                <c:pt idx="212">
                  <c:v>91.624503203180652</c:v>
                </c:pt>
                <c:pt idx="213">
                  <c:v>91.627345483428584</c:v>
                </c:pt>
                <c:pt idx="214">
                  <c:v>91.630187763676503</c:v>
                </c:pt>
                <c:pt idx="215">
                  <c:v>91.633030043924421</c:v>
                </c:pt>
                <c:pt idx="216">
                  <c:v>91.63587232417234</c:v>
                </c:pt>
                <c:pt idx="217">
                  <c:v>91.638714604420258</c:v>
                </c:pt>
                <c:pt idx="218">
                  <c:v>91.641556884668177</c:v>
                </c:pt>
                <c:pt idx="219">
                  <c:v>91.644399164916109</c:v>
                </c:pt>
                <c:pt idx="220">
                  <c:v>91.647241445164028</c:v>
                </c:pt>
                <c:pt idx="221">
                  <c:v>91.650083725411946</c:v>
                </c:pt>
                <c:pt idx="222">
                  <c:v>91.652926005659864</c:v>
                </c:pt>
                <c:pt idx="223">
                  <c:v>91.655768285907783</c:v>
                </c:pt>
                <c:pt idx="224">
                  <c:v>91.658610566155701</c:v>
                </c:pt>
                <c:pt idx="225">
                  <c:v>91.66145284640362</c:v>
                </c:pt>
                <c:pt idx="226">
                  <c:v>91.664295126651552</c:v>
                </c:pt>
                <c:pt idx="227">
                  <c:v>91.667137406899471</c:v>
                </c:pt>
                <c:pt idx="228">
                  <c:v>91.669979687147389</c:v>
                </c:pt>
                <c:pt idx="229">
                  <c:v>91.672821967395308</c:v>
                </c:pt>
                <c:pt idx="230">
                  <c:v>91.675664247643226</c:v>
                </c:pt>
                <c:pt idx="231">
                  <c:v>91.678506527891145</c:v>
                </c:pt>
                <c:pt idx="232">
                  <c:v>91.681348808139077</c:v>
                </c:pt>
                <c:pt idx="233">
                  <c:v>91.684191088386996</c:v>
                </c:pt>
                <c:pt idx="234">
                  <c:v>91.687033368634914</c:v>
                </c:pt>
                <c:pt idx="235">
                  <c:v>91.689875648882833</c:v>
                </c:pt>
                <c:pt idx="236">
                  <c:v>91.692717929130751</c:v>
                </c:pt>
                <c:pt idx="237">
                  <c:v>91.695560209378669</c:v>
                </c:pt>
                <c:pt idx="238">
                  <c:v>91.698402489626602</c:v>
                </c:pt>
              </c:numCache>
            </c:numRef>
          </c:val>
          <c:smooth val="0"/>
          <c:extLst>
            <c:ext xmlns:c16="http://schemas.microsoft.com/office/drawing/2014/chart" uri="{C3380CC4-5D6E-409C-BE32-E72D297353CC}">
              <c16:uniqueId val="{00000001-2D1A-4773-91B7-8D03B6485558}"/>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A60B-4EBE-8720-7D622261500E}"/>
            </c:ext>
          </c:extLst>
        </c:ser>
        <c:ser>
          <c:idx val="1"/>
          <c:order val="1"/>
          <c:tx>
            <c:v>SA</c:v>
          </c:tx>
          <c:spPr>
            <a:ln w="19050" cap="rnd">
              <a:solidFill>
                <a:schemeClr val="accent2"/>
              </a:solidFill>
              <a:round/>
            </a:ln>
            <a:effectLst/>
          </c:spPr>
          <c:marker>
            <c:symbol val="none"/>
          </c:marker>
          <c:cat>
            <c:numRef>
              <c:f>SEASADJ!$F$9:$F$247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SEASADJ!$K$9:$K$297</c:f>
              <c:numCache>
                <c:formatCode>0.0</c:formatCode>
                <c:ptCount val="289"/>
                <c:pt idx="0">
                  <c:v>-0.71753883388702944</c:v>
                </c:pt>
                <c:pt idx="1">
                  <c:v>0.22460287827182232</c:v>
                </c:pt>
                <c:pt idx="2">
                  <c:v>6.8688421574020353</c:v>
                </c:pt>
                <c:pt idx="3">
                  <c:v>-5.5188277653232447</c:v>
                </c:pt>
                <c:pt idx="4">
                  <c:v>-2.4312302589565311</c:v>
                </c:pt>
                <c:pt idx="5">
                  <c:v>1.9869393011204659</c:v>
                </c:pt>
                <c:pt idx="6">
                  <c:v>-2.4443016238566138</c:v>
                </c:pt>
                <c:pt idx="7">
                  <c:v>1.0146606755559135</c:v>
                </c:pt>
                <c:pt idx="8">
                  <c:v>4.7225693217673861</c:v>
                </c:pt>
                <c:pt idx="9">
                  <c:v>-0.58337465728584181</c:v>
                </c:pt>
                <c:pt idx="10">
                  <c:v>-0.66122229185945081</c:v>
                </c:pt>
                <c:pt idx="11">
                  <c:v>-0.24722363333822142</c:v>
                </c:pt>
                <c:pt idx="12">
                  <c:v>6.4997613633094059E-2</c:v>
                </c:pt>
                <c:pt idx="13">
                  <c:v>-2.7438129504982021</c:v>
                </c:pt>
                <c:pt idx="14">
                  <c:v>2.8965069556173395</c:v>
                </c:pt>
                <c:pt idx="15">
                  <c:v>-2.4209516024136573</c:v>
                </c:pt>
                <c:pt idx="16">
                  <c:v>-3.1172710269704007</c:v>
                </c:pt>
                <c:pt idx="17">
                  <c:v>1.1171858461062731</c:v>
                </c:pt>
                <c:pt idx="18">
                  <c:v>-2.4354741740128558</c:v>
                </c:pt>
                <c:pt idx="19">
                  <c:v>7.7275674021505312</c:v>
                </c:pt>
                <c:pt idx="20">
                  <c:v>1.3239514816623537</c:v>
                </c:pt>
                <c:pt idx="21">
                  <c:v>-0.6453724178142739</c:v>
                </c:pt>
                <c:pt idx="22">
                  <c:v>2.836456960937614</c:v>
                </c:pt>
                <c:pt idx="23">
                  <c:v>-0.86181350509130761</c:v>
                </c:pt>
                <c:pt idx="24">
                  <c:v>-0.6308953663134429</c:v>
                </c:pt>
                <c:pt idx="25">
                  <c:v>5.8152505020691585</c:v>
                </c:pt>
                <c:pt idx="26">
                  <c:v>-1.4941620889847425</c:v>
                </c:pt>
                <c:pt idx="27">
                  <c:v>-1.651406496056782</c:v>
                </c:pt>
                <c:pt idx="28">
                  <c:v>1.0103750580356954</c:v>
                </c:pt>
                <c:pt idx="29">
                  <c:v>-0.68904666216837551</c:v>
                </c:pt>
                <c:pt idx="30">
                  <c:v>-0.60832085094559618</c:v>
                </c:pt>
                <c:pt idx="31">
                  <c:v>2.825211038783249</c:v>
                </c:pt>
                <c:pt idx="32">
                  <c:v>-2.0630836876527283</c:v>
                </c:pt>
                <c:pt idx="33">
                  <c:v>3.707254087174825</c:v>
                </c:pt>
                <c:pt idx="34">
                  <c:v>3.0376187376414912</c:v>
                </c:pt>
                <c:pt idx="35">
                  <c:v>-3.9063269313406899</c:v>
                </c:pt>
                <c:pt idx="36">
                  <c:v>-2.7635865213641622</c:v>
                </c:pt>
                <c:pt idx="37">
                  <c:v>3.881368425924645</c:v>
                </c:pt>
                <c:pt idx="38">
                  <c:v>2.9232413495741953</c:v>
                </c:pt>
                <c:pt idx="39">
                  <c:v>-1.9138675376487004</c:v>
                </c:pt>
                <c:pt idx="40">
                  <c:v>1.571161143024586</c:v>
                </c:pt>
                <c:pt idx="41">
                  <c:v>-6.2196847556514889</c:v>
                </c:pt>
                <c:pt idx="42">
                  <c:v>2.6784982195050122</c:v>
                </c:pt>
                <c:pt idx="43">
                  <c:v>-1.0132132620482732</c:v>
                </c:pt>
                <c:pt idx="44">
                  <c:v>-1.7407717714571191</c:v>
                </c:pt>
                <c:pt idx="45">
                  <c:v>4.145046894320684</c:v>
                </c:pt>
                <c:pt idx="46">
                  <c:v>4.6045720265601799</c:v>
                </c:pt>
                <c:pt idx="47">
                  <c:v>-2.845766040079666</c:v>
                </c:pt>
                <c:pt idx="48">
                  <c:v>-1.1884869336638624</c:v>
                </c:pt>
                <c:pt idx="49">
                  <c:v>3.9063029728684544</c:v>
                </c:pt>
                <c:pt idx="50">
                  <c:v>-3.46130437245397</c:v>
                </c:pt>
                <c:pt idx="51">
                  <c:v>4.2037391862690949</c:v>
                </c:pt>
                <c:pt idx="52">
                  <c:v>-3.3696836952274118</c:v>
                </c:pt>
                <c:pt idx="53">
                  <c:v>-2.3094168056024613</c:v>
                </c:pt>
                <c:pt idx="54">
                  <c:v>2.1868418439985775</c:v>
                </c:pt>
                <c:pt idx="55">
                  <c:v>-2.8071429529211613</c:v>
                </c:pt>
                <c:pt idx="56">
                  <c:v>0.93873264023485437</c:v>
                </c:pt>
                <c:pt idx="57">
                  <c:v>3.8875283425535851</c:v>
                </c:pt>
                <c:pt idx="58">
                  <c:v>1.3475020110042024</c:v>
                </c:pt>
                <c:pt idx="59">
                  <c:v>0.56031776721630933</c:v>
                </c:pt>
                <c:pt idx="60">
                  <c:v>-2.106784484132914</c:v>
                </c:pt>
                <c:pt idx="61">
                  <c:v>5.1956087043082615</c:v>
                </c:pt>
                <c:pt idx="62">
                  <c:v>-2.1390879248201715</c:v>
                </c:pt>
                <c:pt idx="63">
                  <c:v>3.2527111617758528</c:v>
                </c:pt>
                <c:pt idx="64">
                  <c:v>-1.8066229521733124</c:v>
                </c:pt>
                <c:pt idx="65">
                  <c:v>-2.2812555381593209</c:v>
                </c:pt>
                <c:pt idx="66">
                  <c:v>2.1801344928408271</c:v>
                </c:pt>
                <c:pt idx="67">
                  <c:v>-3.5714600956211262</c:v>
                </c:pt>
                <c:pt idx="68">
                  <c:v>5.5519524506781543</c:v>
                </c:pt>
                <c:pt idx="69">
                  <c:v>0.40307336704555485</c:v>
                </c:pt>
                <c:pt idx="70">
                  <c:v>1.0275312391577138</c:v>
                </c:pt>
                <c:pt idx="71">
                  <c:v>2.908344528100554</c:v>
                </c:pt>
                <c:pt idx="72">
                  <c:v>-0.89810117087412777</c:v>
                </c:pt>
                <c:pt idx="73">
                  <c:v>-3.2596679263660668</c:v>
                </c:pt>
                <c:pt idx="74">
                  <c:v>5.5897564561454676</c:v>
                </c:pt>
                <c:pt idx="75">
                  <c:v>-3.2463576700180132</c:v>
                </c:pt>
                <c:pt idx="76">
                  <c:v>2.0198514783184152</c:v>
                </c:pt>
                <c:pt idx="77">
                  <c:v>-0.31884229473695846</c:v>
                </c:pt>
                <c:pt idx="78">
                  <c:v>-4.2894342105939582</c:v>
                </c:pt>
                <c:pt idx="79">
                  <c:v>3.1986941993485574</c:v>
                </c:pt>
                <c:pt idx="80">
                  <c:v>-2.5517890541014396</c:v>
                </c:pt>
                <c:pt idx="81">
                  <c:v>-6.3977051793940269</c:v>
                </c:pt>
                <c:pt idx="82">
                  <c:v>-8.484359955320171</c:v>
                </c:pt>
                <c:pt idx="83">
                  <c:v>5.3345832191258193E-2</c:v>
                </c:pt>
                <c:pt idx="84">
                  <c:v>-0.27642972693952794</c:v>
                </c:pt>
                <c:pt idx="85">
                  <c:v>4.9543158696909995</c:v>
                </c:pt>
                <c:pt idx="86">
                  <c:v>0.15306855435996122</c:v>
                </c:pt>
                <c:pt idx="87">
                  <c:v>0.39609927778367648</c:v>
                </c:pt>
                <c:pt idx="88">
                  <c:v>2.2233280197679592</c:v>
                </c:pt>
                <c:pt idx="89">
                  <c:v>0.56402086838980292</c:v>
                </c:pt>
                <c:pt idx="90">
                  <c:v>-0.87773816146094918</c:v>
                </c:pt>
                <c:pt idx="91">
                  <c:v>2.6242059459808376</c:v>
                </c:pt>
                <c:pt idx="92">
                  <c:v>2.4788927699725161</c:v>
                </c:pt>
                <c:pt idx="93">
                  <c:v>1.4836399424866578</c:v>
                </c:pt>
                <c:pt idx="94">
                  <c:v>3.6157838779101965</c:v>
                </c:pt>
                <c:pt idx="95">
                  <c:v>-2.5699971838885016</c:v>
                </c:pt>
                <c:pt idx="96">
                  <c:v>0.64120659381763412</c:v>
                </c:pt>
                <c:pt idx="97">
                  <c:v>6.3735474104280456</c:v>
                </c:pt>
                <c:pt idx="98">
                  <c:v>-1.6105597512413858</c:v>
                </c:pt>
                <c:pt idx="99">
                  <c:v>-1.6062570032215895</c:v>
                </c:pt>
                <c:pt idx="100">
                  <c:v>-0.49846261922096669</c:v>
                </c:pt>
                <c:pt idx="101">
                  <c:v>-1.0270200349754219</c:v>
                </c:pt>
                <c:pt idx="102">
                  <c:v>-1.6875080542261922</c:v>
                </c:pt>
                <c:pt idx="103">
                  <c:v>0.6745905166868984</c:v>
                </c:pt>
                <c:pt idx="104">
                  <c:v>-1.7918265171763514</c:v>
                </c:pt>
                <c:pt idx="105">
                  <c:v>4.7030021903696273</c:v>
                </c:pt>
                <c:pt idx="106">
                  <c:v>1.0493698037228807</c:v>
                </c:pt>
                <c:pt idx="107">
                  <c:v>-3.0227841854763637</c:v>
                </c:pt>
                <c:pt idx="108">
                  <c:v>5.4161450049017494</c:v>
                </c:pt>
                <c:pt idx="109">
                  <c:v>-1.238933705218761</c:v>
                </c:pt>
                <c:pt idx="110">
                  <c:v>-2.7716188125372154</c:v>
                </c:pt>
                <c:pt idx="111">
                  <c:v>2.8722238462085681</c:v>
                </c:pt>
                <c:pt idx="112">
                  <c:v>-2.8553687196584168</c:v>
                </c:pt>
                <c:pt idx="113">
                  <c:v>-2.0704527203418324</c:v>
                </c:pt>
                <c:pt idx="114">
                  <c:v>1.5306741536821034</c:v>
                </c:pt>
                <c:pt idx="115">
                  <c:v>-2.7420892038409148</c:v>
                </c:pt>
                <c:pt idx="116">
                  <c:v>-2.1505816448946895</c:v>
                </c:pt>
                <c:pt idx="117">
                  <c:v>3.5468523511309114</c:v>
                </c:pt>
                <c:pt idx="118">
                  <c:v>2.5779052484492944</c:v>
                </c:pt>
                <c:pt idx="119">
                  <c:v>-7.035523147121169</c:v>
                </c:pt>
                <c:pt idx="120">
                  <c:v>4.3155679278942261</c:v>
                </c:pt>
                <c:pt idx="121">
                  <c:v>0.20402676131536698</c:v>
                </c:pt>
                <c:pt idx="122">
                  <c:v>-3.1057927856273073</c:v>
                </c:pt>
                <c:pt idx="123">
                  <c:v>3.4227797798492148</c:v>
                </c:pt>
                <c:pt idx="124">
                  <c:v>-2.9414834189287884</c:v>
                </c:pt>
                <c:pt idx="125">
                  <c:v>0.88618244494539322</c:v>
                </c:pt>
                <c:pt idx="126">
                  <c:v>3.6799532338882739</c:v>
                </c:pt>
                <c:pt idx="127">
                  <c:v>-4.7167518438012168</c:v>
                </c:pt>
                <c:pt idx="128">
                  <c:v>4.2389268736762409</c:v>
                </c:pt>
                <c:pt idx="129">
                  <c:v>-0.92361092941121647</c:v>
                </c:pt>
                <c:pt idx="130">
                  <c:v>-1.7220757979542558</c:v>
                </c:pt>
                <c:pt idx="131">
                  <c:v>3.024288160931202</c:v>
                </c:pt>
                <c:pt idx="132">
                  <c:v>-3.9296708271241036</c:v>
                </c:pt>
                <c:pt idx="133">
                  <c:v>8.8859206011813158E-2</c:v>
                </c:pt>
                <c:pt idx="134">
                  <c:v>8.1769654387050004</c:v>
                </c:pt>
                <c:pt idx="135">
                  <c:v>-3.4238114946714782</c:v>
                </c:pt>
                <c:pt idx="136">
                  <c:v>-1.9509109866954877</c:v>
                </c:pt>
                <c:pt idx="137">
                  <c:v>0.78027042674143754</c:v>
                </c:pt>
                <c:pt idx="138">
                  <c:v>0.83296570144498627</c:v>
                </c:pt>
                <c:pt idx="139">
                  <c:v>-1.4618111270609342</c:v>
                </c:pt>
                <c:pt idx="140">
                  <c:v>1.2495736159029649</c:v>
                </c:pt>
                <c:pt idx="141">
                  <c:v>-0.40379905457077214</c:v>
                </c:pt>
                <c:pt idx="142">
                  <c:v>-5.2588997660794288</c:v>
                </c:pt>
                <c:pt idx="143">
                  <c:v>3.2972154710004657</c:v>
                </c:pt>
                <c:pt idx="144">
                  <c:v>2.7585593142995037</c:v>
                </c:pt>
                <c:pt idx="145">
                  <c:v>-4.9785586363332275</c:v>
                </c:pt>
                <c:pt idx="146">
                  <c:v>2.7210311595241592</c:v>
                </c:pt>
                <c:pt idx="147">
                  <c:v>-0.75092494011378541</c:v>
                </c:pt>
                <c:pt idx="148">
                  <c:v>-5.6779660202577915</c:v>
                </c:pt>
                <c:pt idx="149">
                  <c:v>4.3104750030365135</c:v>
                </c:pt>
                <c:pt idx="150">
                  <c:v>-1.0002377257061206</c:v>
                </c:pt>
                <c:pt idx="151">
                  <c:v>2.1645196312091315</c:v>
                </c:pt>
                <c:pt idx="152">
                  <c:v>-0.12793059995755621</c:v>
                </c:pt>
                <c:pt idx="153">
                  <c:v>-3.5506532325129836</c:v>
                </c:pt>
                <c:pt idx="154">
                  <c:v>-1.8373400594429921</c:v>
                </c:pt>
                <c:pt idx="155">
                  <c:v>1.0153811236159382</c:v>
                </c:pt>
                <c:pt idx="156">
                  <c:v>-2.0402962160381839</c:v>
                </c:pt>
                <c:pt idx="157">
                  <c:v>1.6701778097497098</c:v>
                </c:pt>
                <c:pt idx="158">
                  <c:v>-1.9433430321922751</c:v>
                </c:pt>
                <c:pt idx="159">
                  <c:v>-1.7900826702918939</c:v>
                </c:pt>
                <c:pt idx="160">
                  <c:v>0.59583974714122923</c:v>
                </c:pt>
                <c:pt idx="161">
                  <c:v>-2.0383616833985982</c:v>
                </c:pt>
                <c:pt idx="162">
                  <c:v>-0.62867412240628084</c:v>
                </c:pt>
                <c:pt idx="163">
                  <c:v>-0.61441933918025304</c:v>
                </c:pt>
                <c:pt idx="164">
                  <c:v>-0.54278080829257158</c:v>
                </c:pt>
                <c:pt idx="165">
                  <c:v>-4.8568033984102961</c:v>
                </c:pt>
                <c:pt idx="166">
                  <c:v>-1.5508657566764175</c:v>
                </c:pt>
                <c:pt idx="167">
                  <c:v>-0.6123341068156114</c:v>
                </c:pt>
                <c:pt idx="168">
                  <c:v>2.4255947644236873</c:v>
                </c:pt>
                <c:pt idx="169">
                  <c:v>-0.33997491993814677</c:v>
                </c:pt>
                <c:pt idx="170">
                  <c:v>3.2262739620532974</c:v>
                </c:pt>
                <c:pt idx="171">
                  <c:v>-2.6199370695031496</c:v>
                </c:pt>
                <c:pt idx="172">
                  <c:v>2.8516238524809285</c:v>
                </c:pt>
                <c:pt idx="173">
                  <c:v>-3.0867799199543686</c:v>
                </c:pt>
                <c:pt idx="174">
                  <c:v>0.92061860159462494</c:v>
                </c:pt>
                <c:pt idx="175">
                  <c:v>0.32099743556675397</c:v>
                </c:pt>
                <c:pt idx="176">
                  <c:v>-4.1245259962420384</c:v>
                </c:pt>
                <c:pt idx="177">
                  <c:v>1.3536666409200464</c:v>
                </c:pt>
                <c:pt idx="178">
                  <c:v>-0.28720735622521865</c:v>
                </c:pt>
                <c:pt idx="179">
                  <c:v>1.4629673518135218</c:v>
                </c:pt>
                <c:pt idx="180">
                  <c:v>0.4821324811203902</c:v>
                </c:pt>
                <c:pt idx="181">
                  <c:v>1.538898234645492</c:v>
                </c:pt>
                <c:pt idx="182">
                  <c:v>-3.3446862834357267</c:v>
                </c:pt>
                <c:pt idx="183">
                  <c:v>6.2493674985674144</c:v>
                </c:pt>
                <c:pt idx="184">
                  <c:v>-0.66242577346402109</c:v>
                </c:pt>
                <c:pt idx="185">
                  <c:v>-1.1298246184627665</c:v>
                </c:pt>
                <c:pt idx="186">
                  <c:v>2.0700472041562574</c:v>
                </c:pt>
                <c:pt idx="187">
                  <c:v>-1.076179891816027</c:v>
                </c:pt>
                <c:pt idx="188">
                  <c:v>-1.3387853511818868</c:v>
                </c:pt>
                <c:pt idx="189">
                  <c:v>0.69469230375337698</c:v>
                </c:pt>
                <c:pt idx="190">
                  <c:v>-0.11321750316439075</c:v>
                </c:pt>
                <c:pt idx="191">
                  <c:v>2.152513068274835</c:v>
                </c:pt>
                <c:pt idx="192">
                  <c:v>-3.1846558803325631</c:v>
                </c:pt>
                <c:pt idx="193">
                  <c:v>0.64357880297860248</c:v>
                </c:pt>
                <c:pt idx="194">
                  <c:v>4.4135345587550967</c:v>
                </c:pt>
                <c:pt idx="195">
                  <c:v>-8.9765373323737983</c:v>
                </c:pt>
                <c:pt idx="196">
                  <c:v>8.881433990005517</c:v>
                </c:pt>
                <c:pt idx="197">
                  <c:v>-0.19963390913886772</c:v>
                </c:pt>
                <c:pt idx="198">
                  <c:v>-0.32944567728195606</c:v>
                </c:pt>
                <c:pt idx="199">
                  <c:v>-5.1196747851496838</c:v>
                </c:pt>
                <c:pt idx="200">
                  <c:v>1.8987997945816506</c:v>
                </c:pt>
                <c:pt idx="201">
                  <c:v>-1.2602380156060295</c:v>
                </c:pt>
                <c:pt idx="202">
                  <c:v>-2.665691524636701</c:v>
                </c:pt>
                <c:pt idx="203">
                  <c:v>3.9632926258474566</c:v>
                </c:pt>
                <c:pt idx="204">
                  <c:v>1.08048927840272</c:v>
                </c:pt>
                <c:pt idx="205">
                  <c:v>-7.8804154147654355</c:v>
                </c:pt>
                <c:pt idx="206">
                  <c:v>6.866050381972288</c:v>
                </c:pt>
                <c:pt idx="207">
                  <c:v>2.3222596356237304</c:v>
                </c:pt>
                <c:pt idx="208">
                  <c:v>-4.6416562786879307</c:v>
                </c:pt>
                <c:pt idx="209">
                  <c:v>3.2571118938589514</c:v>
                </c:pt>
                <c:pt idx="210">
                  <c:v>0.15000252804389455</c:v>
                </c:pt>
                <c:pt idx="211">
                  <c:v>-1.8564949657383538</c:v>
                </c:pt>
                <c:pt idx="212">
                  <c:v>1.9381350967030686</c:v>
                </c:pt>
                <c:pt idx="213">
                  <c:v>-4.1952484485231576</c:v>
                </c:pt>
                <c:pt idx="214">
                  <c:v>-2.3958054621757174</c:v>
                </c:pt>
                <c:pt idx="215">
                  <c:v>4.5123935834446289</c:v>
                </c:pt>
                <c:pt idx="216">
                  <c:v>1.6985186464269246</c:v>
                </c:pt>
                <c:pt idx="217">
                  <c:v>-11.529570902161112</c:v>
                </c:pt>
                <c:pt idx="218">
                  <c:v>-21.54327398241983</c:v>
                </c:pt>
                <c:pt idx="219">
                  <c:v>10.097235369697461</c:v>
                </c:pt>
                <c:pt idx="220">
                  <c:v>10.875504617448627</c:v>
                </c:pt>
                <c:pt idx="221">
                  <c:v>9.6734359358196826</c:v>
                </c:pt>
                <c:pt idx="222">
                  <c:v>0.3332892540942356</c:v>
                </c:pt>
                <c:pt idx="223">
                  <c:v>4.4100302627856198</c:v>
                </c:pt>
                <c:pt idx="224">
                  <c:v>-1.599691917218895</c:v>
                </c:pt>
                <c:pt idx="225">
                  <c:v>-2.0347882583436556</c:v>
                </c:pt>
                <c:pt idx="226">
                  <c:v>3.1292005449069951</c:v>
                </c:pt>
                <c:pt idx="227">
                  <c:v>-1.1346380641610112</c:v>
                </c:pt>
                <c:pt idx="228">
                  <c:v>-0.39555227990934272</c:v>
                </c:pt>
                <c:pt idx="229">
                  <c:v>-1.7743897386408243</c:v>
                </c:pt>
                <c:pt idx="230">
                  <c:v>-1.6702285560555499</c:v>
                </c:pt>
                <c:pt idx="231">
                  <c:v>1.853759210201714</c:v>
                </c:pt>
                <c:pt idx="232">
                  <c:v>0.67517722835877347</c:v>
                </c:pt>
                <c:pt idx="233">
                  <c:v>-0.45408939308741125</c:v>
                </c:pt>
                <c:pt idx="234">
                  <c:v>-1.5106772484176143</c:v>
                </c:pt>
                <c:pt idx="235">
                  <c:v>0.76997374345111425</c:v>
                </c:pt>
                <c:pt idx="236">
                  <c:v>-5.5585533126632622</c:v>
                </c:pt>
                <c:pt idx="237">
                  <c:v>1.6780508564576566</c:v>
                </c:pt>
                <c:pt idx="238">
                  <c:v>2.501958407584894</c:v>
                </c:pt>
              </c:numCache>
            </c:numRef>
          </c:val>
          <c:smooth val="0"/>
          <c:extLst>
            <c:ext xmlns:c16="http://schemas.microsoft.com/office/drawing/2014/chart" uri="{C3380CC4-5D6E-409C-BE32-E72D297353CC}">
              <c16:uniqueId val="{00000001-A60B-4EBE-8720-7D622261500E}"/>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a:t>
            </a:r>
            <a:r>
              <a:rPr lang="pt-BR" baseline="0"/>
              <a:t> IP MoM%</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NSA</c:v>
          </c:tx>
          <c:spPr>
            <a:ln w="12700" cap="rnd">
              <a:solidFill>
                <a:schemeClr val="accent1"/>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SEASFACTOR!$G$9:$G$247</c:f>
              <c:numCache>
                <c:formatCode>0.0</c:formatCode>
                <c:ptCount val="239"/>
                <c:pt idx="0">
                  <c:v>-3.8005981625192522</c:v>
                </c:pt>
                <c:pt idx="1">
                  <c:v>10.478646282920332</c:v>
                </c:pt>
                <c:pt idx="2">
                  <c:v>2.8027312254655659</c:v>
                </c:pt>
                <c:pt idx="3">
                  <c:v>1.0000083334583398</c:v>
                </c:pt>
                <c:pt idx="4">
                  <c:v>-3.6736239825619466</c:v>
                </c:pt>
                <c:pt idx="5">
                  <c:v>7.2170612813495589</c:v>
                </c:pt>
                <c:pt idx="6">
                  <c:v>0.3594970917858793</c:v>
                </c:pt>
                <c:pt idx="7">
                  <c:v>-1.8105503632273354</c:v>
                </c:pt>
                <c:pt idx="8">
                  <c:v>8.2943023127581306</c:v>
                </c:pt>
                <c:pt idx="9">
                  <c:v>-6.1255426112803208</c:v>
                </c:pt>
                <c:pt idx="10">
                  <c:v>-11.748510626344547</c:v>
                </c:pt>
                <c:pt idx="11">
                  <c:v>-0.80754140055453072</c:v>
                </c:pt>
                <c:pt idx="12">
                  <c:v>-3.0180617149991287</c:v>
                </c:pt>
                <c:pt idx="13">
                  <c:v>7.5102304541503075</c:v>
                </c:pt>
                <c:pt idx="14">
                  <c:v>-1.1696039763191299</c:v>
                </c:pt>
                <c:pt idx="15">
                  <c:v>4.0978844963679268</c:v>
                </c:pt>
                <c:pt idx="16">
                  <c:v>-4.3596647505758162</c:v>
                </c:pt>
                <c:pt idx="17">
                  <c:v>6.3473078263353662</c:v>
                </c:pt>
                <c:pt idx="18">
                  <c:v>0.36832454162963679</c:v>
                </c:pt>
                <c:pt idx="19">
                  <c:v>4.9023563633672822</c:v>
                </c:pt>
                <c:pt idx="20">
                  <c:v>4.8956844726530981</c:v>
                </c:pt>
                <c:pt idx="21">
                  <c:v>-6.1875403718087529</c:v>
                </c:pt>
                <c:pt idx="22">
                  <c:v>-8.2508313735474825</c:v>
                </c:pt>
                <c:pt idx="23">
                  <c:v>-1.4221312723076169</c:v>
                </c:pt>
                <c:pt idx="24">
                  <c:v>-3.7139546949456657</c:v>
                </c:pt>
                <c:pt idx="25">
                  <c:v>16.069293906717668</c:v>
                </c:pt>
                <c:pt idx="26">
                  <c:v>-5.5602730209212119</c:v>
                </c:pt>
                <c:pt idx="27">
                  <c:v>4.8674296027248021</c:v>
                </c:pt>
                <c:pt idx="28">
                  <c:v>-0.23201866556971981</c:v>
                </c:pt>
                <c:pt idx="29">
                  <c:v>4.5410753180607175</c:v>
                </c:pt>
                <c:pt idx="30">
                  <c:v>2.1954778646968967</c:v>
                </c:pt>
                <c:pt idx="31">
                  <c:v>0</c:v>
                </c:pt>
                <c:pt idx="32">
                  <c:v>1.5086493033380162</c:v>
                </c:pt>
                <c:pt idx="33">
                  <c:v>-1.8349138668196541</c:v>
                </c:pt>
                <c:pt idx="34">
                  <c:v>-8.0496695968436054</c:v>
                </c:pt>
                <c:pt idx="35">
                  <c:v>-4.4666446985569994</c:v>
                </c:pt>
                <c:pt idx="36">
                  <c:v>-5.8466458499963849</c:v>
                </c:pt>
                <c:pt idx="37">
                  <c:v>14.135411830573155</c:v>
                </c:pt>
                <c:pt idx="38">
                  <c:v>-1.1428695823622743</c:v>
                </c:pt>
                <c:pt idx="39">
                  <c:v>4.6049685611328837</c:v>
                </c:pt>
                <c:pt idx="40">
                  <c:v>0.32876741941917081</c:v>
                </c:pt>
                <c:pt idx="41">
                  <c:v>-0.98956277542239612</c:v>
                </c:pt>
                <c:pt idx="42">
                  <c:v>5.482296935147505</c:v>
                </c:pt>
                <c:pt idx="43">
                  <c:v>-3.8384243008315222</c:v>
                </c:pt>
                <c:pt idx="44">
                  <c:v>1.8309612195336253</c:v>
                </c:pt>
                <c:pt idx="45">
                  <c:v>-1.3971210596737951</c:v>
                </c:pt>
                <c:pt idx="46">
                  <c:v>-6.4827163079249166</c:v>
                </c:pt>
                <c:pt idx="47">
                  <c:v>-3.4060838072959752</c:v>
                </c:pt>
                <c:pt idx="48">
                  <c:v>-4.2715462622960851</c:v>
                </c:pt>
                <c:pt idx="49">
                  <c:v>14.160346377516964</c:v>
                </c:pt>
                <c:pt idx="50">
                  <c:v>-7.5274153043904395</c:v>
                </c:pt>
                <c:pt idx="51">
                  <c:v>10.722575285050679</c:v>
                </c:pt>
                <c:pt idx="52">
                  <c:v>-4.6120774188328273</c:v>
                </c:pt>
                <c:pt idx="53">
                  <c:v>2.9207051746266317</c:v>
                </c:pt>
                <c:pt idx="54">
                  <c:v>4.9906405596410703</c:v>
                </c:pt>
                <c:pt idx="55">
                  <c:v>-5.6323539917044103</c:v>
                </c:pt>
                <c:pt idx="56">
                  <c:v>4.5104656312255988</c:v>
                </c:pt>
                <c:pt idx="57">
                  <c:v>-1.6546396114408941</c:v>
                </c:pt>
                <c:pt idx="58">
                  <c:v>-9.7397863234808941</c:v>
                </c:pt>
                <c:pt idx="59">
                  <c:v>0</c:v>
                </c:pt>
                <c:pt idx="60">
                  <c:v>-5.1898438127651367</c:v>
                </c:pt>
                <c:pt idx="61">
                  <c:v>15.449652108956771</c:v>
                </c:pt>
                <c:pt idx="62">
                  <c:v>-6.205198856756641</c:v>
                </c:pt>
                <c:pt idx="63">
                  <c:v>9.7715472605574369</c:v>
                </c:pt>
                <c:pt idx="64">
                  <c:v>-3.0490166757787276</c:v>
                </c:pt>
                <c:pt idx="65">
                  <c:v>2.9488664420697721</c:v>
                </c:pt>
                <c:pt idx="66">
                  <c:v>4.9839332084833199</c:v>
                </c:pt>
                <c:pt idx="67">
                  <c:v>-6.3966711344043752</c:v>
                </c:pt>
                <c:pt idx="68">
                  <c:v>9.1236854416688988</c:v>
                </c:pt>
                <c:pt idx="69">
                  <c:v>-5.1390945869489242</c:v>
                </c:pt>
                <c:pt idx="70">
                  <c:v>-10.059757095327383</c:v>
                </c:pt>
                <c:pt idx="71">
                  <c:v>2.3480267608842449</c:v>
                </c:pt>
                <c:pt idx="72">
                  <c:v>-3.9811604995063505</c:v>
                </c:pt>
                <c:pt idx="73">
                  <c:v>6.9943754782824428</c:v>
                </c:pt>
                <c:pt idx="74">
                  <c:v>1.5236455242089986</c:v>
                </c:pt>
                <c:pt idx="75">
                  <c:v>3.2724784287635709</c:v>
                </c:pt>
                <c:pt idx="76">
                  <c:v>0.77745775471300005</c:v>
                </c:pt>
                <c:pt idx="77">
                  <c:v>4.9112796854921346</c:v>
                </c:pt>
                <c:pt idx="78">
                  <c:v>-1.4856354949514659</c:v>
                </c:pt>
                <c:pt idx="79">
                  <c:v>0.37348316056530828</c:v>
                </c:pt>
                <c:pt idx="80">
                  <c:v>1.0199439368893048</c:v>
                </c:pt>
                <c:pt idx="81">
                  <c:v>-11.939873133388506</c:v>
                </c:pt>
                <c:pt idx="82">
                  <c:v>-19.571648289805267</c:v>
                </c:pt>
                <c:pt idx="83">
                  <c:v>-0.50697193502505111</c:v>
                </c:pt>
                <c:pt idx="84">
                  <c:v>-3.3594890555717507</c:v>
                </c:pt>
                <c:pt idx="85">
                  <c:v>15.208359274339509</c:v>
                </c:pt>
                <c:pt idx="86">
                  <c:v>-3.9130423775765082</c:v>
                </c:pt>
                <c:pt idx="87">
                  <c:v>6.9149353765652606</c:v>
                </c:pt>
                <c:pt idx="88">
                  <c:v>0.98093429616254413</c:v>
                </c:pt>
                <c:pt idx="89">
                  <c:v>5.7941428486188959</c:v>
                </c:pt>
                <c:pt idx="90">
                  <c:v>1.9260605541815436</c:v>
                </c:pt>
                <c:pt idx="91">
                  <c:v>-0.20100509280241119</c:v>
                </c:pt>
                <c:pt idx="92">
                  <c:v>6.0506257609632605</c:v>
                </c:pt>
                <c:pt idx="93">
                  <c:v>-4.0585280115078213</c:v>
                </c:pt>
                <c:pt idx="94">
                  <c:v>-7.4715044565749</c:v>
                </c:pt>
                <c:pt idx="95">
                  <c:v>-3.1303149511048107</c:v>
                </c:pt>
                <c:pt idx="96">
                  <c:v>-2.4418527348145886</c:v>
                </c:pt>
                <c:pt idx="97">
                  <c:v>16.627590815076555</c:v>
                </c:pt>
                <c:pt idx="98">
                  <c:v>-5.6766706831778553</c:v>
                </c:pt>
                <c:pt idx="99">
                  <c:v>4.9125790955599946</c:v>
                </c:pt>
                <c:pt idx="100">
                  <c:v>-1.7408563428263819</c:v>
                </c:pt>
                <c:pt idx="101">
                  <c:v>4.2031019452536711</c:v>
                </c:pt>
                <c:pt idx="102">
                  <c:v>1.1162906614163006</c:v>
                </c:pt>
                <c:pt idx="103">
                  <c:v>-2.1506205220963506</c:v>
                </c:pt>
                <c:pt idx="104">
                  <c:v>1.779906473814393</c:v>
                </c:pt>
                <c:pt idx="105">
                  <c:v>-0.83916576362485129</c:v>
                </c:pt>
                <c:pt idx="106">
                  <c:v>-10.037918530762216</c:v>
                </c:pt>
                <c:pt idx="107">
                  <c:v>-3.5831019526926728</c:v>
                </c:pt>
                <c:pt idx="108">
                  <c:v>2.3330856762695267</c:v>
                </c:pt>
                <c:pt idx="109">
                  <c:v>9.0151096994297486</c:v>
                </c:pt>
                <c:pt idx="110">
                  <c:v>-6.8377297444736849</c:v>
                </c:pt>
                <c:pt idx="111">
                  <c:v>9.3910599449901522</c:v>
                </c:pt>
                <c:pt idx="112">
                  <c:v>-4.0977624432638322</c:v>
                </c:pt>
                <c:pt idx="113">
                  <c:v>3.1596692598872607</c:v>
                </c:pt>
                <c:pt idx="114">
                  <c:v>4.3344728693245962</c:v>
                </c:pt>
                <c:pt idx="115">
                  <c:v>-5.5673002426241638</c:v>
                </c:pt>
                <c:pt idx="116">
                  <c:v>1.4211513460960548</c:v>
                </c:pt>
                <c:pt idx="117">
                  <c:v>-1.9953156028635677</c:v>
                </c:pt>
                <c:pt idx="118">
                  <c:v>-8.5093830860358022</c:v>
                </c:pt>
                <c:pt idx="119">
                  <c:v>-7.5958409143374785</c:v>
                </c:pt>
                <c:pt idx="120">
                  <c:v>1.2325085992620033</c:v>
                </c:pt>
                <c:pt idx="121">
                  <c:v>10.458070165963877</c:v>
                </c:pt>
                <c:pt idx="122">
                  <c:v>-7.1719037175637768</c:v>
                </c:pt>
                <c:pt idx="123">
                  <c:v>9.9416158786307989</c:v>
                </c:pt>
                <c:pt idx="124">
                  <c:v>-4.1838771425342038</c:v>
                </c:pt>
                <c:pt idx="125">
                  <c:v>6.1163044251744862</c:v>
                </c:pt>
                <c:pt idx="126">
                  <c:v>6.4837519495307667</c:v>
                </c:pt>
                <c:pt idx="127">
                  <c:v>-7.5419628825844658</c:v>
                </c:pt>
                <c:pt idx="128">
                  <c:v>7.8106598646669854</c:v>
                </c:pt>
                <c:pt idx="129">
                  <c:v>-6.4657788834056955</c:v>
                </c:pt>
                <c:pt idx="130">
                  <c:v>-12.809364132439352</c:v>
                </c:pt>
                <c:pt idx="131">
                  <c:v>2.4639703937148925</c:v>
                </c:pt>
                <c:pt idx="132">
                  <c:v>-7.0127301557563264</c:v>
                </c:pt>
                <c:pt idx="133">
                  <c:v>10.342902610660323</c:v>
                </c:pt>
                <c:pt idx="134">
                  <c:v>4.1108545067685318</c:v>
                </c:pt>
                <c:pt idx="135">
                  <c:v>3.0950246041101059</c:v>
                </c:pt>
                <c:pt idx="136">
                  <c:v>-3.1933047103009029</c:v>
                </c:pt>
                <c:pt idx="137">
                  <c:v>6.0103924069705306</c:v>
                </c:pt>
                <c:pt idx="138">
                  <c:v>3.6367644170874791</c:v>
                </c:pt>
                <c:pt idx="139">
                  <c:v>-4.2870221658441832</c:v>
                </c:pt>
                <c:pt idx="140">
                  <c:v>4.8213066068937094</c:v>
                </c:pt>
                <c:pt idx="141">
                  <c:v>-5.9459670085652512</c:v>
                </c:pt>
                <c:pt idx="142">
                  <c:v>-16.346188100564525</c:v>
                </c:pt>
                <c:pt idx="143">
                  <c:v>2.7368977037841566</c:v>
                </c:pt>
                <c:pt idx="144">
                  <c:v>-0.32450001433271897</c:v>
                </c:pt>
                <c:pt idx="145">
                  <c:v>5.2754847683152821</c:v>
                </c:pt>
                <c:pt idx="146">
                  <c:v>-1.3450797724123105</c:v>
                </c:pt>
                <c:pt idx="147">
                  <c:v>5.7679111586677987</c:v>
                </c:pt>
                <c:pt idx="148">
                  <c:v>-6.920359743863207</c:v>
                </c:pt>
                <c:pt idx="149">
                  <c:v>9.5405969832656066</c:v>
                </c:pt>
                <c:pt idx="150">
                  <c:v>1.8035609899363723</c:v>
                </c:pt>
                <c:pt idx="151">
                  <c:v>-0.66069140757411748</c:v>
                </c:pt>
                <c:pt idx="152">
                  <c:v>3.4438023910331883</c:v>
                </c:pt>
                <c:pt idx="153">
                  <c:v>-9.0928211865074626</c:v>
                </c:pt>
                <c:pt idx="154">
                  <c:v>-12.924628393928089</c:v>
                </c:pt>
                <c:pt idx="155">
                  <c:v>0.45506335639962892</c:v>
                </c:pt>
                <c:pt idx="156">
                  <c:v>-5.1233555446704067</c:v>
                </c:pt>
                <c:pt idx="157">
                  <c:v>11.924221214398219</c:v>
                </c:pt>
                <c:pt idx="158">
                  <c:v>-6.0094539641287446</c:v>
                </c:pt>
                <c:pt idx="159">
                  <c:v>4.7287534284896902</c:v>
                </c:pt>
                <c:pt idx="160">
                  <c:v>-0.646553976464186</c:v>
                </c:pt>
                <c:pt idx="161">
                  <c:v>3.1917602968304948</c:v>
                </c:pt>
                <c:pt idx="162">
                  <c:v>2.175124593236212</c:v>
                </c:pt>
                <c:pt idx="163">
                  <c:v>-3.439630377963502</c:v>
                </c:pt>
                <c:pt idx="164">
                  <c:v>3.0289521826981729</c:v>
                </c:pt>
                <c:pt idx="165">
                  <c:v>-10.398971352404775</c:v>
                </c:pt>
                <c:pt idx="166">
                  <c:v>-12.638154091161514</c:v>
                </c:pt>
                <c:pt idx="167">
                  <c:v>-1.1726518740319207</c:v>
                </c:pt>
                <c:pt idx="168">
                  <c:v>-0.65746456420853572</c:v>
                </c:pt>
                <c:pt idx="169">
                  <c:v>9.9140684847103628</c:v>
                </c:pt>
                <c:pt idx="170">
                  <c:v>-0.8398369698831718</c:v>
                </c:pt>
                <c:pt idx="171">
                  <c:v>3.8988990292784345</c:v>
                </c:pt>
                <c:pt idx="172">
                  <c:v>1.6092301288755131</c:v>
                </c:pt>
                <c:pt idx="173">
                  <c:v>2.1433420602747244</c:v>
                </c:pt>
                <c:pt idx="174">
                  <c:v>3.7244173172371178</c:v>
                </c:pt>
                <c:pt idx="175">
                  <c:v>-2.504213603216495</c:v>
                </c:pt>
                <c:pt idx="176">
                  <c:v>-0.55279300525129427</c:v>
                </c:pt>
                <c:pt idx="177">
                  <c:v>-4.1885013130744326</c:v>
                </c:pt>
                <c:pt idx="178">
                  <c:v>-11.374495690710315</c:v>
                </c:pt>
                <c:pt idx="179">
                  <c:v>0.90264958459721245</c:v>
                </c:pt>
                <c:pt idx="180">
                  <c:v>-2.6009268475118326</c:v>
                </c:pt>
                <c:pt idx="181">
                  <c:v>11.792941639294002</c:v>
                </c:pt>
                <c:pt idx="182">
                  <c:v>-7.4107972153721962</c:v>
                </c:pt>
                <c:pt idx="183">
                  <c:v>12.768203597348998</c:v>
                </c:pt>
                <c:pt idx="184">
                  <c:v>-1.9048194970694363</c:v>
                </c:pt>
                <c:pt idx="185">
                  <c:v>4.1002973617663265</c:v>
                </c:pt>
                <c:pt idx="186">
                  <c:v>4.8738459197987503</c:v>
                </c:pt>
                <c:pt idx="187">
                  <c:v>-3.901390930599276</c:v>
                </c:pt>
                <c:pt idx="188">
                  <c:v>2.2329476398088577</c:v>
                </c:pt>
                <c:pt idx="189">
                  <c:v>-4.8474756502411021</c:v>
                </c:pt>
                <c:pt idx="190">
                  <c:v>-11.200505837649487</c:v>
                </c:pt>
                <c:pt idx="191">
                  <c:v>1.5921953010585257</c:v>
                </c:pt>
                <c:pt idx="192">
                  <c:v>-6.2677152089647858</c:v>
                </c:pt>
                <c:pt idx="193">
                  <c:v>10.897622207627112</c:v>
                </c:pt>
                <c:pt idx="194">
                  <c:v>0.34742362681862726</c:v>
                </c:pt>
                <c:pt idx="195">
                  <c:v>-2.4577012335922137</c:v>
                </c:pt>
                <c:pt idx="196">
                  <c:v>7.6390402664001016</c:v>
                </c:pt>
                <c:pt idx="197">
                  <c:v>5.0304880710902253</c:v>
                </c:pt>
                <c:pt idx="198">
                  <c:v>2.4743530383605368</c:v>
                </c:pt>
                <c:pt idx="199">
                  <c:v>-7.9448858239329327</c:v>
                </c:pt>
                <c:pt idx="200">
                  <c:v>5.4705327855723951</c:v>
                </c:pt>
                <c:pt idx="201">
                  <c:v>-6.8024059696005086</c:v>
                </c:pt>
                <c:pt idx="202">
                  <c:v>-13.752979859121798</c:v>
                </c:pt>
                <c:pt idx="203">
                  <c:v>3.402974858631147</c:v>
                </c:pt>
                <c:pt idx="204">
                  <c:v>-2.0025700502295027</c:v>
                </c:pt>
                <c:pt idx="205">
                  <c:v>2.3736279898830737</c:v>
                </c:pt>
                <c:pt idx="206">
                  <c:v>2.799939450035819</c:v>
                </c:pt>
                <c:pt idx="207">
                  <c:v>8.8410957344053145</c:v>
                </c:pt>
                <c:pt idx="208">
                  <c:v>-5.8840500022933462</c:v>
                </c:pt>
                <c:pt idx="209">
                  <c:v>8.4872338740880444</c:v>
                </c:pt>
                <c:pt idx="210">
                  <c:v>2.9538012436863874</c:v>
                </c:pt>
                <c:pt idx="211">
                  <c:v>-4.6817060045216028</c:v>
                </c:pt>
                <c:pt idx="212">
                  <c:v>5.5098680876938131</c:v>
                </c:pt>
                <c:pt idx="213">
                  <c:v>-9.7374164025176366</c:v>
                </c:pt>
                <c:pt idx="214">
                  <c:v>-13.483093796660814</c:v>
                </c:pt>
                <c:pt idx="215">
                  <c:v>3.9520758162283198</c:v>
                </c:pt>
                <c:pt idx="216">
                  <c:v>-1.3845406822052981</c:v>
                </c:pt>
                <c:pt idx="217">
                  <c:v>-1.2755274975126014</c:v>
                </c:pt>
                <c:pt idx="218">
                  <c:v>-25.609384914356298</c:v>
                </c:pt>
                <c:pt idx="219">
                  <c:v>16.616071468479046</c:v>
                </c:pt>
                <c:pt idx="220">
                  <c:v>9.6331108938432113</c:v>
                </c:pt>
                <c:pt idx="221">
                  <c:v>14.903557916048776</c:v>
                </c:pt>
                <c:pt idx="222">
                  <c:v>3.1370879697367284</c:v>
                </c:pt>
                <c:pt idx="223">
                  <c:v>1.5848192240023713</c:v>
                </c:pt>
                <c:pt idx="224">
                  <c:v>1.9720410737718495</c:v>
                </c:pt>
                <c:pt idx="225">
                  <c:v>-7.5769562123381347</c:v>
                </c:pt>
                <c:pt idx="226">
                  <c:v>-7.9580877895781015</c:v>
                </c:pt>
                <c:pt idx="227">
                  <c:v>-1.6949558313773205</c:v>
                </c:pt>
                <c:pt idx="228">
                  <c:v>-3.4786116085415655</c:v>
                </c:pt>
                <c:pt idx="229">
                  <c:v>8.4796536660076853</c:v>
                </c:pt>
                <c:pt idx="230">
                  <c:v>-5.7363394879920193</c:v>
                </c:pt>
                <c:pt idx="231">
                  <c:v>8.3725953089832981</c:v>
                </c:pt>
                <c:pt idx="232">
                  <c:v>-0.56721649524664175</c:v>
                </c:pt>
                <c:pt idx="233">
                  <c:v>4.7760325871416818</c:v>
                </c:pt>
                <c:pt idx="234">
                  <c:v>1.2931214672248785</c:v>
                </c:pt>
                <c:pt idx="235">
                  <c:v>-2.0552372953321347</c:v>
                </c:pt>
                <c:pt idx="236">
                  <c:v>-1.9868203216725173</c:v>
                </c:pt>
                <c:pt idx="237">
                  <c:v>-3.8641170975368224</c:v>
                </c:pt>
                <c:pt idx="238">
                  <c:v>-8.5853299269002026</c:v>
                </c:pt>
              </c:numCache>
            </c:numRef>
          </c:val>
          <c:smooth val="0"/>
          <c:extLst>
            <c:ext xmlns:c16="http://schemas.microsoft.com/office/drawing/2014/chart" uri="{C3380CC4-5D6E-409C-BE32-E72D297353CC}">
              <c16:uniqueId val="{00000000-F5BA-42DC-B54A-1BAF6216850D}"/>
            </c:ext>
          </c:extLst>
        </c:ser>
        <c:ser>
          <c:idx val="1"/>
          <c:order val="1"/>
          <c:tx>
            <c:v>Seasonal Factors</c:v>
          </c:tx>
          <c:spPr>
            <a:ln w="19050" cap="rnd">
              <a:solidFill>
                <a:schemeClr val="accent2"/>
              </a:solidFill>
              <a:round/>
            </a:ln>
            <a:effectLst/>
          </c:spPr>
          <c:marker>
            <c:symbol val="none"/>
          </c:marker>
          <c:cat>
            <c:numRef>
              <c:f>SEASFACTOR!$F$9:$F$247</c:f>
              <c:numCache>
                <c:formatCode>[$-416]mmm\-yy;@</c:formatCode>
                <c:ptCount val="239"/>
                <c:pt idx="0">
                  <c:v>37288</c:v>
                </c:pt>
                <c:pt idx="1">
                  <c:v>37316</c:v>
                </c:pt>
                <c:pt idx="2">
                  <c:v>37347</c:v>
                </c:pt>
                <c:pt idx="3">
                  <c:v>37377</c:v>
                </c:pt>
                <c:pt idx="4">
                  <c:v>37408</c:v>
                </c:pt>
                <c:pt idx="5">
                  <c:v>37438</c:v>
                </c:pt>
                <c:pt idx="6">
                  <c:v>37469</c:v>
                </c:pt>
                <c:pt idx="7">
                  <c:v>37500</c:v>
                </c:pt>
                <c:pt idx="8">
                  <c:v>37530</c:v>
                </c:pt>
                <c:pt idx="9">
                  <c:v>37561</c:v>
                </c:pt>
                <c:pt idx="10">
                  <c:v>37591</c:v>
                </c:pt>
                <c:pt idx="11">
                  <c:v>37622</c:v>
                </c:pt>
                <c:pt idx="12">
                  <c:v>37653</c:v>
                </c:pt>
                <c:pt idx="13">
                  <c:v>37681</c:v>
                </c:pt>
                <c:pt idx="14">
                  <c:v>37712</c:v>
                </c:pt>
                <c:pt idx="15">
                  <c:v>37742</c:v>
                </c:pt>
                <c:pt idx="16">
                  <c:v>37773</c:v>
                </c:pt>
                <c:pt idx="17">
                  <c:v>37803</c:v>
                </c:pt>
                <c:pt idx="18">
                  <c:v>37834</c:v>
                </c:pt>
                <c:pt idx="19">
                  <c:v>37865</c:v>
                </c:pt>
                <c:pt idx="20">
                  <c:v>37895</c:v>
                </c:pt>
                <c:pt idx="21">
                  <c:v>37926</c:v>
                </c:pt>
                <c:pt idx="22">
                  <c:v>37956</c:v>
                </c:pt>
                <c:pt idx="23">
                  <c:v>37987</c:v>
                </c:pt>
                <c:pt idx="24">
                  <c:v>38018</c:v>
                </c:pt>
                <c:pt idx="25">
                  <c:v>38047</c:v>
                </c:pt>
                <c:pt idx="26">
                  <c:v>38078</c:v>
                </c:pt>
                <c:pt idx="27">
                  <c:v>38108</c:v>
                </c:pt>
                <c:pt idx="28">
                  <c:v>38139</c:v>
                </c:pt>
                <c:pt idx="29">
                  <c:v>38169</c:v>
                </c:pt>
                <c:pt idx="30">
                  <c:v>38200</c:v>
                </c:pt>
                <c:pt idx="31">
                  <c:v>38231</c:v>
                </c:pt>
                <c:pt idx="32">
                  <c:v>38261</c:v>
                </c:pt>
                <c:pt idx="33">
                  <c:v>38292</c:v>
                </c:pt>
                <c:pt idx="34">
                  <c:v>38322</c:v>
                </c:pt>
                <c:pt idx="35">
                  <c:v>38353</c:v>
                </c:pt>
                <c:pt idx="36">
                  <c:v>38384</c:v>
                </c:pt>
                <c:pt idx="37">
                  <c:v>38412</c:v>
                </c:pt>
                <c:pt idx="38">
                  <c:v>38443</c:v>
                </c:pt>
                <c:pt idx="39">
                  <c:v>38473</c:v>
                </c:pt>
                <c:pt idx="40">
                  <c:v>38504</c:v>
                </c:pt>
                <c:pt idx="41">
                  <c:v>38534</c:v>
                </c:pt>
                <c:pt idx="42">
                  <c:v>38565</c:v>
                </c:pt>
                <c:pt idx="43">
                  <c:v>38596</c:v>
                </c:pt>
                <c:pt idx="44">
                  <c:v>38626</c:v>
                </c:pt>
                <c:pt idx="45">
                  <c:v>38657</c:v>
                </c:pt>
                <c:pt idx="46">
                  <c:v>38687</c:v>
                </c:pt>
                <c:pt idx="47">
                  <c:v>38718</c:v>
                </c:pt>
                <c:pt idx="48">
                  <c:v>38749</c:v>
                </c:pt>
                <c:pt idx="49">
                  <c:v>38777</c:v>
                </c:pt>
                <c:pt idx="50">
                  <c:v>38808</c:v>
                </c:pt>
                <c:pt idx="51">
                  <c:v>38838</c:v>
                </c:pt>
                <c:pt idx="52">
                  <c:v>38869</c:v>
                </c:pt>
                <c:pt idx="53">
                  <c:v>38899</c:v>
                </c:pt>
                <c:pt idx="54">
                  <c:v>38930</c:v>
                </c:pt>
                <c:pt idx="55">
                  <c:v>38961</c:v>
                </c:pt>
                <c:pt idx="56">
                  <c:v>38991</c:v>
                </c:pt>
                <c:pt idx="57">
                  <c:v>39022</c:v>
                </c:pt>
                <c:pt idx="58">
                  <c:v>39052</c:v>
                </c:pt>
                <c:pt idx="59">
                  <c:v>39083</c:v>
                </c:pt>
                <c:pt idx="60">
                  <c:v>39114</c:v>
                </c:pt>
                <c:pt idx="61">
                  <c:v>39142</c:v>
                </c:pt>
                <c:pt idx="62">
                  <c:v>39173</c:v>
                </c:pt>
                <c:pt idx="63">
                  <c:v>39203</c:v>
                </c:pt>
                <c:pt idx="64">
                  <c:v>39234</c:v>
                </c:pt>
                <c:pt idx="65">
                  <c:v>39264</c:v>
                </c:pt>
                <c:pt idx="66">
                  <c:v>39295</c:v>
                </c:pt>
                <c:pt idx="67">
                  <c:v>39326</c:v>
                </c:pt>
                <c:pt idx="68">
                  <c:v>39356</c:v>
                </c:pt>
                <c:pt idx="69">
                  <c:v>39387</c:v>
                </c:pt>
                <c:pt idx="70">
                  <c:v>39417</c:v>
                </c:pt>
                <c:pt idx="71">
                  <c:v>39448</c:v>
                </c:pt>
                <c:pt idx="72">
                  <c:v>39479</c:v>
                </c:pt>
                <c:pt idx="73">
                  <c:v>39508</c:v>
                </c:pt>
                <c:pt idx="74">
                  <c:v>39539</c:v>
                </c:pt>
                <c:pt idx="75">
                  <c:v>39569</c:v>
                </c:pt>
                <c:pt idx="76">
                  <c:v>39600</c:v>
                </c:pt>
                <c:pt idx="77">
                  <c:v>39630</c:v>
                </c:pt>
                <c:pt idx="78">
                  <c:v>39661</c:v>
                </c:pt>
                <c:pt idx="79">
                  <c:v>39692</c:v>
                </c:pt>
                <c:pt idx="80">
                  <c:v>39722</c:v>
                </c:pt>
                <c:pt idx="81">
                  <c:v>39753</c:v>
                </c:pt>
                <c:pt idx="82">
                  <c:v>39783</c:v>
                </c:pt>
                <c:pt idx="83">
                  <c:v>39814</c:v>
                </c:pt>
                <c:pt idx="84">
                  <c:v>39845</c:v>
                </c:pt>
                <c:pt idx="85">
                  <c:v>39873</c:v>
                </c:pt>
                <c:pt idx="86">
                  <c:v>39904</c:v>
                </c:pt>
                <c:pt idx="87">
                  <c:v>39934</c:v>
                </c:pt>
                <c:pt idx="88">
                  <c:v>39965</c:v>
                </c:pt>
                <c:pt idx="89">
                  <c:v>39995</c:v>
                </c:pt>
                <c:pt idx="90">
                  <c:v>40026</c:v>
                </c:pt>
                <c:pt idx="91">
                  <c:v>40057</c:v>
                </c:pt>
                <c:pt idx="92">
                  <c:v>40087</c:v>
                </c:pt>
                <c:pt idx="93">
                  <c:v>40118</c:v>
                </c:pt>
                <c:pt idx="94">
                  <c:v>40148</c:v>
                </c:pt>
                <c:pt idx="95">
                  <c:v>40179</c:v>
                </c:pt>
                <c:pt idx="96">
                  <c:v>40210</c:v>
                </c:pt>
                <c:pt idx="97">
                  <c:v>40238</c:v>
                </c:pt>
                <c:pt idx="98">
                  <c:v>40269</c:v>
                </c:pt>
                <c:pt idx="99">
                  <c:v>40299</c:v>
                </c:pt>
                <c:pt idx="100">
                  <c:v>40330</c:v>
                </c:pt>
                <c:pt idx="101">
                  <c:v>40360</c:v>
                </c:pt>
                <c:pt idx="102">
                  <c:v>40391</c:v>
                </c:pt>
                <c:pt idx="103">
                  <c:v>40422</c:v>
                </c:pt>
                <c:pt idx="104">
                  <c:v>40452</c:v>
                </c:pt>
                <c:pt idx="105">
                  <c:v>40483</c:v>
                </c:pt>
                <c:pt idx="106">
                  <c:v>40513</c:v>
                </c:pt>
                <c:pt idx="107">
                  <c:v>40544</c:v>
                </c:pt>
                <c:pt idx="108">
                  <c:v>40575</c:v>
                </c:pt>
                <c:pt idx="109">
                  <c:v>40603</c:v>
                </c:pt>
                <c:pt idx="110">
                  <c:v>40634</c:v>
                </c:pt>
                <c:pt idx="111">
                  <c:v>40664</c:v>
                </c:pt>
                <c:pt idx="112">
                  <c:v>40695</c:v>
                </c:pt>
                <c:pt idx="113">
                  <c:v>40725</c:v>
                </c:pt>
                <c:pt idx="114">
                  <c:v>40756</c:v>
                </c:pt>
                <c:pt idx="115">
                  <c:v>40787</c:v>
                </c:pt>
                <c:pt idx="116">
                  <c:v>40817</c:v>
                </c:pt>
                <c:pt idx="117">
                  <c:v>40848</c:v>
                </c:pt>
                <c:pt idx="118">
                  <c:v>40878</c:v>
                </c:pt>
                <c:pt idx="119">
                  <c:v>40909</c:v>
                </c:pt>
                <c:pt idx="120">
                  <c:v>40940</c:v>
                </c:pt>
                <c:pt idx="121">
                  <c:v>40969</c:v>
                </c:pt>
                <c:pt idx="122">
                  <c:v>41000</c:v>
                </c:pt>
                <c:pt idx="123">
                  <c:v>41030</c:v>
                </c:pt>
                <c:pt idx="124">
                  <c:v>41061</c:v>
                </c:pt>
                <c:pt idx="125">
                  <c:v>41091</c:v>
                </c:pt>
                <c:pt idx="126">
                  <c:v>41122</c:v>
                </c:pt>
                <c:pt idx="127">
                  <c:v>41153</c:v>
                </c:pt>
                <c:pt idx="128">
                  <c:v>41183</c:v>
                </c:pt>
                <c:pt idx="129">
                  <c:v>41214</c:v>
                </c:pt>
                <c:pt idx="130">
                  <c:v>41244</c:v>
                </c:pt>
                <c:pt idx="131">
                  <c:v>41275</c:v>
                </c:pt>
                <c:pt idx="132">
                  <c:v>41306</c:v>
                </c:pt>
                <c:pt idx="133">
                  <c:v>41334</c:v>
                </c:pt>
                <c:pt idx="134">
                  <c:v>41365</c:v>
                </c:pt>
                <c:pt idx="135">
                  <c:v>41395</c:v>
                </c:pt>
                <c:pt idx="136">
                  <c:v>41426</c:v>
                </c:pt>
                <c:pt idx="137">
                  <c:v>41456</c:v>
                </c:pt>
                <c:pt idx="138">
                  <c:v>41487</c:v>
                </c:pt>
                <c:pt idx="139">
                  <c:v>41518</c:v>
                </c:pt>
                <c:pt idx="140">
                  <c:v>41548</c:v>
                </c:pt>
                <c:pt idx="141">
                  <c:v>41579</c:v>
                </c:pt>
                <c:pt idx="142">
                  <c:v>41609</c:v>
                </c:pt>
                <c:pt idx="143">
                  <c:v>41640</c:v>
                </c:pt>
                <c:pt idx="144">
                  <c:v>41671</c:v>
                </c:pt>
                <c:pt idx="145">
                  <c:v>41699</c:v>
                </c:pt>
                <c:pt idx="146">
                  <c:v>41730</c:v>
                </c:pt>
                <c:pt idx="147">
                  <c:v>41760</c:v>
                </c:pt>
                <c:pt idx="148">
                  <c:v>41791</c:v>
                </c:pt>
                <c:pt idx="149">
                  <c:v>41821</c:v>
                </c:pt>
                <c:pt idx="150">
                  <c:v>41852</c:v>
                </c:pt>
                <c:pt idx="151">
                  <c:v>41883</c:v>
                </c:pt>
                <c:pt idx="152">
                  <c:v>41913</c:v>
                </c:pt>
                <c:pt idx="153">
                  <c:v>41944</c:v>
                </c:pt>
                <c:pt idx="154">
                  <c:v>41974</c:v>
                </c:pt>
                <c:pt idx="155">
                  <c:v>42005</c:v>
                </c:pt>
                <c:pt idx="156">
                  <c:v>42036</c:v>
                </c:pt>
                <c:pt idx="157">
                  <c:v>42064</c:v>
                </c:pt>
                <c:pt idx="158">
                  <c:v>42095</c:v>
                </c:pt>
                <c:pt idx="159">
                  <c:v>42125</c:v>
                </c:pt>
                <c:pt idx="160">
                  <c:v>42156</c:v>
                </c:pt>
                <c:pt idx="161">
                  <c:v>42186</c:v>
                </c:pt>
                <c:pt idx="162">
                  <c:v>42217</c:v>
                </c:pt>
                <c:pt idx="163">
                  <c:v>42248</c:v>
                </c:pt>
                <c:pt idx="164">
                  <c:v>42278</c:v>
                </c:pt>
                <c:pt idx="165">
                  <c:v>42309</c:v>
                </c:pt>
                <c:pt idx="166">
                  <c:v>42339</c:v>
                </c:pt>
                <c:pt idx="167">
                  <c:v>42370</c:v>
                </c:pt>
                <c:pt idx="168">
                  <c:v>42401</c:v>
                </c:pt>
                <c:pt idx="169">
                  <c:v>42430</c:v>
                </c:pt>
                <c:pt idx="170">
                  <c:v>42461</c:v>
                </c:pt>
                <c:pt idx="171">
                  <c:v>42491</c:v>
                </c:pt>
                <c:pt idx="172">
                  <c:v>42522</c:v>
                </c:pt>
                <c:pt idx="173">
                  <c:v>42552</c:v>
                </c:pt>
                <c:pt idx="174">
                  <c:v>42583</c:v>
                </c:pt>
                <c:pt idx="175">
                  <c:v>42614</c:v>
                </c:pt>
                <c:pt idx="176">
                  <c:v>42644</c:v>
                </c:pt>
                <c:pt idx="177">
                  <c:v>42675</c:v>
                </c:pt>
                <c:pt idx="178">
                  <c:v>42705</c:v>
                </c:pt>
                <c:pt idx="179">
                  <c:v>42736</c:v>
                </c:pt>
                <c:pt idx="180">
                  <c:v>42767</c:v>
                </c:pt>
                <c:pt idx="181">
                  <c:v>42795</c:v>
                </c:pt>
                <c:pt idx="182">
                  <c:v>42826</c:v>
                </c:pt>
                <c:pt idx="183">
                  <c:v>42856</c:v>
                </c:pt>
                <c:pt idx="184">
                  <c:v>42887</c:v>
                </c:pt>
                <c:pt idx="185">
                  <c:v>42917</c:v>
                </c:pt>
                <c:pt idx="186">
                  <c:v>42948</c:v>
                </c:pt>
                <c:pt idx="187">
                  <c:v>42979</c:v>
                </c:pt>
                <c:pt idx="188">
                  <c:v>43009</c:v>
                </c:pt>
                <c:pt idx="189">
                  <c:v>43040</c:v>
                </c:pt>
                <c:pt idx="190">
                  <c:v>43070</c:v>
                </c:pt>
                <c:pt idx="191">
                  <c:v>43101</c:v>
                </c:pt>
                <c:pt idx="192">
                  <c:v>43132</c:v>
                </c:pt>
                <c:pt idx="193">
                  <c:v>43160</c:v>
                </c:pt>
                <c:pt idx="194">
                  <c:v>43191</c:v>
                </c:pt>
                <c:pt idx="195">
                  <c:v>43221</c:v>
                </c:pt>
                <c:pt idx="196">
                  <c:v>43252</c:v>
                </c:pt>
                <c:pt idx="197">
                  <c:v>43282</c:v>
                </c:pt>
                <c:pt idx="198">
                  <c:v>43313</c:v>
                </c:pt>
                <c:pt idx="199">
                  <c:v>43344</c:v>
                </c:pt>
                <c:pt idx="200">
                  <c:v>43374</c:v>
                </c:pt>
                <c:pt idx="201">
                  <c:v>43405</c:v>
                </c:pt>
                <c:pt idx="202">
                  <c:v>43435</c:v>
                </c:pt>
                <c:pt idx="203">
                  <c:v>43466</c:v>
                </c:pt>
                <c:pt idx="204">
                  <c:v>43497</c:v>
                </c:pt>
                <c:pt idx="205">
                  <c:v>43525</c:v>
                </c:pt>
                <c:pt idx="206">
                  <c:v>43556</c:v>
                </c:pt>
                <c:pt idx="207">
                  <c:v>43586</c:v>
                </c:pt>
                <c:pt idx="208">
                  <c:v>43617</c:v>
                </c:pt>
                <c:pt idx="209">
                  <c:v>43647</c:v>
                </c:pt>
                <c:pt idx="210">
                  <c:v>43678</c:v>
                </c:pt>
                <c:pt idx="211">
                  <c:v>43709</c:v>
                </c:pt>
                <c:pt idx="212">
                  <c:v>43739</c:v>
                </c:pt>
                <c:pt idx="213">
                  <c:v>43770</c:v>
                </c:pt>
                <c:pt idx="214">
                  <c:v>43800</c:v>
                </c:pt>
                <c:pt idx="215">
                  <c:v>43831</c:v>
                </c:pt>
                <c:pt idx="216">
                  <c:v>43862</c:v>
                </c:pt>
                <c:pt idx="217">
                  <c:v>43891</c:v>
                </c:pt>
                <c:pt idx="218">
                  <c:v>43922</c:v>
                </c:pt>
                <c:pt idx="219">
                  <c:v>43952</c:v>
                </c:pt>
                <c:pt idx="220">
                  <c:v>43983</c:v>
                </c:pt>
                <c:pt idx="221">
                  <c:v>44013</c:v>
                </c:pt>
                <c:pt idx="222">
                  <c:v>44044</c:v>
                </c:pt>
                <c:pt idx="223">
                  <c:v>44075</c:v>
                </c:pt>
                <c:pt idx="224">
                  <c:v>44105</c:v>
                </c:pt>
                <c:pt idx="225">
                  <c:v>44136</c:v>
                </c:pt>
                <c:pt idx="226">
                  <c:v>44166</c:v>
                </c:pt>
                <c:pt idx="227">
                  <c:v>44197</c:v>
                </c:pt>
                <c:pt idx="228">
                  <c:v>44228</c:v>
                </c:pt>
                <c:pt idx="229">
                  <c:v>44256</c:v>
                </c:pt>
                <c:pt idx="230">
                  <c:v>44287</c:v>
                </c:pt>
                <c:pt idx="231">
                  <c:v>44317</c:v>
                </c:pt>
                <c:pt idx="232">
                  <c:v>44348</c:v>
                </c:pt>
                <c:pt idx="233">
                  <c:v>44378</c:v>
                </c:pt>
                <c:pt idx="234">
                  <c:v>44409</c:v>
                </c:pt>
                <c:pt idx="235">
                  <c:v>44440</c:v>
                </c:pt>
                <c:pt idx="236">
                  <c:v>44470</c:v>
                </c:pt>
                <c:pt idx="237">
                  <c:v>44501</c:v>
                </c:pt>
                <c:pt idx="238">
                  <c:v>44531</c:v>
                </c:pt>
              </c:numCache>
            </c:numRef>
          </c:cat>
          <c:val>
            <c:numRef>
              <c:f>SEASFACTOR!$K$9:$K$297</c:f>
              <c:numCache>
                <c:formatCode>0.0</c:formatCode>
                <c:ptCount val="289"/>
                <c:pt idx="0">
                  <c:v>3.0830593286322228</c:v>
                </c:pt>
                <c:pt idx="1">
                  <c:v>-10.25404340464851</c:v>
                </c:pt>
                <c:pt idx="2">
                  <c:v>4.0661109319364694</c:v>
                </c:pt>
                <c:pt idx="3">
                  <c:v>-6.5188360987815841</c:v>
                </c:pt>
                <c:pt idx="4">
                  <c:v>1.2423937236054154</c:v>
                </c:pt>
                <c:pt idx="5">
                  <c:v>-5.230121980229093</c:v>
                </c:pt>
                <c:pt idx="6">
                  <c:v>-2.8037987156424933</c:v>
                </c:pt>
                <c:pt idx="7">
                  <c:v>2.825211038783249</c:v>
                </c:pt>
                <c:pt idx="8">
                  <c:v>-3.5717329909907445</c:v>
                </c:pt>
                <c:pt idx="9">
                  <c:v>5.542167953994479</c:v>
                </c:pt>
                <c:pt idx="10">
                  <c:v>11.087288334485097</c:v>
                </c:pt>
                <c:pt idx="11">
                  <c:v>0.56031776721630933</c:v>
                </c:pt>
                <c:pt idx="12">
                  <c:v>3.0830593286322228</c:v>
                </c:pt>
                <c:pt idx="13">
                  <c:v>-10.25404340464851</c:v>
                </c:pt>
                <c:pt idx="14">
                  <c:v>4.0661109319364694</c:v>
                </c:pt>
                <c:pt idx="15">
                  <c:v>-6.5188360987815841</c:v>
                </c:pt>
                <c:pt idx="16">
                  <c:v>1.2423937236054154</c:v>
                </c:pt>
                <c:pt idx="17">
                  <c:v>-5.230121980229093</c:v>
                </c:pt>
                <c:pt idx="18">
                  <c:v>-2.8037987156424924</c:v>
                </c:pt>
                <c:pt idx="19">
                  <c:v>2.825211038783249</c:v>
                </c:pt>
                <c:pt idx="20">
                  <c:v>-3.5717329909907445</c:v>
                </c:pt>
                <c:pt idx="21">
                  <c:v>5.542167953994479</c:v>
                </c:pt>
                <c:pt idx="22">
                  <c:v>11.087288334485097</c:v>
                </c:pt>
                <c:pt idx="23">
                  <c:v>0.56031776721630933</c:v>
                </c:pt>
                <c:pt idx="24">
                  <c:v>3.0830593286322228</c:v>
                </c:pt>
                <c:pt idx="25">
                  <c:v>-10.25404340464851</c:v>
                </c:pt>
                <c:pt idx="26">
                  <c:v>4.0661109319364694</c:v>
                </c:pt>
                <c:pt idx="27">
                  <c:v>-6.5188360987815841</c:v>
                </c:pt>
                <c:pt idx="28">
                  <c:v>1.2423937236054152</c:v>
                </c:pt>
                <c:pt idx="29">
                  <c:v>-5.230121980229093</c:v>
                </c:pt>
                <c:pt idx="30">
                  <c:v>-2.8037987156424928</c:v>
                </c:pt>
                <c:pt idx="31">
                  <c:v>2.825211038783249</c:v>
                </c:pt>
                <c:pt idx="32">
                  <c:v>-3.5717329909907445</c:v>
                </c:pt>
                <c:pt idx="33">
                  <c:v>5.542167953994479</c:v>
                </c:pt>
                <c:pt idx="34">
                  <c:v>11.087288334485097</c:v>
                </c:pt>
                <c:pt idx="35">
                  <c:v>0.56031776721630955</c:v>
                </c:pt>
                <c:pt idx="36">
                  <c:v>3.0830593286322228</c:v>
                </c:pt>
                <c:pt idx="37">
                  <c:v>-10.25404340464851</c:v>
                </c:pt>
                <c:pt idx="38">
                  <c:v>4.0661109319364694</c:v>
                </c:pt>
                <c:pt idx="39">
                  <c:v>-6.5188360987815841</c:v>
                </c:pt>
                <c:pt idx="40">
                  <c:v>1.2423937236054152</c:v>
                </c:pt>
                <c:pt idx="41">
                  <c:v>-5.230121980229093</c:v>
                </c:pt>
                <c:pt idx="42">
                  <c:v>-2.8037987156424928</c:v>
                </c:pt>
                <c:pt idx="43">
                  <c:v>2.825211038783249</c:v>
                </c:pt>
                <c:pt idx="44">
                  <c:v>-3.5717329909907445</c:v>
                </c:pt>
                <c:pt idx="45">
                  <c:v>5.542167953994479</c:v>
                </c:pt>
                <c:pt idx="46">
                  <c:v>11.087288334485097</c:v>
                </c:pt>
                <c:pt idx="47">
                  <c:v>0.5603177672163091</c:v>
                </c:pt>
                <c:pt idx="48">
                  <c:v>3.0830593286322228</c:v>
                </c:pt>
                <c:pt idx="49">
                  <c:v>-10.25404340464851</c:v>
                </c:pt>
                <c:pt idx="50">
                  <c:v>4.0661109319364694</c:v>
                </c:pt>
                <c:pt idx="51">
                  <c:v>-6.5188360987815841</c:v>
                </c:pt>
                <c:pt idx="52">
                  <c:v>1.2423937236054154</c:v>
                </c:pt>
                <c:pt idx="53">
                  <c:v>-5.230121980229093</c:v>
                </c:pt>
                <c:pt idx="54">
                  <c:v>-2.8037987156424928</c:v>
                </c:pt>
                <c:pt idx="55">
                  <c:v>2.825211038783249</c:v>
                </c:pt>
                <c:pt idx="56">
                  <c:v>-3.5717329909907445</c:v>
                </c:pt>
                <c:pt idx="57">
                  <c:v>5.542167953994479</c:v>
                </c:pt>
                <c:pt idx="58">
                  <c:v>11.087288334485097</c:v>
                </c:pt>
                <c:pt idx="59">
                  <c:v>0.56031776721630933</c:v>
                </c:pt>
                <c:pt idx="60">
                  <c:v>3.0830593286322228</c:v>
                </c:pt>
                <c:pt idx="61">
                  <c:v>-10.25404340464851</c:v>
                </c:pt>
                <c:pt idx="62">
                  <c:v>4.0661109319364694</c:v>
                </c:pt>
                <c:pt idx="63">
                  <c:v>-6.5188360987815841</c:v>
                </c:pt>
                <c:pt idx="64">
                  <c:v>1.2423937236054152</c:v>
                </c:pt>
                <c:pt idx="65">
                  <c:v>-5.230121980229093</c:v>
                </c:pt>
                <c:pt idx="66">
                  <c:v>-2.8037987156424928</c:v>
                </c:pt>
                <c:pt idx="67">
                  <c:v>2.825211038783249</c:v>
                </c:pt>
                <c:pt idx="68">
                  <c:v>-3.5717329909907445</c:v>
                </c:pt>
                <c:pt idx="69">
                  <c:v>5.542167953994479</c:v>
                </c:pt>
                <c:pt idx="70">
                  <c:v>11.087288334485097</c:v>
                </c:pt>
                <c:pt idx="71">
                  <c:v>0.5603177672163091</c:v>
                </c:pt>
                <c:pt idx="72">
                  <c:v>3.0830593286322228</c:v>
                </c:pt>
                <c:pt idx="73">
                  <c:v>-10.25404340464851</c:v>
                </c:pt>
                <c:pt idx="74">
                  <c:v>4.0661109319364694</c:v>
                </c:pt>
                <c:pt idx="75">
                  <c:v>-6.5188360987815841</c:v>
                </c:pt>
                <c:pt idx="76">
                  <c:v>1.242393723605415</c:v>
                </c:pt>
                <c:pt idx="77">
                  <c:v>-5.230121980229093</c:v>
                </c:pt>
                <c:pt idx="78">
                  <c:v>-2.8037987156424924</c:v>
                </c:pt>
                <c:pt idx="79">
                  <c:v>2.825211038783249</c:v>
                </c:pt>
                <c:pt idx="80">
                  <c:v>-3.5717329909907445</c:v>
                </c:pt>
                <c:pt idx="81">
                  <c:v>5.542167953994479</c:v>
                </c:pt>
                <c:pt idx="82">
                  <c:v>11.087288334485097</c:v>
                </c:pt>
                <c:pt idx="83">
                  <c:v>0.56031776721630933</c:v>
                </c:pt>
                <c:pt idx="84">
                  <c:v>3.0830593286322228</c:v>
                </c:pt>
                <c:pt idx="85">
                  <c:v>-10.25404340464851</c:v>
                </c:pt>
                <c:pt idx="86">
                  <c:v>4.0661109319364694</c:v>
                </c:pt>
                <c:pt idx="87">
                  <c:v>-6.5188360987815841</c:v>
                </c:pt>
                <c:pt idx="88">
                  <c:v>1.242393723605415</c:v>
                </c:pt>
                <c:pt idx="89">
                  <c:v>-5.230121980229093</c:v>
                </c:pt>
                <c:pt idx="90">
                  <c:v>-2.8037987156424928</c:v>
                </c:pt>
                <c:pt idx="91">
                  <c:v>2.825211038783249</c:v>
                </c:pt>
                <c:pt idx="92">
                  <c:v>-3.5717329909907445</c:v>
                </c:pt>
                <c:pt idx="93">
                  <c:v>5.542167953994479</c:v>
                </c:pt>
                <c:pt idx="94">
                  <c:v>11.087288334485097</c:v>
                </c:pt>
                <c:pt idx="95">
                  <c:v>0.5603177672163091</c:v>
                </c:pt>
                <c:pt idx="96">
                  <c:v>3.0830593286322228</c:v>
                </c:pt>
                <c:pt idx="97">
                  <c:v>-10.25404340464851</c:v>
                </c:pt>
                <c:pt idx="98">
                  <c:v>4.0661109319364694</c:v>
                </c:pt>
                <c:pt idx="99">
                  <c:v>-6.5188360987815841</c:v>
                </c:pt>
                <c:pt idx="100">
                  <c:v>1.2423937236054152</c:v>
                </c:pt>
                <c:pt idx="101">
                  <c:v>-5.230121980229093</c:v>
                </c:pt>
                <c:pt idx="102">
                  <c:v>-2.8037987156424928</c:v>
                </c:pt>
                <c:pt idx="103">
                  <c:v>2.825211038783249</c:v>
                </c:pt>
                <c:pt idx="104">
                  <c:v>-3.5717329909907445</c:v>
                </c:pt>
                <c:pt idx="105">
                  <c:v>5.542167953994479</c:v>
                </c:pt>
                <c:pt idx="106">
                  <c:v>11.087288334485097</c:v>
                </c:pt>
                <c:pt idx="107">
                  <c:v>0.5603177672163091</c:v>
                </c:pt>
                <c:pt idx="108">
                  <c:v>3.0830593286322228</c:v>
                </c:pt>
                <c:pt idx="109">
                  <c:v>-10.25404340464851</c:v>
                </c:pt>
                <c:pt idx="110">
                  <c:v>4.0661109319364694</c:v>
                </c:pt>
                <c:pt idx="111">
                  <c:v>-6.5188360987815841</c:v>
                </c:pt>
                <c:pt idx="112">
                  <c:v>1.2423937236054154</c:v>
                </c:pt>
                <c:pt idx="113">
                  <c:v>-5.230121980229093</c:v>
                </c:pt>
                <c:pt idx="114">
                  <c:v>-2.8037987156424928</c:v>
                </c:pt>
                <c:pt idx="115">
                  <c:v>2.825211038783249</c:v>
                </c:pt>
                <c:pt idx="116">
                  <c:v>-3.5717329909907445</c:v>
                </c:pt>
                <c:pt idx="117">
                  <c:v>5.542167953994479</c:v>
                </c:pt>
                <c:pt idx="118">
                  <c:v>11.087288334485097</c:v>
                </c:pt>
                <c:pt idx="119">
                  <c:v>0.56031776721630955</c:v>
                </c:pt>
                <c:pt idx="120">
                  <c:v>3.0830593286322228</c:v>
                </c:pt>
                <c:pt idx="121">
                  <c:v>-10.25404340464851</c:v>
                </c:pt>
                <c:pt idx="122">
                  <c:v>4.0661109319364694</c:v>
                </c:pt>
                <c:pt idx="123">
                  <c:v>-6.5188360987815841</c:v>
                </c:pt>
                <c:pt idx="124">
                  <c:v>1.2423937236054154</c:v>
                </c:pt>
                <c:pt idx="125">
                  <c:v>-5.230121980229093</c:v>
                </c:pt>
                <c:pt idx="126">
                  <c:v>-2.8037987156424928</c:v>
                </c:pt>
                <c:pt idx="127">
                  <c:v>2.825211038783249</c:v>
                </c:pt>
                <c:pt idx="128">
                  <c:v>-3.5717329909907445</c:v>
                </c:pt>
                <c:pt idx="129">
                  <c:v>5.542167953994479</c:v>
                </c:pt>
                <c:pt idx="130">
                  <c:v>11.087288334485097</c:v>
                </c:pt>
                <c:pt idx="131">
                  <c:v>0.56031776721630955</c:v>
                </c:pt>
                <c:pt idx="132">
                  <c:v>3.0830593286322228</c:v>
                </c:pt>
                <c:pt idx="133">
                  <c:v>-10.25404340464851</c:v>
                </c:pt>
                <c:pt idx="134">
                  <c:v>4.0661109319364686</c:v>
                </c:pt>
                <c:pt idx="135">
                  <c:v>-6.5188360987815841</c:v>
                </c:pt>
                <c:pt idx="136">
                  <c:v>1.2423937236054152</c:v>
                </c:pt>
                <c:pt idx="137">
                  <c:v>-5.230121980229093</c:v>
                </c:pt>
                <c:pt idx="138">
                  <c:v>-2.8037987156424928</c:v>
                </c:pt>
                <c:pt idx="139">
                  <c:v>2.825211038783249</c:v>
                </c:pt>
                <c:pt idx="140">
                  <c:v>-3.5717329909907445</c:v>
                </c:pt>
                <c:pt idx="141">
                  <c:v>5.542167953994479</c:v>
                </c:pt>
                <c:pt idx="142">
                  <c:v>11.087288334485097</c:v>
                </c:pt>
                <c:pt idx="143">
                  <c:v>0.5603177672163091</c:v>
                </c:pt>
                <c:pt idx="144">
                  <c:v>3.0830593286322228</c:v>
                </c:pt>
                <c:pt idx="145">
                  <c:v>-10.25404340464851</c:v>
                </c:pt>
                <c:pt idx="146">
                  <c:v>4.0661109319364694</c:v>
                </c:pt>
                <c:pt idx="147">
                  <c:v>-6.5188360987815841</c:v>
                </c:pt>
                <c:pt idx="148">
                  <c:v>1.2423937236054154</c:v>
                </c:pt>
                <c:pt idx="149">
                  <c:v>-5.230121980229093</c:v>
                </c:pt>
                <c:pt idx="150">
                  <c:v>-2.8037987156424928</c:v>
                </c:pt>
                <c:pt idx="151">
                  <c:v>2.825211038783249</c:v>
                </c:pt>
                <c:pt idx="152">
                  <c:v>-3.5717329909907445</c:v>
                </c:pt>
                <c:pt idx="153">
                  <c:v>5.542167953994479</c:v>
                </c:pt>
                <c:pt idx="154">
                  <c:v>11.087288334485097</c:v>
                </c:pt>
                <c:pt idx="155">
                  <c:v>0.56031776721630933</c:v>
                </c:pt>
                <c:pt idx="156">
                  <c:v>3.0830593286322228</c:v>
                </c:pt>
                <c:pt idx="157">
                  <c:v>-10.25404340464851</c:v>
                </c:pt>
                <c:pt idx="158">
                  <c:v>4.0661109319364694</c:v>
                </c:pt>
                <c:pt idx="159">
                  <c:v>-6.5188360987815841</c:v>
                </c:pt>
                <c:pt idx="160">
                  <c:v>1.2423937236054152</c:v>
                </c:pt>
                <c:pt idx="161">
                  <c:v>-5.230121980229093</c:v>
                </c:pt>
                <c:pt idx="162">
                  <c:v>-2.8037987156424928</c:v>
                </c:pt>
                <c:pt idx="163">
                  <c:v>2.825211038783249</c:v>
                </c:pt>
                <c:pt idx="164">
                  <c:v>-3.5717329909907445</c:v>
                </c:pt>
                <c:pt idx="165">
                  <c:v>5.542167953994479</c:v>
                </c:pt>
                <c:pt idx="166">
                  <c:v>11.087288334485097</c:v>
                </c:pt>
                <c:pt idx="167">
                  <c:v>0.56031776721630933</c:v>
                </c:pt>
                <c:pt idx="168">
                  <c:v>3.0830593286322232</c:v>
                </c:pt>
                <c:pt idx="169">
                  <c:v>-10.25404340464851</c:v>
                </c:pt>
                <c:pt idx="170">
                  <c:v>4.0661109319364694</c:v>
                </c:pt>
                <c:pt idx="171">
                  <c:v>-6.5188360987815841</c:v>
                </c:pt>
                <c:pt idx="172">
                  <c:v>1.2423937236054154</c:v>
                </c:pt>
                <c:pt idx="173">
                  <c:v>-5.230121980229093</c:v>
                </c:pt>
                <c:pt idx="174">
                  <c:v>-2.8037987156424928</c:v>
                </c:pt>
                <c:pt idx="175">
                  <c:v>2.825211038783249</c:v>
                </c:pt>
                <c:pt idx="176">
                  <c:v>-3.571732990990744</c:v>
                </c:pt>
                <c:pt idx="177">
                  <c:v>5.542167953994479</c:v>
                </c:pt>
                <c:pt idx="178">
                  <c:v>11.087288334485097</c:v>
                </c:pt>
                <c:pt idx="179">
                  <c:v>0.56031776721630933</c:v>
                </c:pt>
                <c:pt idx="180">
                  <c:v>3.0830593286322228</c:v>
                </c:pt>
                <c:pt idx="181">
                  <c:v>-10.25404340464851</c:v>
                </c:pt>
                <c:pt idx="182">
                  <c:v>4.0661109319364694</c:v>
                </c:pt>
                <c:pt idx="183">
                  <c:v>-6.5188360987815841</c:v>
                </c:pt>
                <c:pt idx="184">
                  <c:v>1.2423937236054152</c:v>
                </c:pt>
                <c:pt idx="185">
                  <c:v>-5.230121980229093</c:v>
                </c:pt>
                <c:pt idx="186">
                  <c:v>-2.8037987156424928</c:v>
                </c:pt>
                <c:pt idx="187">
                  <c:v>2.825211038783249</c:v>
                </c:pt>
                <c:pt idx="188">
                  <c:v>-3.5717329909907445</c:v>
                </c:pt>
                <c:pt idx="189">
                  <c:v>5.542167953994479</c:v>
                </c:pt>
                <c:pt idx="190">
                  <c:v>11.087288334485097</c:v>
                </c:pt>
                <c:pt idx="191">
                  <c:v>0.56031776721630933</c:v>
                </c:pt>
                <c:pt idx="192">
                  <c:v>3.0830593286322228</c:v>
                </c:pt>
                <c:pt idx="193">
                  <c:v>-10.25404340464851</c:v>
                </c:pt>
                <c:pt idx="194">
                  <c:v>4.0661109319364694</c:v>
                </c:pt>
                <c:pt idx="195">
                  <c:v>-6.5188360987815841</c:v>
                </c:pt>
                <c:pt idx="196">
                  <c:v>1.2423937236054154</c:v>
                </c:pt>
                <c:pt idx="197">
                  <c:v>-5.230121980229093</c:v>
                </c:pt>
                <c:pt idx="198">
                  <c:v>-2.8037987156424928</c:v>
                </c:pt>
                <c:pt idx="199">
                  <c:v>2.825211038783249</c:v>
                </c:pt>
                <c:pt idx="200">
                  <c:v>-3.5717329909907445</c:v>
                </c:pt>
                <c:pt idx="201">
                  <c:v>5.542167953994479</c:v>
                </c:pt>
                <c:pt idx="202">
                  <c:v>11.087288334485097</c:v>
                </c:pt>
                <c:pt idx="203">
                  <c:v>0.56031776721630955</c:v>
                </c:pt>
                <c:pt idx="204">
                  <c:v>3.0830593286322228</c:v>
                </c:pt>
                <c:pt idx="205">
                  <c:v>-10.25404340464851</c:v>
                </c:pt>
                <c:pt idx="206">
                  <c:v>4.0661109319364694</c:v>
                </c:pt>
                <c:pt idx="207">
                  <c:v>-6.5188360987815841</c:v>
                </c:pt>
                <c:pt idx="208">
                  <c:v>1.2423937236054154</c:v>
                </c:pt>
                <c:pt idx="209">
                  <c:v>-5.230121980229093</c:v>
                </c:pt>
                <c:pt idx="210">
                  <c:v>-2.8037987156424928</c:v>
                </c:pt>
                <c:pt idx="211">
                  <c:v>2.825211038783249</c:v>
                </c:pt>
                <c:pt idx="212">
                  <c:v>-3.5717329909907445</c:v>
                </c:pt>
                <c:pt idx="213">
                  <c:v>5.542167953994479</c:v>
                </c:pt>
                <c:pt idx="214">
                  <c:v>11.087288334485097</c:v>
                </c:pt>
                <c:pt idx="215">
                  <c:v>0.5603177672163091</c:v>
                </c:pt>
                <c:pt idx="216">
                  <c:v>3.0830593286322228</c:v>
                </c:pt>
                <c:pt idx="217">
                  <c:v>-10.25404340464851</c:v>
                </c:pt>
                <c:pt idx="218">
                  <c:v>4.0661109319364677</c:v>
                </c:pt>
                <c:pt idx="219">
                  <c:v>-6.5188360987815841</c:v>
                </c:pt>
                <c:pt idx="220">
                  <c:v>1.2423937236054154</c:v>
                </c:pt>
                <c:pt idx="221">
                  <c:v>-5.230121980229093</c:v>
                </c:pt>
                <c:pt idx="222">
                  <c:v>-2.8037987156424928</c:v>
                </c:pt>
                <c:pt idx="223">
                  <c:v>2.8252110387832485</c:v>
                </c:pt>
                <c:pt idx="224">
                  <c:v>-3.5717329909907445</c:v>
                </c:pt>
                <c:pt idx="225">
                  <c:v>5.542167953994479</c:v>
                </c:pt>
                <c:pt idx="226">
                  <c:v>11.087288334485097</c:v>
                </c:pt>
                <c:pt idx="227">
                  <c:v>0.56031776721630933</c:v>
                </c:pt>
                <c:pt idx="228">
                  <c:v>3.0830593286322228</c:v>
                </c:pt>
                <c:pt idx="229">
                  <c:v>-10.25404340464851</c:v>
                </c:pt>
                <c:pt idx="230">
                  <c:v>4.0661109319364694</c:v>
                </c:pt>
                <c:pt idx="231">
                  <c:v>-6.5188360987815841</c:v>
                </c:pt>
                <c:pt idx="232">
                  <c:v>1.2423937236054152</c:v>
                </c:pt>
                <c:pt idx="233">
                  <c:v>-5.230121980229093</c:v>
                </c:pt>
                <c:pt idx="234">
                  <c:v>-2.8037987156424928</c:v>
                </c:pt>
                <c:pt idx="235">
                  <c:v>2.825211038783249</c:v>
                </c:pt>
                <c:pt idx="236">
                  <c:v>-3.5717329909907449</c:v>
                </c:pt>
                <c:pt idx="237">
                  <c:v>5.542167953994479</c:v>
                </c:pt>
                <c:pt idx="238">
                  <c:v>11.087288334485097</c:v>
                </c:pt>
              </c:numCache>
            </c:numRef>
          </c:val>
          <c:smooth val="0"/>
          <c:extLst>
            <c:ext xmlns:c16="http://schemas.microsoft.com/office/drawing/2014/chart" uri="{C3380CC4-5D6E-409C-BE32-E72D297353CC}">
              <c16:uniqueId val="{00000001-F5BA-42DC-B54A-1BAF6216850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TSOPER!$N$3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TSOPER!$F$10:$F$249</c:f>
              <c:numCache>
                <c:formatCode>[$-416]mmm\-yy;@</c:formatCode>
                <c:ptCount val="240"/>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TSOPER!$J$10:$J$249</c:f>
              <c:numCache>
                <c:formatCode>0.0%</c:formatCode>
                <c:ptCount val="240"/>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EA99-4096-AC1D-255E686524FF}"/>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APPLYCOLS!$R$3</c:f>
          <c:strCache>
            <c:ptCount val="1"/>
            <c:pt idx="0">
              <c:v>IBC-Br SA IDX(37622)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APPLYCOLS!$F$14:$F$247</c:f>
              <c:numCache>
                <c:formatCode>[$-416]mmm\-yy;@</c:formatCode>
                <c:ptCount val="234"/>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numCache>
            </c:numRef>
          </c:cat>
          <c:val>
            <c:numRef>
              <c:f>APPLYCOLS!$M$14:$M$247</c:f>
              <c:numCache>
                <c:formatCode>0.0%</c:formatCode>
                <c:ptCount val="234"/>
                <c:pt idx="0">
                  <c:v>1</c:v>
                </c:pt>
                <c:pt idx="1">
                  <c:v>1.0149328023892483</c:v>
                </c:pt>
                <c:pt idx="2">
                  <c:v>1.0157292185166749</c:v>
                </c:pt>
                <c:pt idx="3">
                  <c:v>1.0046789447486311</c:v>
                </c:pt>
                <c:pt idx="4">
                  <c:v>0.99442508710801392</c:v>
                </c:pt>
                <c:pt idx="5">
                  <c:v>0.99830761572921844</c:v>
                </c:pt>
                <c:pt idx="6">
                  <c:v>0.98626182180189137</c:v>
                </c:pt>
                <c:pt idx="7">
                  <c:v>0.99283225485316073</c:v>
                </c:pt>
                <c:pt idx="8">
                  <c:v>1.0125435540069685</c:v>
                </c:pt>
                <c:pt idx="9">
                  <c:v>1.0142359382777502</c:v>
                </c:pt>
                <c:pt idx="10">
                  <c:v>1.0151319064211051</c:v>
                </c:pt>
                <c:pt idx="11">
                  <c:v>1.0112493777999003</c:v>
                </c:pt>
                <c:pt idx="12">
                  <c:v>1.0310602289696364</c:v>
                </c:pt>
                <c:pt idx="13">
                  <c:v>1.0402190144350423</c:v>
                </c:pt>
                <c:pt idx="14">
                  <c:v>1.0550522648083624</c:v>
                </c:pt>
                <c:pt idx="15">
                  <c:v>1.0593330014932802</c:v>
                </c:pt>
                <c:pt idx="16">
                  <c:v>1.0596316575410651</c:v>
                </c:pt>
                <c:pt idx="17">
                  <c:v>1.0673967147834744</c:v>
                </c:pt>
                <c:pt idx="18">
                  <c:v>1.0733698357391737</c:v>
                </c:pt>
                <c:pt idx="19">
                  <c:v>1.0770532603285217</c:v>
                </c:pt>
                <c:pt idx="20">
                  <c:v>1.0896963663514185</c:v>
                </c:pt>
                <c:pt idx="21">
                  <c:v>1.0824290691886511</c:v>
                </c:pt>
                <c:pt idx="22">
                  <c:v>1.0912891986062718</c:v>
                </c:pt>
                <c:pt idx="23">
                  <c:v>1.0830263812842211</c:v>
                </c:pt>
                <c:pt idx="24">
                  <c:v>1.0912891986062718</c:v>
                </c:pt>
                <c:pt idx="25">
                  <c:v>1.0964659034345445</c:v>
                </c:pt>
                <c:pt idx="26">
                  <c:v>1.099352911896466</c:v>
                </c:pt>
                <c:pt idx="27">
                  <c:v>1.1045296167247387</c:v>
                </c:pt>
                <c:pt idx="28">
                  <c:v>1.104927824788452</c:v>
                </c:pt>
                <c:pt idx="29">
                  <c:v>1.1013439522150323</c:v>
                </c:pt>
                <c:pt idx="30">
                  <c:v>1.1013439522150323</c:v>
                </c:pt>
                <c:pt idx="31">
                  <c:v>1.1079143852663016</c:v>
                </c:pt>
                <c:pt idx="32">
                  <c:v>1.1036336485813838</c:v>
                </c:pt>
                <c:pt idx="33">
                  <c:v>1.1055251368840218</c:v>
                </c:pt>
                <c:pt idx="34">
                  <c:v>1.1130910900945743</c:v>
                </c:pt>
                <c:pt idx="35">
                  <c:v>1.1181682429069189</c:v>
                </c:pt>
                <c:pt idx="36">
                  <c:v>1.128720756595321</c:v>
                </c:pt>
                <c:pt idx="37">
                  <c:v>1.1310104529616725</c:v>
                </c:pt>
                <c:pt idx="38">
                  <c:v>1.1304131408661025</c:v>
                </c:pt>
                <c:pt idx="39">
                  <c:v>1.1371826779492284</c:v>
                </c:pt>
                <c:pt idx="40">
                  <c:v>1.1514186162269786</c:v>
                </c:pt>
                <c:pt idx="41">
                  <c:v>1.1420607267297163</c:v>
                </c:pt>
                <c:pt idx="42">
                  <c:v>1.1641612742658038</c:v>
                </c:pt>
                <c:pt idx="43">
                  <c:v>1.1609756097560975</c:v>
                </c:pt>
                <c:pt idx="44">
                  <c:v>1.1629666500746638</c:v>
                </c:pt>
                <c:pt idx="45">
                  <c:v>1.1754106520657042</c:v>
                </c:pt>
                <c:pt idx="46">
                  <c:v>1.1833748133399702</c:v>
                </c:pt>
                <c:pt idx="47">
                  <c:v>1.1933300149328023</c:v>
                </c:pt>
                <c:pt idx="48">
                  <c:v>1.1912394225983076</c:v>
                </c:pt>
                <c:pt idx="49">
                  <c:v>1.196316575410652</c:v>
                </c:pt>
                <c:pt idx="50">
                  <c:v>1.1886510701841713</c:v>
                </c:pt>
                <c:pt idx="51">
                  <c:v>1.2063713290194127</c:v>
                </c:pt>
                <c:pt idx="52">
                  <c:v>1.2183175709308112</c:v>
                </c:pt>
                <c:pt idx="53">
                  <c:v>1.2285714285714284</c:v>
                </c:pt>
                <c:pt idx="54">
                  <c:v>1.236734693877551</c:v>
                </c:pt>
                <c:pt idx="55">
                  <c:v>1.2378297660527626</c:v>
                </c:pt>
                <c:pt idx="56">
                  <c:v>1.2478845196615231</c:v>
                </c:pt>
                <c:pt idx="57">
                  <c:v>1.2575410652065704</c:v>
                </c:pt>
                <c:pt idx="58">
                  <c:v>1.2560477849676457</c:v>
                </c:pt>
                <c:pt idx="59">
                  <c:v>1.2639123942259829</c:v>
                </c:pt>
                <c:pt idx="60">
                  <c:v>1.2665007466401195</c:v>
                </c:pt>
                <c:pt idx="61">
                  <c:v>1.2626182180189149</c:v>
                </c:pt>
                <c:pt idx="62">
                  <c:v>1.2587356893977102</c:v>
                </c:pt>
                <c:pt idx="63">
                  <c:v>1.2712792434046789</c:v>
                </c:pt>
                <c:pt idx="64">
                  <c:v>1.2882030861124938</c:v>
                </c:pt>
                <c:pt idx="65">
                  <c:v>1.3060228969636634</c:v>
                </c:pt>
                <c:pt idx="66">
                  <c:v>1.3034345445495272</c:v>
                </c:pt>
                <c:pt idx="67">
                  <c:v>1.304031856645097</c:v>
                </c:pt>
                <c:pt idx="68">
                  <c:v>1.3034345445495272</c:v>
                </c:pt>
                <c:pt idx="69">
                  <c:v>1.2761572921851667</c:v>
                </c:pt>
                <c:pt idx="70">
                  <c:v>1.2439024390243902</c:v>
                </c:pt>
                <c:pt idx="71">
                  <c:v>1.2038825286212047</c:v>
                </c:pt>
                <c:pt idx="72">
                  <c:v>1.2027874564459928</c:v>
                </c:pt>
                <c:pt idx="73">
                  <c:v>1.2164260826281732</c:v>
                </c:pt>
                <c:pt idx="74">
                  <c:v>1.2241911398705823</c:v>
                </c:pt>
                <c:pt idx="75">
                  <c:v>1.2308611249377799</c:v>
                </c:pt>
                <c:pt idx="76">
                  <c:v>1.2431060228969637</c:v>
                </c:pt>
                <c:pt idx="77">
                  <c:v>1.2536585365853659</c:v>
                </c:pt>
                <c:pt idx="78">
                  <c:v>1.2572424091587855</c:v>
                </c:pt>
                <c:pt idx="79">
                  <c:v>1.2751617720258834</c:v>
                </c:pt>
                <c:pt idx="80">
                  <c:v>1.2854156296665007</c:v>
                </c:pt>
                <c:pt idx="81">
                  <c:v>1.2920856147336983</c:v>
                </c:pt>
                <c:pt idx="82">
                  <c:v>1.2943753111000498</c:v>
                </c:pt>
                <c:pt idx="83">
                  <c:v>1.3071179691388752</c:v>
                </c:pt>
                <c:pt idx="84">
                  <c:v>1.328720756595321</c:v>
                </c:pt>
                <c:pt idx="85">
                  <c:v>1.3456445993031356</c:v>
                </c:pt>
                <c:pt idx="86">
                  <c:v>1.3597809855649576</c:v>
                </c:pt>
                <c:pt idx="87">
                  <c:v>1.3643603782976605</c:v>
                </c:pt>
                <c:pt idx="88">
                  <c:v>1.3587854654056746</c:v>
                </c:pt>
                <c:pt idx="89">
                  <c:v>1.356197112991538</c:v>
                </c:pt>
                <c:pt idx="90">
                  <c:v>1.3631657541065207</c:v>
                </c:pt>
                <c:pt idx="91">
                  <c:v>1.3705326032852163</c:v>
                </c:pt>
                <c:pt idx="92">
                  <c:v>1.3878546540567447</c:v>
                </c:pt>
                <c:pt idx="93">
                  <c:v>1.3809855649576903</c:v>
                </c:pt>
                <c:pt idx="94">
                  <c:v>1.3946241911398707</c:v>
                </c:pt>
                <c:pt idx="95">
                  <c:v>1.3767048282727723</c:v>
                </c:pt>
                <c:pt idx="96">
                  <c:v>1.3951219512195121</c:v>
                </c:pt>
                <c:pt idx="97">
                  <c:v>1.4008959681433548</c:v>
                </c:pt>
                <c:pt idx="98">
                  <c:v>1.404678944748631</c:v>
                </c:pt>
                <c:pt idx="99">
                  <c:v>1.4020905923344948</c:v>
                </c:pt>
                <c:pt idx="100">
                  <c:v>1.4063713290194126</c:v>
                </c:pt>
                <c:pt idx="101">
                  <c:v>1.4158287705326031</c:v>
                </c:pt>
                <c:pt idx="102">
                  <c:v>1.4161274265803883</c:v>
                </c:pt>
                <c:pt idx="103">
                  <c:v>1.413240418118467</c:v>
                </c:pt>
                <c:pt idx="104">
                  <c:v>1.4115480338476853</c:v>
                </c:pt>
                <c:pt idx="105">
                  <c:v>1.4094574415131906</c:v>
                </c:pt>
                <c:pt idx="106">
                  <c:v>1.4161274265803883</c:v>
                </c:pt>
                <c:pt idx="107">
                  <c:v>1.3982080637132901</c:v>
                </c:pt>
                <c:pt idx="108">
                  <c:v>1.3824788451966152</c:v>
                </c:pt>
                <c:pt idx="109">
                  <c:v>1.3986062717770036</c:v>
                </c:pt>
                <c:pt idx="110">
                  <c:v>1.3943255350920856</c:v>
                </c:pt>
                <c:pt idx="111">
                  <c:v>1.4040816326530612</c:v>
                </c:pt>
                <c:pt idx="112">
                  <c:v>1.4203086112493777</c:v>
                </c:pt>
                <c:pt idx="113">
                  <c:v>1.4291687406669984</c:v>
                </c:pt>
                <c:pt idx="114">
                  <c:v>1.4338476854156297</c:v>
                </c:pt>
                <c:pt idx="115">
                  <c:v>1.4370333499253358</c:v>
                </c:pt>
                <c:pt idx="116">
                  <c:v>1.4306620209059233</c:v>
                </c:pt>
                <c:pt idx="117">
                  <c:v>1.4421105027376806</c:v>
                </c:pt>
                <c:pt idx="118">
                  <c:v>1.4393230462916875</c:v>
                </c:pt>
                <c:pt idx="119">
                  <c:v>1.4351418616226979</c:v>
                </c:pt>
                <c:pt idx="120">
                  <c:v>1.4434046789447488</c:v>
                </c:pt>
                <c:pt idx="121">
                  <c:v>1.4312593330014933</c:v>
                </c:pt>
                <c:pt idx="122">
                  <c:v>1.4430064708810353</c:v>
                </c:pt>
                <c:pt idx="123">
                  <c:v>1.4558486809357889</c:v>
                </c:pt>
                <c:pt idx="124">
                  <c:v>1.46172224987556</c:v>
                </c:pt>
                <c:pt idx="125">
                  <c:v>1.4569437531110003</c:v>
                </c:pt>
                <c:pt idx="126">
                  <c:v>1.4653061224489796</c:v>
                </c:pt>
                <c:pt idx="127">
                  <c:v>1.4645097063215531</c:v>
                </c:pt>
                <c:pt idx="128">
                  <c:v>1.4747635639621701</c:v>
                </c:pt>
                <c:pt idx="129">
                  <c:v>1.4732702837232454</c:v>
                </c:pt>
                <c:pt idx="130">
                  <c:v>1.4767546042807367</c:v>
                </c:pt>
                <c:pt idx="131">
                  <c:v>1.4794425087108014</c:v>
                </c:pt>
                <c:pt idx="132">
                  <c:v>1.4760577401692385</c:v>
                </c:pt>
                <c:pt idx="133">
                  <c:v>1.4718765555002489</c:v>
                </c:pt>
                <c:pt idx="134">
                  <c:v>1.4722747635639619</c:v>
                </c:pt>
                <c:pt idx="135">
                  <c:v>1.4622200099552014</c:v>
                </c:pt>
                <c:pt idx="136">
                  <c:v>1.4564459930313589</c:v>
                </c:pt>
                <c:pt idx="137">
                  <c:v>1.4296665007466403</c:v>
                </c:pt>
                <c:pt idx="138">
                  <c:v>1.4416127426580387</c:v>
                </c:pt>
                <c:pt idx="139">
                  <c:v>1.4492782478845196</c:v>
                </c:pt>
                <c:pt idx="140">
                  <c:v>1.4558486809357889</c:v>
                </c:pt>
                <c:pt idx="141">
                  <c:v>1.4476854156296664</c:v>
                </c:pt>
                <c:pt idx="142">
                  <c:v>1.4490791438526629</c:v>
                </c:pt>
                <c:pt idx="143">
                  <c:v>1.455550024888004</c:v>
                </c:pt>
                <c:pt idx="144">
                  <c:v>1.4431060228969637</c:v>
                </c:pt>
                <c:pt idx="145">
                  <c:v>1.4333499253359878</c:v>
                </c:pt>
                <c:pt idx="146">
                  <c:v>1.4308611249377798</c:v>
                </c:pt>
                <c:pt idx="147">
                  <c:v>1.4174216027874564</c:v>
                </c:pt>
                <c:pt idx="148">
                  <c:v>1.4044798407167747</c:v>
                </c:pt>
                <c:pt idx="149">
                  <c:v>1.3895470383275261</c:v>
                </c:pt>
                <c:pt idx="150">
                  <c:v>1.3804878048780487</c:v>
                </c:pt>
                <c:pt idx="151">
                  <c:v>1.3830761572921852</c:v>
                </c:pt>
                <c:pt idx="152">
                  <c:v>1.3695370831259333</c:v>
                </c:pt>
                <c:pt idx="153">
                  <c:v>1.3788949726231954</c:v>
                </c:pt>
                <c:pt idx="154">
                  <c:v>1.3606769537083125</c:v>
                </c:pt>
                <c:pt idx="155">
                  <c:v>1.3569935291189645</c:v>
                </c:pt>
                <c:pt idx="156">
                  <c:v>1.3491289198606273</c:v>
                </c:pt>
                <c:pt idx="157">
                  <c:v>1.3490293678446987</c:v>
                </c:pt>
                <c:pt idx="158">
                  <c:v>1.3400696864111499</c:v>
                </c:pt>
                <c:pt idx="159">
                  <c:v>1.3412643106022895</c:v>
                </c:pt>
                <c:pt idx="160">
                  <c:v>1.3368840219014433</c:v>
                </c:pt>
                <c:pt idx="161">
                  <c:v>1.3423593827775013</c:v>
                </c:pt>
                <c:pt idx="162">
                  <c:v>1.3400696864111499</c:v>
                </c:pt>
                <c:pt idx="163">
                  <c:v>1.333997013439522</c:v>
                </c:pt>
                <c:pt idx="164">
                  <c:v>1.3315082130413141</c:v>
                </c:pt>
                <c:pt idx="165">
                  <c:v>1.3270283723245397</c:v>
                </c:pt>
                <c:pt idx="166">
                  <c:v>1.3242409158785466</c:v>
                </c:pt>
                <c:pt idx="167">
                  <c:v>1.3176704828272774</c:v>
                </c:pt>
                <c:pt idx="168">
                  <c:v>1.3277252364360379</c:v>
                </c:pt>
                <c:pt idx="169">
                  <c:v>1.3479342956694873</c:v>
                </c:pt>
                <c:pt idx="170">
                  <c:v>1.3504230960676953</c:v>
                </c:pt>
                <c:pt idx="171">
                  <c:v>1.3516177202588353</c:v>
                </c:pt>
                <c:pt idx="172">
                  <c:v>1.3456445993031356</c:v>
                </c:pt>
                <c:pt idx="173">
                  <c:v>1.3543056246888998</c:v>
                </c:pt>
                <c:pt idx="174">
                  <c:v>1.3587854654056746</c:v>
                </c:pt>
                <c:pt idx="175">
                  <c:v>1.3520159283225486</c:v>
                </c:pt>
                <c:pt idx="176">
                  <c:v>1.3488302638128422</c:v>
                </c:pt>
                <c:pt idx="177">
                  <c:v>1.3516177202588353</c:v>
                </c:pt>
                <c:pt idx="178">
                  <c:v>1.3496266799402687</c:v>
                </c:pt>
                <c:pt idx="179">
                  <c:v>1.3681433549029367</c:v>
                </c:pt>
                <c:pt idx="180">
                  <c:v>1.362369337979094</c:v>
                </c:pt>
                <c:pt idx="181">
                  <c:v>1.3602787456445991</c:v>
                </c:pt>
                <c:pt idx="182">
                  <c:v>1.3664509706321553</c:v>
                </c:pt>
                <c:pt idx="183">
                  <c:v>1.3774016923842709</c:v>
                </c:pt>
                <c:pt idx="184">
                  <c:v>1.3279243404678942</c:v>
                </c:pt>
                <c:pt idx="185">
                  <c:v>1.3682429069188651</c:v>
                </c:pt>
                <c:pt idx="186">
                  <c:v>1.3742160278745643</c:v>
                </c:pt>
                <c:pt idx="187">
                  <c:v>1.3869586859133896</c:v>
                </c:pt>
                <c:pt idx="188">
                  <c:v>1.3737182677949229</c:v>
                </c:pt>
                <c:pt idx="189">
                  <c:v>1.3744151319064211</c:v>
                </c:pt>
                <c:pt idx="190">
                  <c:v>1.3724240915878547</c:v>
                </c:pt>
                <c:pt idx="191">
                  <c:v>1.3790940766550523</c:v>
                </c:pt>
                <c:pt idx="192">
                  <c:v>1.3785963165754105</c:v>
                </c:pt>
                <c:pt idx="193">
                  <c:v>1.3676455948232951</c:v>
                </c:pt>
                <c:pt idx="194">
                  <c:v>1.3779990044798405</c:v>
                </c:pt>
                <c:pt idx="195">
                  <c:v>1.374713787954206</c:v>
                </c:pt>
                <c:pt idx="196">
                  <c:v>1.3833748133399701</c:v>
                </c:pt>
                <c:pt idx="197">
                  <c:v>1.3836734693877553</c:v>
                </c:pt>
                <c:pt idx="198">
                  <c:v>1.3793927327028372</c:v>
                </c:pt>
                <c:pt idx="199">
                  <c:v>1.3796913887506221</c:v>
                </c:pt>
                <c:pt idx="200">
                  <c:v>1.3846689895470383</c:v>
                </c:pt>
                <c:pt idx="201">
                  <c:v>1.3933300149328025</c:v>
                </c:pt>
                <c:pt idx="202">
                  <c:v>1.3816824290691885</c:v>
                </c:pt>
                <c:pt idx="203">
                  <c:v>1.374713787954206</c:v>
                </c:pt>
                <c:pt idx="204">
                  <c:v>1.382080637132902</c:v>
                </c:pt>
                <c:pt idx="205">
                  <c:v>1.387356893977103</c:v>
                </c:pt>
                <c:pt idx="206">
                  <c:v>1.3153807864609257</c:v>
                </c:pt>
                <c:pt idx="207">
                  <c:v>1.1844698855151816</c:v>
                </c:pt>
                <c:pt idx="208">
                  <c:v>1.2092583374813339</c:v>
                </c:pt>
                <c:pt idx="209">
                  <c:v>1.2704828272772524</c:v>
                </c:pt>
                <c:pt idx="210">
                  <c:v>1.3116973618715777</c:v>
                </c:pt>
                <c:pt idx="211">
                  <c:v>1.3389746142359382</c:v>
                </c:pt>
                <c:pt idx="212">
                  <c:v>1.3582877053260327</c:v>
                </c:pt>
                <c:pt idx="213">
                  <c:v>1.3774016923842709</c:v>
                </c:pt>
                <c:pt idx="214">
                  <c:v>1.372822299651568</c:v>
                </c:pt>
                <c:pt idx="215">
                  <c:v>1.3757093081134892</c:v>
                </c:pt>
                <c:pt idx="216">
                  <c:v>1.3838725734196116</c:v>
                </c:pt>
                <c:pt idx="217">
                  <c:v>1.404678944748631</c:v>
                </c:pt>
                <c:pt idx="218">
                  <c:v>1.3822797411647585</c:v>
                </c:pt>
                <c:pt idx="219">
                  <c:v>1.3860627177700346</c:v>
                </c:pt>
                <c:pt idx="220">
                  <c:v>1.3865604778496765</c:v>
                </c:pt>
                <c:pt idx="221">
                  <c:v>1.3890492782478845</c:v>
                </c:pt>
                <c:pt idx="222">
                  <c:v>1.387356893977103</c:v>
                </c:pt>
                <c:pt idx="223">
                  <c:v>1.3887506222000996</c:v>
                </c:pt>
                <c:pt idx="224">
                  <c:v>1.3807864609258336</c:v>
                </c:pt>
                <c:pt idx="225">
                  <c:v>1.3814833250373322</c:v>
                </c:pt>
                <c:pt idx="226">
                  <c:v>1.3877551020408163</c:v>
                </c:pt>
                <c:pt idx="227">
                  <c:v>1.3922349427575909</c:v>
                </c:pt>
                <c:pt idx="228">
                  <c:v>1.382080637132902</c:v>
                </c:pt>
                <c:pt idx="229">
                  <c:v>1.3867595818815333</c:v>
                </c:pt>
              </c:numCache>
            </c:numRef>
          </c:val>
          <c:smooth val="0"/>
          <c:extLst>
            <c:ext xmlns:c16="http://schemas.microsoft.com/office/drawing/2014/chart" uri="{C3380CC4-5D6E-409C-BE32-E72D297353CC}">
              <c16:uniqueId val="{00000000-5A91-4CA7-90E8-AB6D393BF189}"/>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APPLYROWS!$Q$3</c:f>
          <c:strCache>
            <c:ptCount val="1"/>
            <c:pt idx="0">
              <c:v>IBC-Br SA 100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19050" cap="rnd">
              <a:solidFill>
                <a:schemeClr val="accent1"/>
              </a:solidFill>
              <a:round/>
            </a:ln>
            <a:effectLst/>
          </c:spPr>
          <c:marker>
            <c:symbol val="none"/>
          </c:marker>
          <c:cat>
            <c:numRef>
              <c:f>APPLYROWS!$F$14:$F$29</c:f>
              <c:numCache>
                <c:formatCode>[$-416]mmm\-yy;@</c:formatCode>
                <c:ptCount val="16"/>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numCache>
            </c:numRef>
          </c:cat>
          <c:val>
            <c:numRef>
              <c:f>APPLYROWS!$M$14:$M$247</c:f>
              <c:numCache>
                <c:formatCode>#,##0</c:formatCode>
                <c:ptCount val="234"/>
                <c:pt idx="0">
                  <c:v>10372.5</c:v>
                </c:pt>
                <c:pt idx="1">
                  <c:v>10195</c:v>
                </c:pt>
                <c:pt idx="2">
                  <c:v>10203</c:v>
                </c:pt>
                <c:pt idx="3">
                  <c:v>10092</c:v>
                </c:pt>
                <c:pt idx="4">
                  <c:v>9989</c:v>
                </c:pt>
                <c:pt idx="5">
                  <c:v>10028</c:v>
                </c:pt>
                <c:pt idx="6">
                  <c:v>9907</c:v>
                </c:pt>
                <c:pt idx="7">
                  <c:v>9973</c:v>
                </c:pt>
                <c:pt idx="8">
                  <c:v>10171</c:v>
                </c:pt>
                <c:pt idx="9">
                  <c:v>10188</c:v>
                </c:pt>
                <c:pt idx="10">
                  <c:v>10197</c:v>
                </c:pt>
                <c:pt idx="11">
                  <c:v>10158</c:v>
                </c:pt>
              </c:numCache>
            </c:numRef>
          </c:val>
          <c:smooth val="0"/>
          <c:extLst>
            <c:ext xmlns:c16="http://schemas.microsoft.com/office/drawing/2014/chart" uri="{C3380CC4-5D6E-409C-BE32-E72D297353CC}">
              <c16:uniqueId val="{00000000-1014-4C24-A1DE-97850ECB6C4D}"/>
            </c:ext>
          </c:extLst>
        </c:ser>
        <c:dLbls>
          <c:showLegendKey val="0"/>
          <c:showVal val="0"/>
          <c:showCatName val="0"/>
          <c:showSerName val="0"/>
          <c:showPercent val="0"/>
          <c:showBubbleSize val="0"/>
        </c:dLbls>
        <c:smooth val="0"/>
        <c:axId val="2040515792"/>
        <c:axId val="2040519952"/>
      </c:lineChart>
      <c:dateAx>
        <c:axId val="2040515792"/>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1"/>
        <c:lblOffset val="100"/>
        <c:baseTimeUnit val="months"/>
      </c:date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a:t>
            </a:r>
            <a:r>
              <a:rPr lang="en-US" baseline="0"/>
              <a:t> series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AGGREGBYDATE!$L$16:$L$70</c:f>
              <c:numCache>
                <c:formatCode>m/d/yyyy</c:formatCode>
                <c:ptCount val="55"/>
                <c:pt idx="1">
                  <c:v>24838</c:v>
                </c:pt>
                <c:pt idx="2">
                  <c:v>25204</c:v>
                </c:pt>
                <c:pt idx="3">
                  <c:v>25569</c:v>
                </c:pt>
                <c:pt idx="4">
                  <c:v>25934</c:v>
                </c:pt>
                <c:pt idx="5">
                  <c:v>26299</c:v>
                </c:pt>
                <c:pt idx="6">
                  <c:v>26665</c:v>
                </c:pt>
                <c:pt idx="7">
                  <c:v>27030</c:v>
                </c:pt>
                <c:pt idx="8">
                  <c:v>27395</c:v>
                </c:pt>
                <c:pt idx="9">
                  <c:v>27760</c:v>
                </c:pt>
                <c:pt idx="10">
                  <c:v>28126</c:v>
                </c:pt>
                <c:pt idx="11">
                  <c:v>28491</c:v>
                </c:pt>
                <c:pt idx="12">
                  <c:v>28856</c:v>
                </c:pt>
                <c:pt idx="13">
                  <c:v>29221</c:v>
                </c:pt>
                <c:pt idx="14">
                  <c:v>29587</c:v>
                </c:pt>
                <c:pt idx="15">
                  <c:v>29952</c:v>
                </c:pt>
                <c:pt idx="16">
                  <c:v>30317</c:v>
                </c:pt>
                <c:pt idx="17">
                  <c:v>30682</c:v>
                </c:pt>
                <c:pt idx="18">
                  <c:v>31048</c:v>
                </c:pt>
                <c:pt idx="19">
                  <c:v>31413</c:v>
                </c:pt>
                <c:pt idx="20">
                  <c:v>31778</c:v>
                </c:pt>
                <c:pt idx="21">
                  <c:v>32143</c:v>
                </c:pt>
                <c:pt idx="22">
                  <c:v>32509</c:v>
                </c:pt>
                <c:pt idx="23">
                  <c:v>32874</c:v>
                </c:pt>
                <c:pt idx="24">
                  <c:v>33239</c:v>
                </c:pt>
                <c:pt idx="25">
                  <c:v>33604</c:v>
                </c:pt>
                <c:pt idx="26">
                  <c:v>33970</c:v>
                </c:pt>
                <c:pt idx="27">
                  <c:v>34335</c:v>
                </c:pt>
                <c:pt idx="28">
                  <c:v>34700</c:v>
                </c:pt>
                <c:pt idx="29">
                  <c:v>35065</c:v>
                </c:pt>
                <c:pt idx="30">
                  <c:v>35431</c:v>
                </c:pt>
                <c:pt idx="31">
                  <c:v>35796</c:v>
                </c:pt>
                <c:pt idx="32">
                  <c:v>36161</c:v>
                </c:pt>
                <c:pt idx="33">
                  <c:v>36526</c:v>
                </c:pt>
                <c:pt idx="34">
                  <c:v>36892</c:v>
                </c:pt>
                <c:pt idx="35">
                  <c:v>37257</c:v>
                </c:pt>
                <c:pt idx="36">
                  <c:v>37622</c:v>
                </c:pt>
                <c:pt idx="37">
                  <c:v>37987</c:v>
                </c:pt>
                <c:pt idx="38">
                  <c:v>38353</c:v>
                </c:pt>
                <c:pt idx="39">
                  <c:v>38718</c:v>
                </c:pt>
                <c:pt idx="40">
                  <c:v>39083</c:v>
                </c:pt>
                <c:pt idx="41">
                  <c:v>39448</c:v>
                </c:pt>
                <c:pt idx="42">
                  <c:v>39814</c:v>
                </c:pt>
                <c:pt idx="43">
                  <c:v>40179</c:v>
                </c:pt>
                <c:pt idx="44">
                  <c:v>40544</c:v>
                </c:pt>
                <c:pt idx="45">
                  <c:v>40909</c:v>
                </c:pt>
                <c:pt idx="46">
                  <c:v>41275</c:v>
                </c:pt>
                <c:pt idx="47">
                  <c:v>41640</c:v>
                </c:pt>
                <c:pt idx="48">
                  <c:v>42005</c:v>
                </c:pt>
                <c:pt idx="49">
                  <c:v>42370</c:v>
                </c:pt>
                <c:pt idx="50">
                  <c:v>42736</c:v>
                </c:pt>
                <c:pt idx="51">
                  <c:v>43101</c:v>
                </c:pt>
                <c:pt idx="52">
                  <c:v>43466</c:v>
                </c:pt>
                <c:pt idx="53">
                  <c:v>43831</c:v>
                </c:pt>
                <c:pt idx="54">
                  <c:v>44197</c:v>
                </c:pt>
              </c:numCache>
            </c:numRef>
          </c:cat>
          <c:val>
            <c:numRef>
              <c:f>AGGREGBYDATE!$M$16:$M$70</c:f>
              <c:numCache>
                <c:formatCode>General</c:formatCode>
                <c:ptCount val="55"/>
                <c:pt idx="1">
                  <c:v>4.6117472168333338</c:v>
                </c:pt>
                <c:pt idx="2">
                  <c:v>6.3776569617499996</c:v>
                </c:pt>
                <c:pt idx="3">
                  <c:v>7.0800523682500005</c:v>
                </c:pt>
                <c:pt idx="4">
                  <c:v>5.1329448944166671</c:v>
                </c:pt>
                <c:pt idx="5">
                  <c:v>3.5712195252499992</c:v>
                </c:pt>
                <c:pt idx="6">
                  <c:v>3.6103678129166661</c:v>
                </c:pt>
                <c:pt idx="7">
                  <c:v>8.8286598818333335</c:v>
                </c:pt>
                <c:pt idx="8">
                  <c:v>9.9582386160833334</c:v>
                </c:pt>
                <c:pt idx="9">
                  <c:v>7.0692856911666659</c:v>
                </c:pt>
                <c:pt idx="10">
                  <c:v>6.7075894542500007</c:v>
                </c:pt>
                <c:pt idx="11">
                  <c:v>8.0957684430000008</c:v>
                </c:pt>
                <c:pt idx="12">
                  <c:v>10.595650194416667</c:v>
                </c:pt>
                <c:pt idx="13">
                  <c:v>13.887196271583333</c:v>
                </c:pt>
                <c:pt idx="14">
                  <c:v>10.789840377166664</c:v>
                </c:pt>
                <c:pt idx="15">
                  <c:v>7.6841269871666666</c:v>
                </c:pt>
                <c:pt idx="16">
                  <c:v>3.7056909053333329</c:v>
                </c:pt>
                <c:pt idx="17">
                  <c:v>4.8335659735833323</c:v>
                </c:pt>
                <c:pt idx="18">
                  <c:v>4.9301578615000006</c:v>
                </c:pt>
                <c:pt idx="19">
                  <c:v>5.001338704666666</c:v>
                </c:pt>
                <c:pt idx="20">
                  <c:v>4.3196375290000004</c:v>
                </c:pt>
                <c:pt idx="21">
                  <c:v>4.5864143740000012</c:v>
                </c:pt>
                <c:pt idx="22">
                  <c:v>4.7807034300833333</c:v>
                </c:pt>
                <c:pt idx="23">
                  <c:v>5.4553513410833325</c:v>
                </c:pt>
                <c:pt idx="24">
                  <c:v>4.94934712375</c:v>
                </c:pt>
                <c:pt idx="25">
                  <c:v>3.7854164745833327</c:v>
                </c:pt>
                <c:pt idx="26">
                  <c:v>3.5075261400833333</c:v>
                </c:pt>
                <c:pt idx="27">
                  <c:v>3.272151669249999</c:v>
                </c:pt>
                <c:pt idx="28">
                  <c:v>3.3182595421666665</c:v>
                </c:pt>
                <c:pt idx="29">
                  <c:v>3.0975148798333336</c:v>
                </c:pt>
                <c:pt idx="30">
                  <c:v>2.7571370443333336</c:v>
                </c:pt>
                <c:pt idx="31">
                  <c:v>2.6113656545833339</c:v>
                </c:pt>
                <c:pt idx="32">
                  <c:v>2.1803319249999999</c:v>
                </c:pt>
                <c:pt idx="33">
                  <c:v>2.6893860833333325</c:v>
                </c:pt>
                <c:pt idx="34">
                  <c:v>3.2341506916666671</c:v>
                </c:pt>
                <c:pt idx="35">
                  <c:v>3.2359565583333332</c:v>
                </c:pt>
                <c:pt idx="36">
                  <c:v>2.3300123500000001</c:v>
                </c:pt>
                <c:pt idx="37">
                  <c:v>2.2195945999999998</c:v>
                </c:pt>
                <c:pt idx="38">
                  <c:v>2.3142403083333334</c:v>
                </c:pt>
                <c:pt idx="39">
                  <c:v>2.9271037416666665</c:v>
                </c:pt>
                <c:pt idx="40">
                  <c:v>2.7630326000000003</c:v>
                </c:pt>
                <c:pt idx="41">
                  <c:v>2.8358705749999999</c:v>
                </c:pt>
                <c:pt idx="42">
                  <c:v>1.9872083500000002</c:v>
                </c:pt>
                <c:pt idx="43">
                  <c:v>0.83963542833333349</c:v>
                </c:pt>
                <c:pt idx="44">
                  <c:v>1.4652805608333332</c:v>
                </c:pt>
                <c:pt idx="45">
                  <c:v>2.1707786666666671</c:v>
                </c:pt>
                <c:pt idx="46">
                  <c:v>1.9449664416666668</c:v>
                </c:pt>
                <c:pt idx="47">
                  <c:v>1.9772887499999998</c:v>
                </c:pt>
                <c:pt idx="48">
                  <c:v>2.1673172916666665</c:v>
                </c:pt>
                <c:pt idx="49">
                  <c:v>2.5651574416666669</c:v>
                </c:pt>
                <c:pt idx="50">
                  <c:v>2.2593830833333333</c:v>
                </c:pt>
                <c:pt idx="51">
                  <c:v>2.41924275</c:v>
                </c:pt>
                <c:pt idx="52">
                  <c:v>2.5271332499999999</c:v>
                </c:pt>
                <c:pt idx="53">
                  <c:v>2.2242969166666668</c:v>
                </c:pt>
                <c:pt idx="54">
                  <c:v>2.4396640833333336</c:v>
                </c:pt>
              </c:numCache>
            </c:numRef>
          </c:val>
          <c:smooth val="0"/>
          <c:extLst>
            <c:ext xmlns:c16="http://schemas.microsoft.com/office/drawing/2014/chart" uri="{C3380CC4-5D6E-409C-BE32-E72D297353CC}">
              <c16:uniqueId val="{00000000-3857-4747-8477-389C5F55BD8C}"/>
            </c:ext>
          </c:extLst>
        </c:ser>
        <c:dLbls>
          <c:showLegendKey val="0"/>
          <c:showVal val="0"/>
          <c:showCatName val="0"/>
          <c:showSerName val="0"/>
          <c:showPercent val="0"/>
          <c:showBubbleSize val="0"/>
        </c:dLbls>
        <c:smooth val="0"/>
        <c:axId val="275725344"/>
        <c:axId val="275741568"/>
      </c:lineChart>
      <c:dateAx>
        <c:axId val="275725344"/>
        <c:scaling>
          <c:orientation val="minMax"/>
        </c:scaling>
        <c:delete val="0"/>
        <c:axPos val="b"/>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41568"/>
        <c:crosses val="autoZero"/>
        <c:auto val="1"/>
        <c:lblOffset val="100"/>
        <c:baseTimeUnit val="months"/>
      </c:dateAx>
      <c:valAx>
        <c:axId val="275741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75725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Finding roots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cat>
            <c:numRef>
              <c:f>FZERO!$L$14:$L$1014</c:f>
              <c:numCache>
                <c:formatCode>General</c:formatCode>
                <c:ptCount val="1001"/>
                <c:pt idx="0" formatCode="0.00">
                  <c:v>-5</c:v>
                </c:pt>
                <c:pt idx="1">
                  <c:v>-4.99</c:v>
                </c:pt>
                <c:pt idx="2">
                  <c:v>-4.9800000000000004</c:v>
                </c:pt>
                <c:pt idx="3">
                  <c:v>-4.97</c:v>
                </c:pt>
                <c:pt idx="4">
                  <c:v>-4.96</c:v>
                </c:pt>
                <c:pt idx="5">
                  <c:v>-4.95</c:v>
                </c:pt>
                <c:pt idx="6">
                  <c:v>-4.9400000000000004</c:v>
                </c:pt>
                <c:pt idx="7">
                  <c:v>-4.93</c:v>
                </c:pt>
                <c:pt idx="8">
                  <c:v>-4.92</c:v>
                </c:pt>
                <c:pt idx="9">
                  <c:v>-4.91</c:v>
                </c:pt>
                <c:pt idx="10">
                  <c:v>-4.9000000000000004</c:v>
                </c:pt>
                <c:pt idx="11">
                  <c:v>-4.8899999999999997</c:v>
                </c:pt>
                <c:pt idx="12">
                  <c:v>-4.88</c:v>
                </c:pt>
                <c:pt idx="13">
                  <c:v>-4.87</c:v>
                </c:pt>
                <c:pt idx="14">
                  <c:v>-4.8600000000000003</c:v>
                </c:pt>
                <c:pt idx="15">
                  <c:v>-4.8499999999999996</c:v>
                </c:pt>
                <c:pt idx="16">
                  <c:v>-4.84</c:v>
                </c:pt>
                <c:pt idx="17">
                  <c:v>-4.83</c:v>
                </c:pt>
                <c:pt idx="18">
                  <c:v>-4.82</c:v>
                </c:pt>
                <c:pt idx="19">
                  <c:v>-4.8099999999999996</c:v>
                </c:pt>
                <c:pt idx="20">
                  <c:v>-4.8</c:v>
                </c:pt>
                <c:pt idx="21">
                  <c:v>-4.79</c:v>
                </c:pt>
                <c:pt idx="22">
                  <c:v>-4.78</c:v>
                </c:pt>
                <c:pt idx="23">
                  <c:v>-4.7699999999999996</c:v>
                </c:pt>
                <c:pt idx="24">
                  <c:v>-4.76</c:v>
                </c:pt>
                <c:pt idx="25">
                  <c:v>-4.75</c:v>
                </c:pt>
                <c:pt idx="26">
                  <c:v>-4.74</c:v>
                </c:pt>
                <c:pt idx="27">
                  <c:v>-4.7300000000000004</c:v>
                </c:pt>
                <c:pt idx="28">
                  <c:v>-4.72</c:v>
                </c:pt>
                <c:pt idx="29">
                  <c:v>-4.71</c:v>
                </c:pt>
                <c:pt idx="30">
                  <c:v>-4.7</c:v>
                </c:pt>
                <c:pt idx="31">
                  <c:v>-4.6900000000000004</c:v>
                </c:pt>
                <c:pt idx="32">
                  <c:v>-4.68</c:v>
                </c:pt>
                <c:pt idx="33">
                  <c:v>-4.67</c:v>
                </c:pt>
                <c:pt idx="34">
                  <c:v>-4.66</c:v>
                </c:pt>
                <c:pt idx="35">
                  <c:v>-4.6500000000000004</c:v>
                </c:pt>
                <c:pt idx="36">
                  <c:v>-4.6399999999999997</c:v>
                </c:pt>
                <c:pt idx="37">
                  <c:v>-4.63</c:v>
                </c:pt>
                <c:pt idx="38">
                  <c:v>-4.62</c:v>
                </c:pt>
                <c:pt idx="39">
                  <c:v>-4.6100000000000003</c:v>
                </c:pt>
                <c:pt idx="40">
                  <c:v>-4.5999999999999996</c:v>
                </c:pt>
                <c:pt idx="41">
                  <c:v>-4.59</c:v>
                </c:pt>
                <c:pt idx="42">
                  <c:v>-4.58</c:v>
                </c:pt>
                <c:pt idx="43">
                  <c:v>-4.57</c:v>
                </c:pt>
                <c:pt idx="44">
                  <c:v>-4.5599999999999996</c:v>
                </c:pt>
                <c:pt idx="45">
                  <c:v>-4.55</c:v>
                </c:pt>
                <c:pt idx="46">
                  <c:v>-4.54</c:v>
                </c:pt>
                <c:pt idx="47">
                  <c:v>-4.53</c:v>
                </c:pt>
                <c:pt idx="48">
                  <c:v>-4.5199999999999996</c:v>
                </c:pt>
                <c:pt idx="49">
                  <c:v>-4.51</c:v>
                </c:pt>
                <c:pt idx="50">
                  <c:v>-4.5</c:v>
                </c:pt>
                <c:pt idx="51">
                  <c:v>-4.49</c:v>
                </c:pt>
                <c:pt idx="52">
                  <c:v>-4.4800000000000004</c:v>
                </c:pt>
                <c:pt idx="53">
                  <c:v>-4.47</c:v>
                </c:pt>
                <c:pt idx="54">
                  <c:v>-4.46</c:v>
                </c:pt>
                <c:pt idx="55">
                  <c:v>-4.45</c:v>
                </c:pt>
                <c:pt idx="56">
                  <c:v>-4.4399999999999995</c:v>
                </c:pt>
                <c:pt idx="57">
                  <c:v>-4.43</c:v>
                </c:pt>
                <c:pt idx="58">
                  <c:v>-4.42</c:v>
                </c:pt>
                <c:pt idx="59">
                  <c:v>-4.41</c:v>
                </c:pt>
                <c:pt idx="60">
                  <c:v>-4.4000000000000004</c:v>
                </c:pt>
                <c:pt idx="61">
                  <c:v>-4.3899999999999997</c:v>
                </c:pt>
                <c:pt idx="62">
                  <c:v>-4.38</c:v>
                </c:pt>
                <c:pt idx="63">
                  <c:v>-4.37</c:v>
                </c:pt>
                <c:pt idx="64">
                  <c:v>-4.3600000000000003</c:v>
                </c:pt>
                <c:pt idx="65">
                  <c:v>-4.3499999999999996</c:v>
                </c:pt>
                <c:pt idx="66">
                  <c:v>-4.34</c:v>
                </c:pt>
                <c:pt idx="67">
                  <c:v>-4.33</c:v>
                </c:pt>
                <c:pt idx="68">
                  <c:v>-4.32</c:v>
                </c:pt>
                <c:pt idx="69">
                  <c:v>-4.3099999999999996</c:v>
                </c:pt>
                <c:pt idx="70">
                  <c:v>-4.3</c:v>
                </c:pt>
                <c:pt idx="71">
                  <c:v>-4.29</c:v>
                </c:pt>
                <c:pt idx="72">
                  <c:v>-4.28</c:v>
                </c:pt>
                <c:pt idx="73">
                  <c:v>-4.2699999999999996</c:v>
                </c:pt>
                <c:pt idx="74">
                  <c:v>-4.26</c:v>
                </c:pt>
                <c:pt idx="75">
                  <c:v>-4.25</c:v>
                </c:pt>
                <c:pt idx="76">
                  <c:v>-4.24</c:v>
                </c:pt>
                <c:pt idx="77">
                  <c:v>-4.2300000000000004</c:v>
                </c:pt>
                <c:pt idx="78">
                  <c:v>-4.22</c:v>
                </c:pt>
                <c:pt idx="79">
                  <c:v>-4.21</c:v>
                </c:pt>
                <c:pt idx="80">
                  <c:v>-4.2</c:v>
                </c:pt>
                <c:pt idx="81">
                  <c:v>-4.1899999999999995</c:v>
                </c:pt>
                <c:pt idx="82">
                  <c:v>-4.18</c:v>
                </c:pt>
                <c:pt idx="83">
                  <c:v>-4.17</c:v>
                </c:pt>
                <c:pt idx="84">
                  <c:v>-4.16</c:v>
                </c:pt>
                <c:pt idx="85">
                  <c:v>-4.1500000000000004</c:v>
                </c:pt>
                <c:pt idx="86">
                  <c:v>-4.1399999999999997</c:v>
                </c:pt>
                <c:pt idx="87">
                  <c:v>-4.13</c:v>
                </c:pt>
                <c:pt idx="88">
                  <c:v>-4.12</c:v>
                </c:pt>
                <c:pt idx="89">
                  <c:v>-4.1100000000000003</c:v>
                </c:pt>
                <c:pt idx="90">
                  <c:v>-4.0999999999999996</c:v>
                </c:pt>
                <c:pt idx="91">
                  <c:v>-4.09</c:v>
                </c:pt>
                <c:pt idx="92">
                  <c:v>-4.08</c:v>
                </c:pt>
                <c:pt idx="93">
                  <c:v>-4.07</c:v>
                </c:pt>
                <c:pt idx="94">
                  <c:v>-4.0599999999999996</c:v>
                </c:pt>
                <c:pt idx="95">
                  <c:v>-4.05</c:v>
                </c:pt>
                <c:pt idx="96">
                  <c:v>-4.04</c:v>
                </c:pt>
                <c:pt idx="97">
                  <c:v>-4.03</c:v>
                </c:pt>
                <c:pt idx="98">
                  <c:v>-4.0199999999999996</c:v>
                </c:pt>
                <c:pt idx="99">
                  <c:v>-4.01</c:v>
                </c:pt>
                <c:pt idx="100">
                  <c:v>-4</c:v>
                </c:pt>
                <c:pt idx="101">
                  <c:v>-3.99</c:v>
                </c:pt>
                <c:pt idx="102">
                  <c:v>-3.98</c:v>
                </c:pt>
                <c:pt idx="103">
                  <c:v>-3.9699999999999998</c:v>
                </c:pt>
                <c:pt idx="104">
                  <c:v>-3.96</c:v>
                </c:pt>
                <c:pt idx="105">
                  <c:v>-3.95</c:v>
                </c:pt>
                <c:pt idx="106">
                  <c:v>-3.94</c:v>
                </c:pt>
                <c:pt idx="107">
                  <c:v>-3.9299999999999997</c:v>
                </c:pt>
                <c:pt idx="108">
                  <c:v>-3.92</c:v>
                </c:pt>
                <c:pt idx="109">
                  <c:v>-3.91</c:v>
                </c:pt>
                <c:pt idx="110">
                  <c:v>-3.9</c:v>
                </c:pt>
                <c:pt idx="111">
                  <c:v>-3.8899999999999997</c:v>
                </c:pt>
                <c:pt idx="112">
                  <c:v>-3.88</c:v>
                </c:pt>
                <c:pt idx="113">
                  <c:v>-3.87</c:v>
                </c:pt>
                <c:pt idx="114">
                  <c:v>-3.86</c:v>
                </c:pt>
                <c:pt idx="115">
                  <c:v>-3.8499999999999996</c:v>
                </c:pt>
                <c:pt idx="116">
                  <c:v>-3.84</c:v>
                </c:pt>
                <c:pt idx="117">
                  <c:v>-3.83</c:v>
                </c:pt>
                <c:pt idx="118">
                  <c:v>-3.8200000000000003</c:v>
                </c:pt>
                <c:pt idx="119">
                  <c:v>-3.81</c:v>
                </c:pt>
                <c:pt idx="120">
                  <c:v>-3.8</c:v>
                </c:pt>
                <c:pt idx="121">
                  <c:v>-3.79</c:v>
                </c:pt>
                <c:pt idx="122">
                  <c:v>-3.7800000000000002</c:v>
                </c:pt>
                <c:pt idx="123">
                  <c:v>-3.77</c:v>
                </c:pt>
                <c:pt idx="124">
                  <c:v>-3.76</c:v>
                </c:pt>
                <c:pt idx="125">
                  <c:v>-3.75</c:v>
                </c:pt>
                <c:pt idx="126">
                  <c:v>-3.74</c:v>
                </c:pt>
                <c:pt idx="127">
                  <c:v>-3.73</c:v>
                </c:pt>
                <c:pt idx="128">
                  <c:v>-3.7199999999999998</c:v>
                </c:pt>
                <c:pt idx="129">
                  <c:v>-3.71</c:v>
                </c:pt>
                <c:pt idx="130">
                  <c:v>-3.7</c:v>
                </c:pt>
                <c:pt idx="131">
                  <c:v>-3.69</c:v>
                </c:pt>
                <c:pt idx="132">
                  <c:v>-3.6799999999999997</c:v>
                </c:pt>
                <c:pt idx="133">
                  <c:v>-3.67</c:v>
                </c:pt>
                <c:pt idx="134">
                  <c:v>-3.66</c:v>
                </c:pt>
                <c:pt idx="135">
                  <c:v>-3.65</c:v>
                </c:pt>
                <c:pt idx="136">
                  <c:v>-3.6399999999999997</c:v>
                </c:pt>
                <c:pt idx="137">
                  <c:v>-3.63</c:v>
                </c:pt>
                <c:pt idx="138">
                  <c:v>-3.62</c:v>
                </c:pt>
                <c:pt idx="139">
                  <c:v>-3.61</c:v>
                </c:pt>
                <c:pt idx="140">
                  <c:v>-3.5999999999999996</c:v>
                </c:pt>
                <c:pt idx="141">
                  <c:v>-3.59</c:v>
                </c:pt>
                <c:pt idx="142">
                  <c:v>-3.58</c:v>
                </c:pt>
                <c:pt idx="143">
                  <c:v>-3.5700000000000003</c:v>
                </c:pt>
                <c:pt idx="144">
                  <c:v>-3.56</c:v>
                </c:pt>
                <c:pt idx="145">
                  <c:v>-3.55</c:v>
                </c:pt>
                <c:pt idx="146">
                  <c:v>-3.54</c:v>
                </c:pt>
                <c:pt idx="147">
                  <c:v>-3.5300000000000002</c:v>
                </c:pt>
                <c:pt idx="148">
                  <c:v>-3.52</c:v>
                </c:pt>
                <c:pt idx="149">
                  <c:v>-3.51</c:v>
                </c:pt>
                <c:pt idx="150">
                  <c:v>-3.5</c:v>
                </c:pt>
                <c:pt idx="151">
                  <c:v>-3.49</c:v>
                </c:pt>
                <c:pt idx="152">
                  <c:v>-3.48</c:v>
                </c:pt>
                <c:pt idx="153">
                  <c:v>-3.4699999999999998</c:v>
                </c:pt>
                <c:pt idx="154">
                  <c:v>-3.46</c:v>
                </c:pt>
                <c:pt idx="155">
                  <c:v>-3.45</c:v>
                </c:pt>
                <c:pt idx="156">
                  <c:v>-3.44</c:v>
                </c:pt>
                <c:pt idx="157">
                  <c:v>-3.4299999999999997</c:v>
                </c:pt>
                <c:pt idx="158">
                  <c:v>-3.42</c:v>
                </c:pt>
                <c:pt idx="159">
                  <c:v>-3.41</c:v>
                </c:pt>
                <c:pt idx="160">
                  <c:v>-3.4</c:v>
                </c:pt>
                <c:pt idx="161">
                  <c:v>-3.3899999999999997</c:v>
                </c:pt>
                <c:pt idx="162">
                  <c:v>-3.38</c:v>
                </c:pt>
                <c:pt idx="163">
                  <c:v>-3.37</c:v>
                </c:pt>
                <c:pt idx="164">
                  <c:v>-3.36</c:v>
                </c:pt>
                <c:pt idx="165">
                  <c:v>-3.3499999999999996</c:v>
                </c:pt>
                <c:pt idx="166">
                  <c:v>-3.34</c:v>
                </c:pt>
                <c:pt idx="167">
                  <c:v>-3.33</c:v>
                </c:pt>
                <c:pt idx="168">
                  <c:v>-3.3200000000000003</c:v>
                </c:pt>
                <c:pt idx="169">
                  <c:v>-3.31</c:v>
                </c:pt>
                <c:pt idx="170">
                  <c:v>-3.3</c:v>
                </c:pt>
                <c:pt idx="171">
                  <c:v>-3.29</c:v>
                </c:pt>
                <c:pt idx="172">
                  <c:v>-3.2800000000000002</c:v>
                </c:pt>
                <c:pt idx="173">
                  <c:v>-3.27</c:v>
                </c:pt>
                <c:pt idx="174">
                  <c:v>-3.26</c:v>
                </c:pt>
                <c:pt idx="175">
                  <c:v>-3.25</c:v>
                </c:pt>
                <c:pt idx="176">
                  <c:v>-3.24</c:v>
                </c:pt>
                <c:pt idx="177">
                  <c:v>-3.23</c:v>
                </c:pt>
                <c:pt idx="178">
                  <c:v>-3.2199999999999998</c:v>
                </c:pt>
                <c:pt idx="179">
                  <c:v>-3.21</c:v>
                </c:pt>
                <c:pt idx="180">
                  <c:v>-3.2</c:v>
                </c:pt>
                <c:pt idx="181">
                  <c:v>-3.19</c:v>
                </c:pt>
                <c:pt idx="182">
                  <c:v>-3.1799999999999997</c:v>
                </c:pt>
                <c:pt idx="183">
                  <c:v>-3.17</c:v>
                </c:pt>
                <c:pt idx="184">
                  <c:v>-3.16</c:v>
                </c:pt>
                <c:pt idx="185">
                  <c:v>-3.15</c:v>
                </c:pt>
                <c:pt idx="186">
                  <c:v>-3.1399999999999997</c:v>
                </c:pt>
                <c:pt idx="187">
                  <c:v>-3.13</c:v>
                </c:pt>
                <c:pt idx="188">
                  <c:v>-3.12</c:v>
                </c:pt>
                <c:pt idx="189">
                  <c:v>-3.11</c:v>
                </c:pt>
                <c:pt idx="190">
                  <c:v>-3.0999999999999996</c:v>
                </c:pt>
                <c:pt idx="191">
                  <c:v>-3.09</c:v>
                </c:pt>
                <c:pt idx="192">
                  <c:v>-3.08</c:v>
                </c:pt>
                <c:pt idx="193">
                  <c:v>-3.0700000000000003</c:v>
                </c:pt>
                <c:pt idx="194">
                  <c:v>-3.06</c:v>
                </c:pt>
                <c:pt idx="195">
                  <c:v>-3.05</c:v>
                </c:pt>
                <c:pt idx="196">
                  <c:v>-3.04</c:v>
                </c:pt>
                <c:pt idx="197">
                  <c:v>-3.0300000000000002</c:v>
                </c:pt>
                <c:pt idx="198">
                  <c:v>-3.02</c:v>
                </c:pt>
                <c:pt idx="199">
                  <c:v>-3.01</c:v>
                </c:pt>
                <c:pt idx="200">
                  <c:v>-3</c:v>
                </c:pt>
                <c:pt idx="201">
                  <c:v>-2.9899999999999998</c:v>
                </c:pt>
                <c:pt idx="202">
                  <c:v>-2.98</c:v>
                </c:pt>
                <c:pt idx="203">
                  <c:v>-2.9699999999999998</c:v>
                </c:pt>
                <c:pt idx="204">
                  <c:v>-2.96</c:v>
                </c:pt>
                <c:pt idx="205">
                  <c:v>-2.95</c:v>
                </c:pt>
                <c:pt idx="206">
                  <c:v>-2.94</c:v>
                </c:pt>
                <c:pt idx="207">
                  <c:v>-2.93</c:v>
                </c:pt>
                <c:pt idx="208">
                  <c:v>-2.92</c:v>
                </c:pt>
                <c:pt idx="209">
                  <c:v>-2.91</c:v>
                </c:pt>
                <c:pt idx="210">
                  <c:v>-2.9</c:v>
                </c:pt>
                <c:pt idx="211">
                  <c:v>-2.89</c:v>
                </c:pt>
                <c:pt idx="212">
                  <c:v>-2.88</c:v>
                </c:pt>
                <c:pt idx="213">
                  <c:v>-2.87</c:v>
                </c:pt>
                <c:pt idx="214">
                  <c:v>-2.86</c:v>
                </c:pt>
                <c:pt idx="215">
                  <c:v>-2.85</c:v>
                </c:pt>
                <c:pt idx="216">
                  <c:v>-2.84</c:v>
                </c:pt>
                <c:pt idx="217">
                  <c:v>-2.83</c:v>
                </c:pt>
                <c:pt idx="218">
                  <c:v>-2.82</c:v>
                </c:pt>
                <c:pt idx="219">
                  <c:v>-2.81</c:v>
                </c:pt>
                <c:pt idx="220">
                  <c:v>-2.8</c:v>
                </c:pt>
                <c:pt idx="221">
                  <c:v>-2.79</c:v>
                </c:pt>
                <c:pt idx="222">
                  <c:v>-2.78</c:v>
                </c:pt>
                <c:pt idx="223">
                  <c:v>-2.77</c:v>
                </c:pt>
                <c:pt idx="224">
                  <c:v>-2.76</c:v>
                </c:pt>
                <c:pt idx="225">
                  <c:v>-2.75</c:v>
                </c:pt>
                <c:pt idx="226">
                  <c:v>-2.7399999999999998</c:v>
                </c:pt>
                <c:pt idx="227">
                  <c:v>-2.73</c:v>
                </c:pt>
                <c:pt idx="228">
                  <c:v>-2.7199999999999998</c:v>
                </c:pt>
                <c:pt idx="229">
                  <c:v>-2.71</c:v>
                </c:pt>
                <c:pt idx="230">
                  <c:v>-2.6999999999999997</c:v>
                </c:pt>
                <c:pt idx="231">
                  <c:v>-2.69</c:v>
                </c:pt>
                <c:pt idx="232">
                  <c:v>-2.68</c:v>
                </c:pt>
                <c:pt idx="233">
                  <c:v>-2.67</c:v>
                </c:pt>
                <c:pt idx="234">
                  <c:v>-2.66</c:v>
                </c:pt>
                <c:pt idx="235">
                  <c:v>-2.65</c:v>
                </c:pt>
                <c:pt idx="236">
                  <c:v>-2.64</c:v>
                </c:pt>
                <c:pt idx="237">
                  <c:v>-2.63</c:v>
                </c:pt>
                <c:pt idx="238">
                  <c:v>-2.62</c:v>
                </c:pt>
                <c:pt idx="239">
                  <c:v>-2.61</c:v>
                </c:pt>
                <c:pt idx="240">
                  <c:v>-2.6</c:v>
                </c:pt>
                <c:pt idx="241">
                  <c:v>-2.59</c:v>
                </c:pt>
                <c:pt idx="242">
                  <c:v>-2.58</c:v>
                </c:pt>
                <c:pt idx="243">
                  <c:v>-2.57</c:v>
                </c:pt>
                <c:pt idx="244">
                  <c:v>-2.56</c:v>
                </c:pt>
                <c:pt idx="245">
                  <c:v>-2.5499999999999998</c:v>
                </c:pt>
                <c:pt idx="246">
                  <c:v>-2.54</c:v>
                </c:pt>
                <c:pt idx="247">
                  <c:v>-2.5299999999999998</c:v>
                </c:pt>
                <c:pt idx="248">
                  <c:v>-2.52</c:v>
                </c:pt>
                <c:pt idx="249">
                  <c:v>-2.5099999999999998</c:v>
                </c:pt>
                <c:pt idx="250">
                  <c:v>-2.5</c:v>
                </c:pt>
                <c:pt idx="251">
                  <c:v>-2.4899999999999998</c:v>
                </c:pt>
                <c:pt idx="252">
                  <c:v>-2.48</c:v>
                </c:pt>
                <c:pt idx="253">
                  <c:v>-2.4699999999999998</c:v>
                </c:pt>
                <c:pt idx="254">
                  <c:v>-2.46</c:v>
                </c:pt>
                <c:pt idx="255">
                  <c:v>-2.4499999999999997</c:v>
                </c:pt>
                <c:pt idx="256">
                  <c:v>-2.44</c:v>
                </c:pt>
                <c:pt idx="257">
                  <c:v>-2.4300000000000002</c:v>
                </c:pt>
                <c:pt idx="258">
                  <c:v>-2.42</c:v>
                </c:pt>
                <c:pt idx="259">
                  <c:v>-2.41</c:v>
                </c:pt>
                <c:pt idx="260">
                  <c:v>-2.4</c:v>
                </c:pt>
                <c:pt idx="261">
                  <c:v>-2.39</c:v>
                </c:pt>
                <c:pt idx="262">
                  <c:v>-2.38</c:v>
                </c:pt>
                <c:pt idx="263">
                  <c:v>-2.37</c:v>
                </c:pt>
                <c:pt idx="264">
                  <c:v>-2.36</c:v>
                </c:pt>
                <c:pt idx="265">
                  <c:v>-2.35</c:v>
                </c:pt>
                <c:pt idx="266">
                  <c:v>-2.34</c:v>
                </c:pt>
                <c:pt idx="267">
                  <c:v>-2.33</c:v>
                </c:pt>
                <c:pt idx="268">
                  <c:v>-2.3199999999999998</c:v>
                </c:pt>
                <c:pt idx="269">
                  <c:v>-2.31</c:v>
                </c:pt>
                <c:pt idx="270">
                  <c:v>-2.2999999999999998</c:v>
                </c:pt>
                <c:pt idx="271">
                  <c:v>-2.29</c:v>
                </c:pt>
                <c:pt idx="272">
                  <c:v>-2.2799999999999998</c:v>
                </c:pt>
                <c:pt idx="273">
                  <c:v>-2.27</c:v>
                </c:pt>
                <c:pt idx="274">
                  <c:v>-2.2599999999999998</c:v>
                </c:pt>
                <c:pt idx="275">
                  <c:v>-2.25</c:v>
                </c:pt>
                <c:pt idx="276">
                  <c:v>-2.2399999999999998</c:v>
                </c:pt>
                <c:pt idx="277">
                  <c:v>-2.23</c:v>
                </c:pt>
                <c:pt idx="278">
                  <c:v>-2.2199999999999998</c:v>
                </c:pt>
                <c:pt idx="279">
                  <c:v>-2.21</c:v>
                </c:pt>
                <c:pt idx="280">
                  <c:v>-2.1999999999999997</c:v>
                </c:pt>
                <c:pt idx="281">
                  <c:v>-2.19</c:v>
                </c:pt>
                <c:pt idx="282">
                  <c:v>-2.1800000000000002</c:v>
                </c:pt>
                <c:pt idx="283">
                  <c:v>-2.17</c:v>
                </c:pt>
                <c:pt idx="284">
                  <c:v>-2.16</c:v>
                </c:pt>
                <c:pt idx="285">
                  <c:v>-2.15</c:v>
                </c:pt>
                <c:pt idx="286">
                  <c:v>-2.14</c:v>
                </c:pt>
                <c:pt idx="287">
                  <c:v>-2.13</c:v>
                </c:pt>
                <c:pt idx="288">
                  <c:v>-2.12</c:v>
                </c:pt>
                <c:pt idx="289">
                  <c:v>-2.11</c:v>
                </c:pt>
                <c:pt idx="290">
                  <c:v>-2.1</c:v>
                </c:pt>
                <c:pt idx="291">
                  <c:v>-2.09</c:v>
                </c:pt>
                <c:pt idx="292">
                  <c:v>-2.08</c:v>
                </c:pt>
                <c:pt idx="293">
                  <c:v>-2.0699999999999998</c:v>
                </c:pt>
                <c:pt idx="294">
                  <c:v>-2.06</c:v>
                </c:pt>
                <c:pt idx="295">
                  <c:v>-2.0499999999999998</c:v>
                </c:pt>
                <c:pt idx="296">
                  <c:v>-2.04</c:v>
                </c:pt>
                <c:pt idx="297">
                  <c:v>-2.0299999999999998</c:v>
                </c:pt>
                <c:pt idx="298">
                  <c:v>-2.02</c:v>
                </c:pt>
                <c:pt idx="299">
                  <c:v>-2.0099999999999998</c:v>
                </c:pt>
                <c:pt idx="300">
                  <c:v>-2</c:v>
                </c:pt>
                <c:pt idx="301">
                  <c:v>-1.9899999999999998</c:v>
                </c:pt>
                <c:pt idx="302">
                  <c:v>-1.98</c:v>
                </c:pt>
                <c:pt idx="303">
                  <c:v>-1.9699999999999998</c:v>
                </c:pt>
                <c:pt idx="304">
                  <c:v>-1.96</c:v>
                </c:pt>
                <c:pt idx="305">
                  <c:v>-1.9499999999999997</c:v>
                </c:pt>
                <c:pt idx="306">
                  <c:v>-1.94</c:v>
                </c:pt>
                <c:pt idx="307">
                  <c:v>-1.9299999999999997</c:v>
                </c:pt>
                <c:pt idx="308">
                  <c:v>-1.92</c:v>
                </c:pt>
                <c:pt idx="309">
                  <c:v>-1.9100000000000001</c:v>
                </c:pt>
                <c:pt idx="310">
                  <c:v>-1.9</c:v>
                </c:pt>
                <c:pt idx="311">
                  <c:v>-1.8900000000000001</c:v>
                </c:pt>
                <c:pt idx="312">
                  <c:v>-1.88</c:v>
                </c:pt>
                <c:pt idx="313">
                  <c:v>-1.87</c:v>
                </c:pt>
                <c:pt idx="314">
                  <c:v>-1.8599999999999999</c:v>
                </c:pt>
                <c:pt idx="315">
                  <c:v>-1.85</c:v>
                </c:pt>
                <c:pt idx="316">
                  <c:v>-1.8399999999999999</c:v>
                </c:pt>
                <c:pt idx="317">
                  <c:v>-1.83</c:v>
                </c:pt>
                <c:pt idx="318">
                  <c:v>-1.8199999999999998</c:v>
                </c:pt>
                <c:pt idx="319">
                  <c:v>-1.81</c:v>
                </c:pt>
                <c:pt idx="320">
                  <c:v>-1.7999999999999998</c:v>
                </c:pt>
                <c:pt idx="321">
                  <c:v>-1.79</c:v>
                </c:pt>
                <c:pt idx="322">
                  <c:v>-1.7799999999999998</c:v>
                </c:pt>
                <c:pt idx="323">
                  <c:v>-1.77</c:v>
                </c:pt>
                <c:pt idx="324">
                  <c:v>-1.7599999999999998</c:v>
                </c:pt>
                <c:pt idx="325">
                  <c:v>-1.75</c:v>
                </c:pt>
                <c:pt idx="326">
                  <c:v>-1.7399999999999998</c:v>
                </c:pt>
                <c:pt idx="327">
                  <c:v>-1.73</c:v>
                </c:pt>
                <c:pt idx="328">
                  <c:v>-1.7199999999999998</c:v>
                </c:pt>
                <c:pt idx="329">
                  <c:v>-1.71</c:v>
                </c:pt>
                <c:pt idx="330">
                  <c:v>-1.6999999999999997</c:v>
                </c:pt>
                <c:pt idx="331">
                  <c:v>-1.69</c:v>
                </c:pt>
                <c:pt idx="332">
                  <c:v>-1.6799999999999997</c:v>
                </c:pt>
                <c:pt idx="333">
                  <c:v>-1.67</c:v>
                </c:pt>
                <c:pt idx="334">
                  <c:v>-1.6600000000000001</c:v>
                </c:pt>
                <c:pt idx="335">
                  <c:v>-1.65</c:v>
                </c:pt>
                <c:pt idx="336">
                  <c:v>-1.6400000000000001</c:v>
                </c:pt>
                <c:pt idx="337">
                  <c:v>-1.63</c:v>
                </c:pt>
                <c:pt idx="338">
                  <c:v>-1.62</c:v>
                </c:pt>
                <c:pt idx="339">
                  <c:v>-1.6099999999999999</c:v>
                </c:pt>
                <c:pt idx="340">
                  <c:v>-1.6</c:v>
                </c:pt>
                <c:pt idx="341">
                  <c:v>-1.5899999999999999</c:v>
                </c:pt>
                <c:pt idx="342">
                  <c:v>-1.58</c:v>
                </c:pt>
                <c:pt idx="343">
                  <c:v>-1.5699999999999998</c:v>
                </c:pt>
                <c:pt idx="344">
                  <c:v>-1.56</c:v>
                </c:pt>
                <c:pt idx="345">
                  <c:v>-1.5499999999999998</c:v>
                </c:pt>
                <c:pt idx="346">
                  <c:v>-1.54</c:v>
                </c:pt>
                <c:pt idx="347">
                  <c:v>-1.5299999999999998</c:v>
                </c:pt>
                <c:pt idx="348">
                  <c:v>-1.52</c:v>
                </c:pt>
                <c:pt idx="349">
                  <c:v>-1.5099999999999998</c:v>
                </c:pt>
                <c:pt idx="350">
                  <c:v>-1.5</c:v>
                </c:pt>
                <c:pt idx="351">
                  <c:v>-1.4899999999999998</c:v>
                </c:pt>
                <c:pt idx="352">
                  <c:v>-1.48</c:v>
                </c:pt>
                <c:pt idx="353">
                  <c:v>-1.4699999999999998</c:v>
                </c:pt>
                <c:pt idx="354">
                  <c:v>-1.46</c:v>
                </c:pt>
                <c:pt idx="355">
                  <c:v>-1.4499999999999997</c:v>
                </c:pt>
                <c:pt idx="356">
                  <c:v>-1.44</c:v>
                </c:pt>
                <c:pt idx="357">
                  <c:v>-1.4299999999999997</c:v>
                </c:pt>
                <c:pt idx="358">
                  <c:v>-1.42</c:v>
                </c:pt>
                <c:pt idx="359">
                  <c:v>-1.4100000000000001</c:v>
                </c:pt>
                <c:pt idx="360">
                  <c:v>-1.4</c:v>
                </c:pt>
                <c:pt idx="361">
                  <c:v>-1.3900000000000001</c:v>
                </c:pt>
                <c:pt idx="362">
                  <c:v>-1.38</c:v>
                </c:pt>
                <c:pt idx="363">
                  <c:v>-1.37</c:v>
                </c:pt>
                <c:pt idx="364">
                  <c:v>-1.3599999999999999</c:v>
                </c:pt>
                <c:pt idx="365">
                  <c:v>-1.35</c:v>
                </c:pt>
                <c:pt idx="366">
                  <c:v>-1.3399999999999999</c:v>
                </c:pt>
                <c:pt idx="367">
                  <c:v>-1.33</c:v>
                </c:pt>
                <c:pt idx="368">
                  <c:v>-1.3199999999999998</c:v>
                </c:pt>
                <c:pt idx="369">
                  <c:v>-1.31</c:v>
                </c:pt>
                <c:pt idx="370">
                  <c:v>-1.2999999999999998</c:v>
                </c:pt>
                <c:pt idx="371">
                  <c:v>-1.29</c:v>
                </c:pt>
                <c:pt idx="372">
                  <c:v>-1.2799999999999998</c:v>
                </c:pt>
                <c:pt idx="373">
                  <c:v>-1.27</c:v>
                </c:pt>
                <c:pt idx="374">
                  <c:v>-1.2599999999999998</c:v>
                </c:pt>
                <c:pt idx="375">
                  <c:v>-1.25</c:v>
                </c:pt>
                <c:pt idx="376">
                  <c:v>-1.2399999999999998</c:v>
                </c:pt>
                <c:pt idx="377">
                  <c:v>-1.23</c:v>
                </c:pt>
                <c:pt idx="378">
                  <c:v>-1.2199999999999998</c:v>
                </c:pt>
                <c:pt idx="379">
                  <c:v>-1.21</c:v>
                </c:pt>
                <c:pt idx="380">
                  <c:v>-1.1999999999999997</c:v>
                </c:pt>
                <c:pt idx="381">
                  <c:v>-1.19</c:v>
                </c:pt>
                <c:pt idx="382">
                  <c:v>-1.1799999999999997</c:v>
                </c:pt>
                <c:pt idx="383">
                  <c:v>-1.17</c:v>
                </c:pt>
                <c:pt idx="384">
                  <c:v>-1.1600000000000001</c:v>
                </c:pt>
                <c:pt idx="385">
                  <c:v>-1.1499999999999999</c:v>
                </c:pt>
                <c:pt idx="386">
                  <c:v>-1.1400000000000001</c:v>
                </c:pt>
                <c:pt idx="387">
                  <c:v>-1.1299999999999999</c:v>
                </c:pt>
                <c:pt idx="388">
                  <c:v>-1.1200000000000001</c:v>
                </c:pt>
                <c:pt idx="389">
                  <c:v>-1.1099999999999999</c:v>
                </c:pt>
                <c:pt idx="390">
                  <c:v>-1.1000000000000001</c:v>
                </c:pt>
                <c:pt idx="391">
                  <c:v>-1.0899999999999999</c:v>
                </c:pt>
                <c:pt idx="392">
                  <c:v>-1.08</c:v>
                </c:pt>
                <c:pt idx="393">
                  <c:v>-1.0699999999999998</c:v>
                </c:pt>
                <c:pt idx="394">
                  <c:v>-1.06</c:v>
                </c:pt>
                <c:pt idx="395">
                  <c:v>-1.0499999999999998</c:v>
                </c:pt>
                <c:pt idx="396">
                  <c:v>-1.04</c:v>
                </c:pt>
                <c:pt idx="397">
                  <c:v>-1.0299999999999998</c:v>
                </c:pt>
                <c:pt idx="398">
                  <c:v>-1.02</c:v>
                </c:pt>
                <c:pt idx="399">
                  <c:v>-1.0099999999999998</c:v>
                </c:pt>
                <c:pt idx="400">
                  <c:v>-1</c:v>
                </c:pt>
                <c:pt idx="401">
                  <c:v>-0.99000000000000021</c:v>
                </c:pt>
                <c:pt idx="402">
                  <c:v>-0.97999999999999954</c:v>
                </c:pt>
                <c:pt idx="403">
                  <c:v>-0.96999999999999975</c:v>
                </c:pt>
                <c:pt idx="404">
                  <c:v>-0.96</c:v>
                </c:pt>
                <c:pt idx="405">
                  <c:v>-0.95000000000000018</c:v>
                </c:pt>
                <c:pt idx="406">
                  <c:v>-0.9399999999999995</c:v>
                </c:pt>
                <c:pt idx="407">
                  <c:v>-0.92999999999999972</c:v>
                </c:pt>
                <c:pt idx="408">
                  <c:v>-0.91999999999999993</c:v>
                </c:pt>
                <c:pt idx="409">
                  <c:v>-0.91000000000000014</c:v>
                </c:pt>
                <c:pt idx="410">
                  <c:v>-0.90000000000000036</c:v>
                </c:pt>
                <c:pt idx="411">
                  <c:v>-0.88999999999999968</c:v>
                </c:pt>
                <c:pt idx="412">
                  <c:v>-0.87999999999999989</c:v>
                </c:pt>
                <c:pt idx="413">
                  <c:v>-0.87000000000000011</c:v>
                </c:pt>
                <c:pt idx="414">
                  <c:v>-0.86000000000000032</c:v>
                </c:pt>
                <c:pt idx="415">
                  <c:v>-0.84999999999999964</c:v>
                </c:pt>
                <c:pt idx="416">
                  <c:v>-0.83999999999999986</c:v>
                </c:pt>
                <c:pt idx="417">
                  <c:v>-0.83000000000000007</c:v>
                </c:pt>
                <c:pt idx="418">
                  <c:v>-0.82000000000000028</c:v>
                </c:pt>
                <c:pt idx="419">
                  <c:v>-0.80999999999999961</c:v>
                </c:pt>
                <c:pt idx="420">
                  <c:v>-0.79999999999999982</c:v>
                </c:pt>
                <c:pt idx="421">
                  <c:v>-0.79</c:v>
                </c:pt>
                <c:pt idx="422">
                  <c:v>-0.78000000000000025</c:v>
                </c:pt>
                <c:pt idx="423">
                  <c:v>-0.76999999999999957</c:v>
                </c:pt>
                <c:pt idx="424">
                  <c:v>-0.75999999999999979</c:v>
                </c:pt>
                <c:pt idx="425">
                  <c:v>-0.75</c:v>
                </c:pt>
                <c:pt idx="426">
                  <c:v>-0.74000000000000021</c:v>
                </c:pt>
                <c:pt idx="427">
                  <c:v>-0.72999999999999954</c:v>
                </c:pt>
                <c:pt idx="428">
                  <c:v>-0.71999999999999975</c:v>
                </c:pt>
                <c:pt idx="429">
                  <c:v>-0.71</c:v>
                </c:pt>
                <c:pt idx="430">
                  <c:v>-0.70000000000000018</c:v>
                </c:pt>
                <c:pt idx="431">
                  <c:v>-0.6899999999999995</c:v>
                </c:pt>
                <c:pt idx="432">
                  <c:v>-0.67999999999999972</c:v>
                </c:pt>
                <c:pt idx="433">
                  <c:v>-0.66999999999999993</c:v>
                </c:pt>
                <c:pt idx="434">
                  <c:v>-0.66000000000000014</c:v>
                </c:pt>
                <c:pt idx="435">
                  <c:v>-0.64999999999999947</c:v>
                </c:pt>
                <c:pt idx="436">
                  <c:v>-0.63999999999999968</c:v>
                </c:pt>
                <c:pt idx="437">
                  <c:v>-0.62999999999999989</c:v>
                </c:pt>
                <c:pt idx="438">
                  <c:v>-0.62000000000000011</c:v>
                </c:pt>
                <c:pt idx="439">
                  <c:v>-0.61000000000000032</c:v>
                </c:pt>
                <c:pt idx="440">
                  <c:v>-0.59999999999999964</c:v>
                </c:pt>
                <c:pt idx="441">
                  <c:v>-0.58999999999999986</c:v>
                </c:pt>
                <c:pt idx="442">
                  <c:v>-0.58000000000000007</c:v>
                </c:pt>
                <c:pt idx="443">
                  <c:v>-0.57000000000000028</c:v>
                </c:pt>
                <c:pt idx="444">
                  <c:v>-0.55999999999999961</c:v>
                </c:pt>
                <c:pt idx="445">
                  <c:v>-0.54999999999999982</c:v>
                </c:pt>
                <c:pt idx="446">
                  <c:v>-0.54</c:v>
                </c:pt>
                <c:pt idx="447">
                  <c:v>-0.53000000000000025</c:v>
                </c:pt>
                <c:pt idx="448">
                  <c:v>-0.51999999999999957</c:v>
                </c:pt>
                <c:pt idx="449">
                  <c:v>-0.50999999999999979</c:v>
                </c:pt>
                <c:pt idx="450">
                  <c:v>-0.5</c:v>
                </c:pt>
                <c:pt idx="451">
                  <c:v>-0.49000000000000021</c:v>
                </c:pt>
                <c:pt idx="452">
                  <c:v>-0.47999999999999954</c:v>
                </c:pt>
                <c:pt idx="453">
                  <c:v>-0.46999999999999975</c:v>
                </c:pt>
                <c:pt idx="454">
                  <c:v>-0.45999999999999996</c:v>
                </c:pt>
                <c:pt idx="455">
                  <c:v>-0.45000000000000018</c:v>
                </c:pt>
                <c:pt idx="456">
                  <c:v>-0.4399999999999995</c:v>
                </c:pt>
                <c:pt idx="457">
                  <c:v>-0.42999999999999972</c:v>
                </c:pt>
                <c:pt idx="458">
                  <c:v>-0.41999999999999993</c:v>
                </c:pt>
                <c:pt idx="459">
                  <c:v>-0.41000000000000014</c:v>
                </c:pt>
                <c:pt idx="460">
                  <c:v>-0.39999999999999947</c:v>
                </c:pt>
                <c:pt idx="461">
                  <c:v>-0.38999999999999968</c:v>
                </c:pt>
                <c:pt idx="462">
                  <c:v>-0.37999999999999989</c:v>
                </c:pt>
                <c:pt idx="463">
                  <c:v>-0.37000000000000011</c:v>
                </c:pt>
                <c:pt idx="464">
                  <c:v>-0.36000000000000032</c:v>
                </c:pt>
                <c:pt idx="465">
                  <c:v>-0.34999999999999964</c:v>
                </c:pt>
                <c:pt idx="466">
                  <c:v>-0.33999999999999986</c:v>
                </c:pt>
                <c:pt idx="467">
                  <c:v>-0.33000000000000007</c:v>
                </c:pt>
                <c:pt idx="468">
                  <c:v>-0.32000000000000028</c:v>
                </c:pt>
                <c:pt idx="469">
                  <c:v>-0.30999999999999961</c:v>
                </c:pt>
                <c:pt idx="470">
                  <c:v>-0.29999999999999982</c:v>
                </c:pt>
                <c:pt idx="471">
                  <c:v>-0.29000000000000004</c:v>
                </c:pt>
                <c:pt idx="472">
                  <c:v>-0.28000000000000025</c:v>
                </c:pt>
                <c:pt idx="473">
                  <c:v>-0.26999999999999957</c:v>
                </c:pt>
                <c:pt idx="474">
                  <c:v>-0.25999999999999979</c:v>
                </c:pt>
                <c:pt idx="475">
                  <c:v>-0.25</c:v>
                </c:pt>
                <c:pt idx="476">
                  <c:v>-0.24000000000000021</c:v>
                </c:pt>
                <c:pt idx="477">
                  <c:v>-0.22999999999999954</c:v>
                </c:pt>
                <c:pt idx="478">
                  <c:v>-0.21999999999999975</c:v>
                </c:pt>
                <c:pt idx="479">
                  <c:v>-0.20999999999999996</c:v>
                </c:pt>
                <c:pt idx="480">
                  <c:v>-0.20000000000000018</c:v>
                </c:pt>
                <c:pt idx="481">
                  <c:v>-0.1899999999999995</c:v>
                </c:pt>
                <c:pt idx="482">
                  <c:v>-0.17999999999999972</c:v>
                </c:pt>
                <c:pt idx="483">
                  <c:v>-0.16999999999999993</c:v>
                </c:pt>
                <c:pt idx="484">
                  <c:v>-0.16000000000000014</c:v>
                </c:pt>
                <c:pt idx="485">
                  <c:v>-0.14999999999999947</c:v>
                </c:pt>
                <c:pt idx="486">
                  <c:v>-0.13999999999999968</c:v>
                </c:pt>
                <c:pt idx="487">
                  <c:v>-0.12999999999999989</c:v>
                </c:pt>
                <c:pt idx="488">
                  <c:v>-0.12000000000000011</c:v>
                </c:pt>
                <c:pt idx="489">
                  <c:v>-0.11000000000000032</c:v>
                </c:pt>
                <c:pt idx="490">
                  <c:v>-9.9999999999999645E-2</c:v>
                </c:pt>
                <c:pt idx="491">
                  <c:v>-8.9999999999999858E-2</c:v>
                </c:pt>
                <c:pt idx="492">
                  <c:v>-8.0000000000000071E-2</c:v>
                </c:pt>
                <c:pt idx="493">
                  <c:v>-7.0000000000000284E-2</c:v>
                </c:pt>
                <c:pt idx="494">
                  <c:v>-5.9999999999999609E-2</c:v>
                </c:pt>
                <c:pt idx="495">
                  <c:v>-4.9999999999999822E-2</c:v>
                </c:pt>
                <c:pt idx="496">
                  <c:v>-4.0000000000000036E-2</c:v>
                </c:pt>
                <c:pt idx="497">
                  <c:v>-3.0000000000000249E-2</c:v>
                </c:pt>
                <c:pt idx="498">
                  <c:v>-1.9999999999999574E-2</c:v>
                </c:pt>
                <c:pt idx="499">
                  <c:v>-9.9999999999997868E-3</c:v>
                </c:pt>
                <c:pt idx="500">
                  <c:v>0</c:v>
                </c:pt>
                <c:pt idx="501">
                  <c:v>9.9999999999997868E-3</c:v>
                </c:pt>
                <c:pt idx="502">
                  <c:v>2.0000000000000462E-2</c:v>
                </c:pt>
                <c:pt idx="503">
                  <c:v>3.0000000000000249E-2</c:v>
                </c:pt>
                <c:pt idx="504">
                  <c:v>4.0000000000000036E-2</c:v>
                </c:pt>
                <c:pt idx="505">
                  <c:v>4.9999999999999822E-2</c:v>
                </c:pt>
                <c:pt idx="506">
                  <c:v>6.0000000000000497E-2</c:v>
                </c:pt>
                <c:pt idx="507">
                  <c:v>7.0000000000000284E-2</c:v>
                </c:pt>
                <c:pt idx="508">
                  <c:v>8.0000000000000071E-2</c:v>
                </c:pt>
                <c:pt idx="509">
                  <c:v>8.9999999999999858E-2</c:v>
                </c:pt>
                <c:pt idx="510">
                  <c:v>0.10000000000000053</c:v>
                </c:pt>
                <c:pt idx="511">
                  <c:v>0.11000000000000032</c:v>
                </c:pt>
                <c:pt idx="512">
                  <c:v>0.12000000000000011</c:v>
                </c:pt>
                <c:pt idx="513">
                  <c:v>0.12999999999999989</c:v>
                </c:pt>
                <c:pt idx="514">
                  <c:v>0.13999999999999968</c:v>
                </c:pt>
                <c:pt idx="515">
                  <c:v>0.15000000000000036</c:v>
                </c:pt>
                <c:pt idx="516">
                  <c:v>0.16000000000000014</c:v>
                </c:pt>
                <c:pt idx="517">
                  <c:v>0.16999999999999993</c:v>
                </c:pt>
                <c:pt idx="518">
                  <c:v>0.17999999999999972</c:v>
                </c:pt>
                <c:pt idx="519">
                  <c:v>0.19000000000000039</c:v>
                </c:pt>
                <c:pt idx="520">
                  <c:v>0.20000000000000018</c:v>
                </c:pt>
                <c:pt idx="521">
                  <c:v>0.20999999999999996</c:v>
                </c:pt>
                <c:pt idx="522">
                  <c:v>0.21999999999999975</c:v>
                </c:pt>
                <c:pt idx="523">
                  <c:v>0.23000000000000043</c:v>
                </c:pt>
                <c:pt idx="524">
                  <c:v>0.24000000000000021</c:v>
                </c:pt>
                <c:pt idx="525">
                  <c:v>0.25</c:v>
                </c:pt>
                <c:pt idx="526">
                  <c:v>0.25999999999999979</c:v>
                </c:pt>
                <c:pt idx="527">
                  <c:v>0.27000000000000046</c:v>
                </c:pt>
                <c:pt idx="528">
                  <c:v>0.28000000000000025</c:v>
                </c:pt>
                <c:pt idx="529">
                  <c:v>0.29000000000000004</c:v>
                </c:pt>
                <c:pt idx="530">
                  <c:v>0.29999999999999982</c:v>
                </c:pt>
                <c:pt idx="531">
                  <c:v>0.3100000000000005</c:v>
                </c:pt>
                <c:pt idx="532">
                  <c:v>0.32000000000000028</c:v>
                </c:pt>
                <c:pt idx="533">
                  <c:v>0.33000000000000007</c:v>
                </c:pt>
                <c:pt idx="534">
                  <c:v>0.33999999999999986</c:v>
                </c:pt>
                <c:pt idx="535">
                  <c:v>0.35000000000000053</c:v>
                </c:pt>
                <c:pt idx="536">
                  <c:v>0.36000000000000032</c:v>
                </c:pt>
                <c:pt idx="537">
                  <c:v>0.37000000000000011</c:v>
                </c:pt>
                <c:pt idx="538">
                  <c:v>0.37999999999999989</c:v>
                </c:pt>
                <c:pt idx="539">
                  <c:v>0.38999999999999968</c:v>
                </c:pt>
                <c:pt idx="540">
                  <c:v>0.40000000000000036</c:v>
                </c:pt>
                <c:pt idx="541">
                  <c:v>0.41000000000000014</c:v>
                </c:pt>
                <c:pt idx="542">
                  <c:v>0.41999999999999993</c:v>
                </c:pt>
                <c:pt idx="543">
                  <c:v>0.42999999999999972</c:v>
                </c:pt>
                <c:pt idx="544">
                  <c:v>0.44000000000000039</c:v>
                </c:pt>
                <c:pt idx="545">
                  <c:v>0.45000000000000018</c:v>
                </c:pt>
                <c:pt idx="546">
                  <c:v>0.45999999999999996</c:v>
                </c:pt>
                <c:pt idx="547">
                  <c:v>0.46999999999999975</c:v>
                </c:pt>
                <c:pt idx="548">
                  <c:v>0.48000000000000043</c:v>
                </c:pt>
                <c:pt idx="549">
                  <c:v>0.49000000000000021</c:v>
                </c:pt>
                <c:pt idx="550">
                  <c:v>0.5</c:v>
                </c:pt>
                <c:pt idx="551">
                  <c:v>0.50999999999999979</c:v>
                </c:pt>
                <c:pt idx="552">
                  <c:v>0.52000000000000046</c:v>
                </c:pt>
                <c:pt idx="553">
                  <c:v>0.53000000000000025</c:v>
                </c:pt>
                <c:pt idx="554">
                  <c:v>0.54</c:v>
                </c:pt>
                <c:pt idx="555">
                  <c:v>0.54999999999999982</c:v>
                </c:pt>
                <c:pt idx="556">
                  <c:v>0.5600000000000005</c:v>
                </c:pt>
                <c:pt idx="557">
                  <c:v>0.57000000000000028</c:v>
                </c:pt>
                <c:pt idx="558">
                  <c:v>0.58000000000000007</c:v>
                </c:pt>
                <c:pt idx="559">
                  <c:v>0.58999999999999986</c:v>
                </c:pt>
                <c:pt idx="560">
                  <c:v>0.60000000000000053</c:v>
                </c:pt>
                <c:pt idx="561">
                  <c:v>0.61000000000000032</c:v>
                </c:pt>
                <c:pt idx="562">
                  <c:v>0.62000000000000011</c:v>
                </c:pt>
                <c:pt idx="563">
                  <c:v>0.62999999999999989</c:v>
                </c:pt>
                <c:pt idx="564">
                  <c:v>0.63999999999999968</c:v>
                </c:pt>
                <c:pt idx="565">
                  <c:v>0.65000000000000036</c:v>
                </c:pt>
                <c:pt idx="566">
                  <c:v>0.66000000000000014</c:v>
                </c:pt>
                <c:pt idx="567">
                  <c:v>0.66999999999999993</c:v>
                </c:pt>
                <c:pt idx="568">
                  <c:v>0.67999999999999972</c:v>
                </c:pt>
                <c:pt idx="569">
                  <c:v>0.69000000000000039</c:v>
                </c:pt>
                <c:pt idx="570">
                  <c:v>0.70000000000000018</c:v>
                </c:pt>
                <c:pt idx="571">
                  <c:v>0.71</c:v>
                </c:pt>
                <c:pt idx="572">
                  <c:v>0.71999999999999975</c:v>
                </c:pt>
                <c:pt idx="573">
                  <c:v>0.73000000000000043</c:v>
                </c:pt>
                <c:pt idx="574">
                  <c:v>0.74000000000000021</c:v>
                </c:pt>
                <c:pt idx="575">
                  <c:v>0.75</c:v>
                </c:pt>
                <c:pt idx="576">
                  <c:v>0.75999999999999979</c:v>
                </c:pt>
                <c:pt idx="577">
                  <c:v>0.77000000000000046</c:v>
                </c:pt>
                <c:pt idx="578">
                  <c:v>0.78000000000000025</c:v>
                </c:pt>
                <c:pt idx="579">
                  <c:v>0.79</c:v>
                </c:pt>
                <c:pt idx="580">
                  <c:v>0.79999999999999982</c:v>
                </c:pt>
                <c:pt idx="581">
                  <c:v>0.8100000000000005</c:v>
                </c:pt>
                <c:pt idx="582">
                  <c:v>0.82000000000000028</c:v>
                </c:pt>
                <c:pt idx="583">
                  <c:v>0.83000000000000007</c:v>
                </c:pt>
                <c:pt idx="584">
                  <c:v>0.83999999999999986</c:v>
                </c:pt>
                <c:pt idx="585">
                  <c:v>0.85000000000000053</c:v>
                </c:pt>
                <c:pt idx="586">
                  <c:v>0.86000000000000032</c:v>
                </c:pt>
                <c:pt idx="587">
                  <c:v>0.87000000000000011</c:v>
                </c:pt>
                <c:pt idx="588">
                  <c:v>0.87999999999999989</c:v>
                </c:pt>
                <c:pt idx="589">
                  <c:v>0.88999999999999968</c:v>
                </c:pt>
                <c:pt idx="590">
                  <c:v>0.90000000000000036</c:v>
                </c:pt>
                <c:pt idx="591">
                  <c:v>0.91000000000000014</c:v>
                </c:pt>
                <c:pt idx="592">
                  <c:v>0.91999999999999993</c:v>
                </c:pt>
                <c:pt idx="593">
                  <c:v>0.92999999999999972</c:v>
                </c:pt>
                <c:pt idx="594">
                  <c:v>0.94000000000000039</c:v>
                </c:pt>
                <c:pt idx="595">
                  <c:v>0.95000000000000018</c:v>
                </c:pt>
                <c:pt idx="596">
                  <c:v>0.96</c:v>
                </c:pt>
                <c:pt idx="597">
                  <c:v>0.96999999999999975</c:v>
                </c:pt>
                <c:pt idx="598">
                  <c:v>0.98000000000000043</c:v>
                </c:pt>
                <c:pt idx="599">
                  <c:v>0.99000000000000021</c:v>
                </c:pt>
                <c:pt idx="600">
                  <c:v>1</c:v>
                </c:pt>
                <c:pt idx="601">
                  <c:v>1.0099999999999998</c:v>
                </c:pt>
                <c:pt idx="602">
                  <c:v>1.0200000000000005</c:v>
                </c:pt>
                <c:pt idx="603">
                  <c:v>1.0300000000000002</c:v>
                </c:pt>
                <c:pt idx="604">
                  <c:v>1.04</c:v>
                </c:pt>
                <c:pt idx="605">
                  <c:v>1.0499999999999998</c:v>
                </c:pt>
                <c:pt idx="606">
                  <c:v>1.0600000000000005</c:v>
                </c:pt>
                <c:pt idx="607">
                  <c:v>1.0700000000000003</c:v>
                </c:pt>
                <c:pt idx="608">
                  <c:v>1.08</c:v>
                </c:pt>
                <c:pt idx="609">
                  <c:v>1.0899999999999999</c:v>
                </c:pt>
                <c:pt idx="610">
                  <c:v>1.1000000000000005</c:v>
                </c:pt>
                <c:pt idx="611">
                  <c:v>1.1100000000000003</c:v>
                </c:pt>
                <c:pt idx="612">
                  <c:v>1.1200000000000001</c:v>
                </c:pt>
                <c:pt idx="613">
                  <c:v>1.1299999999999999</c:v>
                </c:pt>
                <c:pt idx="614">
                  <c:v>1.1400000000000006</c:v>
                </c:pt>
                <c:pt idx="615">
                  <c:v>1.1500000000000004</c:v>
                </c:pt>
                <c:pt idx="616">
                  <c:v>1.1600000000000001</c:v>
                </c:pt>
                <c:pt idx="617">
                  <c:v>1.17</c:v>
                </c:pt>
                <c:pt idx="618">
                  <c:v>1.1799999999999997</c:v>
                </c:pt>
                <c:pt idx="619">
                  <c:v>1.1900000000000004</c:v>
                </c:pt>
                <c:pt idx="620">
                  <c:v>1.2000000000000002</c:v>
                </c:pt>
                <c:pt idx="621">
                  <c:v>1.21</c:v>
                </c:pt>
                <c:pt idx="622">
                  <c:v>1.2199999999999998</c:v>
                </c:pt>
                <c:pt idx="623">
                  <c:v>1.2300000000000004</c:v>
                </c:pt>
                <c:pt idx="624">
                  <c:v>1.2400000000000002</c:v>
                </c:pt>
                <c:pt idx="625">
                  <c:v>1.25</c:v>
                </c:pt>
                <c:pt idx="626">
                  <c:v>1.2599999999999998</c:v>
                </c:pt>
                <c:pt idx="627">
                  <c:v>1.2700000000000005</c:v>
                </c:pt>
                <c:pt idx="628">
                  <c:v>1.2800000000000002</c:v>
                </c:pt>
                <c:pt idx="629">
                  <c:v>1.29</c:v>
                </c:pt>
                <c:pt idx="630">
                  <c:v>1.2999999999999998</c:v>
                </c:pt>
                <c:pt idx="631">
                  <c:v>1.3100000000000005</c:v>
                </c:pt>
                <c:pt idx="632">
                  <c:v>1.3200000000000003</c:v>
                </c:pt>
                <c:pt idx="633">
                  <c:v>1.33</c:v>
                </c:pt>
                <c:pt idx="634">
                  <c:v>1.3399999999999999</c:v>
                </c:pt>
                <c:pt idx="635">
                  <c:v>1.3500000000000005</c:v>
                </c:pt>
                <c:pt idx="636">
                  <c:v>1.3600000000000003</c:v>
                </c:pt>
                <c:pt idx="637">
                  <c:v>1.37</c:v>
                </c:pt>
                <c:pt idx="638">
                  <c:v>1.38</c:v>
                </c:pt>
                <c:pt idx="639">
                  <c:v>1.3900000000000006</c:v>
                </c:pt>
                <c:pt idx="640">
                  <c:v>1.4000000000000004</c:v>
                </c:pt>
                <c:pt idx="641">
                  <c:v>1.4100000000000001</c:v>
                </c:pt>
                <c:pt idx="642">
                  <c:v>1.42</c:v>
                </c:pt>
                <c:pt idx="643">
                  <c:v>1.4299999999999997</c:v>
                </c:pt>
                <c:pt idx="644">
                  <c:v>1.4400000000000004</c:v>
                </c:pt>
                <c:pt idx="645">
                  <c:v>1.4500000000000002</c:v>
                </c:pt>
                <c:pt idx="646">
                  <c:v>1.46</c:v>
                </c:pt>
                <c:pt idx="647">
                  <c:v>1.4699999999999998</c:v>
                </c:pt>
                <c:pt idx="648">
                  <c:v>1.4800000000000004</c:v>
                </c:pt>
                <c:pt idx="649">
                  <c:v>1.4900000000000002</c:v>
                </c:pt>
                <c:pt idx="650">
                  <c:v>1.5</c:v>
                </c:pt>
                <c:pt idx="651">
                  <c:v>1.5099999999999998</c:v>
                </c:pt>
                <c:pt idx="652">
                  <c:v>1.5200000000000005</c:v>
                </c:pt>
                <c:pt idx="653">
                  <c:v>1.5300000000000002</c:v>
                </c:pt>
                <c:pt idx="654">
                  <c:v>1.54</c:v>
                </c:pt>
                <c:pt idx="655">
                  <c:v>1.5499999999999998</c:v>
                </c:pt>
                <c:pt idx="656">
                  <c:v>1.5600000000000005</c:v>
                </c:pt>
                <c:pt idx="657">
                  <c:v>1.5700000000000003</c:v>
                </c:pt>
                <c:pt idx="658">
                  <c:v>1.58</c:v>
                </c:pt>
                <c:pt idx="659">
                  <c:v>1.5899999999999999</c:v>
                </c:pt>
                <c:pt idx="660">
                  <c:v>1.6000000000000005</c:v>
                </c:pt>
                <c:pt idx="661">
                  <c:v>1.6100000000000003</c:v>
                </c:pt>
                <c:pt idx="662">
                  <c:v>1.62</c:v>
                </c:pt>
                <c:pt idx="663">
                  <c:v>1.63</c:v>
                </c:pt>
                <c:pt idx="664">
                  <c:v>1.6400000000000006</c:v>
                </c:pt>
                <c:pt idx="665">
                  <c:v>1.6500000000000004</c:v>
                </c:pt>
                <c:pt idx="666">
                  <c:v>1.6600000000000001</c:v>
                </c:pt>
                <c:pt idx="667">
                  <c:v>1.67</c:v>
                </c:pt>
                <c:pt idx="668">
                  <c:v>1.6799999999999997</c:v>
                </c:pt>
                <c:pt idx="669">
                  <c:v>1.6900000000000004</c:v>
                </c:pt>
                <c:pt idx="670">
                  <c:v>1.7000000000000002</c:v>
                </c:pt>
                <c:pt idx="671">
                  <c:v>1.71</c:v>
                </c:pt>
                <c:pt idx="672">
                  <c:v>1.7199999999999998</c:v>
                </c:pt>
                <c:pt idx="673">
                  <c:v>1.7300000000000004</c:v>
                </c:pt>
                <c:pt idx="674">
                  <c:v>1.7400000000000002</c:v>
                </c:pt>
                <c:pt idx="675">
                  <c:v>1.75</c:v>
                </c:pt>
                <c:pt idx="676">
                  <c:v>1.7599999999999998</c:v>
                </c:pt>
                <c:pt idx="677">
                  <c:v>1.7700000000000005</c:v>
                </c:pt>
                <c:pt idx="678">
                  <c:v>1.7800000000000002</c:v>
                </c:pt>
                <c:pt idx="679">
                  <c:v>1.79</c:v>
                </c:pt>
                <c:pt idx="680">
                  <c:v>1.7999999999999998</c:v>
                </c:pt>
                <c:pt idx="681">
                  <c:v>1.8100000000000005</c:v>
                </c:pt>
                <c:pt idx="682">
                  <c:v>1.8200000000000003</c:v>
                </c:pt>
                <c:pt idx="683">
                  <c:v>1.83</c:v>
                </c:pt>
                <c:pt idx="684">
                  <c:v>1.8399999999999999</c:v>
                </c:pt>
                <c:pt idx="685">
                  <c:v>1.8500000000000005</c:v>
                </c:pt>
                <c:pt idx="686">
                  <c:v>1.8600000000000003</c:v>
                </c:pt>
                <c:pt idx="687">
                  <c:v>1.87</c:v>
                </c:pt>
                <c:pt idx="688">
                  <c:v>1.88</c:v>
                </c:pt>
                <c:pt idx="689">
                  <c:v>1.8900000000000006</c:v>
                </c:pt>
                <c:pt idx="690">
                  <c:v>1.9000000000000004</c:v>
                </c:pt>
                <c:pt idx="691">
                  <c:v>1.9100000000000001</c:v>
                </c:pt>
                <c:pt idx="692">
                  <c:v>1.92</c:v>
                </c:pt>
                <c:pt idx="693">
                  <c:v>1.9299999999999997</c:v>
                </c:pt>
                <c:pt idx="694">
                  <c:v>1.9400000000000004</c:v>
                </c:pt>
                <c:pt idx="695">
                  <c:v>1.9500000000000002</c:v>
                </c:pt>
                <c:pt idx="696">
                  <c:v>1.96</c:v>
                </c:pt>
                <c:pt idx="697">
                  <c:v>1.9699999999999998</c:v>
                </c:pt>
                <c:pt idx="698">
                  <c:v>1.9800000000000004</c:v>
                </c:pt>
                <c:pt idx="699">
                  <c:v>1.9900000000000002</c:v>
                </c:pt>
                <c:pt idx="700">
                  <c:v>2</c:v>
                </c:pt>
                <c:pt idx="701">
                  <c:v>2.0099999999999998</c:v>
                </c:pt>
                <c:pt idx="702">
                  <c:v>2.0200000000000005</c:v>
                </c:pt>
                <c:pt idx="703">
                  <c:v>2.0300000000000002</c:v>
                </c:pt>
                <c:pt idx="704">
                  <c:v>2.04</c:v>
                </c:pt>
                <c:pt idx="705">
                  <c:v>2.0499999999999998</c:v>
                </c:pt>
                <c:pt idx="706">
                  <c:v>2.0600000000000005</c:v>
                </c:pt>
                <c:pt idx="707">
                  <c:v>2.0700000000000003</c:v>
                </c:pt>
                <c:pt idx="708">
                  <c:v>2.08</c:v>
                </c:pt>
                <c:pt idx="709">
                  <c:v>2.09</c:v>
                </c:pt>
                <c:pt idx="710">
                  <c:v>2.1000000000000005</c:v>
                </c:pt>
                <c:pt idx="711">
                  <c:v>2.1100000000000003</c:v>
                </c:pt>
                <c:pt idx="712">
                  <c:v>2.12</c:v>
                </c:pt>
                <c:pt idx="713">
                  <c:v>2.13</c:v>
                </c:pt>
                <c:pt idx="714">
                  <c:v>2.1400000000000006</c:v>
                </c:pt>
                <c:pt idx="715">
                  <c:v>2.1500000000000004</c:v>
                </c:pt>
                <c:pt idx="716">
                  <c:v>2.16</c:v>
                </c:pt>
                <c:pt idx="717">
                  <c:v>2.17</c:v>
                </c:pt>
                <c:pt idx="718">
                  <c:v>2.1799999999999997</c:v>
                </c:pt>
                <c:pt idx="719">
                  <c:v>2.1900000000000004</c:v>
                </c:pt>
                <c:pt idx="720">
                  <c:v>2.2000000000000002</c:v>
                </c:pt>
                <c:pt idx="721">
                  <c:v>2.21</c:v>
                </c:pt>
                <c:pt idx="722">
                  <c:v>2.2199999999999998</c:v>
                </c:pt>
                <c:pt idx="723">
                  <c:v>2.2300000000000004</c:v>
                </c:pt>
                <c:pt idx="724">
                  <c:v>2.2400000000000002</c:v>
                </c:pt>
                <c:pt idx="725">
                  <c:v>2.25</c:v>
                </c:pt>
                <c:pt idx="726">
                  <c:v>2.2599999999999998</c:v>
                </c:pt>
                <c:pt idx="727">
                  <c:v>2.2700000000000005</c:v>
                </c:pt>
                <c:pt idx="728">
                  <c:v>2.2800000000000002</c:v>
                </c:pt>
                <c:pt idx="729">
                  <c:v>2.29</c:v>
                </c:pt>
                <c:pt idx="730">
                  <c:v>2.2999999999999998</c:v>
                </c:pt>
                <c:pt idx="731">
                  <c:v>2.3100000000000005</c:v>
                </c:pt>
                <c:pt idx="732">
                  <c:v>2.3200000000000003</c:v>
                </c:pt>
                <c:pt idx="733">
                  <c:v>2.33</c:v>
                </c:pt>
                <c:pt idx="734">
                  <c:v>2.34</c:v>
                </c:pt>
                <c:pt idx="735">
                  <c:v>2.3500000000000005</c:v>
                </c:pt>
                <c:pt idx="736">
                  <c:v>2.3600000000000003</c:v>
                </c:pt>
                <c:pt idx="737">
                  <c:v>2.37</c:v>
                </c:pt>
                <c:pt idx="738">
                  <c:v>2.38</c:v>
                </c:pt>
                <c:pt idx="739">
                  <c:v>2.3900000000000006</c:v>
                </c:pt>
                <c:pt idx="740">
                  <c:v>2.4000000000000004</c:v>
                </c:pt>
                <c:pt idx="741">
                  <c:v>2.41</c:v>
                </c:pt>
                <c:pt idx="742">
                  <c:v>2.42</c:v>
                </c:pt>
                <c:pt idx="743">
                  <c:v>2.4299999999999997</c:v>
                </c:pt>
                <c:pt idx="744">
                  <c:v>2.4400000000000004</c:v>
                </c:pt>
                <c:pt idx="745">
                  <c:v>2.4500000000000002</c:v>
                </c:pt>
                <c:pt idx="746">
                  <c:v>2.46</c:v>
                </c:pt>
                <c:pt idx="747">
                  <c:v>2.4699999999999998</c:v>
                </c:pt>
                <c:pt idx="748">
                  <c:v>2.4800000000000004</c:v>
                </c:pt>
                <c:pt idx="749">
                  <c:v>2.4900000000000002</c:v>
                </c:pt>
                <c:pt idx="750">
                  <c:v>2.5</c:v>
                </c:pt>
                <c:pt idx="751">
                  <c:v>2.5099999999999998</c:v>
                </c:pt>
                <c:pt idx="752">
                  <c:v>2.5200000000000005</c:v>
                </c:pt>
                <c:pt idx="753">
                  <c:v>2.5300000000000002</c:v>
                </c:pt>
                <c:pt idx="754">
                  <c:v>2.54</c:v>
                </c:pt>
                <c:pt idx="755">
                  <c:v>2.5499999999999998</c:v>
                </c:pt>
                <c:pt idx="756">
                  <c:v>2.5600000000000005</c:v>
                </c:pt>
                <c:pt idx="757">
                  <c:v>2.5700000000000003</c:v>
                </c:pt>
                <c:pt idx="758">
                  <c:v>2.58</c:v>
                </c:pt>
                <c:pt idx="759">
                  <c:v>2.59</c:v>
                </c:pt>
                <c:pt idx="760">
                  <c:v>2.6000000000000005</c:v>
                </c:pt>
                <c:pt idx="761">
                  <c:v>2.6100000000000003</c:v>
                </c:pt>
                <c:pt idx="762">
                  <c:v>2.62</c:v>
                </c:pt>
                <c:pt idx="763">
                  <c:v>2.63</c:v>
                </c:pt>
                <c:pt idx="764">
                  <c:v>2.6400000000000006</c:v>
                </c:pt>
                <c:pt idx="765">
                  <c:v>2.6500000000000004</c:v>
                </c:pt>
                <c:pt idx="766">
                  <c:v>2.66</c:v>
                </c:pt>
                <c:pt idx="767">
                  <c:v>2.67</c:v>
                </c:pt>
                <c:pt idx="768">
                  <c:v>2.6799999999999997</c:v>
                </c:pt>
                <c:pt idx="769">
                  <c:v>2.6900000000000004</c:v>
                </c:pt>
                <c:pt idx="770">
                  <c:v>2.7</c:v>
                </c:pt>
                <c:pt idx="771">
                  <c:v>2.71</c:v>
                </c:pt>
                <c:pt idx="772">
                  <c:v>2.7199999999999998</c:v>
                </c:pt>
                <c:pt idx="773">
                  <c:v>2.7300000000000004</c:v>
                </c:pt>
                <c:pt idx="774">
                  <c:v>2.74</c:v>
                </c:pt>
                <c:pt idx="775">
                  <c:v>2.75</c:v>
                </c:pt>
                <c:pt idx="776">
                  <c:v>2.76</c:v>
                </c:pt>
                <c:pt idx="777">
                  <c:v>2.7700000000000005</c:v>
                </c:pt>
                <c:pt idx="778">
                  <c:v>2.7800000000000002</c:v>
                </c:pt>
                <c:pt idx="779">
                  <c:v>2.79</c:v>
                </c:pt>
                <c:pt idx="780">
                  <c:v>2.8</c:v>
                </c:pt>
                <c:pt idx="781">
                  <c:v>2.8100000000000005</c:v>
                </c:pt>
                <c:pt idx="782">
                  <c:v>2.8200000000000003</c:v>
                </c:pt>
                <c:pt idx="783">
                  <c:v>2.83</c:v>
                </c:pt>
                <c:pt idx="784">
                  <c:v>2.84</c:v>
                </c:pt>
                <c:pt idx="785">
                  <c:v>2.8500000000000005</c:v>
                </c:pt>
                <c:pt idx="786">
                  <c:v>2.8600000000000003</c:v>
                </c:pt>
                <c:pt idx="787">
                  <c:v>2.87</c:v>
                </c:pt>
                <c:pt idx="788">
                  <c:v>2.88</c:v>
                </c:pt>
                <c:pt idx="789">
                  <c:v>2.8900000000000006</c:v>
                </c:pt>
                <c:pt idx="790">
                  <c:v>2.9000000000000004</c:v>
                </c:pt>
                <c:pt idx="791">
                  <c:v>2.91</c:v>
                </c:pt>
                <c:pt idx="792">
                  <c:v>2.92</c:v>
                </c:pt>
                <c:pt idx="793">
                  <c:v>2.9300000000000006</c:v>
                </c:pt>
                <c:pt idx="794">
                  <c:v>2.9400000000000004</c:v>
                </c:pt>
                <c:pt idx="795">
                  <c:v>2.95</c:v>
                </c:pt>
                <c:pt idx="796">
                  <c:v>2.96</c:v>
                </c:pt>
                <c:pt idx="797">
                  <c:v>2.9699999999999998</c:v>
                </c:pt>
                <c:pt idx="798">
                  <c:v>2.9800000000000004</c:v>
                </c:pt>
                <c:pt idx="799">
                  <c:v>2.99</c:v>
                </c:pt>
                <c:pt idx="800">
                  <c:v>3</c:v>
                </c:pt>
                <c:pt idx="801">
                  <c:v>3.01</c:v>
                </c:pt>
                <c:pt idx="802">
                  <c:v>3.0199999999999996</c:v>
                </c:pt>
                <c:pt idx="803">
                  <c:v>3.0299999999999994</c:v>
                </c:pt>
                <c:pt idx="804">
                  <c:v>3.0400000000000009</c:v>
                </c:pt>
                <c:pt idx="805">
                  <c:v>3.0500000000000007</c:v>
                </c:pt>
                <c:pt idx="806">
                  <c:v>3.0600000000000005</c:v>
                </c:pt>
                <c:pt idx="807">
                  <c:v>3.0700000000000003</c:v>
                </c:pt>
                <c:pt idx="808">
                  <c:v>3.08</c:v>
                </c:pt>
                <c:pt idx="809">
                  <c:v>3.09</c:v>
                </c:pt>
                <c:pt idx="810">
                  <c:v>3.0999999999999996</c:v>
                </c:pt>
                <c:pt idx="811">
                  <c:v>3.1099999999999994</c:v>
                </c:pt>
                <c:pt idx="812">
                  <c:v>3.120000000000001</c:v>
                </c:pt>
                <c:pt idx="813">
                  <c:v>3.1300000000000008</c:v>
                </c:pt>
                <c:pt idx="814">
                  <c:v>3.1400000000000006</c:v>
                </c:pt>
                <c:pt idx="815">
                  <c:v>3.1500000000000004</c:v>
                </c:pt>
                <c:pt idx="816">
                  <c:v>3.16</c:v>
                </c:pt>
                <c:pt idx="817">
                  <c:v>3.17</c:v>
                </c:pt>
                <c:pt idx="818">
                  <c:v>3.1799999999999997</c:v>
                </c:pt>
                <c:pt idx="819">
                  <c:v>3.1899999999999995</c:v>
                </c:pt>
                <c:pt idx="820">
                  <c:v>3.1999999999999993</c:v>
                </c:pt>
                <c:pt idx="821">
                  <c:v>3.2100000000000009</c:v>
                </c:pt>
                <c:pt idx="822">
                  <c:v>3.2200000000000006</c:v>
                </c:pt>
                <c:pt idx="823">
                  <c:v>3.2300000000000004</c:v>
                </c:pt>
                <c:pt idx="824">
                  <c:v>3.24</c:v>
                </c:pt>
                <c:pt idx="825">
                  <c:v>3.25</c:v>
                </c:pt>
                <c:pt idx="826">
                  <c:v>3.26</c:v>
                </c:pt>
                <c:pt idx="827">
                  <c:v>3.2699999999999996</c:v>
                </c:pt>
                <c:pt idx="828">
                  <c:v>3.2799999999999994</c:v>
                </c:pt>
                <c:pt idx="829">
                  <c:v>3.2900000000000009</c:v>
                </c:pt>
                <c:pt idx="830">
                  <c:v>3.3000000000000007</c:v>
                </c:pt>
                <c:pt idx="831">
                  <c:v>3.3100000000000005</c:v>
                </c:pt>
                <c:pt idx="832">
                  <c:v>3.3200000000000003</c:v>
                </c:pt>
                <c:pt idx="833">
                  <c:v>3.33</c:v>
                </c:pt>
                <c:pt idx="834">
                  <c:v>3.34</c:v>
                </c:pt>
                <c:pt idx="835">
                  <c:v>3.3499999999999996</c:v>
                </c:pt>
                <c:pt idx="836">
                  <c:v>3.3599999999999994</c:v>
                </c:pt>
                <c:pt idx="837">
                  <c:v>3.370000000000001</c:v>
                </c:pt>
                <c:pt idx="838">
                  <c:v>3.3800000000000008</c:v>
                </c:pt>
                <c:pt idx="839">
                  <c:v>3.3900000000000006</c:v>
                </c:pt>
                <c:pt idx="840">
                  <c:v>3.4000000000000004</c:v>
                </c:pt>
                <c:pt idx="841">
                  <c:v>3.41</c:v>
                </c:pt>
                <c:pt idx="842">
                  <c:v>3.42</c:v>
                </c:pt>
                <c:pt idx="843">
                  <c:v>3.4299999999999997</c:v>
                </c:pt>
                <c:pt idx="844">
                  <c:v>3.4399999999999995</c:v>
                </c:pt>
                <c:pt idx="845">
                  <c:v>3.4499999999999993</c:v>
                </c:pt>
                <c:pt idx="846">
                  <c:v>3.4600000000000009</c:v>
                </c:pt>
                <c:pt idx="847">
                  <c:v>3.4700000000000006</c:v>
                </c:pt>
                <c:pt idx="848">
                  <c:v>3.4800000000000004</c:v>
                </c:pt>
                <c:pt idx="849">
                  <c:v>3.49</c:v>
                </c:pt>
                <c:pt idx="850">
                  <c:v>3.5</c:v>
                </c:pt>
                <c:pt idx="851">
                  <c:v>3.51</c:v>
                </c:pt>
                <c:pt idx="852">
                  <c:v>3.5199999999999996</c:v>
                </c:pt>
                <c:pt idx="853">
                  <c:v>3.5299999999999994</c:v>
                </c:pt>
                <c:pt idx="854">
                  <c:v>3.5400000000000009</c:v>
                </c:pt>
                <c:pt idx="855">
                  <c:v>3.5500000000000007</c:v>
                </c:pt>
                <c:pt idx="856">
                  <c:v>3.5600000000000005</c:v>
                </c:pt>
                <c:pt idx="857">
                  <c:v>3.5700000000000003</c:v>
                </c:pt>
                <c:pt idx="858">
                  <c:v>3.58</c:v>
                </c:pt>
                <c:pt idx="859">
                  <c:v>3.59</c:v>
                </c:pt>
                <c:pt idx="860">
                  <c:v>3.5999999999999996</c:v>
                </c:pt>
                <c:pt idx="861">
                  <c:v>3.6099999999999994</c:v>
                </c:pt>
                <c:pt idx="862">
                  <c:v>3.620000000000001</c:v>
                </c:pt>
                <c:pt idx="863">
                  <c:v>3.6300000000000008</c:v>
                </c:pt>
                <c:pt idx="864">
                  <c:v>3.6400000000000006</c:v>
                </c:pt>
                <c:pt idx="865">
                  <c:v>3.6500000000000004</c:v>
                </c:pt>
                <c:pt idx="866">
                  <c:v>3.66</c:v>
                </c:pt>
                <c:pt idx="867">
                  <c:v>3.67</c:v>
                </c:pt>
                <c:pt idx="868">
                  <c:v>3.6799999999999997</c:v>
                </c:pt>
                <c:pt idx="869">
                  <c:v>3.6899999999999995</c:v>
                </c:pt>
                <c:pt idx="870">
                  <c:v>3.7000000000000011</c:v>
                </c:pt>
                <c:pt idx="871">
                  <c:v>3.7100000000000009</c:v>
                </c:pt>
                <c:pt idx="872">
                  <c:v>3.7200000000000006</c:v>
                </c:pt>
                <c:pt idx="873">
                  <c:v>3.7300000000000004</c:v>
                </c:pt>
                <c:pt idx="874">
                  <c:v>3.74</c:v>
                </c:pt>
                <c:pt idx="875">
                  <c:v>3.75</c:v>
                </c:pt>
                <c:pt idx="876">
                  <c:v>3.76</c:v>
                </c:pt>
                <c:pt idx="877">
                  <c:v>3.7699999999999996</c:v>
                </c:pt>
                <c:pt idx="878">
                  <c:v>3.7799999999999994</c:v>
                </c:pt>
                <c:pt idx="879">
                  <c:v>3.7900000000000009</c:v>
                </c:pt>
                <c:pt idx="880">
                  <c:v>3.8000000000000007</c:v>
                </c:pt>
                <c:pt idx="881">
                  <c:v>3.8100000000000005</c:v>
                </c:pt>
                <c:pt idx="882">
                  <c:v>3.8200000000000003</c:v>
                </c:pt>
                <c:pt idx="883">
                  <c:v>3.83</c:v>
                </c:pt>
                <c:pt idx="884">
                  <c:v>3.84</c:v>
                </c:pt>
                <c:pt idx="885">
                  <c:v>3.8499999999999996</c:v>
                </c:pt>
                <c:pt idx="886">
                  <c:v>3.8599999999999994</c:v>
                </c:pt>
                <c:pt idx="887">
                  <c:v>3.870000000000001</c:v>
                </c:pt>
                <c:pt idx="888">
                  <c:v>3.8800000000000008</c:v>
                </c:pt>
                <c:pt idx="889">
                  <c:v>3.8900000000000006</c:v>
                </c:pt>
                <c:pt idx="890">
                  <c:v>3.9000000000000004</c:v>
                </c:pt>
                <c:pt idx="891">
                  <c:v>3.91</c:v>
                </c:pt>
                <c:pt idx="892">
                  <c:v>3.92</c:v>
                </c:pt>
                <c:pt idx="893">
                  <c:v>3.9299999999999997</c:v>
                </c:pt>
                <c:pt idx="894">
                  <c:v>3.9399999999999995</c:v>
                </c:pt>
                <c:pt idx="895">
                  <c:v>3.9500000000000011</c:v>
                </c:pt>
                <c:pt idx="896">
                  <c:v>3.9600000000000009</c:v>
                </c:pt>
                <c:pt idx="897">
                  <c:v>3.9700000000000006</c:v>
                </c:pt>
                <c:pt idx="898">
                  <c:v>3.9800000000000004</c:v>
                </c:pt>
                <c:pt idx="899">
                  <c:v>3.99</c:v>
                </c:pt>
                <c:pt idx="900">
                  <c:v>4</c:v>
                </c:pt>
                <c:pt idx="901">
                  <c:v>4.01</c:v>
                </c:pt>
                <c:pt idx="902">
                  <c:v>4.0199999999999996</c:v>
                </c:pt>
                <c:pt idx="903">
                  <c:v>4.0299999999999994</c:v>
                </c:pt>
                <c:pt idx="904">
                  <c:v>4.0400000000000009</c:v>
                </c:pt>
                <c:pt idx="905">
                  <c:v>4.0500000000000007</c:v>
                </c:pt>
                <c:pt idx="906">
                  <c:v>4.0600000000000005</c:v>
                </c:pt>
                <c:pt idx="907">
                  <c:v>4.07</c:v>
                </c:pt>
                <c:pt idx="908">
                  <c:v>4.08</c:v>
                </c:pt>
                <c:pt idx="909">
                  <c:v>4.09</c:v>
                </c:pt>
                <c:pt idx="910">
                  <c:v>4.0999999999999996</c:v>
                </c:pt>
                <c:pt idx="911">
                  <c:v>4.1099999999999994</c:v>
                </c:pt>
                <c:pt idx="912">
                  <c:v>4.120000000000001</c:v>
                </c:pt>
                <c:pt idx="913">
                  <c:v>4.1300000000000008</c:v>
                </c:pt>
                <c:pt idx="914">
                  <c:v>4.1400000000000006</c:v>
                </c:pt>
                <c:pt idx="915">
                  <c:v>4.1500000000000004</c:v>
                </c:pt>
                <c:pt idx="916">
                  <c:v>4.16</c:v>
                </c:pt>
                <c:pt idx="917">
                  <c:v>4.17</c:v>
                </c:pt>
                <c:pt idx="918">
                  <c:v>4.18</c:v>
                </c:pt>
                <c:pt idx="919">
                  <c:v>4.1899999999999995</c:v>
                </c:pt>
                <c:pt idx="920">
                  <c:v>4.2000000000000011</c:v>
                </c:pt>
                <c:pt idx="921">
                  <c:v>4.2100000000000009</c:v>
                </c:pt>
                <c:pt idx="922">
                  <c:v>4.2200000000000006</c:v>
                </c:pt>
                <c:pt idx="923">
                  <c:v>4.2300000000000004</c:v>
                </c:pt>
                <c:pt idx="924">
                  <c:v>4.24</c:v>
                </c:pt>
                <c:pt idx="925">
                  <c:v>4.25</c:v>
                </c:pt>
                <c:pt idx="926">
                  <c:v>4.26</c:v>
                </c:pt>
                <c:pt idx="927">
                  <c:v>4.2699999999999996</c:v>
                </c:pt>
                <c:pt idx="928">
                  <c:v>4.2799999999999994</c:v>
                </c:pt>
                <c:pt idx="929">
                  <c:v>4.2900000000000009</c:v>
                </c:pt>
                <c:pt idx="930">
                  <c:v>4.3000000000000007</c:v>
                </c:pt>
                <c:pt idx="931">
                  <c:v>4.3100000000000005</c:v>
                </c:pt>
                <c:pt idx="932">
                  <c:v>4.32</c:v>
                </c:pt>
                <c:pt idx="933">
                  <c:v>4.33</c:v>
                </c:pt>
                <c:pt idx="934">
                  <c:v>4.34</c:v>
                </c:pt>
                <c:pt idx="935">
                  <c:v>4.3499999999999996</c:v>
                </c:pt>
                <c:pt idx="936">
                  <c:v>4.3599999999999994</c:v>
                </c:pt>
                <c:pt idx="937">
                  <c:v>4.370000000000001</c:v>
                </c:pt>
                <c:pt idx="938">
                  <c:v>4.3800000000000008</c:v>
                </c:pt>
                <c:pt idx="939">
                  <c:v>4.3900000000000006</c:v>
                </c:pt>
                <c:pt idx="940">
                  <c:v>4.4000000000000004</c:v>
                </c:pt>
                <c:pt idx="941">
                  <c:v>4.41</c:v>
                </c:pt>
                <c:pt idx="942">
                  <c:v>4.42</c:v>
                </c:pt>
                <c:pt idx="943">
                  <c:v>4.43</c:v>
                </c:pt>
                <c:pt idx="944">
                  <c:v>4.4399999999999995</c:v>
                </c:pt>
                <c:pt idx="945">
                  <c:v>4.4500000000000011</c:v>
                </c:pt>
                <c:pt idx="946">
                  <c:v>4.4600000000000009</c:v>
                </c:pt>
                <c:pt idx="947">
                  <c:v>4.4700000000000006</c:v>
                </c:pt>
                <c:pt idx="948">
                  <c:v>4.4800000000000004</c:v>
                </c:pt>
                <c:pt idx="949">
                  <c:v>4.49</c:v>
                </c:pt>
                <c:pt idx="950">
                  <c:v>4.5</c:v>
                </c:pt>
                <c:pt idx="951">
                  <c:v>4.51</c:v>
                </c:pt>
                <c:pt idx="952">
                  <c:v>4.5199999999999996</c:v>
                </c:pt>
                <c:pt idx="953">
                  <c:v>4.5299999999999994</c:v>
                </c:pt>
                <c:pt idx="954">
                  <c:v>4.5400000000000009</c:v>
                </c:pt>
                <c:pt idx="955">
                  <c:v>4.5500000000000007</c:v>
                </c:pt>
                <c:pt idx="956">
                  <c:v>4.5600000000000005</c:v>
                </c:pt>
                <c:pt idx="957">
                  <c:v>4.57</c:v>
                </c:pt>
                <c:pt idx="958">
                  <c:v>4.58</c:v>
                </c:pt>
                <c:pt idx="959">
                  <c:v>4.59</c:v>
                </c:pt>
                <c:pt idx="960">
                  <c:v>4.5999999999999996</c:v>
                </c:pt>
                <c:pt idx="961">
                  <c:v>4.6099999999999994</c:v>
                </c:pt>
                <c:pt idx="962">
                  <c:v>4.620000000000001</c:v>
                </c:pt>
                <c:pt idx="963">
                  <c:v>4.6300000000000008</c:v>
                </c:pt>
                <c:pt idx="964">
                  <c:v>4.6400000000000006</c:v>
                </c:pt>
                <c:pt idx="965">
                  <c:v>4.6500000000000004</c:v>
                </c:pt>
                <c:pt idx="966">
                  <c:v>4.66</c:v>
                </c:pt>
                <c:pt idx="967">
                  <c:v>4.67</c:v>
                </c:pt>
                <c:pt idx="968">
                  <c:v>4.68</c:v>
                </c:pt>
                <c:pt idx="969">
                  <c:v>4.6899999999999995</c:v>
                </c:pt>
                <c:pt idx="970">
                  <c:v>4.7000000000000011</c:v>
                </c:pt>
                <c:pt idx="971">
                  <c:v>4.7100000000000009</c:v>
                </c:pt>
                <c:pt idx="972">
                  <c:v>4.7200000000000006</c:v>
                </c:pt>
                <c:pt idx="973">
                  <c:v>4.7300000000000004</c:v>
                </c:pt>
                <c:pt idx="974">
                  <c:v>4.74</c:v>
                </c:pt>
                <c:pt idx="975">
                  <c:v>4.75</c:v>
                </c:pt>
                <c:pt idx="976">
                  <c:v>4.76</c:v>
                </c:pt>
                <c:pt idx="977">
                  <c:v>4.7699999999999996</c:v>
                </c:pt>
                <c:pt idx="978">
                  <c:v>4.7799999999999994</c:v>
                </c:pt>
                <c:pt idx="979">
                  <c:v>4.7900000000000009</c:v>
                </c:pt>
                <c:pt idx="980">
                  <c:v>4.8000000000000007</c:v>
                </c:pt>
                <c:pt idx="981">
                  <c:v>4.8100000000000005</c:v>
                </c:pt>
                <c:pt idx="982">
                  <c:v>4.82</c:v>
                </c:pt>
                <c:pt idx="983">
                  <c:v>4.83</c:v>
                </c:pt>
                <c:pt idx="984">
                  <c:v>4.84</c:v>
                </c:pt>
                <c:pt idx="985">
                  <c:v>4.8499999999999996</c:v>
                </c:pt>
                <c:pt idx="986">
                  <c:v>4.8599999999999994</c:v>
                </c:pt>
                <c:pt idx="987">
                  <c:v>4.870000000000001</c:v>
                </c:pt>
                <c:pt idx="988">
                  <c:v>4.8800000000000008</c:v>
                </c:pt>
                <c:pt idx="989">
                  <c:v>4.8900000000000006</c:v>
                </c:pt>
                <c:pt idx="990">
                  <c:v>4.9000000000000004</c:v>
                </c:pt>
                <c:pt idx="991">
                  <c:v>4.91</c:v>
                </c:pt>
                <c:pt idx="992">
                  <c:v>4.92</c:v>
                </c:pt>
                <c:pt idx="993">
                  <c:v>4.93</c:v>
                </c:pt>
                <c:pt idx="994">
                  <c:v>4.9399999999999995</c:v>
                </c:pt>
                <c:pt idx="995">
                  <c:v>4.9500000000000011</c:v>
                </c:pt>
                <c:pt idx="996">
                  <c:v>4.9600000000000009</c:v>
                </c:pt>
                <c:pt idx="997">
                  <c:v>4.9700000000000006</c:v>
                </c:pt>
                <c:pt idx="998">
                  <c:v>4.9800000000000004</c:v>
                </c:pt>
                <c:pt idx="999">
                  <c:v>4.99</c:v>
                </c:pt>
                <c:pt idx="1000">
                  <c:v>5</c:v>
                </c:pt>
              </c:numCache>
            </c:numRef>
          </c:cat>
          <c:val>
            <c:numRef>
              <c:f>FZERO!$M$14:$M$1014</c:f>
              <c:numCache>
                <c:formatCode>0.0</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numCache>
            </c:numRef>
          </c:val>
          <c:smooth val="0"/>
          <c:extLst>
            <c:ext xmlns:c16="http://schemas.microsoft.com/office/drawing/2014/chart" uri="{C3380CC4-5D6E-409C-BE32-E72D297353CC}">
              <c16:uniqueId val="{00000000-E4BC-4921-A713-C8F8DC476A68}"/>
            </c:ext>
          </c:extLst>
        </c:ser>
        <c:dLbls>
          <c:showLegendKey val="0"/>
          <c:showVal val="0"/>
          <c:showCatName val="0"/>
          <c:showSerName val="0"/>
          <c:showPercent val="0"/>
          <c:showBubbleSize val="0"/>
        </c:dLbls>
        <c:smooth val="0"/>
        <c:axId val="1954061487"/>
        <c:axId val="1954062319"/>
      </c:lineChart>
      <c:catAx>
        <c:axId val="1954061487"/>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pt-BR"/>
          </a:p>
        </c:txPr>
        <c:crossAx val="1954062319"/>
        <c:crosses val="autoZero"/>
        <c:auto val="1"/>
        <c:lblAlgn val="ctr"/>
        <c:lblOffset val="100"/>
        <c:tickLblSkip val="100"/>
        <c:tickMarkSkip val="1"/>
        <c:noMultiLvlLbl val="0"/>
      </c:catAx>
      <c:valAx>
        <c:axId val="1954062319"/>
        <c:scaling>
          <c:orientation val="minMax"/>
          <c:max val="10"/>
          <c:min val="-1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pt-BR"/>
          </a:p>
        </c:txPr>
        <c:crossAx val="1954061487"/>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(CONTAGION_FORBESRIGOBON!$I$19:$I$317,CONTAGION_FORBESRIGOBON!$I$320:$I$525)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54F1-49B6-B2AF-6C2D753F6BF3}"/>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(CONTAGION_FORBESRIGOBON!$F$18:$F$317,CONTAGION_FORBESRIGOBON!$F$320:$F$525)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(CONTAGION_FORBESRIGOBON!$J$19:$J$317,CONTAGION_FORBESRIGOBON!$J$320:$J$525)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54F1-49B6-B2AF-6C2D753F6BF3}"/>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(CONTAGION_COVOLATILITY!$I$19:$I$317,CONTAGION_COVOLATILITY!$I$320:$I$525)</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2-ECCA-40F4-A6BF-39D8482BDE9B}"/>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(CONTAGION_COVOLATILITY!$F$18:$F$317,CONTAGION_COVOLATILITY!$F$320:$F$525)</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(CONTAGION_COVOLATILITY!$J$19:$J$317,CONTAGION_COVOLATILITY!$J$320:$J$525)</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3-ECCA-40F4-A6BF-39D8482BDE9B}"/>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(CONTAGION_COKURTOSIS!$I$20:$I$318,CONTAGION_COKURTOSIS!$I$321:$I$526)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C35F-4C45-B57F-112708F7C4AC}"/>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(CONTAGION_COKURTOSIS!$F$19:$F$318,CONTAGION_COKURTOSIS!$F$321:$F$526)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(CONTAGION_COKURTOSIS!$J$20:$J$318,CONTAGION_COKURTOSIS!$J$321:$J$526)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C35F-4C45-B57F-112708F7C4AC}"/>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Contagion</a:t>
            </a:r>
            <a:r>
              <a:rPr lang="pt-BR" baseline="0"/>
              <a:t> Test</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Sample 1 (lhs)</c:v>
          </c:tx>
          <c:spPr>
            <a:ln w="12700" cap="rnd">
              <a:solidFill>
                <a:schemeClr val="accent1"/>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(CONTAGION_COSKEWNESS!$I$20:$I$318,CONTAGION_COSKEWNESS!$I$321:$I$526)</c:f>
              <c:numCache>
                <c:formatCode>0.00%</c:formatCode>
                <c:ptCount val="505"/>
                <c:pt idx="0">
                  <c:v>1.0401020398713712E-3</c:v>
                </c:pt>
                <c:pt idx="1">
                  <c:v>-2.3862705373286275E-2</c:v>
                </c:pt>
                <c:pt idx="2">
                  <c:v>3.3495821843755103E-2</c:v>
                </c:pt>
                <c:pt idx="3">
                  <c:v>7.8845418126225475E-3</c:v>
                </c:pt>
                <c:pt idx="4">
                  <c:v>9.3954088050747231E-3</c:v>
                </c:pt>
                <c:pt idx="5">
                  <c:v>4.6735411159004592E-3</c:v>
                </c:pt>
                <c:pt idx="6">
                  <c:v>3.5275112473489578E-3</c:v>
                </c:pt>
                <c:pt idx="7">
                  <c:v>3.8612950131367008E-4</c:v>
                </c:pt>
                <c:pt idx="8">
                  <c:v>-6.1008157559502285E-3</c:v>
                </c:pt>
                <c:pt idx="9">
                  <c:v>1.146073275757753E-2</c:v>
                </c:pt>
                <c:pt idx="10">
                  <c:v>2.4199718704258633E-3</c:v>
                </c:pt>
                <c:pt idx="11">
                  <c:v>7.5866511593374319E-3</c:v>
                </c:pt>
                <c:pt idx="12">
                  <c:v>1.3310135378014287E-2</c:v>
                </c:pt>
                <c:pt idx="13">
                  <c:v>-1.3510752838921114E-2</c:v>
                </c:pt>
                <c:pt idx="14">
                  <c:v>2.0925841602441597E-3</c:v>
                </c:pt>
                <c:pt idx="15">
                  <c:v>5.3149405925601023E-4</c:v>
                </c:pt>
                <c:pt idx="16">
                  <c:v>8.4614186766645005E-3</c:v>
                </c:pt>
                <c:pt idx="17">
                  <c:v>-7.6000445111905623E-3</c:v>
                </c:pt>
                <c:pt idx="18">
                  <c:v>-1.3272208463369628E-3</c:v>
                </c:pt>
                <c:pt idx="19">
                  <c:v>1.5830700348449023E-2</c:v>
                </c:pt>
                <c:pt idx="20">
                  <c:v>8.7825320484122837E-3</c:v>
                </c:pt>
                <c:pt idx="21">
                  <c:v>4.8137480130061583E-4</c:v>
                </c:pt>
                <c:pt idx="22">
                  <c:v>7.0356554904722479E-3</c:v>
                </c:pt>
                <c:pt idx="23">
                  <c:v>4.191934326261304E-3</c:v>
                </c:pt>
                <c:pt idx="24">
                  <c:v>-1.3182013435087958E-3</c:v>
                </c:pt>
                <c:pt idx="25">
                  <c:v>-9.5329681151019585E-3</c:v>
                </c:pt>
                <c:pt idx="26">
                  <c:v>1.22149760609358E-3</c:v>
                </c:pt>
                <c:pt idx="27">
                  <c:v>5.5476436142676278E-4</c:v>
                </c:pt>
                <c:pt idx="28">
                  <c:v>1.2859498691850657E-2</c:v>
                </c:pt>
                <c:pt idx="29">
                  <c:v>3.2467989017432863E-3</c:v>
                </c:pt>
                <c:pt idx="30">
                  <c:v>-2.2182995178979814E-3</c:v>
                </c:pt>
                <c:pt idx="31">
                  <c:v>1.0897416949031236E-2</c:v>
                </c:pt>
                <c:pt idx="32">
                  <c:v>1.7305056305265687E-3</c:v>
                </c:pt>
                <c:pt idx="33">
                  <c:v>2.0153765271693214E-3</c:v>
                </c:pt>
                <c:pt idx="34">
                  <c:v>-3.5559907265417801E-3</c:v>
                </c:pt>
                <c:pt idx="35">
                  <c:v>6.2001313059003582E-3</c:v>
                </c:pt>
                <c:pt idx="36">
                  <c:v>1.3611375611564114E-3</c:v>
                </c:pt>
                <c:pt idx="37">
                  <c:v>-7.1535343108619642E-4</c:v>
                </c:pt>
                <c:pt idx="38">
                  <c:v>-4.2940145551551012E-4</c:v>
                </c:pt>
                <c:pt idx="39">
                  <c:v>-1.8627512856356221E-3</c:v>
                </c:pt>
                <c:pt idx="40">
                  <c:v>6.2434952404508692E-3</c:v>
                </c:pt>
                <c:pt idx="41">
                  <c:v>-3.6371682973985742E-3</c:v>
                </c:pt>
                <c:pt idx="42">
                  <c:v>-1.3601044178247479E-3</c:v>
                </c:pt>
                <c:pt idx="43">
                  <c:v>-6.0566721292807379E-3</c:v>
                </c:pt>
                <c:pt idx="44">
                  <c:v>-8.3657303445855424E-3</c:v>
                </c:pt>
                <c:pt idx="45">
                  <c:v>-1.9996589865043379E-3</c:v>
                </c:pt>
                <c:pt idx="46">
                  <c:v>1.4501051794384434E-2</c:v>
                </c:pt>
                <c:pt idx="47">
                  <c:v>3.7710424020158673E-3</c:v>
                </c:pt>
                <c:pt idx="48">
                  <c:v>6.6192952240662351E-3</c:v>
                </c:pt>
                <c:pt idx="49">
                  <c:v>-6.4011385772566598E-4</c:v>
                </c:pt>
                <c:pt idx="50">
                  <c:v>4.9407854813812158E-3</c:v>
                </c:pt>
                <c:pt idx="51">
                  <c:v>3.6259244519276645E-3</c:v>
                </c:pt>
                <c:pt idx="52">
                  <c:v>2.4777257972807831E-4</c:v>
                </c:pt>
                <c:pt idx="53">
                  <c:v>-3.0097881592702214E-3</c:v>
                </c:pt>
                <c:pt idx="54">
                  <c:v>1.1294477654773205E-2</c:v>
                </c:pt>
                <c:pt idx="55">
                  <c:v>-1.9246241735327185E-2</c:v>
                </c:pt>
                <c:pt idx="56">
                  <c:v>-7.520955273396801E-4</c:v>
                </c:pt>
                <c:pt idx="57">
                  <c:v>7.4543462764620205E-3</c:v>
                </c:pt>
                <c:pt idx="58">
                  <c:v>-5.22907599256206E-3</c:v>
                </c:pt>
                <c:pt idx="59">
                  <c:v>3.7904084473492361E-3</c:v>
                </c:pt>
                <c:pt idx="60">
                  <c:v>6.3054809643483534E-3</c:v>
                </c:pt>
                <c:pt idx="61">
                  <c:v>1.1859033571406385E-2</c:v>
                </c:pt>
                <c:pt idx="62">
                  <c:v>4.8993149853537865E-4</c:v>
                </c:pt>
                <c:pt idx="63">
                  <c:v>1.5738922371808517E-3</c:v>
                </c:pt>
                <c:pt idx="64">
                  <c:v>2.6531245249579172E-3</c:v>
                </c:pt>
                <c:pt idx="65">
                  <c:v>4.8402018360047538E-3</c:v>
                </c:pt>
                <c:pt idx="66">
                  <c:v>7.6224487857978751E-4</c:v>
                </c:pt>
                <c:pt idx="67">
                  <c:v>-5.1246112442856484E-3</c:v>
                </c:pt>
                <c:pt idx="68">
                  <c:v>3.4109460016957804E-3</c:v>
                </c:pt>
                <c:pt idx="69">
                  <c:v>-2.7768471705424957E-4</c:v>
                </c:pt>
                <c:pt idx="70">
                  <c:v>6.7662181925096654E-3</c:v>
                </c:pt>
                <c:pt idx="71">
                  <c:v>-6.5498400304764282E-4</c:v>
                </c:pt>
                <c:pt idx="72">
                  <c:v>6.554132882667929E-4</c:v>
                </c:pt>
                <c:pt idx="73">
                  <c:v>-2.4471210783273412E-3</c:v>
                </c:pt>
                <c:pt idx="74">
                  <c:v>1.969095795856024E-3</c:v>
                </c:pt>
                <c:pt idx="75">
                  <c:v>8.6212537184171545E-4</c:v>
                </c:pt>
                <c:pt idx="76">
                  <c:v>8.9917610117338231E-3</c:v>
                </c:pt>
                <c:pt idx="77">
                  <c:v>-2.2193714674311193E-3</c:v>
                </c:pt>
                <c:pt idx="78">
                  <c:v>-6.1622301709629568E-4</c:v>
                </c:pt>
                <c:pt idx="79">
                  <c:v>4.6568521271241892E-3</c:v>
                </c:pt>
                <c:pt idx="80">
                  <c:v>1.5678513825985174E-3</c:v>
                </c:pt>
                <c:pt idx="81">
                  <c:v>5.1023396247829034E-4</c:v>
                </c:pt>
                <c:pt idx="82">
                  <c:v>-7.5162675746810459E-3</c:v>
                </c:pt>
                <c:pt idx="83">
                  <c:v>-2.1590625331597835E-3</c:v>
                </c:pt>
                <c:pt idx="84">
                  <c:v>9.7878837274871788E-3</c:v>
                </c:pt>
                <c:pt idx="85">
                  <c:v>-4.1154269318457448E-3</c:v>
                </c:pt>
                <c:pt idx="86">
                  <c:v>-1.6699420690646893E-2</c:v>
                </c:pt>
                <c:pt idx="87">
                  <c:v>-1.3893685879040607E-3</c:v>
                </c:pt>
                <c:pt idx="88">
                  <c:v>-3.0258911543242784E-3</c:v>
                </c:pt>
                <c:pt idx="89">
                  <c:v>5.0236774462599776E-3</c:v>
                </c:pt>
                <c:pt idx="90">
                  <c:v>-2.5130579523941265E-2</c:v>
                </c:pt>
                <c:pt idx="91">
                  <c:v>9.0439561247741551E-3</c:v>
                </c:pt>
                <c:pt idx="92">
                  <c:v>5.8573823021945692E-3</c:v>
                </c:pt>
                <c:pt idx="93">
                  <c:v>9.2611425035160622E-3</c:v>
                </c:pt>
                <c:pt idx="94">
                  <c:v>-6.4649667095842966E-3</c:v>
                </c:pt>
                <c:pt idx="95">
                  <c:v>-6.6120150424300306E-3</c:v>
                </c:pt>
                <c:pt idx="96">
                  <c:v>9.0157603784457585E-3</c:v>
                </c:pt>
                <c:pt idx="97">
                  <c:v>-3.0714620104941304E-3</c:v>
                </c:pt>
                <c:pt idx="98">
                  <c:v>-1.221852285532099E-2</c:v>
                </c:pt>
                <c:pt idx="99">
                  <c:v>2.2679391845987773E-3</c:v>
                </c:pt>
                <c:pt idx="100">
                  <c:v>-9.3003272691258854E-3</c:v>
                </c:pt>
                <c:pt idx="101">
                  <c:v>-6.7107235583429015E-3</c:v>
                </c:pt>
                <c:pt idx="102">
                  <c:v>2.7314155884416991E-3</c:v>
                </c:pt>
                <c:pt idx="103">
                  <c:v>-1.3475308923069473E-2</c:v>
                </c:pt>
                <c:pt idx="104">
                  <c:v>-2.5430398929512377E-3</c:v>
                </c:pt>
                <c:pt idx="105">
                  <c:v>2.1706592904030764E-2</c:v>
                </c:pt>
                <c:pt idx="106">
                  <c:v>8.6621411697758166E-3</c:v>
                </c:pt>
                <c:pt idx="107">
                  <c:v>6.5027928689886938E-3</c:v>
                </c:pt>
                <c:pt idx="108">
                  <c:v>1.0006919500294309E-2</c:v>
                </c:pt>
                <c:pt idx="109">
                  <c:v>4.5888775961673289E-3</c:v>
                </c:pt>
                <c:pt idx="110">
                  <c:v>-2.4207556964828125E-4</c:v>
                </c:pt>
                <c:pt idx="111">
                  <c:v>-1.7654460366652858E-3</c:v>
                </c:pt>
                <c:pt idx="112">
                  <c:v>4.1262068327951873E-3</c:v>
                </c:pt>
                <c:pt idx="113">
                  <c:v>-1.1047805460784321E-3</c:v>
                </c:pt>
                <c:pt idx="114">
                  <c:v>3.8004405313252221E-4</c:v>
                </c:pt>
                <c:pt idx="115">
                  <c:v>1.0470976044758995E-2</c:v>
                </c:pt>
                <c:pt idx="116">
                  <c:v>2.2572227148951463E-3</c:v>
                </c:pt>
                <c:pt idx="117">
                  <c:v>9.5543274147442681E-3</c:v>
                </c:pt>
                <c:pt idx="118">
                  <c:v>-1.4533352061634197E-3</c:v>
                </c:pt>
                <c:pt idx="119">
                  <c:v>-1.2244892460424595E-3</c:v>
                </c:pt>
                <c:pt idx="120">
                  <c:v>-9.8079308784824182E-3</c:v>
                </c:pt>
                <c:pt idx="121">
                  <c:v>-9.9748941822219717E-4</c:v>
                </c:pt>
                <c:pt idx="122">
                  <c:v>3.5459876382137878E-3</c:v>
                </c:pt>
                <c:pt idx="123">
                  <c:v>5.1459671354525671E-3</c:v>
                </c:pt>
                <c:pt idx="124">
                  <c:v>9.0782985721908904E-3</c:v>
                </c:pt>
                <c:pt idx="125">
                  <c:v>2.6043377025681824E-3</c:v>
                </c:pt>
                <c:pt idx="126">
                  <c:v>7.9948451963010037E-3</c:v>
                </c:pt>
                <c:pt idx="127">
                  <c:v>-1.1375420355421717E-3</c:v>
                </c:pt>
                <c:pt idx="128">
                  <c:v>-5.4949505137057431E-3</c:v>
                </c:pt>
                <c:pt idx="129">
                  <c:v>1.2465012718207991E-3</c:v>
                </c:pt>
                <c:pt idx="130">
                  <c:v>4.7781841226932631E-3</c:v>
                </c:pt>
                <c:pt idx="131">
                  <c:v>2.3439608848043747E-3</c:v>
                </c:pt>
                <c:pt idx="132">
                  <c:v>4.477307785043072E-3</c:v>
                </c:pt>
                <c:pt idx="133">
                  <c:v>3.3259706314914261E-4</c:v>
                </c:pt>
                <c:pt idx="134">
                  <c:v>-3.2253357584542952E-3</c:v>
                </c:pt>
                <c:pt idx="135">
                  <c:v>-6.8050996848206813E-3</c:v>
                </c:pt>
                <c:pt idx="136">
                  <c:v>3.6609765666177907E-3</c:v>
                </c:pt>
                <c:pt idx="137">
                  <c:v>-5.5549816592371792E-3</c:v>
                </c:pt>
                <c:pt idx="138">
                  <c:v>2.4564605027042052E-3</c:v>
                </c:pt>
                <c:pt idx="139">
                  <c:v>7.149973304838575E-3</c:v>
                </c:pt>
                <c:pt idx="140">
                  <c:v>4.6995605016622033E-3</c:v>
                </c:pt>
                <c:pt idx="141">
                  <c:v>-4.7769669998497521E-3</c:v>
                </c:pt>
                <c:pt idx="142">
                  <c:v>6.6999255780335609E-3</c:v>
                </c:pt>
                <c:pt idx="143">
                  <c:v>-1.8210360816482973E-3</c:v>
                </c:pt>
                <c:pt idx="144">
                  <c:v>-2.4547395484526557E-3</c:v>
                </c:pt>
                <c:pt idx="145">
                  <c:v>-1.0940405133010422E-2</c:v>
                </c:pt>
                <c:pt idx="146">
                  <c:v>-8.7080546608183651E-3</c:v>
                </c:pt>
                <c:pt idx="147">
                  <c:v>-7.5294596759712951E-3</c:v>
                </c:pt>
                <c:pt idx="148">
                  <c:v>-3.0073296832209273E-2</c:v>
                </c:pt>
                <c:pt idx="149">
                  <c:v>1.4023230890322758E-2</c:v>
                </c:pt>
                <c:pt idx="150">
                  <c:v>5.9045276939562186E-4</c:v>
                </c:pt>
                <c:pt idx="151">
                  <c:v>1.9620516067926808E-2</c:v>
                </c:pt>
                <c:pt idx="152">
                  <c:v>-6.8117097712169228E-3</c:v>
                </c:pt>
                <c:pt idx="153">
                  <c:v>-1.2173503432607369E-2</c:v>
                </c:pt>
                <c:pt idx="154">
                  <c:v>1.5551598490313845E-2</c:v>
                </c:pt>
                <c:pt idx="155">
                  <c:v>-2.956746111953068E-2</c:v>
                </c:pt>
                <c:pt idx="156">
                  <c:v>2.6418608781879627E-3</c:v>
                </c:pt>
                <c:pt idx="157">
                  <c:v>1.4754971812207085E-2</c:v>
                </c:pt>
                <c:pt idx="158">
                  <c:v>1.2047558359721489E-2</c:v>
                </c:pt>
                <c:pt idx="159">
                  <c:v>-7.6624308938766372E-3</c:v>
                </c:pt>
                <c:pt idx="160">
                  <c:v>8.1357083343238656E-3</c:v>
                </c:pt>
                <c:pt idx="161">
                  <c:v>-3.0799552515858863E-4</c:v>
                </c:pt>
                <c:pt idx="162">
                  <c:v>-2.5687531493255311E-2</c:v>
                </c:pt>
                <c:pt idx="163">
                  <c:v>1.1058318121464294E-2</c:v>
                </c:pt>
                <c:pt idx="164">
                  <c:v>-3.9232680005929499E-3</c:v>
                </c:pt>
                <c:pt idx="165">
                  <c:v>7.0414989153324559E-3</c:v>
                </c:pt>
                <c:pt idx="166">
                  <c:v>1.2772839888606224E-2</c:v>
                </c:pt>
                <c:pt idx="167">
                  <c:v>-4.4405747265807705E-4</c:v>
                </c:pt>
                <c:pt idx="168">
                  <c:v>-5.8474608788504634E-3</c:v>
                </c:pt>
                <c:pt idx="169">
                  <c:v>1.1350524166945153E-2</c:v>
                </c:pt>
                <c:pt idx="170">
                  <c:v>1.2855343936802432E-2</c:v>
                </c:pt>
                <c:pt idx="171">
                  <c:v>7.7210870531607689E-4</c:v>
                </c:pt>
                <c:pt idx="172">
                  <c:v>5.0313408929425485E-4</c:v>
                </c:pt>
                <c:pt idx="173">
                  <c:v>-2.3442402756190805E-4</c:v>
                </c:pt>
                <c:pt idx="174">
                  <c:v>7.1110659993987024E-3</c:v>
                </c:pt>
                <c:pt idx="175">
                  <c:v>3.4636396230398603E-3</c:v>
                </c:pt>
                <c:pt idx="176">
                  <c:v>-6.6377772347936403E-4</c:v>
                </c:pt>
                <c:pt idx="177">
                  <c:v>-3.0888066794428903E-3</c:v>
                </c:pt>
                <c:pt idx="178">
                  <c:v>2.5320226140375102E-3</c:v>
                </c:pt>
                <c:pt idx="179">
                  <c:v>5.9832556261696368E-4</c:v>
                </c:pt>
                <c:pt idx="180">
                  <c:v>-6.665424090834815E-5</c:v>
                </c:pt>
                <c:pt idx="181">
                  <c:v>-4.7246061420072039E-3</c:v>
                </c:pt>
                <c:pt idx="182">
                  <c:v>-2.3490237828327487E-4</c:v>
                </c:pt>
                <c:pt idx="183">
                  <c:v>-7.8467316343948657E-3</c:v>
                </c:pt>
                <c:pt idx="184">
                  <c:v>5.914872502925661E-3</c:v>
                </c:pt>
                <c:pt idx="185">
                  <c:v>-2.0833618018182287E-3</c:v>
                </c:pt>
                <c:pt idx="186">
                  <c:v>-5.3872885137526971E-3</c:v>
                </c:pt>
                <c:pt idx="187">
                  <c:v>4.6379085305425782E-3</c:v>
                </c:pt>
                <c:pt idx="188">
                  <c:v>-1.1894685434576502E-2</c:v>
                </c:pt>
                <c:pt idx="189">
                  <c:v>-1.7664723724882592E-2</c:v>
                </c:pt>
                <c:pt idx="190">
                  <c:v>8.19268067600043E-3</c:v>
                </c:pt>
                <c:pt idx="191">
                  <c:v>1.3532433293560908E-2</c:v>
                </c:pt>
                <c:pt idx="192">
                  <c:v>-4.3149860914807325E-3</c:v>
                </c:pt>
                <c:pt idx="193">
                  <c:v>-1.5524594215198473E-2</c:v>
                </c:pt>
                <c:pt idx="194">
                  <c:v>9.4962299172727249E-3</c:v>
                </c:pt>
                <c:pt idx="195">
                  <c:v>6.7636483545621129E-3</c:v>
                </c:pt>
                <c:pt idx="196">
                  <c:v>1.0366933239633003E-2</c:v>
                </c:pt>
                <c:pt idx="197">
                  <c:v>-1.1137145108082169E-3</c:v>
                </c:pt>
                <c:pt idx="198">
                  <c:v>9.9002461816455334E-3</c:v>
                </c:pt>
                <c:pt idx="199">
                  <c:v>-1.6060418292435097E-3</c:v>
                </c:pt>
                <c:pt idx="200">
                  <c:v>2.9491258654614771E-3</c:v>
                </c:pt>
                <c:pt idx="201">
                  <c:v>-4.377303717420733E-3</c:v>
                </c:pt>
                <c:pt idx="202">
                  <c:v>6.7792308327232487E-3</c:v>
                </c:pt>
                <c:pt idx="203">
                  <c:v>-3.2667921957212354E-3</c:v>
                </c:pt>
                <c:pt idx="204">
                  <c:v>2.9098642355620541E-3</c:v>
                </c:pt>
                <c:pt idx="205">
                  <c:v>1.6338349044284772E-3</c:v>
                </c:pt>
                <c:pt idx="206">
                  <c:v>4.0947370085677726E-3</c:v>
                </c:pt>
                <c:pt idx="207">
                  <c:v>5.6368497805041606E-3</c:v>
                </c:pt>
                <c:pt idx="208">
                  <c:v>-2.9698879450412718E-4</c:v>
                </c:pt>
                <c:pt idx="209">
                  <c:v>3.0674352534953986E-3</c:v>
                </c:pt>
                <c:pt idx="210">
                  <c:v>-2.6633055816749351E-3</c:v>
                </c:pt>
                <c:pt idx="211">
                  <c:v>9.2636755713975116E-3</c:v>
                </c:pt>
                <c:pt idx="212">
                  <c:v>4.017875200641452E-3</c:v>
                </c:pt>
                <c:pt idx="213">
                  <c:v>-1.1062875779210835E-3</c:v>
                </c:pt>
                <c:pt idx="214">
                  <c:v>2.2799855959121373E-4</c:v>
                </c:pt>
                <c:pt idx="215">
                  <c:v>3.5168431404257738E-3</c:v>
                </c:pt>
                <c:pt idx="216">
                  <c:v>2.4660645934493353E-3</c:v>
                </c:pt>
                <c:pt idx="217">
                  <c:v>-1.9096652667247582E-3</c:v>
                </c:pt>
                <c:pt idx="218">
                  <c:v>2.1080006190454803E-3</c:v>
                </c:pt>
                <c:pt idx="219">
                  <c:v>3.236809560953624E-4</c:v>
                </c:pt>
                <c:pt idx="220">
                  <c:v>1.4558355069576034E-3</c:v>
                </c:pt>
                <c:pt idx="221">
                  <c:v>7.236274515079133E-3</c:v>
                </c:pt>
                <c:pt idx="222">
                  <c:v>7.3752484978029109E-4</c:v>
                </c:pt>
                <c:pt idx="223">
                  <c:v>-2.8848284766291865E-4</c:v>
                </c:pt>
                <c:pt idx="224">
                  <c:v>-3.7185716147317693E-3</c:v>
                </c:pt>
                <c:pt idx="225">
                  <c:v>-1.6087732119962617E-3</c:v>
                </c:pt>
                <c:pt idx="226">
                  <c:v>2.2237294880016467E-3</c:v>
                </c:pt>
                <c:pt idx="227">
                  <c:v>7.7500138778536787E-3</c:v>
                </c:pt>
                <c:pt idx="228">
                  <c:v>2.2657915328754274E-3</c:v>
                </c:pt>
                <c:pt idx="229">
                  <c:v>4.4575313753276724E-3</c:v>
                </c:pt>
                <c:pt idx="230">
                  <c:v>-3.7085441386669471E-3</c:v>
                </c:pt>
                <c:pt idx="231">
                  <c:v>-8.4949273196489594E-3</c:v>
                </c:pt>
                <c:pt idx="232">
                  <c:v>-6.7063858748162009E-3</c:v>
                </c:pt>
                <c:pt idx="233">
                  <c:v>6.1701979268837803E-3</c:v>
                </c:pt>
                <c:pt idx="234">
                  <c:v>1.7978453088527413E-3</c:v>
                </c:pt>
                <c:pt idx="235">
                  <c:v>9.1341403618585559E-3</c:v>
                </c:pt>
                <c:pt idx="236">
                  <c:v>-3.144186464518306E-3</c:v>
                </c:pt>
                <c:pt idx="237">
                  <c:v>-1.1151172735409665E-3</c:v>
                </c:pt>
                <c:pt idx="238">
                  <c:v>2.8390305445218367E-3</c:v>
                </c:pt>
                <c:pt idx="239">
                  <c:v>8.618726328923465E-3</c:v>
                </c:pt>
                <c:pt idx="240">
                  <c:v>5.993204860199608E-4</c:v>
                </c:pt>
                <c:pt idx="241">
                  <c:v>6.8699023549014804E-3</c:v>
                </c:pt>
                <c:pt idx="242">
                  <c:v>2.1900081360515244E-4</c:v>
                </c:pt>
                <c:pt idx="243">
                  <c:v>6.2513193051172422E-5</c:v>
                </c:pt>
                <c:pt idx="244">
                  <c:v>4.0990304747494655E-3</c:v>
                </c:pt>
                <c:pt idx="245">
                  <c:v>4.384146144083001E-3</c:v>
                </c:pt>
                <c:pt idx="246">
                  <c:v>1.5279367411606959E-3</c:v>
                </c:pt>
                <c:pt idx="247">
                  <c:v>3.1291696136248603E-5</c:v>
                </c:pt>
                <c:pt idx="248">
                  <c:v>5.3230009570153225E-3</c:v>
                </c:pt>
                <c:pt idx="249">
                  <c:v>-2.477269805444271E-4</c:v>
                </c:pt>
                <c:pt idx="250">
                  <c:v>-5.5131741409409907E-3</c:v>
                </c:pt>
                <c:pt idx="251">
                  <c:v>2.429284132216436E-3</c:v>
                </c:pt>
                <c:pt idx="252">
                  <c:v>9.3519476053978146E-3</c:v>
                </c:pt>
                <c:pt idx="253">
                  <c:v>-7.5723684143397252E-3</c:v>
                </c:pt>
                <c:pt idx="254">
                  <c:v>3.8151221524171941E-3</c:v>
                </c:pt>
                <c:pt idx="255">
                  <c:v>-2.8116664694741722E-3</c:v>
                </c:pt>
                <c:pt idx="256">
                  <c:v>5.3294063013271664E-3</c:v>
                </c:pt>
                <c:pt idx="257">
                  <c:v>6.7805888254892643E-3</c:v>
                </c:pt>
                <c:pt idx="258">
                  <c:v>-2.8775877164930463E-3</c:v>
                </c:pt>
                <c:pt idx="259">
                  <c:v>6.8773101429462358E-3</c:v>
                </c:pt>
                <c:pt idx="260">
                  <c:v>-1.5245543019364316E-3</c:v>
                </c:pt>
                <c:pt idx="261">
                  <c:v>2.2598238469915266E-3</c:v>
                </c:pt>
                <c:pt idx="262">
                  <c:v>8.3183513046241053E-3</c:v>
                </c:pt>
                <c:pt idx="263">
                  <c:v>3.1125841844226176E-3</c:v>
                </c:pt>
                <c:pt idx="264">
                  <c:v>-1.9582914541771412E-3</c:v>
                </c:pt>
                <c:pt idx="265">
                  <c:v>1.2088041649360726E-4</c:v>
                </c:pt>
                <c:pt idx="266">
                  <c:v>1.1468400632714815E-3</c:v>
                </c:pt>
                <c:pt idx="267">
                  <c:v>-8.893020757739345E-3</c:v>
                </c:pt>
                <c:pt idx="268">
                  <c:v>-1.6029449982491228E-2</c:v>
                </c:pt>
                <c:pt idx="269">
                  <c:v>1.0479167156578262E-2</c:v>
                </c:pt>
                <c:pt idx="270">
                  <c:v>-8.2605585334016851E-4</c:v>
                </c:pt>
                <c:pt idx="271">
                  <c:v>3.2453036616320041E-3</c:v>
                </c:pt>
                <c:pt idx="272">
                  <c:v>-1.8157733271125243E-2</c:v>
                </c:pt>
                <c:pt idx="273">
                  <c:v>7.4283563475028291E-3</c:v>
                </c:pt>
                <c:pt idx="274">
                  <c:v>1.5241411206402766E-2</c:v>
                </c:pt>
                <c:pt idx="275">
                  <c:v>1.1547949040223271E-2</c:v>
                </c:pt>
                <c:pt idx="276">
                  <c:v>3.3646949694974282E-3</c:v>
                </c:pt>
                <c:pt idx="277">
                  <c:v>-5.3294194193188593E-3</c:v>
                </c:pt>
                <c:pt idx="278">
                  <c:v>7.4653180454942181E-3</c:v>
                </c:pt>
                <c:pt idx="279">
                  <c:v>1.7329344383234524E-3</c:v>
                </c:pt>
                <c:pt idx="280">
                  <c:v>6.442883956364609E-3</c:v>
                </c:pt>
                <c:pt idx="281">
                  <c:v>-1.067065733103334E-3</c:v>
                </c:pt>
                <c:pt idx="282">
                  <c:v>1.6019769180690702E-3</c:v>
                </c:pt>
                <c:pt idx="283">
                  <c:v>-2.5769673576750973E-3</c:v>
                </c:pt>
                <c:pt idx="284">
                  <c:v>4.7813606495197281E-3</c:v>
                </c:pt>
                <c:pt idx="285">
                  <c:v>-4.1082056198763484E-3</c:v>
                </c:pt>
                <c:pt idx="286">
                  <c:v>-1.0298487506935738E-2</c:v>
                </c:pt>
                <c:pt idx="287">
                  <c:v>-3.316529144442959E-2</c:v>
                </c:pt>
                <c:pt idx="288">
                  <c:v>-3.0302182711582137E-2</c:v>
                </c:pt>
                <c:pt idx="289">
                  <c:v>-3.67803345316009E-3</c:v>
                </c:pt>
                <c:pt idx="290">
                  <c:v>-4.49117397460993E-2</c:v>
                </c:pt>
                <c:pt idx="291">
                  <c:v>-4.2014654718900424E-3</c:v>
                </c:pt>
                <c:pt idx="292">
                  <c:v>4.3306509016265649E-2</c:v>
                </c:pt>
                <c:pt idx="293">
                  <c:v>-2.863257294479471E-2</c:v>
                </c:pt>
                <c:pt idx="294">
                  <c:v>4.2033197005585166E-2</c:v>
                </c:pt>
                <c:pt idx="295">
                  <c:v>-3.3241639322092342E-2</c:v>
                </c:pt>
                <c:pt idx="296">
                  <c:v>-1.6531234885791668E-2</c:v>
                </c:pt>
                <c:pt idx="297">
                  <c:v>-7.809431477042228E-2</c:v>
                </c:pt>
                <c:pt idx="298">
                  <c:v>5.1744610896743204E-2</c:v>
                </c:pt>
                <c:pt idx="299">
                  <c:v>-4.8748644923318873E-2</c:v>
                </c:pt>
                <c:pt idx="300">
                  <c:v>-9.5676968124166484E-2</c:v>
                </c:pt>
                <c:pt idx="301">
                  <c:v>8.5486278138590777E-2</c:v>
                </c:pt>
                <c:pt idx="302">
                  <c:v>-0.10942372079277363</c:v>
                </c:pt>
                <c:pt idx="303">
                  <c:v>5.3992231433475091E-2</c:v>
                </c:pt>
                <c:pt idx="304">
                  <c:v>-5.0632934346107938E-2</c:v>
                </c:pt>
                <c:pt idx="305">
                  <c:v>2.1248587816524722E-3</c:v>
                </c:pt>
                <c:pt idx="306">
                  <c:v>-4.3094152764281524E-2</c:v>
                </c:pt>
                <c:pt idx="307">
                  <c:v>-2.5568231295662658E-2</c:v>
                </c:pt>
                <c:pt idx="308">
                  <c:v>9.0603173390269021E-2</c:v>
                </c:pt>
                <c:pt idx="309">
                  <c:v>1.4970367197915779E-2</c:v>
                </c:pt>
                <c:pt idx="310">
                  <c:v>5.8389675049631329E-2</c:v>
                </c:pt>
                <c:pt idx="311">
                  <c:v>-2.9785631870702156E-2</c:v>
                </c:pt>
                <c:pt idx="312">
                  <c:v>3.247570114420717E-2</c:v>
                </c:pt>
                <c:pt idx="313">
                  <c:v>-1.4905396626175849E-2</c:v>
                </c:pt>
                <c:pt idx="314">
                  <c:v>-4.5004889117887692E-2</c:v>
                </c:pt>
                <c:pt idx="315">
                  <c:v>2.3075417412981913E-2</c:v>
                </c:pt>
                <c:pt idx="316">
                  <c:v>-1.445418113920216E-2</c:v>
                </c:pt>
                <c:pt idx="317">
                  <c:v>6.7166103351828266E-2</c:v>
                </c:pt>
                <c:pt idx="318">
                  <c:v>1.0195662079719447E-3</c:v>
                </c:pt>
                <c:pt idx="319">
                  <c:v>3.3568277977527483E-2</c:v>
                </c:pt>
                <c:pt idx="320">
                  <c:v>1.521757144493896E-2</c:v>
                </c:pt>
                <c:pt idx="321">
                  <c:v>-9.1304112559082995E-3</c:v>
                </c:pt>
                <c:pt idx="322">
                  <c:v>2.949318803992762E-2</c:v>
                </c:pt>
                <c:pt idx="323">
                  <c:v>-2.1248334917558176E-2</c:v>
                </c:pt>
                <c:pt idx="324">
                  <c:v>4.8244014919918143E-3</c:v>
                </c:pt>
                <c:pt idx="325">
                  <c:v>2.7015323180031192E-2</c:v>
                </c:pt>
                <c:pt idx="326">
                  <c:v>-1.7617885070112749E-2</c:v>
                </c:pt>
                <c:pt idx="327">
                  <c:v>-3.0363185873587106E-2</c:v>
                </c:pt>
                <c:pt idx="328">
                  <c:v>2.2194484986830076E-2</c:v>
                </c:pt>
                <c:pt idx="329">
                  <c:v>-7.1610751411377294E-5</c:v>
                </c:pt>
                <c:pt idx="330">
                  <c:v>1.3938666150070667E-2</c:v>
                </c:pt>
                <c:pt idx="331">
                  <c:v>1.4418503793647286E-2</c:v>
                </c:pt>
                <c:pt idx="332">
                  <c:v>-4.5984161758955144E-3</c:v>
                </c:pt>
                <c:pt idx="333">
                  <c:v>2.6178396589441766E-2</c:v>
                </c:pt>
                <c:pt idx="334">
                  <c:v>-9.3106847157256034E-3</c:v>
                </c:pt>
                <c:pt idx="335">
                  <c:v>-2.6473434614380675E-2</c:v>
                </c:pt>
                <c:pt idx="336">
                  <c:v>2.7581839698547217E-3</c:v>
                </c:pt>
                <c:pt idx="337">
                  <c:v>9.2393223075446507E-3</c:v>
                </c:pt>
                <c:pt idx="338">
                  <c:v>-6.7786188044510753E-3</c:v>
                </c:pt>
                <c:pt idx="339">
                  <c:v>1.2066707504521768E-2</c:v>
                </c:pt>
                <c:pt idx="340">
                  <c:v>1.6546250256828987E-2</c:v>
                </c:pt>
                <c:pt idx="341">
                  <c:v>2.0525351794287161E-4</c:v>
                </c:pt>
                <c:pt idx="342">
                  <c:v>-1.9931764438237076E-2</c:v>
                </c:pt>
                <c:pt idx="343">
                  <c:v>-1.7685869532278908E-2</c:v>
                </c:pt>
                <c:pt idx="344">
                  <c:v>1.1967449132084251E-2</c:v>
                </c:pt>
                <c:pt idx="345">
                  <c:v>4.5969105308356628E-3</c:v>
                </c:pt>
                <c:pt idx="346">
                  <c:v>3.0459738870395325E-2</c:v>
                </c:pt>
                <c:pt idx="347">
                  <c:v>-1.0271423472739571E-2</c:v>
                </c:pt>
                <c:pt idx="348">
                  <c:v>1.6988332640760939E-2</c:v>
                </c:pt>
                <c:pt idx="349">
                  <c:v>-6.9039681366674932E-3</c:v>
                </c:pt>
                <c:pt idx="350">
                  <c:v>1.8992088695075626E-3</c:v>
                </c:pt>
                <c:pt idx="351">
                  <c:v>1.232032001094896E-2</c:v>
                </c:pt>
                <c:pt idx="352">
                  <c:v>1.4878998564581858E-2</c:v>
                </c:pt>
                <c:pt idx="353">
                  <c:v>-1.84487583286852E-3</c:v>
                </c:pt>
                <c:pt idx="354">
                  <c:v>4.4557372155122899E-3</c:v>
                </c:pt>
                <c:pt idx="355">
                  <c:v>4.0419148579609043E-3</c:v>
                </c:pt>
                <c:pt idx="356">
                  <c:v>8.279915927419168E-3</c:v>
                </c:pt>
                <c:pt idx="357">
                  <c:v>1.3308512660076266E-2</c:v>
                </c:pt>
                <c:pt idx="358">
                  <c:v>-2.6267651816855864E-3</c:v>
                </c:pt>
                <c:pt idx="359">
                  <c:v>2.5629600938956276E-2</c:v>
                </c:pt>
                <c:pt idx="360">
                  <c:v>1.2087405804400042E-2</c:v>
                </c:pt>
                <c:pt idx="361">
                  <c:v>-7.4566104845250614E-3</c:v>
                </c:pt>
                <c:pt idx="362">
                  <c:v>-5.5800065642890306E-3</c:v>
                </c:pt>
                <c:pt idx="363">
                  <c:v>-5.7649086209779044E-2</c:v>
                </c:pt>
                <c:pt idx="364">
                  <c:v>1.1975780154728222E-2</c:v>
                </c:pt>
                <c:pt idx="365">
                  <c:v>9.3356800993726896E-3</c:v>
                </c:pt>
                <c:pt idx="366">
                  <c:v>1.92476355416209E-2</c:v>
                </c:pt>
                <c:pt idx="367">
                  <c:v>-4.1538465706363326E-3</c:v>
                </c:pt>
                <c:pt idx="368">
                  <c:v>3.8487660475250429E-4</c:v>
                </c:pt>
                <c:pt idx="369">
                  <c:v>-5.7148208956896429E-3</c:v>
                </c:pt>
                <c:pt idx="370">
                  <c:v>6.4153997017057929E-3</c:v>
                </c:pt>
                <c:pt idx="371">
                  <c:v>4.6034039348983313E-3</c:v>
                </c:pt>
                <c:pt idx="372">
                  <c:v>-2.5508816051501793E-2</c:v>
                </c:pt>
                <c:pt idx="373">
                  <c:v>1.0720578135614334E-2</c:v>
                </c:pt>
                <c:pt idx="374">
                  <c:v>-2.375132013600123E-2</c:v>
                </c:pt>
                <c:pt idx="375">
                  <c:v>1.4697485290460222E-2</c:v>
                </c:pt>
                <c:pt idx="376">
                  <c:v>1.2809426603906937E-2</c:v>
                </c:pt>
                <c:pt idx="377">
                  <c:v>7.0049919797676719E-3</c:v>
                </c:pt>
                <c:pt idx="378">
                  <c:v>5.5069486597416617E-3</c:v>
                </c:pt>
                <c:pt idx="379">
                  <c:v>1.5437245461707549E-2</c:v>
                </c:pt>
                <c:pt idx="380">
                  <c:v>-1.0313733360423849E-2</c:v>
                </c:pt>
                <c:pt idx="381">
                  <c:v>7.6487346792095678E-3</c:v>
                </c:pt>
                <c:pt idx="382">
                  <c:v>-5.6929845453245198E-3</c:v>
                </c:pt>
                <c:pt idx="383">
                  <c:v>1.0210430238554391E-2</c:v>
                </c:pt>
                <c:pt idx="384">
                  <c:v>-8.658948363955421E-3</c:v>
                </c:pt>
                <c:pt idx="385">
                  <c:v>1.295906202646524E-2</c:v>
                </c:pt>
                <c:pt idx="386">
                  <c:v>9.1872724542343409E-3</c:v>
                </c:pt>
                <c:pt idx="387">
                  <c:v>-3.2933727796681245E-3</c:v>
                </c:pt>
                <c:pt idx="388">
                  <c:v>2.8988786437762482E-3</c:v>
                </c:pt>
                <c:pt idx="389">
                  <c:v>8.0815411882357857E-3</c:v>
                </c:pt>
                <c:pt idx="390">
                  <c:v>2.1278272971125833E-3</c:v>
                </c:pt>
                <c:pt idx="391">
                  <c:v>5.6918631014402088E-3</c:v>
                </c:pt>
                <c:pt idx="392">
                  <c:v>-1.193168044074322E-2</c:v>
                </c:pt>
                <c:pt idx="393">
                  <c:v>-6.4402905510494435E-3</c:v>
                </c:pt>
                <c:pt idx="394">
                  <c:v>7.292364554599251E-3</c:v>
                </c:pt>
                <c:pt idx="395">
                  <c:v>-6.3425647412930219E-3</c:v>
                </c:pt>
                <c:pt idx="396">
                  <c:v>1.2298753320890254E-2</c:v>
                </c:pt>
                <c:pt idx="397">
                  <c:v>-3.5677373103053522E-3</c:v>
                </c:pt>
                <c:pt idx="398">
                  <c:v>7.9019311780266221E-3</c:v>
                </c:pt>
                <c:pt idx="399">
                  <c:v>6.952424166833282E-3</c:v>
                </c:pt>
                <c:pt idx="400">
                  <c:v>3.8624238846853842E-3</c:v>
                </c:pt>
                <c:pt idx="401">
                  <c:v>6.2112231296855835E-3</c:v>
                </c:pt>
                <c:pt idx="402">
                  <c:v>6.6843685246342766E-3</c:v>
                </c:pt>
                <c:pt idx="403">
                  <c:v>7.1783078183740301E-4</c:v>
                </c:pt>
                <c:pt idx="404">
                  <c:v>2.9889764682098363E-3</c:v>
                </c:pt>
                <c:pt idx="405">
                  <c:v>-8.2545811931474811E-3</c:v>
                </c:pt>
                <c:pt idx="406">
                  <c:v>1.3942188661090427E-2</c:v>
                </c:pt>
                <c:pt idx="407">
                  <c:v>-1.8077118692871874E-3</c:v>
                </c:pt>
                <c:pt idx="408">
                  <c:v>2.9728210360957519E-5</c:v>
                </c:pt>
                <c:pt idx="409">
                  <c:v>3.1767242652422922E-3</c:v>
                </c:pt>
                <c:pt idx="410">
                  <c:v>2.1604052080028691E-3</c:v>
                </c:pt>
                <c:pt idx="411">
                  <c:v>-4.1638393928231654E-3</c:v>
                </c:pt>
                <c:pt idx="412">
                  <c:v>3.1135750070379054E-3</c:v>
                </c:pt>
                <c:pt idx="413">
                  <c:v>3.5473392851324004E-3</c:v>
                </c:pt>
                <c:pt idx="414">
                  <c:v>1.0133324577059399E-2</c:v>
                </c:pt>
                <c:pt idx="415">
                  <c:v>3.4992493651837542E-3</c:v>
                </c:pt>
                <c:pt idx="416">
                  <c:v>1.0025603872449329E-2</c:v>
                </c:pt>
                <c:pt idx="417">
                  <c:v>2.1865091370856238E-3</c:v>
                </c:pt>
                <c:pt idx="418">
                  <c:v>6.4593515923945244E-3</c:v>
                </c:pt>
                <c:pt idx="419">
                  <c:v>-3.6225394267189737E-3</c:v>
                </c:pt>
                <c:pt idx="420">
                  <c:v>9.4184637463441412E-3</c:v>
                </c:pt>
                <c:pt idx="421">
                  <c:v>1.4464114562413144E-2</c:v>
                </c:pt>
                <c:pt idx="422">
                  <c:v>-3.4414294048789706E-2</c:v>
                </c:pt>
                <c:pt idx="423">
                  <c:v>-8.1647476389468121E-3</c:v>
                </c:pt>
                <c:pt idx="424">
                  <c:v>-2.7322770896333393E-2</c:v>
                </c:pt>
                <c:pt idx="425">
                  <c:v>1.9747179391700787E-2</c:v>
                </c:pt>
                <c:pt idx="426">
                  <c:v>-1.7363572610475275E-2</c:v>
                </c:pt>
                <c:pt idx="427">
                  <c:v>5.0923557109960882E-4</c:v>
                </c:pt>
                <c:pt idx="428">
                  <c:v>1.3171189351432355E-2</c:v>
                </c:pt>
                <c:pt idx="429">
                  <c:v>5.0525348238807943E-3</c:v>
                </c:pt>
                <c:pt idx="430">
                  <c:v>-3.9688746858660418E-3</c:v>
                </c:pt>
                <c:pt idx="431">
                  <c:v>-8.79534446521546E-3</c:v>
                </c:pt>
                <c:pt idx="432">
                  <c:v>-1.151262919765339E-2</c:v>
                </c:pt>
                <c:pt idx="433">
                  <c:v>-1.1129386900808003E-2</c:v>
                </c:pt>
                <c:pt idx="434">
                  <c:v>1.0184302329772299E-2</c:v>
                </c:pt>
                <c:pt idx="435">
                  <c:v>-2.3190933877250353E-2</c:v>
                </c:pt>
                <c:pt idx="436">
                  <c:v>2.6652507178661633E-3</c:v>
                </c:pt>
                <c:pt idx="437">
                  <c:v>1.6167026376602722E-2</c:v>
                </c:pt>
                <c:pt idx="438">
                  <c:v>1.6609314095046512E-2</c:v>
                </c:pt>
                <c:pt idx="439">
                  <c:v>-5.4460159500625549E-3</c:v>
                </c:pt>
                <c:pt idx="440">
                  <c:v>7.581928774354818E-3</c:v>
                </c:pt>
                <c:pt idx="441">
                  <c:v>6.4200032845178612E-3</c:v>
                </c:pt>
                <c:pt idx="442">
                  <c:v>-9.4944139916489645E-3</c:v>
                </c:pt>
                <c:pt idx="443">
                  <c:v>1.7733135478033457E-2</c:v>
                </c:pt>
                <c:pt idx="444">
                  <c:v>-1.4215853333956918E-2</c:v>
                </c:pt>
                <c:pt idx="445">
                  <c:v>1.740649670567751E-2</c:v>
                </c:pt>
                <c:pt idx="446">
                  <c:v>8.8627572308157543E-3</c:v>
                </c:pt>
                <c:pt idx="447">
                  <c:v>8.9298579172683024E-3</c:v>
                </c:pt>
                <c:pt idx="448">
                  <c:v>1.608765387308897E-2</c:v>
                </c:pt>
                <c:pt idx="449">
                  <c:v>-6.5259418269143499E-3</c:v>
                </c:pt>
                <c:pt idx="450">
                  <c:v>-6.2834285511884636E-3</c:v>
                </c:pt>
                <c:pt idx="451">
                  <c:v>-1.2359882917148957E-3</c:v>
                </c:pt>
                <c:pt idx="452">
                  <c:v>-6.0431789816506321E-4</c:v>
                </c:pt>
                <c:pt idx="453">
                  <c:v>-1.5203319971800577E-2</c:v>
                </c:pt>
                <c:pt idx="454">
                  <c:v>4.0056974321642791E-3</c:v>
                </c:pt>
                <c:pt idx="455">
                  <c:v>-1.8930668382398652E-3</c:v>
                </c:pt>
                <c:pt idx="456">
                  <c:v>5.4853640330010389E-3</c:v>
                </c:pt>
                <c:pt idx="457">
                  <c:v>3.3954004435843288E-3</c:v>
                </c:pt>
                <c:pt idx="458">
                  <c:v>-1.8480018393658981E-2</c:v>
                </c:pt>
                <c:pt idx="459">
                  <c:v>-3.4473425110700395E-3</c:v>
                </c:pt>
                <c:pt idx="460">
                  <c:v>-3.4178922648210652E-2</c:v>
                </c:pt>
                <c:pt idx="461">
                  <c:v>1.0163436131759074E-2</c:v>
                </c:pt>
                <c:pt idx="462">
                  <c:v>-1.042490629153503E-2</c:v>
                </c:pt>
                <c:pt idx="463">
                  <c:v>1.1208475494422609E-2</c:v>
                </c:pt>
                <c:pt idx="464">
                  <c:v>1.7655932427571353E-2</c:v>
                </c:pt>
                <c:pt idx="465">
                  <c:v>2.2349169965382609E-2</c:v>
                </c:pt>
                <c:pt idx="466">
                  <c:v>1.9502929590644147E-2</c:v>
                </c:pt>
                <c:pt idx="467">
                  <c:v>-2.2851945269286578E-4</c:v>
                </c:pt>
                <c:pt idx="468">
                  <c:v>1.2565606819357811E-2</c:v>
                </c:pt>
                <c:pt idx="469">
                  <c:v>-1.4665597339570402E-3</c:v>
                </c:pt>
                <c:pt idx="470">
                  <c:v>7.4286052707084327E-3</c:v>
                </c:pt>
                <c:pt idx="471">
                  <c:v>-9.700988501003982E-3</c:v>
                </c:pt>
                <c:pt idx="472">
                  <c:v>1.3844561449388282E-2</c:v>
                </c:pt>
                <c:pt idx="473">
                  <c:v>1.2482558170378466E-2</c:v>
                </c:pt>
                <c:pt idx="474">
                  <c:v>-5.3784449746822061E-3</c:v>
                </c:pt>
                <c:pt idx="475">
                  <c:v>-1.2034678771105756E-2</c:v>
                </c:pt>
                <c:pt idx="476">
                  <c:v>4.2102181329668475E-3</c:v>
                </c:pt>
                <c:pt idx="477">
                  <c:v>-6.847884652961489E-3</c:v>
                </c:pt>
                <c:pt idx="478">
                  <c:v>5.994565649161343E-3</c:v>
                </c:pt>
                <c:pt idx="479">
                  <c:v>1.611365943348253E-2</c:v>
                </c:pt>
                <c:pt idx="480">
                  <c:v>-1.5417685533732906E-3</c:v>
                </c:pt>
                <c:pt idx="481">
                  <c:v>2.7851057234840049E-3</c:v>
                </c:pt>
                <c:pt idx="482">
                  <c:v>-4.4271845340466687E-3</c:v>
                </c:pt>
                <c:pt idx="483">
                  <c:v>1.0937222472905406E-2</c:v>
                </c:pt>
                <c:pt idx="484">
                  <c:v>2.1038025125887927E-3</c:v>
                </c:pt>
                <c:pt idx="485">
                  <c:v>-2.7267522785101583E-4</c:v>
                </c:pt>
                <c:pt idx="486">
                  <c:v>8.6178365304656612E-3</c:v>
                </c:pt>
                <c:pt idx="487">
                  <c:v>-2.0550498116275184E-3</c:v>
                </c:pt>
                <c:pt idx="488">
                  <c:v>2.9261579402954929E-3</c:v>
                </c:pt>
                <c:pt idx="489">
                  <c:v>-8.9688204984695874E-3</c:v>
                </c:pt>
                <c:pt idx="490">
                  <c:v>-3.2725765390118067E-4</c:v>
                </c:pt>
                <c:pt idx="491">
                  <c:v>-1.1723674397928763E-3</c:v>
                </c:pt>
                <c:pt idx="492">
                  <c:v>-4.4771625747747068E-3</c:v>
                </c:pt>
                <c:pt idx="493">
                  <c:v>1.351933097405067E-2</c:v>
                </c:pt>
                <c:pt idx="494">
                  <c:v>1.5693338864144479E-3</c:v>
                </c:pt>
                <c:pt idx="495">
                  <c:v>5.5919146289677979E-3</c:v>
                </c:pt>
                <c:pt idx="496">
                  <c:v>-3.9929056757369574E-3</c:v>
                </c:pt>
                <c:pt idx="497">
                  <c:v>-3.5755494664578835E-3</c:v>
                </c:pt>
                <c:pt idx="498">
                  <c:v>-1.6853497505238124E-3</c:v>
                </c:pt>
                <c:pt idx="499">
                  <c:v>8.9869286658483816E-4</c:v>
                </c:pt>
                <c:pt idx="500">
                  <c:v>3.8903637545384395E-3</c:v>
                </c:pt>
                <c:pt idx="501">
                  <c:v>8.5908137835792875E-3</c:v>
                </c:pt>
                <c:pt idx="502">
                  <c:v>-1.9076701567345422E-3</c:v>
                </c:pt>
                <c:pt idx="503">
                  <c:v>1.4266350002845041E-3</c:v>
                </c:pt>
                <c:pt idx="504">
                  <c:v>5.0808532531914086E-3</c:v>
                </c:pt>
              </c:numCache>
            </c:numRef>
          </c:val>
          <c:smooth val="0"/>
          <c:extLst>
            <c:ext xmlns:c16="http://schemas.microsoft.com/office/drawing/2014/chart" uri="{C3380CC4-5D6E-409C-BE32-E72D297353CC}">
              <c16:uniqueId val="{00000000-357C-4319-A85C-4DCA3A1F632A}"/>
            </c:ext>
          </c:extLst>
        </c:ser>
        <c:dLbls>
          <c:showLegendKey val="0"/>
          <c:showVal val="0"/>
          <c:showCatName val="0"/>
          <c:showSerName val="0"/>
          <c:showPercent val="0"/>
          <c:showBubbleSize val="0"/>
        </c:dLbls>
        <c:marker val="1"/>
        <c:smooth val="0"/>
        <c:axId val="2040515792"/>
        <c:axId val="2040519952"/>
      </c:lineChart>
      <c:lineChart>
        <c:grouping val="standard"/>
        <c:varyColors val="0"/>
        <c:ser>
          <c:idx val="1"/>
          <c:order val="1"/>
          <c:tx>
            <c:v>Sample 2 (rhs)</c:v>
          </c:tx>
          <c:spPr>
            <a:ln w="12700" cap="rnd">
              <a:solidFill>
                <a:schemeClr val="accent2"/>
              </a:solidFill>
              <a:round/>
            </a:ln>
            <a:effectLst/>
          </c:spPr>
          <c:marker>
            <c:symbol val="none"/>
          </c:marker>
          <c:cat>
            <c:numRef>
              <c:f>(CONTAGION_COSKEWNESS!$F$19:$F$318,CONTAGION_COSKEWNESS!$F$321:$F$526)</c:f>
              <c:numCache>
                <c:formatCode>dd/mm/yy;@</c:formatCode>
                <c:ptCount val="506"/>
                <c:pt idx="0">
                  <c:v>43465</c:v>
                </c:pt>
                <c:pt idx="1">
                  <c:v>43467</c:v>
                </c:pt>
                <c:pt idx="2">
                  <c:v>43468</c:v>
                </c:pt>
                <c:pt idx="3">
                  <c:v>43469</c:v>
                </c:pt>
                <c:pt idx="4">
                  <c:v>43472</c:v>
                </c:pt>
                <c:pt idx="5">
                  <c:v>43473</c:v>
                </c:pt>
                <c:pt idx="6">
                  <c:v>43474</c:v>
                </c:pt>
                <c:pt idx="7">
                  <c:v>43475</c:v>
                </c:pt>
                <c:pt idx="8">
                  <c:v>43476</c:v>
                </c:pt>
                <c:pt idx="9">
                  <c:v>43479</c:v>
                </c:pt>
                <c:pt idx="10">
                  <c:v>43480</c:v>
                </c:pt>
                <c:pt idx="11">
                  <c:v>43481</c:v>
                </c:pt>
                <c:pt idx="12">
                  <c:v>43482</c:v>
                </c:pt>
                <c:pt idx="13">
                  <c:v>43483</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43605</c:v>
                </c:pt>
                <c:pt idx="97">
                  <c:v>43606</c:v>
                </c:pt>
                <c:pt idx="98">
                  <c:v>43607</c:v>
                </c:pt>
                <c:pt idx="99">
                  <c:v>43608</c:v>
                </c:pt>
                <c:pt idx="100">
                  <c:v>43609</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43647</c:v>
                </c:pt>
                <c:pt idx="126">
                  <c:v>43648</c:v>
                </c:pt>
                <c:pt idx="127">
                  <c:v>43649</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43682</c:v>
                </c:pt>
                <c:pt idx="150">
                  <c:v>43683</c:v>
                </c:pt>
                <c:pt idx="151">
                  <c:v>43684</c:v>
                </c:pt>
                <c:pt idx="152">
                  <c:v>43685</c:v>
                </c:pt>
                <c:pt idx="153">
                  <c:v>43686</c:v>
                </c:pt>
                <c:pt idx="154">
                  <c:v>43689</c:v>
                </c:pt>
                <c:pt idx="155">
                  <c:v>43690</c:v>
                </c:pt>
                <c:pt idx="156">
                  <c:v>43691</c:v>
                </c:pt>
                <c:pt idx="157">
                  <c:v>43692</c:v>
                </c:pt>
                <c:pt idx="158">
                  <c:v>43693</c:v>
                </c:pt>
                <c:pt idx="159">
                  <c:v>43696</c:v>
                </c:pt>
                <c:pt idx="160">
                  <c:v>43697</c:v>
                </c:pt>
                <c:pt idx="161">
                  <c:v>43698</c:v>
                </c:pt>
                <c:pt idx="162">
                  <c:v>43699</c:v>
                </c:pt>
                <c:pt idx="163">
                  <c:v>43700</c:v>
                </c:pt>
                <c:pt idx="164">
                  <c:v>43703</c:v>
                </c:pt>
                <c:pt idx="165">
                  <c:v>43704</c:v>
                </c:pt>
                <c:pt idx="166">
                  <c:v>43705</c:v>
                </c:pt>
                <c:pt idx="167">
                  <c:v>43706</c:v>
                </c:pt>
                <c:pt idx="168">
                  <c:v>43707</c:v>
                </c:pt>
                <c:pt idx="169">
                  <c:v>43711</c:v>
                </c:pt>
                <c:pt idx="170">
                  <c:v>43712</c:v>
                </c:pt>
                <c:pt idx="171">
                  <c:v>43713</c:v>
                </c:pt>
                <c:pt idx="172">
                  <c:v>43714</c:v>
                </c:pt>
                <c:pt idx="173">
                  <c:v>43717</c:v>
                </c:pt>
                <c:pt idx="174">
                  <c:v>43718</c:v>
                </c:pt>
                <c:pt idx="175">
                  <c:v>43719</c:v>
                </c:pt>
                <c:pt idx="176">
                  <c:v>43720</c:v>
                </c:pt>
                <c:pt idx="177">
                  <c:v>43721</c:v>
                </c:pt>
                <c:pt idx="178">
                  <c:v>43724</c:v>
                </c:pt>
                <c:pt idx="179">
                  <c:v>43725</c:v>
                </c:pt>
                <c:pt idx="180">
                  <c:v>43726</c:v>
                </c:pt>
                <c:pt idx="181">
                  <c:v>43727</c:v>
                </c:pt>
                <c:pt idx="182">
                  <c:v>43728</c:v>
                </c:pt>
                <c:pt idx="183">
                  <c:v>43731</c:v>
                </c:pt>
                <c:pt idx="184">
                  <c:v>43732</c:v>
                </c:pt>
                <c:pt idx="185">
                  <c:v>43733</c:v>
                </c:pt>
                <c:pt idx="186">
                  <c:v>43734</c:v>
                </c:pt>
                <c:pt idx="187">
                  <c:v>43735</c:v>
                </c:pt>
                <c:pt idx="188">
                  <c:v>43738</c:v>
                </c:pt>
                <c:pt idx="189">
                  <c:v>43739</c:v>
                </c:pt>
                <c:pt idx="190">
                  <c:v>43740</c:v>
                </c:pt>
                <c:pt idx="191">
                  <c:v>43741</c:v>
                </c:pt>
                <c:pt idx="192">
                  <c:v>43742</c:v>
                </c:pt>
                <c:pt idx="193">
                  <c:v>43745</c:v>
                </c:pt>
                <c:pt idx="194">
                  <c:v>43746</c:v>
                </c:pt>
                <c:pt idx="195">
                  <c:v>43747</c:v>
                </c:pt>
                <c:pt idx="196">
                  <c:v>43748</c:v>
                </c:pt>
                <c:pt idx="197">
                  <c:v>43749</c:v>
                </c:pt>
                <c:pt idx="198">
                  <c:v>43752</c:v>
                </c:pt>
                <c:pt idx="199">
                  <c:v>43753</c:v>
                </c:pt>
                <c:pt idx="200">
                  <c:v>43754</c:v>
                </c:pt>
                <c:pt idx="201">
                  <c:v>43755</c:v>
                </c:pt>
                <c:pt idx="202">
                  <c:v>43756</c:v>
                </c:pt>
                <c:pt idx="203">
                  <c:v>43759</c:v>
                </c:pt>
                <c:pt idx="204">
                  <c:v>43760</c:v>
                </c:pt>
                <c:pt idx="205">
                  <c:v>43761</c:v>
                </c:pt>
                <c:pt idx="206">
                  <c:v>43762</c:v>
                </c:pt>
                <c:pt idx="207">
                  <c:v>43763</c:v>
                </c:pt>
                <c:pt idx="208">
                  <c:v>43766</c:v>
                </c:pt>
                <c:pt idx="209">
                  <c:v>43767</c:v>
                </c:pt>
                <c:pt idx="210">
                  <c:v>43768</c:v>
                </c:pt>
                <c:pt idx="211">
                  <c:v>43769</c:v>
                </c:pt>
                <c:pt idx="212">
                  <c:v>43770</c:v>
                </c:pt>
                <c:pt idx="213">
                  <c:v>43773</c:v>
                </c:pt>
                <c:pt idx="214">
                  <c:v>43774</c:v>
                </c:pt>
                <c:pt idx="215">
                  <c:v>43775</c:v>
                </c:pt>
                <c:pt idx="216">
                  <c:v>43776</c:v>
                </c:pt>
                <c:pt idx="217">
                  <c:v>43777</c:v>
                </c:pt>
                <c:pt idx="218">
                  <c:v>43780</c:v>
                </c:pt>
                <c:pt idx="219">
                  <c:v>43781</c:v>
                </c:pt>
                <c:pt idx="220">
                  <c:v>43782</c:v>
                </c:pt>
                <c:pt idx="221">
                  <c:v>43783</c:v>
                </c:pt>
                <c:pt idx="222">
                  <c:v>43784</c:v>
                </c:pt>
                <c:pt idx="223">
                  <c:v>43787</c:v>
                </c:pt>
                <c:pt idx="224">
                  <c:v>43788</c:v>
                </c:pt>
                <c:pt idx="225">
                  <c:v>43789</c:v>
                </c:pt>
                <c:pt idx="226">
                  <c:v>43790</c:v>
                </c:pt>
                <c:pt idx="227">
                  <c:v>43791</c:v>
                </c:pt>
                <c:pt idx="228">
                  <c:v>43794</c:v>
                </c:pt>
                <c:pt idx="229">
                  <c:v>43795</c:v>
                </c:pt>
                <c:pt idx="230">
                  <c:v>43796</c:v>
                </c:pt>
                <c:pt idx="231">
                  <c:v>43798</c:v>
                </c:pt>
                <c:pt idx="232">
                  <c:v>43801</c:v>
                </c:pt>
                <c:pt idx="233">
                  <c:v>43802</c:v>
                </c:pt>
                <c:pt idx="234">
                  <c:v>43803</c:v>
                </c:pt>
                <c:pt idx="235">
                  <c:v>43804</c:v>
                </c:pt>
                <c:pt idx="236">
                  <c:v>43805</c:v>
                </c:pt>
                <c:pt idx="237">
                  <c:v>43808</c:v>
                </c:pt>
                <c:pt idx="238">
                  <c:v>43809</c:v>
                </c:pt>
                <c:pt idx="239">
                  <c:v>43810</c:v>
                </c:pt>
                <c:pt idx="240">
                  <c:v>43811</c:v>
                </c:pt>
                <c:pt idx="241">
                  <c:v>43812</c:v>
                </c:pt>
                <c:pt idx="242">
                  <c:v>43815</c:v>
                </c:pt>
                <c:pt idx="243">
                  <c:v>43816</c:v>
                </c:pt>
                <c:pt idx="244">
                  <c:v>43817</c:v>
                </c:pt>
                <c:pt idx="245">
                  <c:v>43818</c:v>
                </c:pt>
                <c:pt idx="246">
                  <c:v>43819</c:v>
                </c:pt>
                <c:pt idx="247">
                  <c:v>43822</c:v>
                </c:pt>
                <c:pt idx="248">
                  <c:v>43823</c:v>
                </c:pt>
                <c:pt idx="249">
                  <c:v>43825</c:v>
                </c:pt>
                <c:pt idx="250">
                  <c:v>43826</c:v>
                </c:pt>
                <c:pt idx="251">
                  <c:v>43829</c:v>
                </c:pt>
                <c:pt idx="252">
                  <c:v>43830</c:v>
                </c:pt>
                <c:pt idx="253">
                  <c:v>43832</c:v>
                </c:pt>
                <c:pt idx="254">
                  <c:v>43833</c:v>
                </c:pt>
                <c:pt idx="255">
                  <c:v>43836</c:v>
                </c:pt>
                <c:pt idx="256">
                  <c:v>43837</c:v>
                </c:pt>
                <c:pt idx="257">
                  <c:v>43838</c:v>
                </c:pt>
                <c:pt idx="258">
                  <c:v>43839</c:v>
                </c:pt>
                <c:pt idx="259">
                  <c:v>43840</c:v>
                </c:pt>
                <c:pt idx="260">
                  <c:v>43843</c:v>
                </c:pt>
                <c:pt idx="261">
                  <c:v>43844</c:v>
                </c:pt>
                <c:pt idx="262">
                  <c:v>43845</c:v>
                </c:pt>
                <c:pt idx="263">
                  <c:v>43846</c:v>
                </c:pt>
                <c:pt idx="264">
                  <c:v>43847</c:v>
                </c:pt>
                <c:pt idx="265">
                  <c:v>43851</c:v>
                </c:pt>
                <c:pt idx="266">
                  <c:v>43852</c:v>
                </c:pt>
                <c:pt idx="267">
                  <c:v>43853</c:v>
                </c:pt>
                <c:pt idx="268">
                  <c:v>43854</c:v>
                </c:pt>
                <c:pt idx="269">
                  <c:v>43857</c:v>
                </c:pt>
                <c:pt idx="270">
                  <c:v>43858</c:v>
                </c:pt>
                <c:pt idx="271">
                  <c:v>43859</c:v>
                </c:pt>
                <c:pt idx="272">
                  <c:v>43860</c:v>
                </c:pt>
                <c:pt idx="273">
                  <c:v>43861</c:v>
                </c:pt>
                <c:pt idx="274">
                  <c:v>43864</c:v>
                </c:pt>
                <c:pt idx="275">
                  <c:v>43865</c:v>
                </c:pt>
                <c:pt idx="276">
                  <c:v>43866</c:v>
                </c:pt>
                <c:pt idx="277">
                  <c:v>43867</c:v>
                </c:pt>
                <c:pt idx="278">
                  <c:v>43868</c:v>
                </c:pt>
                <c:pt idx="279">
                  <c:v>43871</c:v>
                </c:pt>
                <c:pt idx="280">
                  <c:v>43872</c:v>
                </c:pt>
                <c:pt idx="281">
                  <c:v>43873</c:v>
                </c:pt>
                <c:pt idx="282">
                  <c:v>43874</c:v>
                </c:pt>
                <c:pt idx="283">
                  <c:v>43875</c:v>
                </c:pt>
                <c:pt idx="284">
                  <c:v>43879</c:v>
                </c:pt>
                <c:pt idx="285">
                  <c:v>43880</c:v>
                </c:pt>
                <c:pt idx="286">
                  <c:v>43881</c:v>
                </c:pt>
                <c:pt idx="287">
                  <c:v>43882</c:v>
                </c:pt>
                <c:pt idx="288">
                  <c:v>43885</c:v>
                </c:pt>
                <c:pt idx="289">
                  <c:v>43886</c:v>
                </c:pt>
                <c:pt idx="290">
                  <c:v>43887</c:v>
                </c:pt>
                <c:pt idx="291">
                  <c:v>43888</c:v>
                </c:pt>
                <c:pt idx="292">
                  <c:v>43889</c:v>
                </c:pt>
                <c:pt idx="293">
                  <c:v>43892</c:v>
                </c:pt>
                <c:pt idx="294">
                  <c:v>43893</c:v>
                </c:pt>
                <c:pt idx="295">
                  <c:v>43894</c:v>
                </c:pt>
                <c:pt idx="296">
                  <c:v>43895</c:v>
                </c:pt>
                <c:pt idx="297">
                  <c:v>43896</c:v>
                </c:pt>
                <c:pt idx="298">
                  <c:v>43899</c:v>
                </c:pt>
                <c:pt idx="299">
                  <c:v>43900</c:v>
                </c:pt>
                <c:pt idx="300">
                  <c:v>43901</c:v>
                </c:pt>
                <c:pt idx="301">
                  <c:v>43902</c:v>
                </c:pt>
                <c:pt idx="302">
                  <c:v>43903</c:v>
                </c:pt>
                <c:pt idx="303">
                  <c:v>43906</c:v>
                </c:pt>
                <c:pt idx="304">
                  <c:v>43907</c:v>
                </c:pt>
                <c:pt idx="305">
                  <c:v>43908</c:v>
                </c:pt>
                <c:pt idx="306">
                  <c:v>43909</c:v>
                </c:pt>
                <c:pt idx="307">
                  <c:v>43910</c:v>
                </c:pt>
                <c:pt idx="308">
                  <c:v>43913</c:v>
                </c:pt>
                <c:pt idx="309">
                  <c:v>43914</c:v>
                </c:pt>
                <c:pt idx="310">
                  <c:v>43915</c:v>
                </c:pt>
                <c:pt idx="311">
                  <c:v>43916</c:v>
                </c:pt>
                <c:pt idx="312">
                  <c:v>43917</c:v>
                </c:pt>
                <c:pt idx="313">
                  <c:v>43920</c:v>
                </c:pt>
                <c:pt idx="314">
                  <c:v>43921</c:v>
                </c:pt>
                <c:pt idx="315">
                  <c:v>43922</c:v>
                </c:pt>
                <c:pt idx="316">
                  <c:v>43923</c:v>
                </c:pt>
                <c:pt idx="317">
                  <c:v>43924</c:v>
                </c:pt>
                <c:pt idx="318">
                  <c:v>43927</c:v>
                </c:pt>
                <c:pt idx="319">
                  <c:v>43928</c:v>
                </c:pt>
                <c:pt idx="320">
                  <c:v>43929</c:v>
                </c:pt>
                <c:pt idx="321">
                  <c:v>43930</c:v>
                </c:pt>
                <c:pt idx="322">
                  <c:v>43934</c:v>
                </c:pt>
                <c:pt idx="323">
                  <c:v>43935</c:v>
                </c:pt>
                <c:pt idx="324">
                  <c:v>43936</c:v>
                </c:pt>
                <c:pt idx="325">
                  <c:v>43937</c:v>
                </c:pt>
                <c:pt idx="326">
                  <c:v>43938</c:v>
                </c:pt>
                <c:pt idx="327">
                  <c:v>43941</c:v>
                </c:pt>
                <c:pt idx="328">
                  <c:v>43942</c:v>
                </c:pt>
                <c:pt idx="329">
                  <c:v>43943</c:v>
                </c:pt>
                <c:pt idx="330">
                  <c:v>43944</c:v>
                </c:pt>
                <c:pt idx="331">
                  <c:v>43945</c:v>
                </c:pt>
                <c:pt idx="332">
                  <c:v>43948</c:v>
                </c:pt>
                <c:pt idx="333">
                  <c:v>43949</c:v>
                </c:pt>
                <c:pt idx="334">
                  <c:v>43950</c:v>
                </c:pt>
                <c:pt idx="335">
                  <c:v>43951</c:v>
                </c:pt>
                <c:pt idx="336">
                  <c:v>43952</c:v>
                </c:pt>
                <c:pt idx="337">
                  <c:v>43955</c:v>
                </c:pt>
                <c:pt idx="338">
                  <c:v>43956</c:v>
                </c:pt>
                <c:pt idx="339">
                  <c:v>43957</c:v>
                </c:pt>
                <c:pt idx="340">
                  <c:v>43958</c:v>
                </c:pt>
                <c:pt idx="341">
                  <c:v>43959</c:v>
                </c:pt>
                <c:pt idx="342">
                  <c:v>43962</c:v>
                </c:pt>
                <c:pt idx="343">
                  <c:v>43963</c:v>
                </c:pt>
                <c:pt idx="344">
                  <c:v>43964</c:v>
                </c:pt>
                <c:pt idx="345">
                  <c:v>43965</c:v>
                </c:pt>
                <c:pt idx="346">
                  <c:v>43966</c:v>
                </c:pt>
                <c:pt idx="347">
                  <c:v>43969</c:v>
                </c:pt>
                <c:pt idx="348">
                  <c:v>43970</c:v>
                </c:pt>
                <c:pt idx="349">
                  <c:v>43971</c:v>
                </c:pt>
                <c:pt idx="350">
                  <c:v>43972</c:v>
                </c:pt>
                <c:pt idx="351">
                  <c:v>43973</c:v>
                </c:pt>
                <c:pt idx="352">
                  <c:v>43977</c:v>
                </c:pt>
                <c:pt idx="353">
                  <c:v>43978</c:v>
                </c:pt>
                <c:pt idx="354">
                  <c:v>43979</c:v>
                </c:pt>
                <c:pt idx="355">
                  <c:v>43980</c:v>
                </c:pt>
                <c:pt idx="356">
                  <c:v>43983</c:v>
                </c:pt>
                <c:pt idx="357">
                  <c:v>43984</c:v>
                </c:pt>
                <c:pt idx="358">
                  <c:v>43985</c:v>
                </c:pt>
                <c:pt idx="359">
                  <c:v>43986</c:v>
                </c:pt>
                <c:pt idx="360">
                  <c:v>43987</c:v>
                </c:pt>
                <c:pt idx="361">
                  <c:v>43990</c:v>
                </c:pt>
                <c:pt idx="362">
                  <c:v>43991</c:v>
                </c:pt>
                <c:pt idx="363">
                  <c:v>43992</c:v>
                </c:pt>
                <c:pt idx="364">
                  <c:v>43993</c:v>
                </c:pt>
                <c:pt idx="365">
                  <c:v>43994</c:v>
                </c:pt>
                <c:pt idx="366">
                  <c:v>43997</c:v>
                </c:pt>
                <c:pt idx="367">
                  <c:v>43998</c:v>
                </c:pt>
                <c:pt idx="368">
                  <c:v>43999</c:v>
                </c:pt>
                <c:pt idx="369">
                  <c:v>44000</c:v>
                </c:pt>
                <c:pt idx="370">
                  <c:v>44001</c:v>
                </c:pt>
                <c:pt idx="371">
                  <c:v>44004</c:v>
                </c:pt>
                <c:pt idx="372">
                  <c:v>44005</c:v>
                </c:pt>
                <c:pt idx="373">
                  <c:v>44006</c:v>
                </c:pt>
                <c:pt idx="374">
                  <c:v>44007</c:v>
                </c:pt>
                <c:pt idx="375">
                  <c:v>44008</c:v>
                </c:pt>
                <c:pt idx="376">
                  <c:v>44011</c:v>
                </c:pt>
                <c:pt idx="377">
                  <c:v>44012</c:v>
                </c:pt>
                <c:pt idx="378">
                  <c:v>44013</c:v>
                </c:pt>
                <c:pt idx="379">
                  <c:v>44014</c:v>
                </c:pt>
                <c:pt idx="380">
                  <c:v>44018</c:v>
                </c:pt>
                <c:pt idx="381">
                  <c:v>44019</c:v>
                </c:pt>
                <c:pt idx="382">
                  <c:v>44020</c:v>
                </c:pt>
                <c:pt idx="383">
                  <c:v>44021</c:v>
                </c:pt>
                <c:pt idx="384">
                  <c:v>44022</c:v>
                </c:pt>
                <c:pt idx="385">
                  <c:v>44025</c:v>
                </c:pt>
                <c:pt idx="386">
                  <c:v>44026</c:v>
                </c:pt>
                <c:pt idx="387">
                  <c:v>44027</c:v>
                </c:pt>
                <c:pt idx="388">
                  <c:v>44028</c:v>
                </c:pt>
                <c:pt idx="389">
                  <c:v>44029</c:v>
                </c:pt>
                <c:pt idx="390">
                  <c:v>44032</c:v>
                </c:pt>
                <c:pt idx="391">
                  <c:v>44033</c:v>
                </c:pt>
                <c:pt idx="392">
                  <c:v>44034</c:v>
                </c:pt>
                <c:pt idx="393">
                  <c:v>44035</c:v>
                </c:pt>
                <c:pt idx="394">
                  <c:v>44036</c:v>
                </c:pt>
                <c:pt idx="395">
                  <c:v>44039</c:v>
                </c:pt>
                <c:pt idx="396">
                  <c:v>44040</c:v>
                </c:pt>
                <c:pt idx="397">
                  <c:v>44041</c:v>
                </c:pt>
                <c:pt idx="398">
                  <c:v>44042</c:v>
                </c:pt>
                <c:pt idx="399">
                  <c:v>44043</c:v>
                </c:pt>
                <c:pt idx="400">
                  <c:v>44046</c:v>
                </c:pt>
                <c:pt idx="401">
                  <c:v>44047</c:v>
                </c:pt>
                <c:pt idx="402">
                  <c:v>44048</c:v>
                </c:pt>
                <c:pt idx="403">
                  <c:v>44049</c:v>
                </c:pt>
                <c:pt idx="404">
                  <c:v>44050</c:v>
                </c:pt>
                <c:pt idx="405">
                  <c:v>44053</c:v>
                </c:pt>
                <c:pt idx="406">
                  <c:v>44054</c:v>
                </c:pt>
                <c:pt idx="407">
                  <c:v>44055</c:v>
                </c:pt>
                <c:pt idx="408">
                  <c:v>44056</c:v>
                </c:pt>
                <c:pt idx="409">
                  <c:v>44057</c:v>
                </c:pt>
                <c:pt idx="410">
                  <c:v>44060</c:v>
                </c:pt>
                <c:pt idx="411">
                  <c:v>44061</c:v>
                </c:pt>
                <c:pt idx="412">
                  <c:v>44062</c:v>
                </c:pt>
                <c:pt idx="413">
                  <c:v>44063</c:v>
                </c:pt>
                <c:pt idx="414">
                  <c:v>44064</c:v>
                </c:pt>
                <c:pt idx="415">
                  <c:v>44067</c:v>
                </c:pt>
                <c:pt idx="416">
                  <c:v>44068</c:v>
                </c:pt>
                <c:pt idx="417">
                  <c:v>44069</c:v>
                </c:pt>
                <c:pt idx="418">
                  <c:v>44070</c:v>
                </c:pt>
                <c:pt idx="419">
                  <c:v>44071</c:v>
                </c:pt>
                <c:pt idx="420">
                  <c:v>44074</c:v>
                </c:pt>
                <c:pt idx="421">
                  <c:v>44075</c:v>
                </c:pt>
                <c:pt idx="422">
                  <c:v>44076</c:v>
                </c:pt>
                <c:pt idx="423">
                  <c:v>44077</c:v>
                </c:pt>
                <c:pt idx="424">
                  <c:v>44078</c:v>
                </c:pt>
                <c:pt idx="425">
                  <c:v>44082</c:v>
                </c:pt>
                <c:pt idx="426">
                  <c:v>44083</c:v>
                </c:pt>
                <c:pt idx="427">
                  <c:v>44084</c:v>
                </c:pt>
                <c:pt idx="428">
                  <c:v>44085</c:v>
                </c:pt>
                <c:pt idx="429">
                  <c:v>44088</c:v>
                </c:pt>
                <c:pt idx="430">
                  <c:v>44089</c:v>
                </c:pt>
                <c:pt idx="431">
                  <c:v>44090</c:v>
                </c:pt>
                <c:pt idx="432">
                  <c:v>44091</c:v>
                </c:pt>
                <c:pt idx="433">
                  <c:v>44092</c:v>
                </c:pt>
                <c:pt idx="434">
                  <c:v>44095</c:v>
                </c:pt>
                <c:pt idx="435">
                  <c:v>44096</c:v>
                </c:pt>
                <c:pt idx="436">
                  <c:v>44097</c:v>
                </c:pt>
                <c:pt idx="437">
                  <c:v>44098</c:v>
                </c:pt>
                <c:pt idx="438">
                  <c:v>44099</c:v>
                </c:pt>
                <c:pt idx="439">
                  <c:v>44102</c:v>
                </c:pt>
                <c:pt idx="440">
                  <c:v>44103</c:v>
                </c:pt>
                <c:pt idx="441">
                  <c:v>44104</c:v>
                </c:pt>
                <c:pt idx="442">
                  <c:v>44105</c:v>
                </c:pt>
                <c:pt idx="443">
                  <c:v>44106</c:v>
                </c:pt>
                <c:pt idx="444">
                  <c:v>44109</c:v>
                </c:pt>
                <c:pt idx="445">
                  <c:v>44110</c:v>
                </c:pt>
                <c:pt idx="446">
                  <c:v>44111</c:v>
                </c:pt>
                <c:pt idx="447">
                  <c:v>44112</c:v>
                </c:pt>
                <c:pt idx="448">
                  <c:v>44113</c:v>
                </c:pt>
                <c:pt idx="449">
                  <c:v>44116</c:v>
                </c:pt>
                <c:pt idx="450">
                  <c:v>44117</c:v>
                </c:pt>
                <c:pt idx="451">
                  <c:v>44118</c:v>
                </c:pt>
                <c:pt idx="452">
                  <c:v>44119</c:v>
                </c:pt>
                <c:pt idx="453">
                  <c:v>44120</c:v>
                </c:pt>
                <c:pt idx="454">
                  <c:v>44123</c:v>
                </c:pt>
                <c:pt idx="455">
                  <c:v>44124</c:v>
                </c:pt>
                <c:pt idx="456">
                  <c:v>44125</c:v>
                </c:pt>
                <c:pt idx="457">
                  <c:v>44126</c:v>
                </c:pt>
                <c:pt idx="458">
                  <c:v>44127</c:v>
                </c:pt>
                <c:pt idx="459">
                  <c:v>44130</c:v>
                </c:pt>
                <c:pt idx="460">
                  <c:v>44131</c:v>
                </c:pt>
                <c:pt idx="461">
                  <c:v>44132</c:v>
                </c:pt>
                <c:pt idx="462">
                  <c:v>44133</c:v>
                </c:pt>
                <c:pt idx="463">
                  <c:v>44134</c:v>
                </c:pt>
                <c:pt idx="464">
                  <c:v>44137</c:v>
                </c:pt>
                <c:pt idx="465">
                  <c:v>44138</c:v>
                </c:pt>
                <c:pt idx="466">
                  <c:v>44139</c:v>
                </c:pt>
                <c:pt idx="467">
                  <c:v>44140</c:v>
                </c:pt>
                <c:pt idx="468">
                  <c:v>44141</c:v>
                </c:pt>
                <c:pt idx="469">
                  <c:v>44144</c:v>
                </c:pt>
                <c:pt idx="470">
                  <c:v>44145</c:v>
                </c:pt>
                <c:pt idx="471">
                  <c:v>44146</c:v>
                </c:pt>
                <c:pt idx="472">
                  <c:v>44147</c:v>
                </c:pt>
                <c:pt idx="473">
                  <c:v>44148</c:v>
                </c:pt>
                <c:pt idx="474">
                  <c:v>44151</c:v>
                </c:pt>
                <c:pt idx="475">
                  <c:v>44152</c:v>
                </c:pt>
                <c:pt idx="476">
                  <c:v>44153</c:v>
                </c:pt>
                <c:pt idx="477">
                  <c:v>44154</c:v>
                </c:pt>
                <c:pt idx="478">
                  <c:v>44155</c:v>
                </c:pt>
                <c:pt idx="479">
                  <c:v>44158</c:v>
                </c:pt>
                <c:pt idx="480">
                  <c:v>44159</c:v>
                </c:pt>
                <c:pt idx="481">
                  <c:v>44160</c:v>
                </c:pt>
                <c:pt idx="482">
                  <c:v>44162</c:v>
                </c:pt>
                <c:pt idx="483">
                  <c:v>44165</c:v>
                </c:pt>
                <c:pt idx="484">
                  <c:v>44166</c:v>
                </c:pt>
                <c:pt idx="485">
                  <c:v>44167</c:v>
                </c:pt>
                <c:pt idx="486">
                  <c:v>44168</c:v>
                </c:pt>
                <c:pt idx="487">
                  <c:v>44169</c:v>
                </c:pt>
                <c:pt idx="488">
                  <c:v>44172</c:v>
                </c:pt>
                <c:pt idx="489">
                  <c:v>44173</c:v>
                </c:pt>
                <c:pt idx="490">
                  <c:v>44174</c:v>
                </c:pt>
                <c:pt idx="491">
                  <c:v>44175</c:v>
                </c:pt>
                <c:pt idx="492">
                  <c:v>44176</c:v>
                </c:pt>
                <c:pt idx="493">
                  <c:v>44179</c:v>
                </c:pt>
                <c:pt idx="494">
                  <c:v>44180</c:v>
                </c:pt>
                <c:pt idx="495">
                  <c:v>44181</c:v>
                </c:pt>
                <c:pt idx="496">
                  <c:v>44182</c:v>
                </c:pt>
                <c:pt idx="497">
                  <c:v>44183</c:v>
                </c:pt>
                <c:pt idx="498">
                  <c:v>44186</c:v>
                </c:pt>
                <c:pt idx="499">
                  <c:v>44187</c:v>
                </c:pt>
                <c:pt idx="500">
                  <c:v>44188</c:v>
                </c:pt>
                <c:pt idx="501">
                  <c:v>44189</c:v>
                </c:pt>
                <c:pt idx="502">
                  <c:v>44193</c:v>
                </c:pt>
                <c:pt idx="503">
                  <c:v>44194</c:v>
                </c:pt>
                <c:pt idx="504">
                  <c:v>44195</c:v>
                </c:pt>
                <c:pt idx="505">
                  <c:v>44196</c:v>
                </c:pt>
              </c:numCache>
            </c:numRef>
          </c:cat>
          <c:val>
            <c:numRef>
              <c:f>(CONTAGION_COSKEWNESS!$J$20:$J$318,CONTAGION_COSKEWNESS!$J$321:$J$526)</c:f>
              <c:numCache>
                <c:formatCode>0.00%</c:formatCode>
                <c:ptCount val="505"/>
                <c:pt idx="0">
                  <c:v>-1.0932312016076473E-4</c:v>
                </c:pt>
                <c:pt idx="1">
                  <c:v>3.2817541684604379E-4</c:v>
                </c:pt>
                <c:pt idx="2">
                  <c:v>1.0929920370039703E-4</c:v>
                </c:pt>
                <c:pt idx="3">
                  <c:v>0</c:v>
                </c:pt>
                <c:pt idx="4">
                  <c:v>0</c:v>
                </c:pt>
                <c:pt idx="5">
                  <c:v>0</c:v>
                </c:pt>
                <c:pt idx="6">
                  <c:v>1.0928725869008282E-4</c:v>
                </c:pt>
                <c:pt idx="7">
                  <c:v>2.1845991002655829E-4</c:v>
                </c:pt>
                <c:pt idx="8">
                  <c:v>-1.0916074648947838E-4</c:v>
                </c:pt>
                <c:pt idx="9">
                  <c:v>2.1877621276433779E-4</c:v>
                </c:pt>
                <c:pt idx="10">
                  <c:v>1.0880868670137822E-4</c:v>
                </c:pt>
                <c:pt idx="11">
                  <c:v>2.1871589861222063E-4</c:v>
                </c:pt>
                <c:pt idx="12">
                  <c:v>0</c:v>
                </c:pt>
                <c:pt idx="13">
                  <c:v>1.0928303821855501E-4</c:v>
                </c:pt>
                <c:pt idx="14">
                  <c:v>0</c:v>
                </c:pt>
                <c:pt idx="15">
                  <c:v>3.2731469764235577E-4</c:v>
                </c:pt>
                <c:pt idx="16">
                  <c:v>-1.0897479974747437E-4</c:v>
                </c:pt>
                <c:pt idx="17">
                  <c:v>1.0898667654868355E-4</c:v>
                </c:pt>
                <c:pt idx="18">
                  <c:v>0</c:v>
                </c:pt>
                <c:pt idx="19">
                  <c:v>2.1840271716544457E-4</c:v>
                </c:pt>
                <c:pt idx="20">
                  <c:v>0</c:v>
                </c:pt>
                <c:pt idx="21">
                  <c:v>9.8497597358582212E-5</c:v>
                </c:pt>
                <c:pt idx="22">
                  <c:v>1.094725187795742E-4</c:v>
                </c:pt>
                <c:pt idx="23">
                  <c:v>0</c:v>
                </c:pt>
                <c:pt idx="24">
                  <c:v>2.1881916369892451E-4</c:v>
                </c:pt>
                <c:pt idx="25">
                  <c:v>0</c:v>
                </c:pt>
                <c:pt idx="26">
                  <c:v>2.18341108176201E-4</c:v>
                </c:pt>
                <c:pt idx="27">
                  <c:v>-1.0932215442716053E-4</c:v>
                </c:pt>
                <c:pt idx="28">
                  <c:v>2.1875876935339988E-4</c:v>
                </c:pt>
                <c:pt idx="29">
                  <c:v>0</c:v>
                </c:pt>
                <c:pt idx="30">
                  <c:v>2.1877882598042575E-4</c:v>
                </c:pt>
                <c:pt idx="31">
                  <c:v>0</c:v>
                </c:pt>
                <c:pt idx="32">
                  <c:v>2.183123375776308E-4</c:v>
                </c:pt>
                <c:pt idx="33">
                  <c:v>0</c:v>
                </c:pt>
                <c:pt idx="34">
                  <c:v>1.0909275191561818E-4</c:v>
                </c:pt>
                <c:pt idx="35">
                  <c:v>2.1867068762237984E-4</c:v>
                </c:pt>
                <c:pt idx="36">
                  <c:v>-1.0931709474093498E-4</c:v>
                </c:pt>
                <c:pt idx="37">
                  <c:v>1.0932904627458662E-4</c:v>
                </c:pt>
                <c:pt idx="38">
                  <c:v>1.0896653821479418E-4</c:v>
                </c:pt>
                <c:pt idx="39">
                  <c:v>2.1841814853673647E-4</c:v>
                </c:pt>
                <c:pt idx="40">
                  <c:v>1.092813151106764E-4</c:v>
                </c:pt>
                <c:pt idx="41">
                  <c:v>-1.0934849737997965E-4</c:v>
                </c:pt>
                <c:pt idx="42">
                  <c:v>1.0936045578158193E-4</c:v>
                </c:pt>
                <c:pt idx="43">
                  <c:v>1.0934849737997965E-4</c:v>
                </c:pt>
                <c:pt idx="44">
                  <c:v>2.1884261472737698E-4</c:v>
                </c:pt>
                <c:pt idx="45">
                  <c:v>1.0940301637285543E-4</c:v>
                </c:pt>
                <c:pt idx="46">
                  <c:v>0</c:v>
                </c:pt>
                <c:pt idx="47">
                  <c:v>1.0921027436161523E-4</c:v>
                </c:pt>
                <c:pt idx="48">
                  <c:v>1.0928872606030815E-4</c:v>
                </c:pt>
                <c:pt idx="49">
                  <c:v>0</c:v>
                </c:pt>
                <c:pt idx="50">
                  <c:v>1.0893790557453542E-4</c:v>
                </c:pt>
                <c:pt idx="51">
                  <c:v>1.0969407866578962E-4</c:v>
                </c:pt>
                <c:pt idx="52">
                  <c:v>0</c:v>
                </c:pt>
                <c:pt idx="53">
                  <c:v>0</c:v>
                </c:pt>
                <c:pt idx="54">
                  <c:v>3.27589285726404E-4</c:v>
                </c:pt>
                <c:pt idx="55">
                  <c:v>0</c:v>
                </c:pt>
                <c:pt idx="56">
                  <c:v>0</c:v>
                </c:pt>
                <c:pt idx="57">
                  <c:v>1.0938646386726703E-4</c:v>
                </c:pt>
                <c:pt idx="58">
                  <c:v>1.0886651624031352E-4</c:v>
                </c:pt>
                <c:pt idx="59">
                  <c:v>2.1855587829189282E-4</c:v>
                </c:pt>
                <c:pt idx="60">
                  <c:v>0</c:v>
                </c:pt>
                <c:pt idx="61">
                  <c:v>1.7520823751815406E-4</c:v>
                </c:pt>
                <c:pt idx="62">
                  <c:v>-1.0948878631844572E-4</c:v>
                </c:pt>
                <c:pt idx="63">
                  <c:v>1.095007754254862E-4</c:v>
                </c:pt>
                <c:pt idx="64">
                  <c:v>3.2789093355334309E-4</c:v>
                </c:pt>
                <c:pt idx="65">
                  <c:v>0</c:v>
                </c:pt>
                <c:pt idx="66">
                  <c:v>0</c:v>
                </c:pt>
                <c:pt idx="67">
                  <c:v>1.0945289770569744E-4</c:v>
                </c:pt>
                <c:pt idx="68">
                  <c:v>0</c:v>
                </c:pt>
                <c:pt idx="69">
                  <c:v>3.2773630548876831E-4</c:v>
                </c:pt>
                <c:pt idx="70">
                  <c:v>0</c:v>
                </c:pt>
                <c:pt idx="71">
                  <c:v>1.0941633729211198E-4</c:v>
                </c:pt>
                <c:pt idx="72">
                  <c:v>0</c:v>
                </c:pt>
                <c:pt idx="73">
                  <c:v>2.1836908672923094E-4</c:v>
                </c:pt>
                <c:pt idx="74">
                  <c:v>1.0971859721320421E-4</c:v>
                </c:pt>
                <c:pt idx="75">
                  <c:v>0</c:v>
                </c:pt>
                <c:pt idx="76">
                  <c:v>0</c:v>
                </c:pt>
                <c:pt idx="77">
                  <c:v>2.1812842140644939E-4</c:v>
                </c:pt>
                <c:pt idx="78">
                  <c:v>2.181597196171392E-4</c:v>
                </c:pt>
                <c:pt idx="79">
                  <c:v>-1.0897158533818008E-4</c:v>
                </c:pt>
                <c:pt idx="80">
                  <c:v>1.089834614387275E-4</c:v>
                </c:pt>
                <c:pt idx="81">
                  <c:v>1.0941089605021048E-4</c:v>
                </c:pt>
                <c:pt idx="82">
                  <c:v>4.3644686567922975E-5</c:v>
                </c:pt>
                <c:pt idx="83">
                  <c:v>1.0973203174291513E-4</c:v>
                </c:pt>
                <c:pt idx="84">
                  <c:v>1.0911187539353051E-4</c:v>
                </c:pt>
                <c:pt idx="85">
                  <c:v>1.0919005280296545E-4</c:v>
                </c:pt>
                <c:pt idx="86">
                  <c:v>1.0935827499136686E-4</c:v>
                </c:pt>
                <c:pt idx="87">
                  <c:v>0</c:v>
                </c:pt>
                <c:pt idx="88">
                  <c:v>1.094138634378794E-4</c:v>
                </c:pt>
                <c:pt idx="89">
                  <c:v>2.187475042234599E-4</c:v>
                </c:pt>
                <c:pt idx="90">
                  <c:v>-1.0956928579342051E-4</c:v>
                </c:pt>
                <c:pt idx="91">
                  <c:v>1.0958129253735294E-4</c:v>
                </c:pt>
                <c:pt idx="92">
                  <c:v>1.0920915667012032E-4</c:v>
                </c:pt>
                <c:pt idx="93">
                  <c:v>1.0928725378223092E-4</c:v>
                </c:pt>
                <c:pt idx="94">
                  <c:v>1.0953409764380417E-4</c:v>
                </c:pt>
                <c:pt idx="95">
                  <c:v>1.0884708058456205E-4</c:v>
                </c:pt>
                <c:pt idx="96">
                  <c:v>0</c:v>
                </c:pt>
                <c:pt idx="97">
                  <c:v>2.185928961988548E-4</c:v>
                </c:pt>
                <c:pt idx="98">
                  <c:v>2.1845515049623287E-4</c:v>
                </c:pt>
                <c:pt idx="99">
                  <c:v>0</c:v>
                </c:pt>
                <c:pt idx="100">
                  <c:v>1.0886639298268719E-4</c:v>
                </c:pt>
                <c:pt idx="101">
                  <c:v>0</c:v>
                </c:pt>
                <c:pt idx="102">
                  <c:v>3.279240278493134E-4</c:v>
                </c:pt>
                <c:pt idx="103">
                  <c:v>0</c:v>
                </c:pt>
                <c:pt idx="104">
                  <c:v>-4.3563508970612119E-5</c:v>
                </c:pt>
                <c:pt idx="105">
                  <c:v>2.184115029848499E-4</c:v>
                </c:pt>
                <c:pt idx="106">
                  <c:v>0</c:v>
                </c:pt>
                <c:pt idx="107">
                  <c:v>3.2801768261414566E-4</c:v>
                </c:pt>
                <c:pt idx="108">
                  <c:v>-1.0926967316093883E-4</c:v>
                </c:pt>
                <c:pt idx="109">
                  <c:v>2.1874298663027147E-4</c:v>
                </c:pt>
                <c:pt idx="110">
                  <c:v>-1.0943743363189817E-4</c:v>
                </c:pt>
                <c:pt idx="111">
                  <c:v>1.0944941149459986E-4</c:v>
                </c:pt>
                <c:pt idx="112">
                  <c:v>3.2804272290043457E-4</c:v>
                </c:pt>
                <c:pt idx="113">
                  <c:v>1.0888502353489926E-4</c:v>
                </c:pt>
                <c:pt idx="114">
                  <c:v>0</c:v>
                </c:pt>
                <c:pt idx="115">
                  <c:v>0</c:v>
                </c:pt>
                <c:pt idx="116">
                  <c:v>2.1868944863268069E-4</c:v>
                </c:pt>
                <c:pt idx="117">
                  <c:v>1.0901774050453561E-4</c:v>
                </c:pt>
                <c:pt idx="118">
                  <c:v>0</c:v>
                </c:pt>
                <c:pt idx="119">
                  <c:v>1.0926400506949818E-4</c:v>
                </c:pt>
                <c:pt idx="120">
                  <c:v>0</c:v>
                </c:pt>
                <c:pt idx="121">
                  <c:v>2.1842557726148293E-4</c:v>
                </c:pt>
                <c:pt idx="122">
                  <c:v>0</c:v>
                </c:pt>
                <c:pt idx="123">
                  <c:v>1.0905990719045633E-4</c:v>
                </c:pt>
                <c:pt idx="124">
                  <c:v>-5.4265971786926492E-5</c:v>
                </c:pt>
                <c:pt idx="125">
                  <c:v>1.0913246912425123E-4</c:v>
                </c:pt>
                <c:pt idx="126">
                  <c:v>3.2806843549759712E-4</c:v>
                </c:pt>
                <c:pt idx="127">
                  <c:v>-1.0952214409698513E-4</c:v>
                </c:pt>
                <c:pt idx="128">
                  <c:v>0</c:v>
                </c:pt>
                <c:pt idx="129">
                  <c:v>1.0953414051084742E-4</c:v>
                </c:pt>
                <c:pt idx="130">
                  <c:v>1.0934270990614614E-4</c:v>
                </c:pt>
                <c:pt idx="131">
                  <c:v>2.1841481573248167E-4</c:v>
                </c:pt>
                <c:pt idx="132">
                  <c:v>1.0948625653761646E-4</c:v>
                </c:pt>
                <c:pt idx="133">
                  <c:v>0</c:v>
                </c:pt>
                <c:pt idx="134">
                  <c:v>1.0938459273068801E-4</c:v>
                </c:pt>
                <c:pt idx="135">
                  <c:v>0</c:v>
                </c:pt>
                <c:pt idx="136">
                  <c:v>3.2751262767405365E-4</c:v>
                </c:pt>
                <c:pt idx="137">
                  <c:v>0</c:v>
                </c:pt>
                <c:pt idx="138">
                  <c:v>0</c:v>
                </c:pt>
                <c:pt idx="139">
                  <c:v>-1.0898946984905233E-4</c:v>
                </c:pt>
                <c:pt idx="140">
                  <c:v>2.1809234818026546E-4</c:v>
                </c:pt>
                <c:pt idx="141">
                  <c:v>2.1839210640650641E-4</c:v>
                </c:pt>
                <c:pt idx="142">
                  <c:v>-1.0895378802422417E-4</c:v>
                </c:pt>
                <c:pt idx="143">
                  <c:v>2.1827859462186794E-4</c:v>
                </c:pt>
                <c:pt idx="144">
                  <c:v>0</c:v>
                </c:pt>
                <c:pt idx="145">
                  <c:v>1.0904268008449236E-4</c:v>
                </c:pt>
                <c:pt idx="146">
                  <c:v>2.7366325405653313E-4</c:v>
                </c:pt>
                <c:pt idx="147">
                  <c:v>0</c:v>
                </c:pt>
                <c:pt idx="148">
                  <c:v>-1.0950476628990291E-4</c:v>
                </c:pt>
                <c:pt idx="149">
                  <c:v>1.0951675889692147E-4</c:v>
                </c:pt>
                <c:pt idx="150">
                  <c:v>2.1848333648355478E-4</c:v>
                </c:pt>
                <c:pt idx="151">
                  <c:v>1.0922340257923935E-4</c:v>
                </c:pt>
                <c:pt idx="152">
                  <c:v>-1.0921147413045507E-4</c:v>
                </c:pt>
                <c:pt idx="153">
                  <c:v>2.1870424912839859E-4</c:v>
                </c:pt>
                <c:pt idx="154">
                  <c:v>1.0937857247794724E-4</c:v>
                </c:pt>
                <c:pt idx="155">
                  <c:v>-1.0936661011429205E-4</c:v>
                </c:pt>
                <c:pt idx="156">
                  <c:v>4.3679808072050186E-4</c:v>
                </c:pt>
                <c:pt idx="157">
                  <c:v>-1.089728687423408E-4</c:v>
                </c:pt>
                <c:pt idx="158">
                  <c:v>0</c:v>
                </c:pt>
                <c:pt idx="159">
                  <c:v>1.0898474512277545E-4</c:v>
                </c:pt>
                <c:pt idx="160">
                  <c:v>-1.089728687423408E-4</c:v>
                </c:pt>
                <c:pt idx="161">
                  <c:v>3.2765902277742676E-4</c:v>
                </c:pt>
                <c:pt idx="162">
                  <c:v>-1.0929573354323541E-4</c:v>
                </c:pt>
                <c:pt idx="163">
                  <c:v>1.0930768040640082E-4</c:v>
                </c:pt>
                <c:pt idx="164">
                  <c:v>1.0896023042183955E-4</c:v>
                </c:pt>
                <c:pt idx="165">
                  <c:v>-1.0894835938346503E-4</c:v>
                </c:pt>
                <c:pt idx="166">
                  <c:v>2.1825596396496394E-4</c:v>
                </c:pt>
                <c:pt idx="167">
                  <c:v>1.0901472137025969E-4</c:v>
                </c:pt>
                <c:pt idx="168">
                  <c:v>1.9720010949031419E-4</c:v>
                </c:pt>
                <c:pt idx="169">
                  <c:v>-1.0940609513787614E-4</c:v>
                </c:pt>
                <c:pt idx="170">
                  <c:v>1.0941806614117588E-4</c:v>
                </c:pt>
                <c:pt idx="171">
                  <c:v>1.0932785211936746E-4</c:v>
                </c:pt>
                <c:pt idx="172">
                  <c:v>0</c:v>
                </c:pt>
                <c:pt idx="173">
                  <c:v>2.1863180169323648E-4</c:v>
                </c:pt>
                <c:pt idx="174">
                  <c:v>-1.0929200613829515E-4</c:v>
                </c:pt>
                <c:pt idx="175">
                  <c:v>2.1835087636978834E-4</c:v>
                </c:pt>
                <c:pt idx="176">
                  <c:v>0</c:v>
                </c:pt>
                <c:pt idx="177">
                  <c:v>0</c:v>
                </c:pt>
                <c:pt idx="178">
                  <c:v>1.0953706267624597E-4</c:v>
                </c:pt>
                <c:pt idx="179">
                  <c:v>2.1844687200922586E-4</c:v>
                </c:pt>
                <c:pt idx="180">
                  <c:v>0</c:v>
                </c:pt>
                <c:pt idx="181">
                  <c:v>1.0932244099981503E-4</c:v>
                </c:pt>
                <c:pt idx="182">
                  <c:v>2.1838645788196942E-4</c:v>
                </c:pt>
                <c:pt idx="183">
                  <c:v>0</c:v>
                </c:pt>
                <c:pt idx="184">
                  <c:v>0</c:v>
                </c:pt>
                <c:pt idx="185">
                  <c:v>2.1849509080529295E-4</c:v>
                </c:pt>
                <c:pt idx="186">
                  <c:v>0</c:v>
                </c:pt>
                <c:pt idx="187">
                  <c:v>1.0909530687897018E-4</c:v>
                </c:pt>
                <c:pt idx="188">
                  <c:v>-3.2871240337906116E-5</c:v>
                </c:pt>
                <c:pt idx="189">
                  <c:v>0</c:v>
                </c:pt>
                <c:pt idx="190">
                  <c:v>3.2820975331238067E-4</c:v>
                </c:pt>
                <c:pt idx="191">
                  <c:v>0</c:v>
                </c:pt>
                <c:pt idx="192">
                  <c:v>1.094752203603111E-4</c:v>
                </c:pt>
                <c:pt idx="193">
                  <c:v>0</c:v>
                </c:pt>
                <c:pt idx="194">
                  <c:v>0</c:v>
                </c:pt>
                <c:pt idx="195">
                  <c:v>2.1842439993680074E-4</c:v>
                </c:pt>
                <c:pt idx="196">
                  <c:v>1.0928316601321875E-4</c:v>
                </c:pt>
                <c:pt idx="197">
                  <c:v>-1.0927122450776761E-4</c:v>
                </c:pt>
                <c:pt idx="198">
                  <c:v>1.0928316601321875E-4</c:v>
                </c:pt>
                <c:pt idx="199">
                  <c:v>1.0926007096845325E-4</c:v>
                </c:pt>
                <c:pt idx="200">
                  <c:v>1.0932620075521093E-4</c:v>
                </c:pt>
                <c:pt idx="201">
                  <c:v>0</c:v>
                </c:pt>
                <c:pt idx="202">
                  <c:v>1.0924734323314311E-4</c:v>
                </c:pt>
                <c:pt idx="203">
                  <c:v>0</c:v>
                </c:pt>
                <c:pt idx="204">
                  <c:v>0</c:v>
                </c:pt>
                <c:pt idx="205">
                  <c:v>2.1835932027425287E-4</c:v>
                </c:pt>
                <c:pt idx="206">
                  <c:v>0</c:v>
                </c:pt>
                <c:pt idx="207">
                  <c:v>-1.0928959433864627E-4</c:v>
                </c:pt>
                <c:pt idx="208">
                  <c:v>2.1869226906212624E-4</c:v>
                </c:pt>
                <c:pt idx="209">
                  <c:v>1.090212783876332E-4</c:v>
                </c:pt>
                <c:pt idx="210">
                  <c:v>1.0917656927267316E-4</c:v>
                </c:pt>
                <c:pt idx="211">
                  <c:v>-1.0798340839945908E-5</c:v>
                </c:pt>
                <c:pt idx="212">
                  <c:v>1.0933298864457264E-4</c:v>
                </c:pt>
                <c:pt idx="213">
                  <c:v>-1.0932103624883283E-4</c:v>
                </c:pt>
                <c:pt idx="214">
                  <c:v>1.0933298864457264E-4</c:v>
                </c:pt>
                <c:pt idx="215">
                  <c:v>2.1865321519842773E-4</c:v>
                </c:pt>
                <c:pt idx="216">
                  <c:v>0</c:v>
                </c:pt>
                <c:pt idx="217">
                  <c:v>0</c:v>
                </c:pt>
                <c:pt idx="218">
                  <c:v>1.0913003410606414E-4</c:v>
                </c:pt>
                <c:pt idx="219">
                  <c:v>0</c:v>
                </c:pt>
                <c:pt idx="220">
                  <c:v>1.0937432417290616E-4</c:v>
                </c:pt>
                <c:pt idx="221">
                  <c:v>-1.0936236273839661E-4</c:v>
                </c:pt>
                <c:pt idx="222">
                  <c:v>2.1832536447607964E-4</c:v>
                </c:pt>
                <c:pt idx="223">
                  <c:v>-1.0892725871969322E-4</c:v>
                </c:pt>
                <c:pt idx="224">
                  <c:v>1.0893912515985704E-4</c:v>
                </c:pt>
                <c:pt idx="225">
                  <c:v>0</c:v>
                </c:pt>
                <c:pt idx="226">
                  <c:v>1.0960659240555337E-4</c:v>
                </c:pt>
                <c:pt idx="227">
                  <c:v>0</c:v>
                </c:pt>
                <c:pt idx="228">
                  <c:v>1.092493828012131E-4</c:v>
                </c:pt>
                <c:pt idx="229">
                  <c:v>2.1848603153529211E-4</c:v>
                </c:pt>
                <c:pt idx="230">
                  <c:v>0</c:v>
                </c:pt>
                <c:pt idx="231">
                  <c:v>7.6441718699804539E-5</c:v>
                </c:pt>
                <c:pt idx="232">
                  <c:v>-1.0904940662748164E-4</c:v>
                </c:pt>
                <c:pt idx="233">
                  <c:v>1.0906129969745493E-4</c:v>
                </c:pt>
                <c:pt idx="234">
                  <c:v>2.1884458341348001E-4</c:v>
                </c:pt>
                <c:pt idx="235">
                  <c:v>0</c:v>
                </c:pt>
                <c:pt idx="236">
                  <c:v>1.094373000889437E-4</c:v>
                </c:pt>
                <c:pt idx="237">
                  <c:v>0</c:v>
                </c:pt>
                <c:pt idx="238">
                  <c:v>0</c:v>
                </c:pt>
                <c:pt idx="239">
                  <c:v>2.1826090578191959E-4</c:v>
                </c:pt>
                <c:pt idx="240">
                  <c:v>-2.1821327835425119E-4</c:v>
                </c:pt>
                <c:pt idx="241">
                  <c:v>2.1826090578191959E-4</c:v>
                </c:pt>
                <c:pt idx="242">
                  <c:v>-1.0881183153621521E-4</c:v>
                </c:pt>
                <c:pt idx="243">
                  <c:v>2.1832603334304146E-4</c:v>
                </c:pt>
                <c:pt idx="244">
                  <c:v>1.0922261573553804E-4</c:v>
                </c:pt>
                <c:pt idx="245">
                  <c:v>5.4733251144023498E-5</c:v>
                </c:pt>
                <c:pt idx="246">
                  <c:v>0</c:v>
                </c:pt>
                <c:pt idx="247">
                  <c:v>1.0946051115867661E-4</c:v>
                </c:pt>
                <c:pt idx="248">
                  <c:v>1.0935956640323319E-4</c:v>
                </c:pt>
                <c:pt idx="249">
                  <c:v>-1.0934760819614198E-4</c:v>
                </c:pt>
                <c:pt idx="250">
                  <c:v>1.0935956640323319E-4</c:v>
                </c:pt>
                <c:pt idx="251">
                  <c:v>0</c:v>
                </c:pt>
                <c:pt idx="252">
                  <c:v>3.2822073405891494E-4</c:v>
                </c:pt>
                <c:pt idx="253">
                  <c:v>0</c:v>
                </c:pt>
                <c:pt idx="254">
                  <c:v>-1.095673907702821E-4</c:v>
                </c:pt>
                <c:pt idx="255">
                  <c:v>0</c:v>
                </c:pt>
                <c:pt idx="256">
                  <c:v>2.1899204052489019E-4</c:v>
                </c:pt>
                <c:pt idx="257">
                  <c:v>1.092219710103759E-4</c:v>
                </c:pt>
                <c:pt idx="258">
                  <c:v>0</c:v>
                </c:pt>
                <c:pt idx="259">
                  <c:v>0</c:v>
                </c:pt>
                <c:pt idx="260">
                  <c:v>0</c:v>
                </c:pt>
                <c:pt idx="261">
                  <c:v>1.0928783572050627E-4</c:v>
                </c:pt>
                <c:pt idx="262">
                  <c:v>2.1872957917845604E-4</c:v>
                </c:pt>
                <c:pt idx="263">
                  <c:v>-1.0950751779603696E-4</c:v>
                </c:pt>
                <c:pt idx="264">
                  <c:v>1.0951951100590662E-4</c:v>
                </c:pt>
                <c:pt idx="265">
                  <c:v>0</c:v>
                </c:pt>
                <c:pt idx="266">
                  <c:v>1.0908535226139549E-4</c:v>
                </c:pt>
                <c:pt idx="267">
                  <c:v>0</c:v>
                </c:pt>
                <c:pt idx="268">
                  <c:v>1.0932894731929821E-4</c:v>
                </c:pt>
                <c:pt idx="269">
                  <c:v>0</c:v>
                </c:pt>
                <c:pt idx="270">
                  <c:v>1.0922813826130806E-4</c:v>
                </c:pt>
                <c:pt idx="271">
                  <c:v>0</c:v>
                </c:pt>
                <c:pt idx="272">
                  <c:v>0</c:v>
                </c:pt>
                <c:pt idx="273">
                  <c:v>8.7703925230941948E-5</c:v>
                </c:pt>
                <c:pt idx="274">
                  <c:v>0</c:v>
                </c:pt>
                <c:pt idx="275">
                  <c:v>2.1857983694895111E-4</c:v>
                </c:pt>
                <c:pt idx="276">
                  <c:v>1.0944922768252319E-4</c:v>
                </c:pt>
                <c:pt idx="277">
                  <c:v>0</c:v>
                </c:pt>
                <c:pt idx="278">
                  <c:v>-1.0943724986001158E-4</c:v>
                </c:pt>
                <c:pt idx="279">
                  <c:v>1.0944922768252319E-4</c:v>
                </c:pt>
                <c:pt idx="280">
                  <c:v>1.0933733758045072E-4</c:v>
                </c:pt>
                <c:pt idx="281">
                  <c:v>1.0924768317943645E-4</c:v>
                </c:pt>
                <c:pt idx="282">
                  <c:v>0</c:v>
                </c:pt>
                <c:pt idx="283">
                  <c:v>1.0914695792152429E-4</c:v>
                </c:pt>
                <c:pt idx="284">
                  <c:v>0</c:v>
                </c:pt>
                <c:pt idx="285">
                  <c:v>0</c:v>
                </c:pt>
                <c:pt idx="286">
                  <c:v>2.1870290367465017E-4</c:v>
                </c:pt>
                <c:pt idx="287">
                  <c:v>-1.092776127350481E-4</c:v>
                </c:pt>
                <c:pt idx="288">
                  <c:v>0</c:v>
                </c:pt>
                <c:pt idx="289">
                  <c:v>2.1841266358024747E-4</c:v>
                </c:pt>
                <c:pt idx="290">
                  <c:v>2.1863122806120572E-4</c:v>
                </c:pt>
                <c:pt idx="291">
                  <c:v>-1.0924180695603969E-4</c:v>
                </c:pt>
                <c:pt idx="292">
                  <c:v>2.953589334295792E-4</c:v>
                </c:pt>
                <c:pt idx="293">
                  <c:v>2.1863148820422396E-4</c:v>
                </c:pt>
                <c:pt idx="294">
                  <c:v>4.370676132543494E-4</c:v>
                </c:pt>
                <c:pt idx="295">
                  <c:v>2.1864335747534547E-4</c:v>
                </c:pt>
                <c:pt idx="296">
                  <c:v>0</c:v>
                </c:pt>
                <c:pt idx="297">
                  <c:v>4.3670360993353086E-4</c:v>
                </c:pt>
                <c:pt idx="298">
                  <c:v>-2.1816789097350853E-4</c:v>
                </c:pt>
                <c:pt idx="299">
                  <c:v>2.1821549858858091E-4</c:v>
                </c:pt>
                <c:pt idx="300">
                  <c:v>1.0916700854513017E-4</c:v>
                </c:pt>
                <c:pt idx="301">
                  <c:v>2.1865347465110929E-4</c:v>
                </c:pt>
                <c:pt idx="302">
                  <c:v>1.0887658725899918E-4</c:v>
                </c:pt>
                <c:pt idx="303">
                  <c:v>0</c:v>
                </c:pt>
                <c:pt idx="304">
                  <c:v>2.1849331539636196E-4</c:v>
                </c:pt>
                <c:pt idx="305">
                  <c:v>-2.1844558649597445E-4</c:v>
                </c:pt>
                <c:pt idx="306">
                  <c:v>3.2744661174999301E-4</c:v>
                </c:pt>
                <c:pt idx="307">
                  <c:v>-2.1816726175927226E-4</c:v>
                </c:pt>
                <c:pt idx="308">
                  <c:v>0</c:v>
                </c:pt>
                <c:pt idx="309">
                  <c:v>0</c:v>
                </c:pt>
                <c:pt idx="310">
                  <c:v>0</c:v>
                </c:pt>
                <c:pt idx="311">
                  <c:v>-2.1804883364062722E-4</c:v>
                </c:pt>
                <c:pt idx="312">
                  <c:v>0</c:v>
                </c:pt>
                <c:pt idx="313">
                  <c:v>1.0887658725899918E-4</c:v>
                </c:pt>
                <c:pt idx="314">
                  <c:v>-8.7244556854604305E-5</c:v>
                </c:pt>
                <c:pt idx="315">
                  <c:v>1.0921744048730808E-4</c:v>
                </c:pt>
                <c:pt idx="316">
                  <c:v>-3.2761654002244622E-4</c:v>
                </c:pt>
                <c:pt idx="317">
                  <c:v>1.0924130259848397E-4</c:v>
                </c:pt>
                <c:pt idx="318">
                  <c:v>-2.1845874047932146E-4</c:v>
                </c:pt>
                <c:pt idx="319">
                  <c:v>1.0925323756416638E-4</c:v>
                </c:pt>
                <c:pt idx="320">
                  <c:v>-2.185601205659804E-4</c:v>
                </c:pt>
                <c:pt idx="321">
                  <c:v>2.1860789953476178E-4</c:v>
                </c:pt>
                <c:pt idx="322">
                  <c:v>1.0924130259848397E-4</c:v>
                </c:pt>
                <c:pt idx="323">
                  <c:v>-1.0922937023971624E-4</c:v>
                </c:pt>
                <c:pt idx="324">
                  <c:v>-1.0924130259826192E-4</c:v>
                </c:pt>
                <c:pt idx="325">
                  <c:v>2.1850647512877686E-4</c:v>
                </c:pt>
                <c:pt idx="326">
                  <c:v>-1.0922937023971624E-4</c:v>
                </c:pt>
                <c:pt idx="327">
                  <c:v>0</c:v>
                </c:pt>
                <c:pt idx="328">
                  <c:v>0</c:v>
                </c:pt>
                <c:pt idx="329">
                  <c:v>1.0924130259848397E-4</c:v>
                </c:pt>
                <c:pt idx="330">
                  <c:v>-1.0922937023971624E-4</c:v>
                </c:pt>
                <c:pt idx="331">
                  <c:v>0</c:v>
                </c:pt>
                <c:pt idx="332">
                  <c:v>0</c:v>
                </c:pt>
                <c:pt idx="333">
                  <c:v>-1.0924130259826192E-4</c:v>
                </c:pt>
                <c:pt idx="334">
                  <c:v>2.1850647512877686E-4</c:v>
                </c:pt>
                <c:pt idx="335">
                  <c:v>-1.7486664411514585E-4</c:v>
                </c:pt>
                <c:pt idx="336">
                  <c:v>0</c:v>
                </c:pt>
                <c:pt idx="337">
                  <c:v>0</c:v>
                </c:pt>
                <c:pt idx="338">
                  <c:v>1.0933706896287809E-4</c:v>
                </c:pt>
                <c:pt idx="339">
                  <c:v>-1.0932511567529613E-4</c:v>
                </c:pt>
                <c:pt idx="340">
                  <c:v>0</c:v>
                </c:pt>
                <c:pt idx="341">
                  <c:v>1.0933706896287809E-4</c:v>
                </c:pt>
                <c:pt idx="342">
                  <c:v>0</c:v>
                </c:pt>
                <c:pt idx="343">
                  <c:v>0</c:v>
                </c:pt>
                <c:pt idx="344">
                  <c:v>1.0922545741132161E-4</c:v>
                </c:pt>
                <c:pt idx="345">
                  <c:v>-2.1852670440736244E-4</c:v>
                </c:pt>
                <c:pt idx="346">
                  <c:v>0</c:v>
                </c:pt>
                <c:pt idx="347">
                  <c:v>0</c:v>
                </c:pt>
                <c:pt idx="348">
                  <c:v>0</c:v>
                </c:pt>
                <c:pt idx="349">
                  <c:v>1.0933706896287809E-4</c:v>
                </c:pt>
                <c:pt idx="350">
                  <c:v>-1.0932511567529613E-4</c:v>
                </c:pt>
                <c:pt idx="351">
                  <c:v>1.0933706896287809E-4</c:v>
                </c:pt>
                <c:pt idx="352">
                  <c:v>-1.0932511567529613E-4</c:v>
                </c:pt>
                <c:pt idx="353">
                  <c:v>0</c:v>
                </c:pt>
                <c:pt idx="354">
                  <c:v>0</c:v>
                </c:pt>
                <c:pt idx="355">
                  <c:v>1.0933706896287809E-4</c:v>
                </c:pt>
                <c:pt idx="356">
                  <c:v>0</c:v>
                </c:pt>
                <c:pt idx="357">
                  <c:v>0</c:v>
                </c:pt>
                <c:pt idx="358">
                  <c:v>0</c:v>
                </c:pt>
                <c:pt idx="359">
                  <c:v>-2.1847306110334141E-4</c:v>
                </c:pt>
                <c:pt idx="360">
                  <c:v>1.0917179652469855E-4</c:v>
                </c:pt>
                <c:pt idx="361">
                  <c:v>0</c:v>
                </c:pt>
                <c:pt idx="362">
                  <c:v>1.0933706896287809E-4</c:v>
                </c:pt>
                <c:pt idx="363">
                  <c:v>-2.1847306110334141E-4</c:v>
                </c:pt>
                <c:pt idx="364">
                  <c:v>2.1852080201179014E-4</c:v>
                </c:pt>
                <c:pt idx="365">
                  <c:v>0</c:v>
                </c:pt>
                <c:pt idx="366">
                  <c:v>0</c:v>
                </c:pt>
                <c:pt idx="367">
                  <c:v>0</c:v>
                </c:pt>
                <c:pt idx="368">
                  <c:v>-1.0932511567529613E-4</c:v>
                </c:pt>
                <c:pt idx="369">
                  <c:v>0</c:v>
                </c:pt>
                <c:pt idx="370">
                  <c:v>0</c:v>
                </c:pt>
                <c:pt idx="371">
                  <c:v>0</c:v>
                </c:pt>
                <c:pt idx="372">
                  <c:v>0</c:v>
                </c:pt>
                <c:pt idx="373">
                  <c:v>1.0933706896287809E-4</c:v>
                </c:pt>
                <c:pt idx="374">
                  <c:v>-1.0932511567529613E-4</c:v>
                </c:pt>
                <c:pt idx="375">
                  <c:v>0</c:v>
                </c:pt>
                <c:pt idx="376">
                  <c:v>0</c:v>
                </c:pt>
                <c:pt idx="377">
                  <c:v>0</c:v>
                </c:pt>
                <c:pt idx="378">
                  <c:v>1.0933706896287809E-4</c:v>
                </c:pt>
                <c:pt idx="379">
                  <c:v>-1.0932511567529613E-4</c:v>
                </c:pt>
                <c:pt idx="380">
                  <c:v>0</c:v>
                </c:pt>
                <c:pt idx="381">
                  <c:v>0</c:v>
                </c:pt>
                <c:pt idx="382">
                  <c:v>0</c:v>
                </c:pt>
                <c:pt idx="383">
                  <c:v>1.0933706896287809E-4</c:v>
                </c:pt>
                <c:pt idx="384">
                  <c:v>0</c:v>
                </c:pt>
                <c:pt idx="385">
                  <c:v>0</c:v>
                </c:pt>
                <c:pt idx="386">
                  <c:v>0</c:v>
                </c:pt>
                <c:pt idx="387">
                  <c:v>-1.0932511567529613E-4</c:v>
                </c:pt>
                <c:pt idx="388">
                  <c:v>1.0933706896287809E-4</c:v>
                </c:pt>
                <c:pt idx="389">
                  <c:v>0</c:v>
                </c:pt>
                <c:pt idx="390">
                  <c:v>0</c:v>
                </c:pt>
                <c:pt idx="391">
                  <c:v>-1.0932511567529613E-4</c:v>
                </c:pt>
                <c:pt idx="392">
                  <c:v>1.0933706896287809E-4</c:v>
                </c:pt>
                <c:pt idx="393">
                  <c:v>-1.0932511567529613E-4</c:v>
                </c:pt>
                <c:pt idx="394">
                  <c:v>0</c:v>
                </c:pt>
                <c:pt idx="395">
                  <c:v>1.0933706896287809E-4</c:v>
                </c:pt>
                <c:pt idx="396">
                  <c:v>0</c:v>
                </c:pt>
                <c:pt idx="397">
                  <c:v>-1.0932511567529613E-4</c:v>
                </c:pt>
                <c:pt idx="398">
                  <c:v>1.0933706896287809E-4</c:v>
                </c:pt>
                <c:pt idx="399">
                  <c:v>-1.0932511567529613E-4</c:v>
                </c:pt>
                <c:pt idx="400">
                  <c:v>1.0933706896287809E-4</c:v>
                </c:pt>
                <c:pt idx="401">
                  <c:v>-1.0932511567529613E-4</c:v>
                </c:pt>
                <c:pt idx="402">
                  <c:v>0</c:v>
                </c:pt>
                <c:pt idx="403">
                  <c:v>1.0933706896287809E-4</c:v>
                </c:pt>
                <c:pt idx="404">
                  <c:v>0</c:v>
                </c:pt>
                <c:pt idx="405">
                  <c:v>-1.0932511567529613E-4</c:v>
                </c:pt>
                <c:pt idx="406">
                  <c:v>0</c:v>
                </c:pt>
                <c:pt idx="407">
                  <c:v>1.0933706896287809E-4</c:v>
                </c:pt>
                <c:pt idx="408">
                  <c:v>-1.0932511567529613E-4</c:v>
                </c:pt>
                <c:pt idx="409">
                  <c:v>0</c:v>
                </c:pt>
                <c:pt idx="410">
                  <c:v>1.0933706896287809E-4</c:v>
                </c:pt>
                <c:pt idx="411">
                  <c:v>0</c:v>
                </c:pt>
                <c:pt idx="412">
                  <c:v>0</c:v>
                </c:pt>
                <c:pt idx="413">
                  <c:v>0</c:v>
                </c:pt>
                <c:pt idx="414">
                  <c:v>0</c:v>
                </c:pt>
                <c:pt idx="415">
                  <c:v>-1.0932511567529613E-4</c:v>
                </c:pt>
                <c:pt idx="416">
                  <c:v>0</c:v>
                </c:pt>
                <c:pt idx="417">
                  <c:v>0</c:v>
                </c:pt>
                <c:pt idx="418">
                  <c:v>1.0933706896287809E-4</c:v>
                </c:pt>
                <c:pt idx="419">
                  <c:v>0</c:v>
                </c:pt>
                <c:pt idx="420">
                  <c:v>0</c:v>
                </c:pt>
                <c:pt idx="421">
                  <c:v>0</c:v>
                </c:pt>
                <c:pt idx="422">
                  <c:v>-1.0932511567529613E-4</c:v>
                </c:pt>
                <c:pt idx="423">
                  <c:v>1.0933706896287809E-4</c:v>
                </c:pt>
                <c:pt idx="424">
                  <c:v>0</c:v>
                </c:pt>
                <c:pt idx="425">
                  <c:v>-1.0932511567529613E-4</c:v>
                </c:pt>
                <c:pt idx="426">
                  <c:v>0</c:v>
                </c:pt>
                <c:pt idx="427">
                  <c:v>-1.0915987934445592E-4</c:v>
                </c:pt>
                <c:pt idx="428">
                  <c:v>2.1852080201179014E-4</c:v>
                </c:pt>
                <c:pt idx="429">
                  <c:v>-2.1847306110334141E-4</c:v>
                </c:pt>
                <c:pt idx="430">
                  <c:v>2.1852080201179014E-4</c:v>
                </c:pt>
                <c:pt idx="431">
                  <c:v>0</c:v>
                </c:pt>
                <c:pt idx="432">
                  <c:v>-2.1847306110334141E-4</c:v>
                </c:pt>
                <c:pt idx="433">
                  <c:v>0</c:v>
                </c:pt>
                <c:pt idx="434">
                  <c:v>0</c:v>
                </c:pt>
                <c:pt idx="435">
                  <c:v>0</c:v>
                </c:pt>
                <c:pt idx="436">
                  <c:v>1.0917179652469855E-4</c:v>
                </c:pt>
                <c:pt idx="437">
                  <c:v>-1.0915987934445592E-4</c:v>
                </c:pt>
                <c:pt idx="438">
                  <c:v>1.0917179652469855E-4</c:v>
                </c:pt>
                <c:pt idx="439">
                  <c:v>0</c:v>
                </c:pt>
                <c:pt idx="440">
                  <c:v>-1.0915987934445592E-4</c:v>
                </c:pt>
                <c:pt idx="441">
                  <c:v>0</c:v>
                </c:pt>
                <c:pt idx="442">
                  <c:v>0</c:v>
                </c:pt>
                <c:pt idx="443">
                  <c:v>0</c:v>
                </c:pt>
                <c:pt idx="444">
                  <c:v>1.0917179652469855E-4</c:v>
                </c:pt>
                <c:pt idx="445">
                  <c:v>-1.0915987934445592E-4</c:v>
                </c:pt>
                <c:pt idx="446">
                  <c:v>0</c:v>
                </c:pt>
                <c:pt idx="447">
                  <c:v>0</c:v>
                </c:pt>
                <c:pt idx="448">
                  <c:v>1.0917179652469855E-4</c:v>
                </c:pt>
                <c:pt idx="449">
                  <c:v>-1.0915987934445592E-4</c:v>
                </c:pt>
                <c:pt idx="450">
                  <c:v>0</c:v>
                </c:pt>
                <c:pt idx="451">
                  <c:v>0</c:v>
                </c:pt>
                <c:pt idx="452">
                  <c:v>1.0917179652469855E-4</c:v>
                </c:pt>
                <c:pt idx="453">
                  <c:v>0</c:v>
                </c:pt>
                <c:pt idx="454">
                  <c:v>-1.0915987934445592E-4</c:v>
                </c:pt>
                <c:pt idx="455">
                  <c:v>0</c:v>
                </c:pt>
                <c:pt idx="456">
                  <c:v>1.0917179652469855E-4</c:v>
                </c:pt>
                <c:pt idx="457">
                  <c:v>0</c:v>
                </c:pt>
                <c:pt idx="458">
                  <c:v>0</c:v>
                </c:pt>
                <c:pt idx="459">
                  <c:v>-1.0915987934445592E-4</c:v>
                </c:pt>
                <c:pt idx="460">
                  <c:v>0</c:v>
                </c:pt>
                <c:pt idx="461">
                  <c:v>1.0917179652469855E-4</c:v>
                </c:pt>
                <c:pt idx="462">
                  <c:v>0</c:v>
                </c:pt>
                <c:pt idx="463">
                  <c:v>0</c:v>
                </c:pt>
                <c:pt idx="464">
                  <c:v>0</c:v>
                </c:pt>
                <c:pt idx="465">
                  <c:v>-1.0915987934445592E-4</c:v>
                </c:pt>
                <c:pt idx="466">
                  <c:v>1.0917179652469855E-4</c:v>
                </c:pt>
                <c:pt idx="467">
                  <c:v>-1.0915987934445592E-4</c:v>
                </c:pt>
                <c:pt idx="468">
                  <c:v>1.0917179652469855E-4</c:v>
                </c:pt>
                <c:pt idx="469">
                  <c:v>-1.0915987934445592E-4</c:v>
                </c:pt>
                <c:pt idx="470">
                  <c:v>0</c:v>
                </c:pt>
                <c:pt idx="471">
                  <c:v>0</c:v>
                </c:pt>
                <c:pt idx="472">
                  <c:v>1.0917179652469855E-4</c:v>
                </c:pt>
                <c:pt idx="473">
                  <c:v>0</c:v>
                </c:pt>
                <c:pt idx="474">
                  <c:v>0</c:v>
                </c:pt>
                <c:pt idx="475">
                  <c:v>0</c:v>
                </c:pt>
                <c:pt idx="476">
                  <c:v>0</c:v>
                </c:pt>
                <c:pt idx="477">
                  <c:v>0</c:v>
                </c:pt>
                <c:pt idx="478">
                  <c:v>0</c:v>
                </c:pt>
                <c:pt idx="479">
                  <c:v>0</c:v>
                </c:pt>
                <c:pt idx="480">
                  <c:v>-1.0915987934445592E-4</c:v>
                </c:pt>
                <c:pt idx="481">
                  <c:v>1.0917179652469855E-4</c:v>
                </c:pt>
                <c:pt idx="482">
                  <c:v>-1.0915987934445592E-4</c:v>
                </c:pt>
                <c:pt idx="483">
                  <c:v>-7.6476742924103114E-5</c:v>
                </c:pt>
                <c:pt idx="484">
                  <c:v>1.0926875752459431E-4</c:v>
                </c:pt>
                <c:pt idx="485">
                  <c:v>0</c:v>
                </c:pt>
                <c:pt idx="486">
                  <c:v>1.0925681916762464E-4</c:v>
                </c:pt>
                <c:pt idx="487">
                  <c:v>-2.1848976683846999E-4</c:v>
                </c:pt>
                <c:pt idx="488">
                  <c:v>0</c:v>
                </c:pt>
                <c:pt idx="489">
                  <c:v>0</c:v>
                </c:pt>
                <c:pt idx="490">
                  <c:v>0</c:v>
                </c:pt>
                <c:pt idx="491">
                  <c:v>1.0926875752459431E-4</c:v>
                </c:pt>
                <c:pt idx="492">
                  <c:v>-1.0925681916784669E-4</c:v>
                </c:pt>
                <c:pt idx="493">
                  <c:v>0</c:v>
                </c:pt>
                <c:pt idx="494">
                  <c:v>1.0926875752459431E-4</c:v>
                </c:pt>
                <c:pt idx="495">
                  <c:v>0</c:v>
                </c:pt>
                <c:pt idx="496">
                  <c:v>0</c:v>
                </c:pt>
                <c:pt idx="497">
                  <c:v>0</c:v>
                </c:pt>
                <c:pt idx="498">
                  <c:v>0</c:v>
                </c:pt>
                <c:pt idx="499">
                  <c:v>-1.0925681916784669E-4</c:v>
                </c:pt>
                <c:pt idx="500">
                  <c:v>1.0926875752459431E-4</c:v>
                </c:pt>
                <c:pt idx="501">
                  <c:v>0</c:v>
                </c:pt>
                <c:pt idx="502">
                  <c:v>0</c:v>
                </c:pt>
                <c:pt idx="503">
                  <c:v>-1.0925681916784669E-4</c:v>
                </c:pt>
                <c:pt idx="504">
                  <c:v>1.0926875752459431E-4</c:v>
                </c:pt>
              </c:numCache>
            </c:numRef>
          </c:val>
          <c:smooth val="0"/>
          <c:extLst>
            <c:ext xmlns:c16="http://schemas.microsoft.com/office/drawing/2014/chart" uri="{C3380CC4-5D6E-409C-BE32-E72D297353CC}">
              <c16:uniqueId val="{00000001-357C-4319-A85C-4DCA3A1F632A}"/>
            </c:ext>
          </c:extLst>
        </c:ser>
        <c:dLbls>
          <c:showLegendKey val="0"/>
          <c:showVal val="0"/>
          <c:showCatName val="0"/>
          <c:showSerName val="0"/>
          <c:showPercent val="0"/>
          <c:showBubbleSize val="0"/>
        </c:dLbls>
        <c:marker val="1"/>
        <c:smooth val="0"/>
        <c:axId val="1600867599"/>
        <c:axId val="1589868399"/>
      </c:lineChart>
      <c:catAx>
        <c:axId val="2040515792"/>
        <c:scaling>
          <c:orientation val="minMax"/>
        </c:scaling>
        <c:delete val="0"/>
        <c:axPos val="b"/>
        <c:numFmt formatCode="dd/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9952"/>
        <c:crosses val="autoZero"/>
        <c:auto val="0"/>
        <c:lblAlgn val="ctr"/>
        <c:lblOffset val="100"/>
        <c:noMultiLvlLbl val="0"/>
      </c:catAx>
      <c:valAx>
        <c:axId val="2040519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040515792"/>
        <c:crosses val="autoZero"/>
        <c:crossBetween val="between"/>
      </c:valAx>
      <c:valAx>
        <c:axId val="1589868399"/>
        <c:scaling>
          <c:orientation val="minMax"/>
          <c:max val="1.0000000000000002E-3"/>
          <c:min val="-1.0000000000000002E-3"/>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00867599"/>
        <c:crosses val="max"/>
        <c:crossBetween val="between"/>
      </c:valAx>
      <c:dateAx>
        <c:axId val="1600867599"/>
        <c:scaling>
          <c:orientation val="minMax"/>
        </c:scaling>
        <c:delete val="1"/>
        <c:axPos val="b"/>
        <c:numFmt formatCode="dd/mm/yy;@" sourceLinked="1"/>
        <c:majorTickMark val="out"/>
        <c:minorTickMark val="none"/>
        <c:tickLblPos val="nextTo"/>
        <c:crossAx val="1589868399"/>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DRAWDOWN!$F$8</c:f>
              <c:strCache>
                <c:ptCount val="1"/>
                <c:pt idx="0">
                  <c:v>S&amp;P 500</c:v>
                </c:pt>
              </c:strCache>
            </c:strRef>
          </c:tx>
          <c:spPr>
            <a:ln w="28575" cap="rnd">
              <a:solidFill>
                <a:schemeClr val="accent1"/>
              </a:solidFill>
              <a:round/>
            </a:ln>
            <a:effectLst/>
          </c:spPr>
          <c:marker>
            <c:symbol val="none"/>
          </c:marker>
          <c:cat>
            <c:numRef>
              <c:f>DRAWDOWN!$E$10:$E$1268</c:f>
              <c:numCache>
                <c:formatCode>m/d/yyyy</c:formatCode>
                <c:ptCount val="1259"/>
                <c:pt idx="0">
                  <c:v>42004</c:v>
                </c:pt>
                <c:pt idx="1">
                  <c:v>42006</c:v>
                </c:pt>
                <c:pt idx="2">
                  <c:v>42009</c:v>
                </c:pt>
                <c:pt idx="3">
                  <c:v>42010</c:v>
                </c:pt>
                <c:pt idx="4">
                  <c:v>42011</c:v>
                </c:pt>
                <c:pt idx="5">
                  <c:v>42012</c:v>
                </c:pt>
                <c:pt idx="6">
                  <c:v>42013</c:v>
                </c:pt>
                <c:pt idx="7">
                  <c:v>42016</c:v>
                </c:pt>
                <c:pt idx="8">
                  <c:v>42017</c:v>
                </c:pt>
                <c:pt idx="9">
                  <c:v>42018</c:v>
                </c:pt>
                <c:pt idx="10">
                  <c:v>42019</c:v>
                </c:pt>
                <c:pt idx="11">
                  <c:v>42020</c:v>
                </c:pt>
                <c:pt idx="12">
                  <c:v>42024</c:v>
                </c:pt>
                <c:pt idx="13">
                  <c:v>42025</c:v>
                </c:pt>
                <c:pt idx="14">
                  <c:v>42026</c:v>
                </c:pt>
                <c:pt idx="15">
                  <c:v>42027</c:v>
                </c:pt>
                <c:pt idx="16">
                  <c:v>42030</c:v>
                </c:pt>
                <c:pt idx="17">
                  <c:v>42031</c:v>
                </c:pt>
                <c:pt idx="18">
                  <c:v>42032</c:v>
                </c:pt>
                <c:pt idx="19">
                  <c:v>42033</c:v>
                </c:pt>
                <c:pt idx="20">
                  <c:v>42034</c:v>
                </c:pt>
                <c:pt idx="21">
                  <c:v>42037</c:v>
                </c:pt>
                <c:pt idx="22">
                  <c:v>42038</c:v>
                </c:pt>
                <c:pt idx="23">
                  <c:v>42039</c:v>
                </c:pt>
                <c:pt idx="24">
                  <c:v>42040</c:v>
                </c:pt>
                <c:pt idx="25">
                  <c:v>42041</c:v>
                </c:pt>
                <c:pt idx="26">
                  <c:v>42044</c:v>
                </c:pt>
                <c:pt idx="27">
                  <c:v>42045</c:v>
                </c:pt>
                <c:pt idx="28">
                  <c:v>42046</c:v>
                </c:pt>
                <c:pt idx="29">
                  <c:v>42047</c:v>
                </c:pt>
                <c:pt idx="30">
                  <c:v>42048</c:v>
                </c:pt>
                <c:pt idx="31">
                  <c:v>42052</c:v>
                </c:pt>
                <c:pt idx="32">
                  <c:v>42053</c:v>
                </c:pt>
                <c:pt idx="33">
                  <c:v>42054</c:v>
                </c:pt>
                <c:pt idx="34">
                  <c:v>42055</c:v>
                </c:pt>
                <c:pt idx="35">
                  <c:v>42058</c:v>
                </c:pt>
                <c:pt idx="36">
                  <c:v>42059</c:v>
                </c:pt>
                <c:pt idx="37">
                  <c:v>42060</c:v>
                </c:pt>
                <c:pt idx="38">
                  <c:v>42061</c:v>
                </c:pt>
                <c:pt idx="39">
                  <c:v>42062</c:v>
                </c:pt>
                <c:pt idx="40">
                  <c:v>42065</c:v>
                </c:pt>
                <c:pt idx="41">
                  <c:v>42066</c:v>
                </c:pt>
                <c:pt idx="42">
                  <c:v>42067</c:v>
                </c:pt>
                <c:pt idx="43">
                  <c:v>42068</c:v>
                </c:pt>
                <c:pt idx="44">
                  <c:v>42069</c:v>
                </c:pt>
                <c:pt idx="45">
                  <c:v>42072</c:v>
                </c:pt>
                <c:pt idx="46">
                  <c:v>42073</c:v>
                </c:pt>
                <c:pt idx="47">
                  <c:v>42074</c:v>
                </c:pt>
                <c:pt idx="48">
                  <c:v>42075</c:v>
                </c:pt>
                <c:pt idx="49">
                  <c:v>42076</c:v>
                </c:pt>
                <c:pt idx="50">
                  <c:v>42079</c:v>
                </c:pt>
                <c:pt idx="51">
                  <c:v>42080</c:v>
                </c:pt>
                <c:pt idx="52">
                  <c:v>42081</c:v>
                </c:pt>
                <c:pt idx="53">
                  <c:v>42082</c:v>
                </c:pt>
                <c:pt idx="54">
                  <c:v>42083</c:v>
                </c:pt>
                <c:pt idx="55">
                  <c:v>42086</c:v>
                </c:pt>
                <c:pt idx="56">
                  <c:v>42087</c:v>
                </c:pt>
                <c:pt idx="57">
                  <c:v>42088</c:v>
                </c:pt>
                <c:pt idx="58">
                  <c:v>42089</c:v>
                </c:pt>
                <c:pt idx="59">
                  <c:v>42090</c:v>
                </c:pt>
                <c:pt idx="60">
                  <c:v>42093</c:v>
                </c:pt>
                <c:pt idx="61">
                  <c:v>42094</c:v>
                </c:pt>
                <c:pt idx="62">
                  <c:v>42095</c:v>
                </c:pt>
                <c:pt idx="63">
                  <c:v>42096</c:v>
                </c:pt>
                <c:pt idx="64">
                  <c:v>42100</c:v>
                </c:pt>
                <c:pt idx="65">
                  <c:v>42101</c:v>
                </c:pt>
                <c:pt idx="66">
                  <c:v>42102</c:v>
                </c:pt>
                <c:pt idx="67">
                  <c:v>42103</c:v>
                </c:pt>
                <c:pt idx="68">
                  <c:v>42104</c:v>
                </c:pt>
                <c:pt idx="69">
                  <c:v>42107</c:v>
                </c:pt>
                <c:pt idx="70">
                  <c:v>42108</c:v>
                </c:pt>
                <c:pt idx="71">
                  <c:v>42109</c:v>
                </c:pt>
                <c:pt idx="72">
                  <c:v>42110</c:v>
                </c:pt>
                <c:pt idx="73">
                  <c:v>42111</c:v>
                </c:pt>
                <c:pt idx="74">
                  <c:v>42114</c:v>
                </c:pt>
                <c:pt idx="75">
                  <c:v>42115</c:v>
                </c:pt>
                <c:pt idx="76">
                  <c:v>42116</c:v>
                </c:pt>
                <c:pt idx="77">
                  <c:v>42117</c:v>
                </c:pt>
                <c:pt idx="78">
                  <c:v>42118</c:v>
                </c:pt>
                <c:pt idx="79">
                  <c:v>42121</c:v>
                </c:pt>
                <c:pt idx="80">
                  <c:v>42122</c:v>
                </c:pt>
                <c:pt idx="81">
                  <c:v>42123</c:v>
                </c:pt>
                <c:pt idx="82">
                  <c:v>42124</c:v>
                </c:pt>
                <c:pt idx="83">
                  <c:v>42125</c:v>
                </c:pt>
                <c:pt idx="84">
                  <c:v>42128</c:v>
                </c:pt>
                <c:pt idx="85">
                  <c:v>42129</c:v>
                </c:pt>
                <c:pt idx="86">
                  <c:v>42130</c:v>
                </c:pt>
                <c:pt idx="87">
                  <c:v>42131</c:v>
                </c:pt>
                <c:pt idx="88">
                  <c:v>42132</c:v>
                </c:pt>
                <c:pt idx="89">
                  <c:v>42135</c:v>
                </c:pt>
                <c:pt idx="90">
                  <c:v>42136</c:v>
                </c:pt>
                <c:pt idx="91">
                  <c:v>42137</c:v>
                </c:pt>
                <c:pt idx="92">
                  <c:v>42138</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42174</c:v>
                </c:pt>
                <c:pt idx="118">
                  <c:v>42177</c:v>
                </c:pt>
                <c:pt idx="119">
                  <c:v>42178</c:v>
                </c:pt>
                <c:pt idx="120">
                  <c:v>42179</c:v>
                </c:pt>
                <c:pt idx="121">
                  <c:v>42180</c:v>
                </c:pt>
                <c:pt idx="122">
                  <c:v>42181</c:v>
                </c:pt>
                <c:pt idx="123">
                  <c:v>42184</c:v>
                </c:pt>
                <c:pt idx="124">
                  <c:v>42185</c:v>
                </c:pt>
                <c:pt idx="125">
                  <c:v>42186</c:v>
                </c:pt>
                <c:pt idx="126">
                  <c:v>42187</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42255</c:v>
                </c:pt>
                <c:pt idx="173">
                  <c:v>42256</c:v>
                </c:pt>
                <c:pt idx="174">
                  <c:v>42257</c:v>
                </c:pt>
                <c:pt idx="175">
                  <c:v>42258</c:v>
                </c:pt>
                <c:pt idx="176">
                  <c:v>42261</c:v>
                </c:pt>
                <c:pt idx="177">
                  <c:v>42262</c:v>
                </c:pt>
                <c:pt idx="178">
                  <c:v>42263</c:v>
                </c:pt>
                <c:pt idx="179">
                  <c:v>42264</c:v>
                </c:pt>
                <c:pt idx="180">
                  <c:v>42265</c:v>
                </c:pt>
                <c:pt idx="181">
                  <c:v>42268</c:v>
                </c:pt>
                <c:pt idx="182">
                  <c:v>42269</c:v>
                </c:pt>
                <c:pt idx="183">
                  <c:v>42270</c:v>
                </c:pt>
                <c:pt idx="184">
                  <c:v>42271</c:v>
                </c:pt>
                <c:pt idx="185">
                  <c:v>42272</c:v>
                </c:pt>
                <c:pt idx="186">
                  <c:v>42275</c:v>
                </c:pt>
                <c:pt idx="187">
                  <c:v>42276</c:v>
                </c:pt>
                <c:pt idx="188">
                  <c:v>42277</c:v>
                </c:pt>
                <c:pt idx="189">
                  <c:v>42278</c:v>
                </c:pt>
                <c:pt idx="190">
                  <c:v>42279</c:v>
                </c:pt>
                <c:pt idx="191">
                  <c:v>42282</c:v>
                </c:pt>
                <c:pt idx="192">
                  <c:v>42283</c:v>
                </c:pt>
                <c:pt idx="193">
                  <c:v>42284</c:v>
                </c:pt>
                <c:pt idx="194">
                  <c:v>42285</c:v>
                </c:pt>
                <c:pt idx="195">
                  <c:v>42286</c:v>
                </c:pt>
                <c:pt idx="196">
                  <c:v>42289</c:v>
                </c:pt>
                <c:pt idx="197">
                  <c:v>42290</c:v>
                </c:pt>
                <c:pt idx="198">
                  <c:v>42291</c:v>
                </c:pt>
                <c:pt idx="199">
                  <c:v>42292</c:v>
                </c:pt>
                <c:pt idx="200">
                  <c:v>42293</c:v>
                </c:pt>
                <c:pt idx="201">
                  <c:v>42296</c:v>
                </c:pt>
                <c:pt idx="202">
                  <c:v>42297</c:v>
                </c:pt>
                <c:pt idx="203">
                  <c:v>42298</c:v>
                </c:pt>
                <c:pt idx="204">
                  <c:v>42299</c:v>
                </c:pt>
                <c:pt idx="205">
                  <c:v>42300</c:v>
                </c:pt>
                <c:pt idx="206">
                  <c:v>42303</c:v>
                </c:pt>
                <c:pt idx="207">
                  <c:v>42304</c:v>
                </c:pt>
                <c:pt idx="208">
                  <c:v>42305</c:v>
                </c:pt>
                <c:pt idx="209">
                  <c:v>42306</c:v>
                </c:pt>
                <c:pt idx="210">
                  <c:v>42307</c:v>
                </c:pt>
                <c:pt idx="211">
                  <c:v>42310</c:v>
                </c:pt>
                <c:pt idx="212">
                  <c:v>42311</c:v>
                </c:pt>
                <c:pt idx="213">
                  <c:v>42312</c:v>
                </c:pt>
                <c:pt idx="214">
                  <c:v>42313</c:v>
                </c:pt>
                <c:pt idx="215">
                  <c:v>42314</c:v>
                </c:pt>
                <c:pt idx="216">
                  <c:v>42317</c:v>
                </c:pt>
                <c:pt idx="217">
                  <c:v>42318</c:v>
                </c:pt>
                <c:pt idx="218">
                  <c:v>42319</c:v>
                </c:pt>
                <c:pt idx="219">
                  <c:v>42320</c:v>
                </c:pt>
                <c:pt idx="220">
                  <c:v>42321</c:v>
                </c:pt>
                <c:pt idx="221">
                  <c:v>42324</c:v>
                </c:pt>
                <c:pt idx="222">
                  <c:v>42325</c:v>
                </c:pt>
                <c:pt idx="223">
                  <c:v>42326</c:v>
                </c:pt>
                <c:pt idx="224">
                  <c:v>42327</c:v>
                </c:pt>
                <c:pt idx="225">
                  <c:v>42328</c:v>
                </c:pt>
                <c:pt idx="226">
                  <c:v>42331</c:v>
                </c:pt>
                <c:pt idx="227">
                  <c:v>42332</c:v>
                </c:pt>
                <c:pt idx="228">
                  <c:v>42333</c:v>
                </c:pt>
                <c:pt idx="229">
                  <c:v>42335</c:v>
                </c:pt>
                <c:pt idx="230">
                  <c:v>42338</c:v>
                </c:pt>
                <c:pt idx="231">
                  <c:v>42339</c:v>
                </c:pt>
                <c:pt idx="232">
                  <c:v>42340</c:v>
                </c:pt>
                <c:pt idx="233">
                  <c:v>42341</c:v>
                </c:pt>
                <c:pt idx="234">
                  <c:v>42342</c:v>
                </c:pt>
                <c:pt idx="235">
                  <c:v>42345</c:v>
                </c:pt>
                <c:pt idx="236">
                  <c:v>42346</c:v>
                </c:pt>
                <c:pt idx="237">
                  <c:v>42347</c:v>
                </c:pt>
                <c:pt idx="238">
                  <c:v>42348</c:v>
                </c:pt>
                <c:pt idx="239">
                  <c:v>42349</c:v>
                </c:pt>
                <c:pt idx="240">
                  <c:v>42352</c:v>
                </c:pt>
                <c:pt idx="241">
                  <c:v>42353</c:v>
                </c:pt>
                <c:pt idx="242">
                  <c:v>42354</c:v>
                </c:pt>
                <c:pt idx="243">
                  <c:v>42355</c:v>
                </c:pt>
                <c:pt idx="244">
                  <c:v>42356</c:v>
                </c:pt>
                <c:pt idx="245">
                  <c:v>42359</c:v>
                </c:pt>
                <c:pt idx="246">
                  <c:v>42360</c:v>
                </c:pt>
                <c:pt idx="247">
                  <c:v>42361</c:v>
                </c:pt>
                <c:pt idx="248">
                  <c:v>42362</c:v>
                </c:pt>
                <c:pt idx="249">
                  <c:v>42366</c:v>
                </c:pt>
                <c:pt idx="250">
                  <c:v>42367</c:v>
                </c:pt>
                <c:pt idx="251">
                  <c:v>42368</c:v>
                </c:pt>
                <c:pt idx="252">
                  <c:v>42369</c:v>
                </c:pt>
                <c:pt idx="253">
                  <c:v>42373</c:v>
                </c:pt>
                <c:pt idx="254">
                  <c:v>42374</c:v>
                </c:pt>
                <c:pt idx="255">
                  <c:v>42375</c:v>
                </c:pt>
                <c:pt idx="256">
                  <c:v>42376</c:v>
                </c:pt>
                <c:pt idx="257">
                  <c:v>42377</c:v>
                </c:pt>
                <c:pt idx="258">
                  <c:v>42380</c:v>
                </c:pt>
                <c:pt idx="259">
                  <c:v>42381</c:v>
                </c:pt>
                <c:pt idx="260">
                  <c:v>42382</c:v>
                </c:pt>
                <c:pt idx="261">
                  <c:v>42383</c:v>
                </c:pt>
                <c:pt idx="262">
                  <c:v>42384</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42416</c:v>
                </c:pt>
                <c:pt idx="283">
                  <c:v>42417</c:v>
                </c:pt>
                <c:pt idx="284">
                  <c:v>42418</c:v>
                </c:pt>
                <c:pt idx="285">
                  <c:v>42419</c:v>
                </c:pt>
                <c:pt idx="286">
                  <c:v>42422</c:v>
                </c:pt>
                <c:pt idx="287">
                  <c:v>42423</c:v>
                </c:pt>
                <c:pt idx="288">
                  <c:v>42424</c:v>
                </c:pt>
                <c:pt idx="289">
                  <c:v>42425</c:v>
                </c:pt>
                <c:pt idx="290">
                  <c:v>42426</c:v>
                </c:pt>
                <c:pt idx="291">
                  <c:v>42429</c:v>
                </c:pt>
                <c:pt idx="292">
                  <c:v>42430</c:v>
                </c:pt>
                <c:pt idx="293">
                  <c:v>42431</c:v>
                </c:pt>
                <c:pt idx="294">
                  <c:v>42432</c:v>
                </c:pt>
                <c:pt idx="295">
                  <c:v>42433</c:v>
                </c:pt>
                <c:pt idx="296">
                  <c:v>42436</c:v>
                </c:pt>
                <c:pt idx="297">
                  <c:v>42437</c:v>
                </c:pt>
                <c:pt idx="298">
                  <c:v>42438</c:v>
                </c:pt>
                <c:pt idx="299">
                  <c:v>42439</c:v>
                </c:pt>
                <c:pt idx="300">
                  <c:v>42440</c:v>
                </c:pt>
                <c:pt idx="301">
                  <c:v>42443</c:v>
                </c:pt>
                <c:pt idx="302">
                  <c:v>42444</c:v>
                </c:pt>
                <c:pt idx="303">
                  <c:v>42445</c:v>
                </c:pt>
                <c:pt idx="304">
                  <c:v>42446</c:v>
                </c:pt>
                <c:pt idx="305">
                  <c:v>42447</c:v>
                </c:pt>
                <c:pt idx="306">
                  <c:v>42450</c:v>
                </c:pt>
                <c:pt idx="307">
                  <c:v>42451</c:v>
                </c:pt>
                <c:pt idx="308">
                  <c:v>42452</c:v>
                </c:pt>
                <c:pt idx="309">
                  <c:v>42453</c:v>
                </c:pt>
                <c:pt idx="310">
                  <c:v>42457</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42495</c:v>
                </c:pt>
                <c:pt idx="339">
                  <c:v>42496</c:v>
                </c:pt>
                <c:pt idx="340">
                  <c:v>42499</c:v>
                </c:pt>
                <c:pt idx="341">
                  <c:v>42500</c:v>
                </c:pt>
                <c:pt idx="342">
                  <c:v>42501</c:v>
                </c:pt>
                <c:pt idx="343">
                  <c:v>42502</c:v>
                </c:pt>
                <c:pt idx="344">
                  <c:v>42503</c:v>
                </c:pt>
                <c:pt idx="345">
                  <c:v>42506</c:v>
                </c:pt>
                <c:pt idx="346">
                  <c:v>42507</c:v>
                </c:pt>
                <c:pt idx="347">
                  <c:v>42508</c:v>
                </c:pt>
                <c:pt idx="348">
                  <c:v>42509</c:v>
                </c:pt>
                <c:pt idx="349">
                  <c:v>42510</c:v>
                </c:pt>
                <c:pt idx="350">
                  <c:v>42513</c:v>
                </c:pt>
                <c:pt idx="351">
                  <c:v>42514</c:v>
                </c:pt>
                <c:pt idx="352">
                  <c:v>42515</c:v>
                </c:pt>
                <c:pt idx="353">
                  <c:v>42516</c:v>
                </c:pt>
                <c:pt idx="354">
                  <c:v>42517</c:v>
                </c:pt>
                <c:pt idx="355">
                  <c:v>42521</c:v>
                </c:pt>
                <c:pt idx="356">
                  <c:v>42522</c:v>
                </c:pt>
                <c:pt idx="357">
                  <c:v>42523</c:v>
                </c:pt>
                <c:pt idx="358">
                  <c:v>42524</c:v>
                </c:pt>
                <c:pt idx="359">
                  <c:v>42527</c:v>
                </c:pt>
                <c:pt idx="360">
                  <c:v>42528</c:v>
                </c:pt>
                <c:pt idx="361">
                  <c:v>42529</c:v>
                </c:pt>
                <c:pt idx="362">
                  <c:v>42530</c:v>
                </c:pt>
                <c:pt idx="363">
                  <c:v>42531</c:v>
                </c:pt>
                <c:pt idx="364">
                  <c:v>42534</c:v>
                </c:pt>
                <c:pt idx="365">
                  <c:v>42535</c:v>
                </c:pt>
                <c:pt idx="366">
                  <c:v>42536</c:v>
                </c:pt>
                <c:pt idx="367">
                  <c:v>42537</c:v>
                </c:pt>
                <c:pt idx="368">
                  <c:v>42538</c:v>
                </c:pt>
                <c:pt idx="369">
                  <c:v>42541</c:v>
                </c:pt>
                <c:pt idx="370">
                  <c:v>42542</c:v>
                </c:pt>
                <c:pt idx="371">
                  <c:v>42543</c:v>
                </c:pt>
                <c:pt idx="372">
                  <c:v>42544</c:v>
                </c:pt>
                <c:pt idx="373">
                  <c:v>42545</c:v>
                </c:pt>
                <c:pt idx="374">
                  <c:v>42548</c:v>
                </c:pt>
                <c:pt idx="375">
                  <c:v>42549</c:v>
                </c:pt>
                <c:pt idx="376">
                  <c:v>42550</c:v>
                </c:pt>
                <c:pt idx="377">
                  <c:v>42551</c:v>
                </c:pt>
                <c:pt idx="378">
                  <c:v>42552</c:v>
                </c:pt>
                <c:pt idx="379">
                  <c:v>42556</c:v>
                </c:pt>
                <c:pt idx="380">
                  <c:v>42557</c:v>
                </c:pt>
                <c:pt idx="381">
                  <c:v>42558</c:v>
                </c:pt>
                <c:pt idx="382">
                  <c:v>42559</c:v>
                </c:pt>
                <c:pt idx="383">
                  <c:v>42562</c:v>
                </c:pt>
                <c:pt idx="384">
                  <c:v>42563</c:v>
                </c:pt>
                <c:pt idx="385">
                  <c:v>42564</c:v>
                </c:pt>
                <c:pt idx="386">
                  <c:v>42565</c:v>
                </c:pt>
                <c:pt idx="387">
                  <c:v>42566</c:v>
                </c:pt>
                <c:pt idx="388">
                  <c:v>42569</c:v>
                </c:pt>
                <c:pt idx="389">
                  <c:v>42570</c:v>
                </c:pt>
                <c:pt idx="390">
                  <c:v>42571</c:v>
                </c:pt>
                <c:pt idx="391">
                  <c:v>42572</c:v>
                </c:pt>
                <c:pt idx="392">
                  <c:v>42573</c:v>
                </c:pt>
                <c:pt idx="393">
                  <c:v>42576</c:v>
                </c:pt>
                <c:pt idx="394">
                  <c:v>42577</c:v>
                </c:pt>
                <c:pt idx="395">
                  <c:v>42578</c:v>
                </c:pt>
                <c:pt idx="396">
                  <c:v>42579</c:v>
                </c:pt>
                <c:pt idx="397">
                  <c:v>42580</c:v>
                </c:pt>
                <c:pt idx="398">
                  <c:v>42583</c:v>
                </c:pt>
                <c:pt idx="399">
                  <c:v>42584</c:v>
                </c:pt>
                <c:pt idx="400">
                  <c:v>42585</c:v>
                </c:pt>
                <c:pt idx="401">
                  <c:v>42586</c:v>
                </c:pt>
                <c:pt idx="402">
                  <c:v>42587</c:v>
                </c:pt>
                <c:pt idx="403">
                  <c:v>42590</c:v>
                </c:pt>
                <c:pt idx="404">
                  <c:v>42591</c:v>
                </c:pt>
                <c:pt idx="405">
                  <c:v>42592</c:v>
                </c:pt>
                <c:pt idx="406">
                  <c:v>42593</c:v>
                </c:pt>
                <c:pt idx="407">
                  <c:v>42594</c:v>
                </c:pt>
                <c:pt idx="408">
                  <c:v>42597</c:v>
                </c:pt>
                <c:pt idx="409">
                  <c:v>42598</c:v>
                </c:pt>
                <c:pt idx="410">
                  <c:v>42599</c:v>
                </c:pt>
                <c:pt idx="411">
                  <c:v>42600</c:v>
                </c:pt>
                <c:pt idx="412">
                  <c:v>42601</c:v>
                </c:pt>
                <c:pt idx="413">
                  <c:v>42604</c:v>
                </c:pt>
                <c:pt idx="414">
                  <c:v>42605</c:v>
                </c:pt>
                <c:pt idx="415">
                  <c:v>42606</c:v>
                </c:pt>
                <c:pt idx="416">
                  <c:v>42607</c:v>
                </c:pt>
                <c:pt idx="417">
                  <c:v>42608</c:v>
                </c:pt>
                <c:pt idx="418">
                  <c:v>42611</c:v>
                </c:pt>
                <c:pt idx="419">
                  <c:v>42612</c:v>
                </c:pt>
                <c:pt idx="420">
                  <c:v>42613</c:v>
                </c:pt>
                <c:pt idx="421">
                  <c:v>42614</c:v>
                </c:pt>
                <c:pt idx="422">
                  <c:v>42615</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42699</c:v>
                </c:pt>
                <c:pt idx="481">
                  <c:v>42702</c:v>
                </c:pt>
                <c:pt idx="482">
                  <c:v>42703</c:v>
                </c:pt>
                <c:pt idx="483">
                  <c:v>42704</c:v>
                </c:pt>
                <c:pt idx="484">
                  <c:v>42705</c:v>
                </c:pt>
                <c:pt idx="485">
                  <c:v>42706</c:v>
                </c:pt>
                <c:pt idx="486">
                  <c:v>42709</c:v>
                </c:pt>
                <c:pt idx="487">
                  <c:v>42710</c:v>
                </c:pt>
                <c:pt idx="488">
                  <c:v>42711</c:v>
                </c:pt>
                <c:pt idx="489">
                  <c:v>42712</c:v>
                </c:pt>
                <c:pt idx="490">
                  <c:v>42713</c:v>
                </c:pt>
                <c:pt idx="491">
                  <c:v>42716</c:v>
                </c:pt>
                <c:pt idx="492">
                  <c:v>42717</c:v>
                </c:pt>
                <c:pt idx="493">
                  <c:v>42718</c:v>
                </c:pt>
                <c:pt idx="494">
                  <c:v>42719</c:v>
                </c:pt>
                <c:pt idx="495">
                  <c:v>42720</c:v>
                </c:pt>
                <c:pt idx="496">
                  <c:v>42723</c:v>
                </c:pt>
                <c:pt idx="497">
                  <c:v>42724</c:v>
                </c:pt>
                <c:pt idx="498">
                  <c:v>42725</c:v>
                </c:pt>
                <c:pt idx="499">
                  <c:v>42726</c:v>
                </c:pt>
                <c:pt idx="500">
                  <c:v>42727</c:v>
                </c:pt>
                <c:pt idx="501">
                  <c:v>42731</c:v>
                </c:pt>
                <c:pt idx="502">
                  <c:v>42732</c:v>
                </c:pt>
                <c:pt idx="503">
                  <c:v>42733</c:v>
                </c:pt>
                <c:pt idx="504">
                  <c:v>42734</c:v>
                </c:pt>
                <c:pt idx="505">
                  <c:v>42738</c:v>
                </c:pt>
                <c:pt idx="506">
                  <c:v>42739</c:v>
                </c:pt>
                <c:pt idx="507">
                  <c:v>42740</c:v>
                </c:pt>
                <c:pt idx="508">
                  <c:v>42741</c:v>
                </c:pt>
                <c:pt idx="509">
                  <c:v>42744</c:v>
                </c:pt>
                <c:pt idx="510">
                  <c:v>42745</c:v>
                </c:pt>
                <c:pt idx="511">
                  <c:v>42746</c:v>
                </c:pt>
                <c:pt idx="512">
                  <c:v>42747</c:v>
                </c:pt>
                <c:pt idx="513">
                  <c:v>42748</c:v>
                </c:pt>
                <c:pt idx="514">
                  <c:v>42752</c:v>
                </c:pt>
                <c:pt idx="515">
                  <c:v>42753</c:v>
                </c:pt>
                <c:pt idx="516">
                  <c:v>42754</c:v>
                </c:pt>
                <c:pt idx="517">
                  <c:v>42755</c:v>
                </c:pt>
                <c:pt idx="518">
                  <c:v>42758</c:v>
                </c:pt>
                <c:pt idx="519">
                  <c:v>42759</c:v>
                </c:pt>
                <c:pt idx="520">
                  <c:v>42760</c:v>
                </c:pt>
                <c:pt idx="521">
                  <c:v>42761</c:v>
                </c:pt>
                <c:pt idx="522">
                  <c:v>42762</c:v>
                </c:pt>
                <c:pt idx="523">
                  <c:v>42765</c:v>
                </c:pt>
                <c:pt idx="524">
                  <c:v>42766</c:v>
                </c:pt>
                <c:pt idx="525">
                  <c:v>42767</c:v>
                </c:pt>
                <c:pt idx="526">
                  <c:v>42768</c:v>
                </c:pt>
                <c:pt idx="527">
                  <c:v>42769</c:v>
                </c:pt>
                <c:pt idx="528">
                  <c:v>42772</c:v>
                </c:pt>
                <c:pt idx="529">
                  <c:v>42773</c:v>
                </c:pt>
                <c:pt idx="530">
                  <c:v>42774</c:v>
                </c:pt>
                <c:pt idx="531">
                  <c:v>42775</c:v>
                </c:pt>
                <c:pt idx="532">
                  <c:v>42776</c:v>
                </c:pt>
                <c:pt idx="533">
                  <c:v>42779</c:v>
                </c:pt>
                <c:pt idx="534">
                  <c:v>42780</c:v>
                </c:pt>
                <c:pt idx="535">
                  <c:v>42781</c:v>
                </c:pt>
                <c:pt idx="536">
                  <c:v>42782</c:v>
                </c:pt>
                <c:pt idx="537">
                  <c:v>42783</c:v>
                </c:pt>
                <c:pt idx="538">
                  <c:v>42787</c:v>
                </c:pt>
                <c:pt idx="539">
                  <c:v>42788</c:v>
                </c:pt>
                <c:pt idx="540">
                  <c:v>42789</c:v>
                </c:pt>
                <c:pt idx="541">
                  <c:v>42790</c:v>
                </c:pt>
                <c:pt idx="542">
                  <c:v>42793</c:v>
                </c:pt>
                <c:pt idx="543">
                  <c:v>42794</c:v>
                </c:pt>
                <c:pt idx="544">
                  <c:v>42795</c:v>
                </c:pt>
                <c:pt idx="545">
                  <c:v>42796</c:v>
                </c:pt>
                <c:pt idx="546">
                  <c:v>42797</c:v>
                </c:pt>
                <c:pt idx="547">
                  <c:v>42800</c:v>
                </c:pt>
                <c:pt idx="548">
                  <c:v>42801</c:v>
                </c:pt>
                <c:pt idx="549">
                  <c:v>42802</c:v>
                </c:pt>
                <c:pt idx="550">
                  <c:v>42803</c:v>
                </c:pt>
                <c:pt idx="551">
                  <c:v>42804</c:v>
                </c:pt>
                <c:pt idx="552">
                  <c:v>42807</c:v>
                </c:pt>
                <c:pt idx="553">
                  <c:v>42808</c:v>
                </c:pt>
                <c:pt idx="554">
                  <c:v>42809</c:v>
                </c:pt>
                <c:pt idx="555">
                  <c:v>42810</c:v>
                </c:pt>
                <c:pt idx="556">
                  <c:v>42811</c:v>
                </c:pt>
                <c:pt idx="557">
                  <c:v>42814</c:v>
                </c:pt>
                <c:pt idx="558">
                  <c:v>42815</c:v>
                </c:pt>
                <c:pt idx="559">
                  <c:v>42816</c:v>
                </c:pt>
                <c:pt idx="560">
                  <c:v>42817</c:v>
                </c:pt>
                <c:pt idx="561">
                  <c:v>42818</c:v>
                </c:pt>
                <c:pt idx="562">
                  <c:v>42821</c:v>
                </c:pt>
                <c:pt idx="563">
                  <c:v>42822</c:v>
                </c:pt>
                <c:pt idx="564">
                  <c:v>42823</c:v>
                </c:pt>
                <c:pt idx="565">
                  <c:v>42824</c:v>
                </c:pt>
                <c:pt idx="566">
                  <c:v>42825</c:v>
                </c:pt>
                <c:pt idx="567">
                  <c:v>42828</c:v>
                </c:pt>
                <c:pt idx="568">
                  <c:v>42829</c:v>
                </c:pt>
                <c:pt idx="569">
                  <c:v>42830</c:v>
                </c:pt>
                <c:pt idx="570">
                  <c:v>42831</c:v>
                </c:pt>
                <c:pt idx="571">
                  <c:v>42832</c:v>
                </c:pt>
                <c:pt idx="572">
                  <c:v>42835</c:v>
                </c:pt>
                <c:pt idx="573">
                  <c:v>42836</c:v>
                </c:pt>
                <c:pt idx="574">
                  <c:v>42837</c:v>
                </c:pt>
                <c:pt idx="575">
                  <c:v>42838</c:v>
                </c:pt>
                <c:pt idx="576">
                  <c:v>42842</c:v>
                </c:pt>
                <c:pt idx="577">
                  <c:v>42843</c:v>
                </c:pt>
                <c:pt idx="578">
                  <c:v>42844</c:v>
                </c:pt>
                <c:pt idx="579">
                  <c:v>42845</c:v>
                </c:pt>
                <c:pt idx="580">
                  <c:v>42846</c:v>
                </c:pt>
                <c:pt idx="581">
                  <c:v>42849</c:v>
                </c:pt>
                <c:pt idx="582">
                  <c:v>42850</c:v>
                </c:pt>
                <c:pt idx="583">
                  <c:v>42851</c:v>
                </c:pt>
                <c:pt idx="584">
                  <c:v>42852</c:v>
                </c:pt>
                <c:pt idx="585">
                  <c:v>42853</c:v>
                </c:pt>
                <c:pt idx="586">
                  <c:v>42856</c:v>
                </c:pt>
                <c:pt idx="587">
                  <c:v>42857</c:v>
                </c:pt>
                <c:pt idx="588">
                  <c:v>42858</c:v>
                </c:pt>
                <c:pt idx="589">
                  <c:v>42859</c:v>
                </c:pt>
                <c:pt idx="590">
                  <c:v>42860</c:v>
                </c:pt>
                <c:pt idx="591">
                  <c:v>42863</c:v>
                </c:pt>
                <c:pt idx="592">
                  <c:v>42864</c:v>
                </c:pt>
                <c:pt idx="593">
                  <c:v>42865</c:v>
                </c:pt>
                <c:pt idx="594">
                  <c:v>42866</c:v>
                </c:pt>
                <c:pt idx="595">
                  <c:v>42867</c:v>
                </c:pt>
                <c:pt idx="596">
                  <c:v>42870</c:v>
                </c:pt>
                <c:pt idx="597">
                  <c:v>42871</c:v>
                </c:pt>
                <c:pt idx="598">
                  <c:v>42872</c:v>
                </c:pt>
                <c:pt idx="599">
                  <c:v>42873</c:v>
                </c:pt>
                <c:pt idx="600">
                  <c:v>42874</c:v>
                </c:pt>
                <c:pt idx="601">
                  <c:v>42877</c:v>
                </c:pt>
                <c:pt idx="602">
                  <c:v>42878</c:v>
                </c:pt>
                <c:pt idx="603">
                  <c:v>42879</c:v>
                </c:pt>
                <c:pt idx="604">
                  <c:v>42880</c:v>
                </c:pt>
                <c:pt idx="605">
                  <c:v>42881</c:v>
                </c:pt>
                <c:pt idx="606">
                  <c:v>42885</c:v>
                </c:pt>
                <c:pt idx="607">
                  <c:v>42886</c:v>
                </c:pt>
                <c:pt idx="608">
                  <c:v>42887</c:v>
                </c:pt>
                <c:pt idx="609">
                  <c:v>42888</c:v>
                </c:pt>
                <c:pt idx="610">
                  <c:v>42891</c:v>
                </c:pt>
                <c:pt idx="611">
                  <c:v>42892</c:v>
                </c:pt>
                <c:pt idx="612">
                  <c:v>42893</c:v>
                </c:pt>
                <c:pt idx="613">
                  <c:v>42894</c:v>
                </c:pt>
                <c:pt idx="614">
                  <c:v>42895</c:v>
                </c:pt>
                <c:pt idx="615">
                  <c:v>42898</c:v>
                </c:pt>
                <c:pt idx="616">
                  <c:v>42899</c:v>
                </c:pt>
                <c:pt idx="617">
                  <c:v>42900</c:v>
                </c:pt>
                <c:pt idx="618">
                  <c:v>42901</c:v>
                </c:pt>
                <c:pt idx="619">
                  <c:v>42902</c:v>
                </c:pt>
                <c:pt idx="620">
                  <c:v>42905</c:v>
                </c:pt>
                <c:pt idx="621">
                  <c:v>42906</c:v>
                </c:pt>
                <c:pt idx="622">
                  <c:v>42907</c:v>
                </c:pt>
                <c:pt idx="623">
                  <c:v>42908</c:v>
                </c:pt>
                <c:pt idx="624">
                  <c:v>42909</c:v>
                </c:pt>
                <c:pt idx="625">
                  <c:v>42912</c:v>
                </c:pt>
                <c:pt idx="626">
                  <c:v>42913</c:v>
                </c:pt>
                <c:pt idx="627">
                  <c:v>42914</c:v>
                </c:pt>
                <c:pt idx="628">
                  <c:v>42915</c:v>
                </c:pt>
                <c:pt idx="629">
                  <c:v>42916</c:v>
                </c:pt>
                <c:pt idx="630">
                  <c:v>42919</c:v>
                </c:pt>
                <c:pt idx="631">
                  <c:v>42921</c:v>
                </c:pt>
                <c:pt idx="632">
                  <c:v>42922</c:v>
                </c:pt>
                <c:pt idx="633">
                  <c:v>42923</c:v>
                </c:pt>
                <c:pt idx="634">
                  <c:v>42926</c:v>
                </c:pt>
                <c:pt idx="635">
                  <c:v>42927</c:v>
                </c:pt>
                <c:pt idx="636">
                  <c:v>42928</c:v>
                </c:pt>
                <c:pt idx="637">
                  <c:v>42929</c:v>
                </c:pt>
                <c:pt idx="638">
                  <c:v>42930</c:v>
                </c:pt>
                <c:pt idx="639">
                  <c:v>42933</c:v>
                </c:pt>
                <c:pt idx="640">
                  <c:v>42934</c:v>
                </c:pt>
                <c:pt idx="641">
                  <c:v>42935</c:v>
                </c:pt>
                <c:pt idx="642">
                  <c:v>42936</c:v>
                </c:pt>
                <c:pt idx="643">
                  <c:v>42937</c:v>
                </c:pt>
                <c:pt idx="644">
                  <c:v>42940</c:v>
                </c:pt>
                <c:pt idx="645">
                  <c:v>42941</c:v>
                </c:pt>
                <c:pt idx="646">
                  <c:v>42942</c:v>
                </c:pt>
                <c:pt idx="647">
                  <c:v>42943</c:v>
                </c:pt>
                <c:pt idx="648">
                  <c:v>42944</c:v>
                </c:pt>
                <c:pt idx="649">
                  <c:v>42947</c:v>
                </c:pt>
                <c:pt idx="650">
                  <c:v>42948</c:v>
                </c:pt>
                <c:pt idx="651">
                  <c:v>42949</c:v>
                </c:pt>
                <c:pt idx="652">
                  <c:v>42950</c:v>
                </c:pt>
                <c:pt idx="653">
                  <c:v>42951</c:v>
                </c:pt>
                <c:pt idx="654">
                  <c:v>42954</c:v>
                </c:pt>
                <c:pt idx="655">
                  <c:v>42955</c:v>
                </c:pt>
                <c:pt idx="656">
                  <c:v>42956</c:v>
                </c:pt>
                <c:pt idx="657">
                  <c:v>42957</c:v>
                </c:pt>
                <c:pt idx="658">
                  <c:v>42958</c:v>
                </c:pt>
                <c:pt idx="659">
                  <c:v>42961</c:v>
                </c:pt>
                <c:pt idx="660">
                  <c:v>42962</c:v>
                </c:pt>
                <c:pt idx="661">
                  <c:v>42963</c:v>
                </c:pt>
                <c:pt idx="662">
                  <c:v>42964</c:v>
                </c:pt>
                <c:pt idx="663">
                  <c:v>42965</c:v>
                </c:pt>
                <c:pt idx="664">
                  <c:v>42968</c:v>
                </c:pt>
                <c:pt idx="665">
                  <c:v>42969</c:v>
                </c:pt>
                <c:pt idx="666">
                  <c:v>42970</c:v>
                </c:pt>
                <c:pt idx="667">
                  <c:v>42971</c:v>
                </c:pt>
                <c:pt idx="668">
                  <c:v>42972</c:v>
                </c:pt>
                <c:pt idx="669">
                  <c:v>42975</c:v>
                </c:pt>
                <c:pt idx="670">
                  <c:v>42976</c:v>
                </c:pt>
                <c:pt idx="671">
                  <c:v>42977</c:v>
                </c:pt>
                <c:pt idx="672">
                  <c:v>42978</c:v>
                </c:pt>
                <c:pt idx="673">
                  <c:v>42979</c:v>
                </c:pt>
                <c:pt idx="674">
                  <c:v>42983</c:v>
                </c:pt>
                <c:pt idx="675">
                  <c:v>42984</c:v>
                </c:pt>
                <c:pt idx="676">
                  <c:v>42985</c:v>
                </c:pt>
                <c:pt idx="677">
                  <c:v>42986</c:v>
                </c:pt>
                <c:pt idx="678">
                  <c:v>42989</c:v>
                </c:pt>
                <c:pt idx="679">
                  <c:v>42990</c:v>
                </c:pt>
                <c:pt idx="680">
                  <c:v>42991</c:v>
                </c:pt>
                <c:pt idx="681">
                  <c:v>42992</c:v>
                </c:pt>
                <c:pt idx="682">
                  <c:v>42993</c:v>
                </c:pt>
                <c:pt idx="683">
                  <c:v>42996</c:v>
                </c:pt>
                <c:pt idx="684">
                  <c:v>42997</c:v>
                </c:pt>
                <c:pt idx="685">
                  <c:v>42998</c:v>
                </c:pt>
                <c:pt idx="686">
                  <c:v>42999</c:v>
                </c:pt>
                <c:pt idx="687">
                  <c:v>43000</c:v>
                </c:pt>
                <c:pt idx="688">
                  <c:v>43003</c:v>
                </c:pt>
                <c:pt idx="689">
                  <c:v>43004</c:v>
                </c:pt>
                <c:pt idx="690">
                  <c:v>43005</c:v>
                </c:pt>
                <c:pt idx="691">
                  <c:v>43006</c:v>
                </c:pt>
                <c:pt idx="692">
                  <c:v>43007</c:v>
                </c:pt>
                <c:pt idx="693">
                  <c:v>43010</c:v>
                </c:pt>
                <c:pt idx="694">
                  <c:v>43011</c:v>
                </c:pt>
                <c:pt idx="695">
                  <c:v>43012</c:v>
                </c:pt>
                <c:pt idx="696">
                  <c:v>43013</c:v>
                </c:pt>
                <c:pt idx="697">
                  <c:v>43014</c:v>
                </c:pt>
                <c:pt idx="698">
                  <c:v>43017</c:v>
                </c:pt>
                <c:pt idx="699">
                  <c:v>43018</c:v>
                </c:pt>
                <c:pt idx="700">
                  <c:v>43019</c:v>
                </c:pt>
                <c:pt idx="701">
                  <c:v>43020</c:v>
                </c:pt>
                <c:pt idx="702">
                  <c:v>43021</c:v>
                </c:pt>
                <c:pt idx="703">
                  <c:v>43024</c:v>
                </c:pt>
                <c:pt idx="704">
                  <c:v>43025</c:v>
                </c:pt>
                <c:pt idx="705">
                  <c:v>43026</c:v>
                </c:pt>
                <c:pt idx="706">
                  <c:v>43027</c:v>
                </c:pt>
                <c:pt idx="707">
                  <c:v>43028</c:v>
                </c:pt>
                <c:pt idx="708">
                  <c:v>43031</c:v>
                </c:pt>
                <c:pt idx="709">
                  <c:v>43032</c:v>
                </c:pt>
                <c:pt idx="710">
                  <c:v>43033</c:v>
                </c:pt>
                <c:pt idx="711">
                  <c:v>43034</c:v>
                </c:pt>
                <c:pt idx="712">
                  <c:v>43035</c:v>
                </c:pt>
                <c:pt idx="713">
                  <c:v>43038</c:v>
                </c:pt>
                <c:pt idx="714">
                  <c:v>43039</c:v>
                </c:pt>
                <c:pt idx="715">
                  <c:v>43040</c:v>
                </c:pt>
                <c:pt idx="716">
                  <c:v>43041</c:v>
                </c:pt>
                <c:pt idx="717">
                  <c:v>43042</c:v>
                </c:pt>
                <c:pt idx="718">
                  <c:v>43045</c:v>
                </c:pt>
                <c:pt idx="719">
                  <c:v>43046</c:v>
                </c:pt>
                <c:pt idx="720">
                  <c:v>43047</c:v>
                </c:pt>
                <c:pt idx="721">
                  <c:v>43048</c:v>
                </c:pt>
                <c:pt idx="722">
                  <c:v>43049</c:v>
                </c:pt>
                <c:pt idx="723">
                  <c:v>43052</c:v>
                </c:pt>
                <c:pt idx="724">
                  <c:v>43053</c:v>
                </c:pt>
                <c:pt idx="725">
                  <c:v>43054</c:v>
                </c:pt>
                <c:pt idx="726">
                  <c:v>43055</c:v>
                </c:pt>
                <c:pt idx="727">
                  <c:v>43056</c:v>
                </c:pt>
                <c:pt idx="728">
                  <c:v>43059</c:v>
                </c:pt>
                <c:pt idx="729">
                  <c:v>43060</c:v>
                </c:pt>
                <c:pt idx="730">
                  <c:v>43061</c:v>
                </c:pt>
                <c:pt idx="731">
                  <c:v>43063</c:v>
                </c:pt>
                <c:pt idx="732">
                  <c:v>43066</c:v>
                </c:pt>
                <c:pt idx="733">
                  <c:v>43067</c:v>
                </c:pt>
                <c:pt idx="734">
                  <c:v>43068</c:v>
                </c:pt>
                <c:pt idx="735">
                  <c:v>43069</c:v>
                </c:pt>
                <c:pt idx="736">
                  <c:v>43070</c:v>
                </c:pt>
                <c:pt idx="737">
                  <c:v>43073</c:v>
                </c:pt>
                <c:pt idx="738">
                  <c:v>43074</c:v>
                </c:pt>
                <c:pt idx="739">
                  <c:v>43075</c:v>
                </c:pt>
                <c:pt idx="740">
                  <c:v>43076</c:v>
                </c:pt>
                <c:pt idx="741">
                  <c:v>43077</c:v>
                </c:pt>
                <c:pt idx="742">
                  <c:v>43080</c:v>
                </c:pt>
                <c:pt idx="743">
                  <c:v>43081</c:v>
                </c:pt>
                <c:pt idx="744">
                  <c:v>43082</c:v>
                </c:pt>
                <c:pt idx="745">
                  <c:v>43083</c:v>
                </c:pt>
                <c:pt idx="746">
                  <c:v>43084</c:v>
                </c:pt>
                <c:pt idx="747">
                  <c:v>43087</c:v>
                </c:pt>
                <c:pt idx="748">
                  <c:v>43088</c:v>
                </c:pt>
                <c:pt idx="749">
                  <c:v>43089</c:v>
                </c:pt>
                <c:pt idx="750">
                  <c:v>43090</c:v>
                </c:pt>
                <c:pt idx="751">
                  <c:v>43091</c:v>
                </c:pt>
                <c:pt idx="752">
                  <c:v>43095</c:v>
                </c:pt>
                <c:pt idx="753">
                  <c:v>43096</c:v>
                </c:pt>
                <c:pt idx="754">
                  <c:v>43097</c:v>
                </c:pt>
                <c:pt idx="755">
                  <c:v>43098</c:v>
                </c:pt>
                <c:pt idx="756">
                  <c:v>43102</c:v>
                </c:pt>
                <c:pt idx="757">
                  <c:v>43103</c:v>
                </c:pt>
                <c:pt idx="758">
                  <c:v>43104</c:v>
                </c:pt>
                <c:pt idx="759">
                  <c:v>43105</c:v>
                </c:pt>
                <c:pt idx="760">
                  <c:v>43108</c:v>
                </c:pt>
                <c:pt idx="761">
                  <c:v>43109</c:v>
                </c:pt>
                <c:pt idx="762">
                  <c:v>43110</c:v>
                </c:pt>
                <c:pt idx="763">
                  <c:v>43111</c:v>
                </c:pt>
                <c:pt idx="764">
                  <c:v>43112</c:v>
                </c:pt>
                <c:pt idx="765">
                  <c:v>43116</c:v>
                </c:pt>
                <c:pt idx="766">
                  <c:v>43117</c:v>
                </c:pt>
                <c:pt idx="767">
                  <c:v>43118</c:v>
                </c:pt>
                <c:pt idx="768">
                  <c:v>43119</c:v>
                </c:pt>
                <c:pt idx="769">
                  <c:v>43122</c:v>
                </c:pt>
                <c:pt idx="770">
                  <c:v>43123</c:v>
                </c:pt>
                <c:pt idx="771">
                  <c:v>43124</c:v>
                </c:pt>
                <c:pt idx="772">
                  <c:v>43125</c:v>
                </c:pt>
                <c:pt idx="773">
                  <c:v>43126</c:v>
                </c:pt>
                <c:pt idx="774">
                  <c:v>43129</c:v>
                </c:pt>
                <c:pt idx="775">
                  <c:v>43130</c:v>
                </c:pt>
                <c:pt idx="776">
                  <c:v>43131</c:v>
                </c:pt>
                <c:pt idx="777">
                  <c:v>43132</c:v>
                </c:pt>
                <c:pt idx="778">
                  <c:v>43133</c:v>
                </c:pt>
                <c:pt idx="779">
                  <c:v>43136</c:v>
                </c:pt>
                <c:pt idx="780">
                  <c:v>43137</c:v>
                </c:pt>
                <c:pt idx="781">
                  <c:v>43138</c:v>
                </c:pt>
                <c:pt idx="782">
                  <c:v>43139</c:v>
                </c:pt>
                <c:pt idx="783">
                  <c:v>43140</c:v>
                </c:pt>
                <c:pt idx="784">
                  <c:v>43143</c:v>
                </c:pt>
                <c:pt idx="785">
                  <c:v>43144</c:v>
                </c:pt>
                <c:pt idx="786">
                  <c:v>43145</c:v>
                </c:pt>
                <c:pt idx="787">
                  <c:v>43146</c:v>
                </c:pt>
                <c:pt idx="788">
                  <c:v>43147</c:v>
                </c:pt>
                <c:pt idx="789">
                  <c:v>43151</c:v>
                </c:pt>
                <c:pt idx="790">
                  <c:v>43152</c:v>
                </c:pt>
                <c:pt idx="791">
                  <c:v>43153</c:v>
                </c:pt>
                <c:pt idx="792">
                  <c:v>43154</c:v>
                </c:pt>
                <c:pt idx="793">
                  <c:v>43157</c:v>
                </c:pt>
                <c:pt idx="794">
                  <c:v>43158</c:v>
                </c:pt>
                <c:pt idx="795">
                  <c:v>43159</c:v>
                </c:pt>
                <c:pt idx="796">
                  <c:v>43160</c:v>
                </c:pt>
                <c:pt idx="797">
                  <c:v>43161</c:v>
                </c:pt>
                <c:pt idx="798">
                  <c:v>43164</c:v>
                </c:pt>
                <c:pt idx="799">
                  <c:v>43165</c:v>
                </c:pt>
                <c:pt idx="800">
                  <c:v>43166</c:v>
                </c:pt>
                <c:pt idx="801">
                  <c:v>43167</c:v>
                </c:pt>
                <c:pt idx="802">
                  <c:v>43168</c:v>
                </c:pt>
                <c:pt idx="803">
                  <c:v>43171</c:v>
                </c:pt>
                <c:pt idx="804">
                  <c:v>43172</c:v>
                </c:pt>
                <c:pt idx="805">
                  <c:v>43173</c:v>
                </c:pt>
                <c:pt idx="806">
                  <c:v>43174</c:v>
                </c:pt>
                <c:pt idx="807">
                  <c:v>43175</c:v>
                </c:pt>
                <c:pt idx="808">
                  <c:v>43178</c:v>
                </c:pt>
                <c:pt idx="809">
                  <c:v>43179</c:v>
                </c:pt>
                <c:pt idx="810">
                  <c:v>43180</c:v>
                </c:pt>
                <c:pt idx="811">
                  <c:v>43181</c:v>
                </c:pt>
                <c:pt idx="812">
                  <c:v>43182</c:v>
                </c:pt>
                <c:pt idx="813">
                  <c:v>43185</c:v>
                </c:pt>
                <c:pt idx="814">
                  <c:v>43186</c:v>
                </c:pt>
                <c:pt idx="815">
                  <c:v>43187</c:v>
                </c:pt>
                <c:pt idx="816">
                  <c:v>43188</c:v>
                </c:pt>
                <c:pt idx="817">
                  <c:v>43192</c:v>
                </c:pt>
                <c:pt idx="818">
                  <c:v>43193</c:v>
                </c:pt>
                <c:pt idx="819">
                  <c:v>43194</c:v>
                </c:pt>
                <c:pt idx="820">
                  <c:v>43195</c:v>
                </c:pt>
                <c:pt idx="821">
                  <c:v>43196</c:v>
                </c:pt>
                <c:pt idx="822">
                  <c:v>43199</c:v>
                </c:pt>
                <c:pt idx="823">
                  <c:v>43200</c:v>
                </c:pt>
                <c:pt idx="824">
                  <c:v>43201</c:v>
                </c:pt>
                <c:pt idx="825">
                  <c:v>43202</c:v>
                </c:pt>
                <c:pt idx="826">
                  <c:v>43203</c:v>
                </c:pt>
                <c:pt idx="827">
                  <c:v>43206</c:v>
                </c:pt>
                <c:pt idx="828">
                  <c:v>43207</c:v>
                </c:pt>
                <c:pt idx="829">
                  <c:v>43208</c:v>
                </c:pt>
                <c:pt idx="830">
                  <c:v>43209</c:v>
                </c:pt>
                <c:pt idx="831">
                  <c:v>43210</c:v>
                </c:pt>
                <c:pt idx="832">
                  <c:v>43213</c:v>
                </c:pt>
                <c:pt idx="833">
                  <c:v>43214</c:v>
                </c:pt>
                <c:pt idx="834">
                  <c:v>43215</c:v>
                </c:pt>
                <c:pt idx="835">
                  <c:v>43216</c:v>
                </c:pt>
                <c:pt idx="836">
                  <c:v>43217</c:v>
                </c:pt>
                <c:pt idx="837">
                  <c:v>43220</c:v>
                </c:pt>
                <c:pt idx="838">
                  <c:v>43221</c:v>
                </c:pt>
                <c:pt idx="839">
                  <c:v>43222</c:v>
                </c:pt>
                <c:pt idx="840">
                  <c:v>43223</c:v>
                </c:pt>
                <c:pt idx="841">
                  <c:v>43224</c:v>
                </c:pt>
                <c:pt idx="842">
                  <c:v>43227</c:v>
                </c:pt>
                <c:pt idx="843">
                  <c:v>43228</c:v>
                </c:pt>
                <c:pt idx="844">
                  <c:v>43229</c:v>
                </c:pt>
                <c:pt idx="845">
                  <c:v>43230</c:v>
                </c:pt>
                <c:pt idx="846">
                  <c:v>43231</c:v>
                </c:pt>
                <c:pt idx="847">
                  <c:v>43234</c:v>
                </c:pt>
                <c:pt idx="848">
                  <c:v>43235</c:v>
                </c:pt>
                <c:pt idx="849">
                  <c:v>43236</c:v>
                </c:pt>
                <c:pt idx="850">
                  <c:v>43237</c:v>
                </c:pt>
                <c:pt idx="851">
                  <c:v>43238</c:v>
                </c:pt>
                <c:pt idx="852">
                  <c:v>43241</c:v>
                </c:pt>
                <c:pt idx="853">
                  <c:v>43242</c:v>
                </c:pt>
                <c:pt idx="854">
                  <c:v>43243</c:v>
                </c:pt>
                <c:pt idx="855">
                  <c:v>43244</c:v>
                </c:pt>
                <c:pt idx="856">
                  <c:v>43245</c:v>
                </c:pt>
                <c:pt idx="857">
                  <c:v>43249</c:v>
                </c:pt>
                <c:pt idx="858">
                  <c:v>43250</c:v>
                </c:pt>
                <c:pt idx="859">
                  <c:v>43251</c:v>
                </c:pt>
                <c:pt idx="860">
                  <c:v>43252</c:v>
                </c:pt>
                <c:pt idx="861">
                  <c:v>43255</c:v>
                </c:pt>
                <c:pt idx="862">
                  <c:v>43256</c:v>
                </c:pt>
                <c:pt idx="863">
                  <c:v>43257</c:v>
                </c:pt>
                <c:pt idx="864">
                  <c:v>43258</c:v>
                </c:pt>
                <c:pt idx="865">
                  <c:v>43259</c:v>
                </c:pt>
                <c:pt idx="866">
                  <c:v>43262</c:v>
                </c:pt>
                <c:pt idx="867">
                  <c:v>43263</c:v>
                </c:pt>
                <c:pt idx="868">
                  <c:v>43264</c:v>
                </c:pt>
                <c:pt idx="869">
                  <c:v>43265</c:v>
                </c:pt>
                <c:pt idx="870">
                  <c:v>43266</c:v>
                </c:pt>
                <c:pt idx="871">
                  <c:v>43269</c:v>
                </c:pt>
                <c:pt idx="872">
                  <c:v>43270</c:v>
                </c:pt>
                <c:pt idx="873">
                  <c:v>43271</c:v>
                </c:pt>
                <c:pt idx="874">
                  <c:v>43272</c:v>
                </c:pt>
                <c:pt idx="875">
                  <c:v>43273</c:v>
                </c:pt>
                <c:pt idx="876">
                  <c:v>43276</c:v>
                </c:pt>
                <c:pt idx="877">
                  <c:v>43277</c:v>
                </c:pt>
                <c:pt idx="878">
                  <c:v>43278</c:v>
                </c:pt>
                <c:pt idx="879">
                  <c:v>43279</c:v>
                </c:pt>
                <c:pt idx="880">
                  <c:v>43280</c:v>
                </c:pt>
                <c:pt idx="881">
                  <c:v>43283</c:v>
                </c:pt>
                <c:pt idx="882">
                  <c:v>43284</c:v>
                </c:pt>
                <c:pt idx="883">
                  <c:v>43286</c:v>
                </c:pt>
                <c:pt idx="884">
                  <c:v>43287</c:v>
                </c:pt>
                <c:pt idx="885">
                  <c:v>43290</c:v>
                </c:pt>
                <c:pt idx="886">
                  <c:v>43291</c:v>
                </c:pt>
                <c:pt idx="887">
                  <c:v>43292</c:v>
                </c:pt>
                <c:pt idx="888">
                  <c:v>43293</c:v>
                </c:pt>
                <c:pt idx="889">
                  <c:v>43294</c:v>
                </c:pt>
                <c:pt idx="890">
                  <c:v>43297</c:v>
                </c:pt>
                <c:pt idx="891">
                  <c:v>43298</c:v>
                </c:pt>
                <c:pt idx="892">
                  <c:v>43299</c:v>
                </c:pt>
                <c:pt idx="893">
                  <c:v>43300</c:v>
                </c:pt>
                <c:pt idx="894">
                  <c:v>43301</c:v>
                </c:pt>
                <c:pt idx="895">
                  <c:v>43304</c:v>
                </c:pt>
                <c:pt idx="896">
                  <c:v>43305</c:v>
                </c:pt>
                <c:pt idx="897">
                  <c:v>43306</c:v>
                </c:pt>
                <c:pt idx="898">
                  <c:v>43307</c:v>
                </c:pt>
                <c:pt idx="899">
                  <c:v>43308</c:v>
                </c:pt>
                <c:pt idx="900">
                  <c:v>43311</c:v>
                </c:pt>
                <c:pt idx="901">
                  <c:v>43312</c:v>
                </c:pt>
                <c:pt idx="902">
                  <c:v>43313</c:v>
                </c:pt>
                <c:pt idx="903">
                  <c:v>43314</c:v>
                </c:pt>
                <c:pt idx="904">
                  <c:v>43315</c:v>
                </c:pt>
                <c:pt idx="905">
                  <c:v>43318</c:v>
                </c:pt>
                <c:pt idx="906">
                  <c:v>43319</c:v>
                </c:pt>
                <c:pt idx="907">
                  <c:v>43320</c:v>
                </c:pt>
                <c:pt idx="908">
                  <c:v>43321</c:v>
                </c:pt>
                <c:pt idx="909">
                  <c:v>43322</c:v>
                </c:pt>
                <c:pt idx="910">
                  <c:v>43325</c:v>
                </c:pt>
                <c:pt idx="911">
                  <c:v>43326</c:v>
                </c:pt>
                <c:pt idx="912">
                  <c:v>43327</c:v>
                </c:pt>
                <c:pt idx="913">
                  <c:v>43328</c:v>
                </c:pt>
                <c:pt idx="914">
                  <c:v>43329</c:v>
                </c:pt>
                <c:pt idx="915">
                  <c:v>43332</c:v>
                </c:pt>
                <c:pt idx="916">
                  <c:v>43333</c:v>
                </c:pt>
                <c:pt idx="917">
                  <c:v>43334</c:v>
                </c:pt>
                <c:pt idx="918">
                  <c:v>43335</c:v>
                </c:pt>
                <c:pt idx="919">
                  <c:v>43336</c:v>
                </c:pt>
                <c:pt idx="920">
                  <c:v>43339</c:v>
                </c:pt>
                <c:pt idx="921">
                  <c:v>43340</c:v>
                </c:pt>
                <c:pt idx="922">
                  <c:v>43341</c:v>
                </c:pt>
                <c:pt idx="923">
                  <c:v>43342</c:v>
                </c:pt>
                <c:pt idx="924">
                  <c:v>43343</c:v>
                </c:pt>
                <c:pt idx="925">
                  <c:v>43347</c:v>
                </c:pt>
                <c:pt idx="926">
                  <c:v>43348</c:v>
                </c:pt>
                <c:pt idx="927">
                  <c:v>43349</c:v>
                </c:pt>
                <c:pt idx="928">
                  <c:v>43350</c:v>
                </c:pt>
                <c:pt idx="929">
                  <c:v>43353</c:v>
                </c:pt>
                <c:pt idx="930">
                  <c:v>43354</c:v>
                </c:pt>
                <c:pt idx="931">
                  <c:v>43355</c:v>
                </c:pt>
                <c:pt idx="932">
                  <c:v>43356</c:v>
                </c:pt>
                <c:pt idx="933">
                  <c:v>43357</c:v>
                </c:pt>
                <c:pt idx="934">
                  <c:v>43360</c:v>
                </c:pt>
                <c:pt idx="935">
                  <c:v>43361</c:v>
                </c:pt>
                <c:pt idx="936">
                  <c:v>43362</c:v>
                </c:pt>
                <c:pt idx="937">
                  <c:v>43363</c:v>
                </c:pt>
                <c:pt idx="938">
                  <c:v>43364</c:v>
                </c:pt>
                <c:pt idx="939">
                  <c:v>43367</c:v>
                </c:pt>
                <c:pt idx="940">
                  <c:v>43368</c:v>
                </c:pt>
                <c:pt idx="941">
                  <c:v>43369</c:v>
                </c:pt>
                <c:pt idx="942">
                  <c:v>43370</c:v>
                </c:pt>
                <c:pt idx="943">
                  <c:v>43371</c:v>
                </c:pt>
                <c:pt idx="944">
                  <c:v>43374</c:v>
                </c:pt>
                <c:pt idx="945">
                  <c:v>43375</c:v>
                </c:pt>
                <c:pt idx="946">
                  <c:v>43376</c:v>
                </c:pt>
                <c:pt idx="947">
                  <c:v>43377</c:v>
                </c:pt>
                <c:pt idx="948">
                  <c:v>43378</c:v>
                </c:pt>
                <c:pt idx="949">
                  <c:v>43381</c:v>
                </c:pt>
                <c:pt idx="950">
                  <c:v>43382</c:v>
                </c:pt>
                <c:pt idx="951">
                  <c:v>43383</c:v>
                </c:pt>
                <c:pt idx="952">
                  <c:v>43384</c:v>
                </c:pt>
                <c:pt idx="953">
                  <c:v>43385</c:v>
                </c:pt>
                <c:pt idx="954">
                  <c:v>43388</c:v>
                </c:pt>
                <c:pt idx="955">
                  <c:v>43389</c:v>
                </c:pt>
                <c:pt idx="956">
                  <c:v>43390</c:v>
                </c:pt>
                <c:pt idx="957">
                  <c:v>43391</c:v>
                </c:pt>
                <c:pt idx="958">
                  <c:v>43392</c:v>
                </c:pt>
                <c:pt idx="959">
                  <c:v>43395</c:v>
                </c:pt>
                <c:pt idx="960">
                  <c:v>43396</c:v>
                </c:pt>
                <c:pt idx="961">
                  <c:v>43397</c:v>
                </c:pt>
                <c:pt idx="962">
                  <c:v>43398</c:v>
                </c:pt>
                <c:pt idx="963">
                  <c:v>43399</c:v>
                </c:pt>
                <c:pt idx="964">
                  <c:v>43402</c:v>
                </c:pt>
                <c:pt idx="965">
                  <c:v>43403</c:v>
                </c:pt>
                <c:pt idx="966">
                  <c:v>43404</c:v>
                </c:pt>
                <c:pt idx="967">
                  <c:v>43405</c:v>
                </c:pt>
                <c:pt idx="968">
                  <c:v>43406</c:v>
                </c:pt>
                <c:pt idx="969">
                  <c:v>43409</c:v>
                </c:pt>
                <c:pt idx="970">
                  <c:v>43410</c:v>
                </c:pt>
                <c:pt idx="971">
                  <c:v>43411</c:v>
                </c:pt>
                <c:pt idx="972">
                  <c:v>43412</c:v>
                </c:pt>
                <c:pt idx="973">
                  <c:v>43413</c:v>
                </c:pt>
                <c:pt idx="974">
                  <c:v>43416</c:v>
                </c:pt>
                <c:pt idx="975">
                  <c:v>43417</c:v>
                </c:pt>
                <c:pt idx="976">
                  <c:v>43418</c:v>
                </c:pt>
                <c:pt idx="977">
                  <c:v>43419</c:v>
                </c:pt>
                <c:pt idx="978">
                  <c:v>43420</c:v>
                </c:pt>
                <c:pt idx="979">
                  <c:v>43423</c:v>
                </c:pt>
                <c:pt idx="980">
                  <c:v>43424</c:v>
                </c:pt>
                <c:pt idx="981">
                  <c:v>43425</c:v>
                </c:pt>
                <c:pt idx="982">
                  <c:v>43427</c:v>
                </c:pt>
                <c:pt idx="983">
                  <c:v>43430</c:v>
                </c:pt>
                <c:pt idx="984">
                  <c:v>43431</c:v>
                </c:pt>
                <c:pt idx="985">
                  <c:v>43432</c:v>
                </c:pt>
                <c:pt idx="986">
                  <c:v>43433</c:v>
                </c:pt>
                <c:pt idx="987">
                  <c:v>43434</c:v>
                </c:pt>
                <c:pt idx="988">
                  <c:v>43437</c:v>
                </c:pt>
                <c:pt idx="989">
                  <c:v>43438</c:v>
                </c:pt>
                <c:pt idx="990">
                  <c:v>43440</c:v>
                </c:pt>
                <c:pt idx="991">
                  <c:v>43441</c:v>
                </c:pt>
                <c:pt idx="992">
                  <c:v>43444</c:v>
                </c:pt>
                <c:pt idx="993">
                  <c:v>43445</c:v>
                </c:pt>
                <c:pt idx="994">
                  <c:v>43446</c:v>
                </c:pt>
                <c:pt idx="995">
                  <c:v>43447</c:v>
                </c:pt>
                <c:pt idx="996">
                  <c:v>43448</c:v>
                </c:pt>
                <c:pt idx="997">
                  <c:v>43451</c:v>
                </c:pt>
                <c:pt idx="998">
                  <c:v>43452</c:v>
                </c:pt>
                <c:pt idx="999">
                  <c:v>43453</c:v>
                </c:pt>
                <c:pt idx="1000">
                  <c:v>43454</c:v>
                </c:pt>
                <c:pt idx="1001">
                  <c:v>43455</c:v>
                </c:pt>
                <c:pt idx="1002">
                  <c:v>43458</c:v>
                </c:pt>
                <c:pt idx="1003">
                  <c:v>43460</c:v>
                </c:pt>
                <c:pt idx="1004">
                  <c:v>43461</c:v>
                </c:pt>
                <c:pt idx="1005">
                  <c:v>43462</c:v>
                </c:pt>
                <c:pt idx="1006">
                  <c:v>43465</c:v>
                </c:pt>
                <c:pt idx="1007">
                  <c:v>43467</c:v>
                </c:pt>
                <c:pt idx="1008">
                  <c:v>43468</c:v>
                </c:pt>
                <c:pt idx="1009">
                  <c:v>43469</c:v>
                </c:pt>
                <c:pt idx="1010">
                  <c:v>43472</c:v>
                </c:pt>
                <c:pt idx="1011">
                  <c:v>43473</c:v>
                </c:pt>
                <c:pt idx="1012">
                  <c:v>43474</c:v>
                </c:pt>
                <c:pt idx="1013">
                  <c:v>43475</c:v>
                </c:pt>
                <c:pt idx="1014">
                  <c:v>43476</c:v>
                </c:pt>
                <c:pt idx="1015">
                  <c:v>43479</c:v>
                </c:pt>
                <c:pt idx="1016">
                  <c:v>43480</c:v>
                </c:pt>
                <c:pt idx="1017">
                  <c:v>43481</c:v>
                </c:pt>
                <c:pt idx="1018">
                  <c:v>43482</c:v>
                </c:pt>
                <c:pt idx="1019">
                  <c:v>43483</c:v>
                </c:pt>
                <c:pt idx="1020">
                  <c:v>43487</c:v>
                </c:pt>
                <c:pt idx="1021">
                  <c:v>43488</c:v>
                </c:pt>
                <c:pt idx="1022">
                  <c:v>43489</c:v>
                </c:pt>
                <c:pt idx="1023">
                  <c:v>43490</c:v>
                </c:pt>
                <c:pt idx="1024">
                  <c:v>43493</c:v>
                </c:pt>
                <c:pt idx="1025">
                  <c:v>43494</c:v>
                </c:pt>
                <c:pt idx="1026">
                  <c:v>43495</c:v>
                </c:pt>
                <c:pt idx="1027">
                  <c:v>43496</c:v>
                </c:pt>
                <c:pt idx="1028">
                  <c:v>43497</c:v>
                </c:pt>
                <c:pt idx="1029">
                  <c:v>43500</c:v>
                </c:pt>
                <c:pt idx="1030">
                  <c:v>43501</c:v>
                </c:pt>
                <c:pt idx="1031">
                  <c:v>43502</c:v>
                </c:pt>
                <c:pt idx="1032">
                  <c:v>43503</c:v>
                </c:pt>
                <c:pt idx="1033">
                  <c:v>43504</c:v>
                </c:pt>
                <c:pt idx="1034">
                  <c:v>43507</c:v>
                </c:pt>
                <c:pt idx="1035">
                  <c:v>43508</c:v>
                </c:pt>
                <c:pt idx="1036">
                  <c:v>43509</c:v>
                </c:pt>
                <c:pt idx="1037">
                  <c:v>43510</c:v>
                </c:pt>
                <c:pt idx="1038">
                  <c:v>43511</c:v>
                </c:pt>
                <c:pt idx="1039">
                  <c:v>43515</c:v>
                </c:pt>
                <c:pt idx="1040">
                  <c:v>43516</c:v>
                </c:pt>
                <c:pt idx="1041">
                  <c:v>43517</c:v>
                </c:pt>
                <c:pt idx="1042">
                  <c:v>43518</c:v>
                </c:pt>
                <c:pt idx="1043">
                  <c:v>43521</c:v>
                </c:pt>
                <c:pt idx="1044">
                  <c:v>43522</c:v>
                </c:pt>
                <c:pt idx="1045">
                  <c:v>43523</c:v>
                </c:pt>
                <c:pt idx="1046">
                  <c:v>43524</c:v>
                </c:pt>
                <c:pt idx="1047">
                  <c:v>43525</c:v>
                </c:pt>
                <c:pt idx="1048">
                  <c:v>43528</c:v>
                </c:pt>
                <c:pt idx="1049">
                  <c:v>43529</c:v>
                </c:pt>
                <c:pt idx="1050">
                  <c:v>43530</c:v>
                </c:pt>
                <c:pt idx="1051">
                  <c:v>43531</c:v>
                </c:pt>
                <c:pt idx="1052">
                  <c:v>43532</c:v>
                </c:pt>
                <c:pt idx="1053">
                  <c:v>43535</c:v>
                </c:pt>
                <c:pt idx="1054">
                  <c:v>43536</c:v>
                </c:pt>
                <c:pt idx="1055">
                  <c:v>43537</c:v>
                </c:pt>
                <c:pt idx="1056">
                  <c:v>43538</c:v>
                </c:pt>
                <c:pt idx="1057">
                  <c:v>43539</c:v>
                </c:pt>
                <c:pt idx="1058">
                  <c:v>43542</c:v>
                </c:pt>
                <c:pt idx="1059">
                  <c:v>43543</c:v>
                </c:pt>
                <c:pt idx="1060">
                  <c:v>43544</c:v>
                </c:pt>
                <c:pt idx="1061">
                  <c:v>43545</c:v>
                </c:pt>
                <c:pt idx="1062">
                  <c:v>43546</c:v>
                </c:pt>
                <c:pt idx="1063">
                  <c:v>43549</c:v>
                </c:pt>
                <c:pt idx="1064">
                  <c:v>43550</c:v>
                </c:pt>
                <c:pt idx="1065">
                  <c:v>43551</c:v>
                </c:pt>
                <c:pt idx="1066">
                  <c:v>43552</c:v>
                </c:pt>
                <c:pt idx="1067">
                  <c:v>43553</c:v>
                </c:pt>
                <c:pt idx="1068">
                  <c:v>43556</c:v>
                </c:pt>
                <c:pt idx="1069">
                  <c:v>43557</c:v>
                </c:pt>
                <c:pt idx="1070">
                  <c:v>43558</c:v>
                </c:pt>
                <c:pt idx="1071">
                  <c:v>43559</c:v>
                </c:pt>
                <c:pt idx="1072">
                  <c:v>43560</c:v>
                </c:pt>
                <c:pt idx="1073">
                  <c:v>43563</c:v>
                </c:pt>
                <c:pt idx="1074">
                  <c:v>43564</c:v>
                </c:pt>
                <c:pt idx="1075">
                  <c:v>43565</c:v>
                </c:pt>
                <c:pt idx="1076">
                  <c:v>43566</c:v>
                </c:pt>
                <c:pt idx="1077">
                  <c:v>43567</c:v>
                </c:pt>
                <c:pt idx="1078">
                  <c:v>43570</c:v>
                </c:pt>
                <c:pt idx="1079">
                  <c:v>43571</c:v>
                </c:pt>
                <c:pt idx="1080">
                  <c:v>43572</c:v>
                </c:pt>
                <c:pt idx="1081">
                  <c:v>43573</c:v>
                </c:pt>
                <c:pt idx="1082">
                  <c:v>43577</c:v>
                </c:pt>
                <c:pt idx="1083">
                  <c:v>43578</c:v>
                </c:pt>
                <c:pt idx="1084">
                  <c:v>43579</c:v>
                </c:pt>
                <c:pt idx="1085">
                  <c:v>43580</c:v>
                </c:pt>
                <c:pt idx="1086">
                  <c:v>43581</c:v>
                </c:pt>
                <c:pt idx="1087">
                  <c:v>43584</c:v>
                </c:pt>
                <c:pt idx="1088">
                  <c:v>43585</c:v>
                </c:pt>
                <c:pt idx="1089">
                  <c:v>43586</c:v>
                </c:pt>
                <c:pt idx="1090">
                  <c:v>43587</c:v>
                </c:pt>
                <c:pt idx="1091">
                  <c:v>43588</c:v>
                </c:pt>
                <c:pt idx="1092">
                  <c:v>43591</c:v>
                </c:pt>
                <c:pt idx="1093">
                  <c:v>43592</c:v>
                </c:pt>
                <c:pt idx="1094">
                  <c:v>43593</c:v>
                </c:pt>
                <c:pt idx="1095">
                  <c:v>43594</c:v>
                </c:pt>
                <c:pt idx="1096">
                  <c:v>43595</c:v>
                </c:pt>
                <c:pt idx="1097">
                  <c:v>43598</c:v>
                </c:pt>
                <c:pt idx="1098">
                  <c:v>43599</c:v>
                </c:pt>
                <c:pt idx="1099">
                  <c:v>43600</c:v>
                </c:pt>
                <c:pt idx="1100">
                  <c:v>43601</c:v>
                </c:pt>
                <c:pt idx="1101">
                  <c:v>43602</c:v>
                </c:pt>
                <c:pt idx="1102">
                  <c:v>43605</c:v>
                </c:pt>
                <c:pt idx="1103">
                  <c:v>43606</c:v>
                </c:pt>
                <c:pt idx="1104">
                  <c:v>43607</c:v>
                </c:pt>
                <c:pt idx="1105">
                  <c:v>43608</c:v>
                </c:pt>
                <c:pt idx="1106">
                  <c:v>43609</c:v>
                </c:pt>
                <c:pt idx="1107">
                  <c:v>43613</c:v>
                </c:pt>
                <c:pt idx="1108">
                  <c:v>43614</c:v>
                </c:pt>
                <c:pt idx="1109">
                  <c:v>43615</c:v>
                </c:pt>
                <c:pt idx="1110">
                  <c:v>43616</c:v>
                </c:pt>
                <c:pt idx="1111">
                  <c:v>43619</c:v>
                </c:pt>
                <c:pt idx="1112">
                  <c:v>43620</c:v>
                </c:pt>
                <c:pt idx="1113">
                  <c:v>43621</c:v>
                </c:pt>
                <c:pt idx="1114">
                  <c:v>43622</c:v>
                </c:pt>
                <c:pt idx="1115">
                  <c:v>43623</c:v>
                </c:pt>
                <c:pt idx="1116">
                  <c:v>43626</c:v>
                </c:pt>
                <c:pt idx="1117">
                  <c:v>43627</c:v>
                </c:pt>
                <c:pt idx="1118">
                  <c:v>43628</c:v>
                </c:pt>
                <c:pt idx="1119">
                  <c:v>43629</c:v>
                </c:pt>
                <c:pt idx="1120">
                  <c:v>43630</c:v>
                </c:pt>
                <c:pt idx="1121">
                  <c:v>43633</c:v>
                </c:pt>
                <c:pt idx="1122">
                  <c:v>43634</c:v>
                </c:pt>
                <c:pt idx="1123">
                  <c:v>43635</c:v>
                </c:pt>
                <c:pt idx="1124">
                  <c:v>43636</c:v>
                </c:pt>
                <c:pt idx="1125">
                  <c:v>43637</c:v>
                </c:pt>
                <c:pt idx="1126">
                  <c:v>43640</c:v>
                </c:pt>
                <c:pt idx="1127">
                  <c:v>43641</c:v>
                </c:pt>
                <c:pt idx="1128">
                  <c:v>43642</c:v>
                </c:pt>
                <c:pt idx="1129">
                  <c:v>43643</c:v>
                </c:pt>
                <c:pt idx="1130">
                  <c:v>43644</c:v>
                </c:pt>
                <c:pt idx="1131">
                  <c:v>43647</c:v>
                </c:pt>
                <c:pt idx="1132">
                  <c:v>43648</c:v>
                </c:pt>
                <c:pt idx="1133">
                  <c:v>43649</c:v>
                </c:pt>
                <c:pt idx="1134">
                  <c:v>43651</c:v>
                </c:pt>
                <c:pt idx="1135">
                  <c:v>43654</c:v>
                </c:pt>
                <c:pt idx="1136">
                  <c:v>43655</c:v>
                </c:pt>
                <c:pt idx="1137">
                  <c:v>43656</c:v>
                </c:pt>
                <c:pt idx="1138">
                  <c:v>43657</c:v>
                </c:pt>
                <c:pt idx="1139">
                  <c:v>43658</c:v>
                </c:pt>
                <c:pt idx="1140">
                  <c:v>43661</c:v>
                </c:pt>
                <c:pt idx="1141">
                  <c:v>43662</c:v>
                </c:pt>
                <c:pt idx="1142">
                  <c:v>43663</c:v>
                </c:pt>
                <c:pt idx="1143">
                  <c:v>43664</c:v>
                </c:pt>
                <c:pt idx="1144">
                  <c:v>43665</c:v>
                </c:pt>
                <c:pt idx="1145">
                  <c:v>43668</c:v>
                </c:pt>
                <c:pt idx="1146">
                  <c:v>43669</c:v>
                </c:pt>
                <c:pt idx="1147">
                  <c:v>43670</c:v>
                </c:pt>
                <c:pt idx="1148">
                  <c:v>43671</c:v>
                </c:pt>
                <c:pt idx="1149">
                  <c:v>43672</c:v>
                </c:pt>
                <c:pt idx="1150">
                  <c:v>43675</c:v>
                </c:pt>
                <c:pt idx="1151">
                  <c:v>43676</c:v>
                </c:pt>
                <c:pt idx="1152">
                  <c:v>43677</c:v>
                </c:pt>
                <c:pt idx="1153">
                  <c:v>43678</c:v>
                </c:pt>
                <c:pt idx="1154">
                  <c:v>43679</c:v>
                </c:pt>
                <c:pt idx="1155">
                  <c:v>43682</c:v>
                </c:pt>
                <c:pt idx="1156">
                  <c:v>43683</c:v>
                </c:pt>
                <c:pt idx="1157">
                  <c:v>43684</c:v>
                </c:pt>
                <c:pt idx="1158">
                  <c:v>43685</c:v>
                </c:pt>
                <c:pt idx="1159">
                  <c:v>43686</c:v>
                </c:pt>
                <c:pt idx="1160">
                  <c:v>43689</c:v>
                </c:pt>
                <c:pt idx="1161">
                  <c:v>43690</c:v>
                </c:pt>
                <c:pt idx="1162">
                  <c:v>43691</c:v>
                </c:pt>
                <c:pt idx="1163">
                  <c:v>43692</c:v>
                </c:pt>
                <c:pt idx="1164">
                  <c:v>43693</c:v>
                </c:pt>
                <c:pt idx="1165">
                  <c:v>43696</c:v>
                </c:pt>
                <c:pt idx="1166">
                  <c:v>43697</c:v>
                </c:pt>
                <c:pt idx="1167">
                  <c:v>43698</c:v>
                </c:pt>
                <c:pt idx="1168">
                  <c:v>43699</c:v>
                </c:pt>
                <c:pt idx="1169">
                  <c:v>43700</c:v>
                </c:pt>
                <c:pt idx="1170">
                  <c:v>43703</c:v>
                </c:pt>
                <c:pt idx="1171">
                  <c:v>43704</c:v>
                </c:pt>
                <c:pt idx="1172">
                  <c:v>43705</c:v>
                </c:pt>
                <c:pt idx="1173">
                  <c:v>43706</c:v>
                </c:pt>
                <c:pt idx="1174">
                  <c:v>43707</c:v>
                </c:pt>
                <c:pt idx="1175">
                  <c:v>43711</c:v>
                </c:pt>
                <c:pt idx="1176">
                  <c:v>43712</c:v>
                </c:pt>
                <c:pt idx="1177">
                  <c:v>43713</c:v>
                </c:pt>
                <c:pt idx="1178">
                  <c:v>43714</c:v>
                </c:pt>
                <c:pt idx="1179">
                  <c:v>43717</c:v>
                </c:pt>
                <c:pt idx="1180">
                  <c:v>43718</c:v>
                </c:pt>
                <c:pt idx="1181">
                  <c:v>43719</c:v>
                </c:pt>
                <c:pt idx="1182">
                  <c:v>43720</c:v>
                </c:pt>
                <c:pt idx="1183">
                  <c:v>43721</c:v>
                </c:pt>
                <c:pt idx="1184">
                  <c:v>43724</c:v>
                </c:pt>
                <c:pt idx="1185">
                  <c:v>43725</c:v>
                </c:pt>
                <c:pt idx="1186">
                  <c:v>43726</c:v>
                </c:pt>
                <c:pt idx="1187">
                  <c:v>43727</c:v>
                </c:pt>
                <c:pt idx="1188">
                  <c:v>43728</c:v>
                </c:pt>
                <c:pt idx="1189">
                  <c:v>43731</c:v>
                </c:pt>
                <c:pt idx="1190">
                  <c:v>43732</c:v>
                </c:pt>
                <c:pt idx="1191">
                  <c:v>43733</c:v>
                </c:pt>
                <c:pt idx="1192">
                  <c:v>43734</c:v>
                </c:pt>
                <c:pt idx="1193">
                  <c:v>43735</c:v>
                </c:pt>
                <c:pt idx="1194">
                  <c:v>43738</c:v>
                </c:pt>
                <c:pt idx="1195">
                  <c:v>43739</c:v>
                </c:pt>
                <c:pt idx="1196">
                  <c:v>43740</c:v>
                </c:pt>
                <c:pt idx="1197">
                  <c:v>43741</c:v>
                </c:pt>
                <c:pt idx="1198">
                  <c:v>43742</c:v>
                </c:pt>
                <c:pt idx="1199">
                  <c:v>43745</c:v>
                </c:pt>
                <c:pt idx="1200">
                  <c:v>43746</c:v>
                </c:pt>
                <c:pt idx="1201">
                  <c:v>43747</c:v>
                </c:pt>
                <c:pt idx="1202">
                  <c:v>43748</c:v>
                </c:pt>
                <c:pt idx="1203">
                  <c:v>43749</c:v>
                </c:pt>
                <c:pt idx="1204">
                  <c:v>43752</c:v>
                </c:pt>
                <c:pt idx="1205">
                  <c:v>43753</c:v>
                </c:pt>
                <c:pt idx="1206">
                  <c:v>43754</c:v>
                </c:pt>
                <c:pt idx="1207">
                  <c:v>43755</c:v>
                </c:pt>
                <c:pt idx="1208">
                  <c:v>43756</c:v>
                </c:pt>
                <c:pt idx="1209">
                  <c:v>43759</c:v>
                </c:pt>
                <c:pt idx="1210">
                  <c:v>43760</c:v>
                </c:pt>
                <c:pt idx="1211">
                  <c:v>43761</c:v>
                </c:pt>
                <c:pt idx="1212">
                  <c:v>43762</c:v>
                </c:pt>
                <c:pt idx="1213">
                  <c:v>43763</c:v>
                </c:pt>
                <c:pt idx="1214">
                  <c:v>43766</c:v>
                </c:pt>
                <c:pt idx="1215">
                  <c:v>43767</c:v>
                </c:pt>
                <c:pt idx="1216">
                  <c:v>43768</c:v>
                </c:pt>
                <c:pt idx="1217">
                  <c:v>43769</c:v>
                </c:pt>
                <c:pt idx="1218">
                  <c:v>43770</c:v>
                </c:pt>
                <c:pt idx="1219">
                  <c:v>43773</c:v>
                </c:pt>
                <c:pt idx="1220">
                  <c:v>43774</c:v>
                </c:pt>
                <c:pt idx="1221">
                  <c:v>43775</c:v>
                </c:pt>
                <c:pt idx="1222">
                  <c:v>43776</c:v>
                </c:pt>
                <c:pt idx="1223">
                  <c:v>43777</c:v>
                </c:pt>
                <c:pt idx="1224">
                  <c:v>43780</c:v>
                </c:pt>
                <c:pt idx="1225">
                  <c:v>43781</c:v>
                </c:pt>
                <c:pt idx="1226">
                  <c:v>43782</c:v>
                </c:pt>
                <c:pt idx="1227">
                  <c:v>43783</c:v>
                </c:pt>
                <c:pt idx="1228">
                  <c:v>43784</c:v>
                </c:pt>
                <c:pt idx="1229">
                  <c:v>43787</c:v>
                </c:pt>
                <c:pt idx="1230">
                  <c:v>43788</c:v>
                </c:pt>
                <c:pt idx="1231">
                  <c:v>43789</c:v>
                </c:pt>
                <c:pt idx="1232">
                  <c:v>43790</c:v>
                </c:pt>
                <c:pt idx="1233">
                  <c:v>43791</c:v>
                </c:pt>
                <c:pt idx="1234">
                  <c:v>43794</c:v>
                </c:pt>
                <c:pt idx="1235">
                  <c:v>43795</c:v>
                </c:pt>
                <c:pt idx="1236">
                  <c:v>43796</c:v>
                </c:pt>
                <c:pt idx="1237">
                  <c:v>43798</c:v>
                </c:pt>
                <c:pt idx="1238">
                  <c:v>43801</c:v>
                </c:pt>
                <c:pt idx="1239">
                  <c:v>43802</c:v>
                </c:pt>
                <c:pt idx="1240">
                  <c:v>43803</c:v>
                </c:pt>
                <c:pt idx="1241">
                  <c:v>43804</c:v>
                </c:pt>
                <c:pt idx="1242">
                  <c:v>43805</c:v>
                </c:pt>
                <c:pt idx="1243">
                  <c:v>43808</c:v>
                </c:pt>
                <c:pt idx="1244">
                  <c:v>43809</c:v>
                </c:pt>
                <c:pt idx="1245">
                  <c:v>43810</c:v>
                </c:pt>
                <c:pt idx="1246">
                  <c:v>43811</c:v>
                </c:pt>
                <c:pt idx="1247">
                  <c:v>43812</c:v>
                </c:pt>
                <c:pt idx="1248">
                  <c:v>43815</c:v>
                </c:pt>
                <c:pt idx="1249">
                  <c:v>43816</c:v>
                </c:pt>
                <c:pt idx="1250">
                  <c:v>43817</c:v>
                </c:pt>
                <c:pt idx="1251">
                  <c:v>43818</c:v>
                </c:pt>
                <c:pt idx="1252">
                  <c:v>43819</c:v>
                </c:pt>
                <c:pt idx="1253">
                  <c:v>43822</c:v>
                </c:pt>
                <c:pt idx="1254">
                  <c:v>43823</c:v>
                </c:pt>
                <c:pt idx="1255">
                  <c:v>43825</c:v>
                </c:pt>
                <c:pt idx="1256">
                  <c:v>43826</c:v>
                </c:pt>
                <c:pt idx="1257">
                  <c:v>43829</c:v>
                </c:pt>
                <c:pt idx="1258">
                  <c:v>43830</c:v>
                </c:pt>
              </c:numCache>
            </c:numRef>
          </c:cat>
          <c:val>
            <c:numRef>
              <c:f>DRAWDOWN!$F$10:$F$1268</c:f>
              <c:numCache>
                <c:formatCode>General</c:formatCode>
                <c:ptCount val="1259"/>
                <c:pt idx="0">
                  <c:v>2058.9</c:v>
                </c:pt>
                <c:pt idx="1">
                  <c:v>2058.1999999999998</c:v>
                </c:pt>
                <c:pt idx="2">
                  <c:v>2020.58</c:v>
                </c:pt>
                <c:pt idx="3">
                  <c:v>2002.61</c:v>
                </c:pt>
                <c:pt idx="4">
                  <c:v>2025.9</c:v>
                </c:pt>
                <c:pt idx="5">
                  <c:v>2062.14</c:v>
                </c:pt>
                <c:pt idx="6">
                  <c:v>2044.81</c:v>
                </c:pt>
                <c:pt idx="7">
                  <c:v>2028.26</c:v>
                </c:pt>
                <c:pt idx="8">
                  <c:v>2023.03</c:v>
                </c:pt>
                <c:pt idx="9">
                  <c:v>2011.27</c:v>
                </c:pt>
                <c:pt idx="10">
                  <c:v>1992.67</c:v>
                </c:pt>
                <c:pt idx="11">
                  <c:v>2019.42</c:v>
                </c:pt>
                <c:pt idx="12">
                  <c:v>2022.55</c:v>
                </c:pt>
                <c:pt idx="13">
                  <c:v>2032.12</c:v>
                </c:pt>
                <c:pt idx="14">
                  <c:v>2063.15</c:v>
                </c:pt>
                <c:pt idx="15">
                  <c:v>2051.8200000000002</c:v>
                </c:pt>
                <c:pt idx="16">
                  <c:v>2057.09</c:v>
                </c:pt>
                <c:pt idx="17">
                  <c:v>2029.55</c:v>
                </c:pt>
                <c:pt idx="18">
                  <c:v>2002.16</c:v>
                </c:pt>
                <c:pt idx="19">
                  <c:v>2021.25</c:v>
                </c:pt>
                <c:pt idx="20">
                  <c:v>1994.99</c:v>
                </c:pt>
                <c:pt idx="21">
                  <c:v>2020.85</c:v>
                </c:pt>
                <c:pt idx="22">
                  <c:v>2050.0300000000002</c:v>
                </c:pt>
                <c:pt idx="23">
                  <c:v>2041.51</c:v>
                </c:pt>
                <c:pt idx="24">
                  <c:v>2062.52</c:v>
                </c:pt>
                <c:pt idx="25">
                  <c:v>2055.4699999999998</c:v>
                </c:pt>
                <c:pt idx="26">
                  <c:v>2046.74</c:v>
                </c:pt>
                <c:pt idx="27">
                  <c:v>2068.59</c:v>
                </c:pt>
                <c:pt idx="28">
                  <c:v>2068.5300000000002</c:v>
                </c:pt>
                <c:pt idx="29">
                  <c:v>2088.48</c:v>
                </c:pt>
                <c:pt idx="30">
                  <c:v>2096.9899999999998</c:v>
                </c:pt>
                <c:pt idx="31">
                  <c:v>2100.34</c:v>
                </c:pt>
                <c:pt idx="32">
                  <c:v>2099.6799999999998</c:v>
                </c:pt>
                <c:pt idx="33">
                  <c:v>2097.4499999999998</c:v>
                </c:pt>
                <c:pt idx="34">
                  <c:v>2110.3000000000002</c:v>
                </c:pt>
                <c:pt idx="35">
                  <c:v>2109.66</c:v>
                </c:pt>
                <c:pt idx="36">
                  <c:v>2115.48</c:v>
                </c:pt>
                <c:pt idx="37">
                  <c:v>2113.86</c:v>
                </c:pt>
                <c:pt idx="38">
                  <c:v>2110.7399999999998</c:v>
                </c:pt>
                <c:pt idx="39">
                  <c:v>2104.5</c:v>
                </c:pt>
                <c:pt idx="40">
                  <c:v>2117.39</c:v>
                </c:pt>
                <c:pt idx="41">
                  <c:v>2107.7800000000002</c:v>
                </c:pt>
                <c:pt idx="42">
                  <c:v>2098.5300000000002</c:v>
                </c:pt>
                <c:pt idx="43">
                  <c:v>2101.04</c:v>
                </c:pt>
                <c:pt idx="44">
                  <c:v>2071.2600000000002</c:v>
                </c:pt>
                <c:pt idx="45">
                  <c:v>2079.4299999999998</c:v>
                </c:pt>
                <c:pt idx="46">
                  <c:v>2044.16</c:v>
                </c:pt>
                <c:pt idx="47">
                  <c:v>2040.24</c:v>
                </c:pt>
                <c:pt idx="48">
                  <c:v>2065.9499999999998</c:v>
                </c:pt>
                <c:pt idx="49">
                  <c:v>2053.4</c:v>
                </c:pt>
                <c:pt idx="50">
                  <c:v>2081.19</c:v>
                </c:pt>
                <c:pt idx="51">
                  <c:v>2074.2800000000002</c:v>
                </c:pt>
                <c:pt idx="52">
                  <c:v>2099.5</c:v>
                </c:pt>
                <c:pt idx="53">
                  <c:v>2089.27</c:v>
                </c:pt>
                <c:pt idx="54">
                  <c:v>2108.1</c:v>
                </c:pt>
                <c:pt idx="55">
                  <c:v>2104.42</c:v>
                </c:pt>
                <c:pt idx="56">
                  <c:v>2091.5</c:v>
                </c:pt>
                <c:pt idx="57">
                  <c:v>2061.0500000000002</c:v>
                </c:pt>
                <c:pt idx="58">
                  <c:v>2056.15</c:v>
                </c:pt>
                <c:pt idx="59">
                  <c:v>2061.02</c:v>
                </c:pt>
                <c:pt idx="60">
                  <c:v>2086.2399999999998</c:v>
                </c:pt>
                <c:pt idx="61">
                  <c:v>2067.89</c:v>
                </c:pt>
                <c:pt idx="62">
                  <c:v>2059.69</c:v>
                </c:pt>
                <c:pt idx="63">
                  <c:v>2066.96</c:v>
                </c:pt>
                <c:pt idx="64">
                  <c:v>2080.62</c:v>
                </c:pt>
                <c:pt idx="65">
                  <c:v>2076.33</c:v>
                </c:pt>
                <c:pt idx="66">
                  <c:v>2081.9</c:v>
                </c:pt>
                <c:pt idx="67">
                  <c:v>2091.1799999999998</c:v>
                </c:pt>
                <c:pt idx="68">
                  <c:v>2102.06</c:v>
                </c:pt>
                <c:pt idx="69">
                  <c:v>2092.4299999999998</c:v>
                </c:pt>
                <c:pt idx="70">
                  <c:v>2095.84</c:v>
                </c:pt>
                <c:pt idx="71">
                  <c:v>2106.63</c:v>
                </c:pt>
                <c:pt idx="72">
                  <c:v>2104.9899999999998</c:v>
                </c:pt>
                <c:pt idx="73">
                  <c:v>2081.1799999999998</c:v>
                </c:pt>
                <c:pt idx="74">
                  <c:v>2100.4</c:v>
                </c:pt>
                <c:pt idx="75">
                  <c:v>2097.29</c:v>
                </c:pt>
                <c:pt idx="76">
                  <c:v>2107.96</c:v>
                </c:pt>
                <c:pt idx="77">
                  <c:v>2112.9299999999998</c:v>
                </c:pt>
                <c:pt idx="78">
                  <c:v>2117.69</c:v>
                </c:pt>
                <c:pt idx="79">
                  <c:v>2108.92</c:v>
                </c:pt>
                <c:pt idx="80">
                  <c:v>2114.7600000000002</c:v>
                </c:pt>
                <c:pt idx="81">
                  <c:v>2106.85</c:v>
                </c:pt>
                <c:pt idx="82">
                  <c:v>2085.5100000000002</c:v>
                </c:pt>
                <c:pt idx="83">
                  <c:v>2108.29</c:v>
                </c:pt>
                <c:pt idx="84">
                  <c:v>2114.4899999999998</c:v>
                </c:pt>
                <c:pt idx="85">
                  <c:v>2089.46</c:v>
                </c:pt>
                <c:pt idx="86">
                  <c:v>2080.15</c:v>
                </c:pt>
                <c:pt idx="87">
                  <c:v>2088</c:v>
                </c:pt>
                <c:pt idx="88">
                  <c:v>2116.1</c:v>
                </c:pt>
                <c:pt idx="89">
                  <c:v>2105.33</c:v>
                </c:pt>
                <c:pt idx="90">
                  <c:v>2099.12</c:v>
                </c:pt>
                <c:pt idx="91">
                  <c:v>2098.48</c:v>
                </c:pt>
                <c:pt idx="92">
                  <c:v>2121.1</c:v>
                </c:pt>
                <c:pt idx="93">
                  <c:v>2122.73</c:v>
                </c:pt>
                <c:pt idx="94">
                  <c:v>2129.1999999999998</c:v>
                </c:pt>
                <c:pt idx="95">
                  <c:v>2127.83</c:v>
                </c:pt>
                <c:pt idx="96">
                  <c:v>2125.85</c:v>
                </c:pt>
                <c:pt idx="97">
                  <c:v>2130.8200000000002</c:v>
                </c:pt>
                <c:pt idx="98">
                  <c:v>2126.06</c:v>
                </c:pt>
                <c:pt idx="99">
                  <c:v>2104.1999999999998</c:v>
                </c:pt>
                <c:pt idx="100">
                  <c:v>2123.48</c:v>
                </c:pt>
                <c:pt idx="101">
                  <c:v>2120.79</c:v>
                </c:pt>
                <c:pt idx="102">
                  <c:v>2107.39</c:v>
                </c:pt>
                <c:pt idx="103">
                  <c:v>2111.73</c:v>
                </c:pt>
                <c:pt idx="104">
                  <c:v>2109.6</c:v>
                </c:pt>
                <c:pt idx="105">
                  <c:v>2114.0700000000002</c:v>
                </c:pt>
                <c:pt idx="106">
                  <c:v>2095.84</c:v>
                </c:pt>
                <c:pt idx="107">
                  <c:v>2092.83</c:v>
                </c:pt>
                <c:pt idx="108">
                  <c:v>2079.2800000000002</c:v>
                </c:pt>
                <c:pt idx="109">
                  <c:v>2080.15</c:v>
                </c:pt>
                <c:pt idx="110">
                  <c:v>2105.1999999999998</c:v>
                </c:pt>
                <c:pt idx="111">
                  <c:v>2108.86</c:v>
                </c:pt>
                <c:pt idx="112">
                  <c:v>2094.11</c:v>
                </c:pt>
                <c:pt idx="113">
                  <c:v>2084.4299999999998</c:v>
                </c:pt>
                <c:pt idx="114">
                  <c:v>2096.29</c:v>
                </c:pt>
                <c:pt idx="115">
                  <c:v>2100.44</c:v>
                </c:pt>
                <c:pt idx="116">
                  <c:v>2121.2399999999998</c:v>
                </c:pt>
                <c:pt idx="117">
                  <c:v>2109.9899999999998</c:v>
                </c:pt>
                <c:pt idx="118">
                  <c:v>2122.85</c:v>
                </c:pt>
                <c:pt idx="119">
                  <c:v>2124.1999999999998</c:v>
                </c:pt>
                <c:pt idx="120">
                  <c:v>2108.58</c:v>
                </c:pt>
                <c:pt idx="121">
                  <c:v>2102.31</c:v>
                </c:pt>
                <c:pt idx="122">
                  <c:v>2101.4899999999998</c:v>
                </c:pt>
                <c:pt idx="123">
                  <c:v>2057.64</c:v>
                </c:pt>
                <c:pt idx="124">
                  <c:v>2063.11</c:v>
                </c:pt>
                <c:pt idx="125">
                  <c:v>2077.42</c:v>
                </c:pt>
                <c:pt idx="126">
                  <c:v>2076.7800000000002</c:v>
                </c:pt>
                <c:pt idx="127">
                  <c:v>2068.7600000000002</c:v>
                </c:pt>
                <c:pt idx="128">
                  <c:v>2081.34</c:v>
                </c:pt>
                <c:pt idx="129">
                  <c:v>2046.68</c:v>
                </c:pt>
                <c:pt idx="130">
                  <c:v>2051.31</c:v>
                </c:pt>
                <c:pt idx="131">
                  <c:v>2076.62</c:v>
                </c:pt>
                <c:pt idx="132">
                  <c:v>2099.6</c:v>
                </c:pt>
                <c:pt idx="133">
                  <c:v>2108.9499999999998</c:v>
                </c:pt>
                <c:pt idx="134">
                  <c:v>2107.4</c:v>
                </c:pt>
                <c:pt idx="135">
                  <c:v>2124.29</c:v>
                </c:pt>
                <c:pt idx="136">
                  <c:v>2126.64</c:v>
                </c:pt>
                <c:pt idx="137">
                  <c:v>2128.2800000000002</c:v>
                </c:pt>
                <c:pt idx="138">
                  <c:v>2119.21</c:v>
                </c:pt>
                <c:pt idx="139">
                  <c:v>2114.15</c:v>
                </c:pt>
                <c:pt idx="140">
                  <c:v>2102.15</c:v>
                </c:pt>
                <c:pt idx="141">
                  <c:v>2079.65</c:v>
                </c:pt>
                <c:pt idx="142">
                  <c:v>2067.64</c:v>
                </c:pt>
                <c:pt idx="143">
                  <c:v>2093.25</c:v>
                </c:pt>
                <c:pt idx="144">
                  <c:v>2108.5700000000002</c:v>
                </c:pt>
                <c:pt idx="145">
                  <c:v>2108.63</c:v>
                </c:pt>
                <c:pt idx="146">
                  <c:v>2103.84</c:v>
                </c:pt>
                <c:pt idx="147">
                  <c:v>2098.04</c:v>
                </c:pt>
                <c:pt idx="148">
                  <c:v>2093.3200000000002</c:v>
                </c:pt>
                <c:pt idx="149">
                  <c:v>2099.84</c:v>
                </c:pt>
                <c:pt idx="150">
                  <c:v>2083.56</c:v>
                </c:pt>
                <c:pt idx="151">
                  <c:v>2077.5700000000002</c:v>
                </c:pt>
                <c:pt idx="152">
                  <c:v>2104.1799999999998</c:v>
                </c:pt>
                <c:pt idx="153">
                  <c:v>2084.0700000000002</c:v>
                </c:pt>
                <c:pt idx="154">
                  <c:v>2086.0500000000002</c:v>
                </c:pt>
                <c:pt idx="155">
                  <c:v>2083.39</c:v>
                </c:pt>
                <c:pt idx="156">
                  <c:v>2091.54</c:v>
                </c:pt>
                <c:pt idx="157">
                  <c:v>2102.44</c:v>
                </c:pt>
                <c:pt idx="158">
                  <c:v>2096.92</c:v>
                </c:pt>
                <c:pt idx="159">
                  <c:v>2079.61</c:v>
                </c:pt>
                <c:pt idx="160">
                  <c:v>2035.73</c:v>
                </c:pt>
                <c:pt idx="161">
                  <c:v>1970.89</c:v>
                </c:pt>
                <c:pt idx="162">
                  <c:v>1893.21</c:v>
                </c:pt>
                <c:pt idx="163">
                  <c:v>1867.61</c:v>
                </c:pt>
                <c:pt idx="164">
                  <c:v>1940.51</c:v>
                </c:pt>
                <c:pt idx="165">
                  <c:v>1987.66</c:v>
                </c:pt>
                <c:pt idx="166">
                  <c:v>1988.87</c:v>
                </c:pt>
                <c:pt idx="167">
                  <c:v>1972.18</c:v>
                </c:pt>
                <c:pt idx="168">
                  <c:v>1913.85</c:v>
                </c:pt>
                <c:pt idx="169">
                  <c:v>1948.86</c:v>
                </c:pt>
                <c:pt idx="170">
                  <c:v>1951.13</c:v>
                </c:pt>
                <c:pt idx="171">
                  <c:v>1921.22</c:v>
                </c:pt>
                <c:pt idx="172">
                  <c:v>1969.41</c:v>
                </c:pt>
                <c:pt idx="173">
                  <c:v>1942.04</c:v>
                </c:pt>
                <c:pt idx="174">
                  <c:v>1952.29</c:v>
                </c:pt>
                <c:pt idx="175">
                  <c:v>1961.05</c:v>
                </c:pt>
                <c:pt idx="176">
                  <c:v>1953.03</c:v>
                </c:pt>
                <c:pt idx="177">
                  <c:v>1978.09</c:v>
                </c:pt>
                <c:pt idx="178">
                  <c:v>1995.31</c:v>
                </c:pt>
                <c:pt idx="179">
                  <c:v>1990.2</c:v>
                </c:pt>
                <c:pt idx="180">
                  <c:v>1958.03</c:v>
                </c:pt>
                <c:pt idx="181">
                  <c:v>1966.97</c:v>
                </c:pt>
                <c:pt idx="182">
                  <c:v>1942.74</c:v>
                </c:pt>
                <c:pt idx="183">
                  <c:v>1938.76</c:v>
                </c:pt>
                <c:pt idx="184">
                  <c:v>1932.24</c:v>
                </c:pt>
                <c:pt idx="185">
                  <c:v>1931.34</c:v>
                </c:pt>
                <c:pt idx="186">
                  <c:v>1881.77</c:v>
                </c:pt>
                <c:pt idx="187">
                  <c:v>1884.09</c:v>
                </c:pt>
                <c:pt idx="188">
                  <c:v>1920.03</c:v>
                </c:pt>
                <c:pt idx="189">
                  <c:v>1923.82</c:v>
                </c:pt>
                <c:pt idx="190">
                  <c:v>1951.36</c:v>
                </c:pt>
                <c:pt idx="191">
                  <c:v>1987.05</c:v>
                </c:pt>
                <c:pt idx="192">
                  <c:v>1979.92</c:v>
                </c:pt>
                <c:pt idx="193">
                  <c:v>1995.83</c:v>
                </c:pt>
                <c:pt idx="194">
                  <c:v>2013.43</c:v>
                </c:pt>
                <c:pt idx="195">
                  <c:v>2014.89</c:v>
                </c:pt>
                <c:pt idx="196">
                  <c:v>2017.46</c:v>
                </c:pt>
                <c:pt idx="197">
                  <c:v>2003.69</c:v>
                </c:pt>
                <c:pt idx="198">
                  <c:v>1994.24</c:v>
                </c:pt>
                <c:pt idx="199">
                  <c:v>2023.86</c:v>
                </c:pt>
                <c:pt idx="200">
                  <c:v>2033.11</c:v>
                </c:pt>
                <c:pt idx="201">
                  <c:v>2033.66</c:v>
                </c:pt>
                <c:pt idx="202">
                  <c:v>2030.77</c:v>
                </c:pt>
                <c:pt idx="203">
                  <c:v>2018.94</c:v>
                </c:pt>
                <c:pt idx="204">
                  <c:v>2052.5100000000002</c:v>
                </c:pt>
                <c:pt idx="205">
                  <c:v>2075.15</c:v>
                </c:pt>
                <c:pt idx="206">
                  <c:v>2071.1799999999998</c:v>
                </c:pt>
                <c:pt idx="207">
                  <c:v>2065.89</c:v>
                </c:pt>
                <c:pt idx="208">
                  <c:v>2090.35</c:v>
                </c:pt>
                <c:pt idx="209">
                  <c:v>2089.41</c:v>
                </c:pt>
                <c:pt idx="210">
                  <c:v>2079.36</c:v>
                </c:pt>
                <c:pt idx="211">
                  <c:v>2104.0500000000002</c:v>
                </c:pt>
                <c:pt idx="212">
                  <c:v>2109.79</c:v>
                </c:pt>
                <c:pt idx="213">
                  <c:v>2102.31</c:v>
                </c:pt>
                <c:pt idx="214">
                  <c:v>2099.9299999999998</c:v>
                </c:pt>
                <c:pt idx="215">
                  <c:v>2099.1999999999998</c:v>
                </c:pt>
                <c:pt idx="216">
                  <c:v>2078.58</c:v>
                </c:pt>
                <c:pt idx="217">
                  <c:v>2081.7199999999998</c:v>
                </c:pt>
                <c:pt idx="218">
                  <c:v>2075</c:v>
                </c:pt>
                <c:pt idx="219">
                  <c:v>2045.97</c:v>
                </c:pt>
                <c:pt idx="220">
                  <c:v>2023.04</c:v>
                </c:pt>
                <c:pt idx="221">
                  <c:v>2053.19</c:v>
                </c:pt>
                <c:pt idx="222">
                  <c:v>2050.44</c:v>
                </c:pt>
                <c:pt idx="223">
                  <c:v>2083.58</c:v>
                </c:pt>
                <c:pt idx="224">
                  <c:v>2081.2399999999998</c:v>
                </c:pt>
                <c:pt idx="225">
                  <c:v>2089.17</c:v>
                </c:pt>
                <c:pt idx="226">
                  <c:v>2086.59</c:v>
                </c:pt>
                <c:pt idx="227">
                  <c:v>2089.14</c:v>
                </c:pt>
                <c:pt idx="228">
                  <c:v>2088.87</c:v>
                </c:pt>
                <c:pt idx="229">
                  <c:v>2090.11</c:v>
                </c:pt>
                <c:pt idx="230">
                  <c:v>2080.41</c:v>
                </c:pt>
                <c:pt idx="231">
                  <c:v>2102.63</c:v>
                </c:pt>
                <c:pt idx="232">
                  <c:v>2079.5100000000002</c:v>
                </c:pt>
                <c:pt idx="233">
                  <c:v>2049.62</c:v>
                </c:pt>
                <c:pt idx="234">
                  <c:v>2091.69</c:v>
                </c:pt>
                <c:pt idx="235">
                  <c:v>2077.0700000000002</c:v>
                </c:pt>
                <c:pt idx="236">
                  <c:v>2063.59</c:v>
                </c:pt>
                <c:pt idx="237">
                  <c:v>2047.62</c:v>
                </c:pt>
                <c:pt idx="238">
                  <c:v>2052.23</c:v>
                </c:pt>
                <c:pt idx="239">
                  <c:v>2012.37</c:v>
                </c:pt>
                <c:pt idx="240">
                  <c:v>2021.94</c:v>
                </c:pt>
                <c:pt idx="241">
                  <c:v>2043.41</c:v>
                </c:pt>
                <c:pt idx="242">
                  <c:v>2073.0700000000002</c:v>
                </c:pt>
                <c:pt idx="243">
                  <c:v>2041.89</c:v>
                </c:pt>
                <c:pt idx="244">
                  <c:v>2005.55</c:v>
                </c:pt>
                <c:pt idx="245">
                  <c:v>2021.15</c:v>
                </c:pt>
                <c:pt idx="246">
                  <c:v>2038.97</c:v>
                </c:pt>
                <c:pt idx="247">
                  <c:v>2064.29</c:v>
                </c:pt>
                <c:pt idx="248">
                  <c:v>2060.9899999999998</c:v>
                </c:pt>
                <c:pt idx="249">
                  <c:v>2056.5</c:v>
                </c:pt>
                <c:pt idx="250">
                  <c:v>2078.36</c:v>
                </c:pt>
                <c:pt idx="251">
                  <c:v>2063.36</c:v>
                </c:pt>
                <c:pt idx="252">
                  <c:v>2043.94</c:v>
                </c:pt>
                <c:pt idx="253">
                  <c:v>2012.66</c:v>
                </c:pt>
                <c:pt idx="254">
                  <c:v>2016.71</c:v>
                </c:pt>
                <c:pt idx="255">
                  <c:v>1990.26</c:v>
                </c:pt>
                <c:pt idx="256">
                  <c:v>1943.09</c:v>
                </c:pt>
                <c:pt idx="257">
                  <c:v>1922.03</c:v>
                </c:pt>
                <c:pt idx="258">
                  <c:v>1923.67</c:v>
                </c:pt>
                <c:pt idx="259">
                  <c:v>1938.68</c:v>
                </c:pt>
                <c:pt idx="260">
                  <c:v>1890.28</c:v>
                </c:pt>
                <c:pt idx="261">
                  <c:v>1921.84</c:v>
                </c:pt>
                <c:pt idx="262">
                  <c:v>1880.33</c:v>
                </c:pt>
                <c:pt idx="263">
                  <c:v>1881.33</c:v>
                </c:pt>
                <c:pt idx="264">
                  <c:v>1859.33</c:v>
                </c:pt>
                <c:pt idx="265">
                  <c:v>1868.99</c:v>
                </c:pt>
                <c:pt idx="266">
                  <c:v>1906.9</c:v>
                </c:pt>
                <c:pt idx="267">
                  <c:v>1877.08</c:v>
                </c:pt>
                <c:pt idx="268">
                  <c:v>1903.63</c:v>
                </c:pt>
                <c:pt idx="269">
                  <c:v>1882.95</c:v>
                </c:pt>
                <c:pt idx="270">
                  <c:v>1893.36</c:v>
                </c:pt>
                <c:pt idx="271">
                  <c:v>1940.24</c:v>
                </c:pt>
                <c:pt idx="272">
                  <c:v>1939.38</c:v>
                </c:pt>
                <c:pt idx="273">
                  <c:v>1903.03</c:v>
                </c:pt>
                <c:pt idx="274">
                  <c:v>1912.53</c:v>
                </c:pt>
                <c:pt idx="275">
                  <c:v>1915.45</c:v>
                </c:pt>
                <c:pt idx="276">
                  <c:v>1880.05</c:v>
                </c:pt>
                <c:pt idx="277">
                  <c:v>1853.44</c:v>
                </c:pt>
                <c:pt idx="278">
                  <c:v>1852.21</c:v>
                </c:pt>
                <c:pt idx="279">
                  <c:v>1851.86</c:v>
                </c:pt>
                <c:pt idx="280">
                  <c:v>1829.08</c:v>
                </c:pt>
                <c:pt idx="281">
                  <c:v>1864.78</c:v>
                </c:pt>
                <c:pt idx="282">
                  <c:v>1895.58</c:v>
                </c:pt>
                <c:pt idx="283">
                  <c:v>1926.82</c:v>
                </c:pt>
                <c:pt idx="284">
                  <c:v>1917.83</c:v>
                </c:pt>
                <c:pt idx="285">
                  <c:v>1917.78</c:v>
                </c:pt>
                <c:pt idx="286">
                  <c:v>1945.5</c:v>
                </c:pt>
                <c:pt idx="287">
                  <c:v>1921.27</c:v>
                </c:pt>
                <c:pt idx="288">
                  <c:v>1929.8</c:v>
                </c:pt>
                <c:pt idx="289">
                  <c:v>1951.7</c:v>
                </c:pt>
                <c:pt idx="290">
                  <c:v>1948.05</c:v>
                </c:pt>
                <c:pt idx="291">
                  <c:v>1932.23</c:v>
                </c:pt>
                <c:pt idx="292">
                  <c:v>1978.35</c:v>
                </c:pt>
                <c:pt idx="293">
                  <c:v>1986.45</c:v>
                </c:pt>
                <c:pt idx="294">
                  <c:v>1993.4</c:v>
                </c:pt>
                <c:pt idx="295">
                  <c:v>1999.99</c:v>
                </c:pt>
                <c:pt idx="296">
                  <c:v>2001.76</c:v>
                </c:pt>
                <c:pt idx="297">
                  <c:v>1979.26</c:v>
                </c:pt>
                <c:pt idx="298">
                  <c:v>1989.26</c:v>
                </c:pt>
                <c:pt idx="299">
                  <c:v>1989.57</c:v>
                </c:pt>
                <c:pt idx="300">
                  <c:v>2022.19</c:v>
                </c:pt>
                <c:pt idx="301">
                  <c:v>2019.64</c:v>
                </c:pt>
                <c:pt idx="302">
                  <c:v>2015.93</c:v>
                </c:pt>
                <c:pt idx="303">
                  <c:v>2027.22</c:v>
                </c:pt>
                <c:pt idx="304">
                  <c:v>2040.59</c:v>
                </c:pt>
                <c:pt idx="305">
                  <c:v>2049.58</c:v>
                </c:pt>
                <c:pt idx="306">
                  <c:v>2051.6</c:v>
                </c:pt>
                <c:pt idx="307">
                  <c:v>2049.8000000000002</c:v>
                </c:pt>
                <c:pt idx="308">
                  <c:v>2036.71</c:v>
                </c:pt>
                <c:pt idx="309">
                  <c:v>2035.94</c:v>
                </c:pt>
                <c:pt idx="310">
                  <c:v>2037.05</c:v>
                </c:pt>
                <c:pt idx="311">
                  <c:v>2055.0100000000002</c:v>
                </c:pt>
                <c:pt idx="312">
                  <c:v>2063.9499999999998</c:v>
                </c:pt>
                <c:pt idx="313">
                  <c:v>2059.7399999999998</c:v>
                </c:pt>
                <c:pt idx="314">
                  <c:v>2072.7800000000002</c:v>
                </c:pt>
                <c:pt idx="315">
                  <c:v>2066.13</c:v>
                </c:pt>
                <c:pt idx="316">
                  <c:v>2045.17</c:v>
                </c:pt>
                <c:pt idx="317">
                  <c:v>2066.66</c:v>
                </c:pt>
                <c:pt idx="318">
                  <c:v>2041.91</c:v>
                </c:pt>
                <c:pt idx="319">
                  <c:v>2047.6</c:v>
                </c:pt>
                <c:pt idx="320">
                  <c:v>2041.99</c:v>
                </c:pt>
                <c:pt idx="321">
                  <c:v>2061.7199999999998</c:v>
                </c:pt>
                <c:pt idx="322">
                  <c:v>2082.42</c:v>
                </c:pt>
                <c:pt idx="323">
                  <c:v>2082.7800000000002</c:v>
                </c:pt>
                <c:pt idx="324">
                  <c:v>2080.73</c:v>
                </c:pt>
                <c:pt idx="325">
                  <c:v>2094.34</c:v>
                </c:pt>
                <c:pt idx="326">
                  <c:v>2100.8000000000002</c:v>
                </c:pt>
                <c:pt idx="327">
                  <c:v>2102.4</c:v>
                </c:pt>
                <c:pt idx="328">
                  <c:v>2091.48</c:v>
                </c:pt>
                <c:pt idx="329">
                  <c:v>2091.58</c:v>
                </c:pt>
                <c:pt idx="330">
                  <c:v>2087.79</c:v>
                </c:pt>
                <c:pt idx="331">
                  <c:v>2091.6999999999998</c:v>
                </c:pt>
                <c:pt idx="332">
                  <c:v>2095.15</c:v>
                </c:pt>
                <c:pt idx="333">
                  <c:v>2075.81</c:v>
                </c:pt>
                <c:pt idx="334">
                  <c:v>2065.3000000000002</c:v>
                </c:pt>
                <c:pt idx="335">
                  <c:v>2081.4299999999998</c:v>
                </c:pt>
                <c:pt idx="336">
                  <c:v>2063.37</c:v>
                </c:pt>
                <c:pt idx="337">
                  <c:v>2051.12</c:v>
                </c:pt>
                <c:pt idx="338">
                  <c:v>2050.63</c:v>
                </c:pt>
                <c:pt idx="339">
                  <c:v>2057.14</c:v>
                </c:pt>
                <c:pt idx="340">
                  <c:v>2058.69</c:v>
                </c:pt>
                <c:pt idx="341">
                  <c:v>2084.39</c:v>
                </c:pt>
                <c:pt idx="342">
                  <c:v>2064.46</c:v>
                </c:pt>
                <c:pt idx="343">
                  <c:v>2064.11</c:v>
                </c:pt>
                <c:pt idx="344">
                  <c:v>2046.61</c:v>
                </c:pt>
                <c:pt idx="345">
                  <c:v>2066.66</c:v>
                </c:pt>
                <c:pt idx="346">
                  <c:v>2047.21</c:v>
                </c:pt>
                <c:pt idx="347">
                  <c:v>2047.63</c:v>
                </c:pt>
                <c:pt idx="348">
                  <c:v>2040.04</c:v>
                </c:pt>
                <c:pt idx="349">
                  <c:v>2052.3200000000002</c:v>
                </c:pt>
                <c:pt idx="350">
                  <c:v>2048.04</c:v>
                </c:pt>
                <c:pt idx="351">
                  <c:v>2076.06</c:v>
                </c:pt>
                <c:pt idx="352">
                  <c:v>2090.54</c:v>
                </c:pt>
                <c:pt idx="353">
                  <c:v>2090.1</c:v>
                </c:pt>
                <c:pt idx="354">
                  <c:v>2099.06</c:v>
                </c:pt>
                <c:pt idx="355">
                  <c:v>2096.96</c:v>
                </c:pt>
                <c:pt idx="356">
                  <c:v>2099.33</c:v>
                </c:pt>
                <c:pt idx="357">
                  <c:v>2105.2600000000002</c:v>
                </c:pt>
                <c:pt idx="358">
                  <c:v>2099.13</c:v>
                </c:pt>
                <c:pt idx="359">
                  <c:v>2109.41</c:v>
                </c:pt>
                <c:pt idx="360">
                  <c:v>2112.13</c:v>
                </c:pt>
                <c:pt idx="361">
                  <c:v>2119.12</c:v>
                </c:pt>
                <c:pt idx="362">
                  <c:v>2115.48</c:v>
                </c:pt>
                <c:pt idx="363">
                  <c:v>2096.0700000000002</c:v>
                </c:pt>
                <c:pt idx="364">
                  <c:v>2079.06</c:v>
                </c:pt>
                <c:pt idx="365">
                  <c:v>2075.3200000000002</c:v>
                </c:pt>
                <c:pt idx="366">
                  <c:v>2071.5</c:v>
                </c:pt>
                <c:pt idx="367">
                  <c:v>2077.9899999999998</c:v>
                </c:pt>
                <c:pt idx="368">
                  <c:v>2071.2199999999998</c:v>
                </c:pt>
                <c:pt idx="369">
                  <c:v>2083.25</c:v>
                </c:pt>
                <c:pt idx="370">
                  <c:v>2088.9</c:v>
                </c:pt>
                <c:pt idx="371">
                  <c:v>2085.4499999999998</c:v>
                </c:pt>
                <c:pt idx="372">
                  <c:v>2113.3200000000002</c:v>
                </c:pt>
                <c:pt idx="373">
                  <c:v>2037.41</c:v>
                </c:pt>
                <c:pt idx="374">
                  <c:v>2000.54</c:v>
                </c:pt>
                <c:pt idx="375">
                  <c:v>2036.09</c:v>
                </c:pt>
                <c:pt idx="376">
                  <c:v>2070.77</c:v>
                </c:pt>
                <c:pt idx="377">
                  <c:v>2098.86</c:v>
                </c:pt>
                <c:pt idx="378">
                  <c:v>2102.9499999999998</c:v>
                </c:pt>
                <c:pt idx="379">
                  <c:v>2088.5500000000002</c:v>
                </c:pt>
                <c:pt idx="380">
                  <c:v>2099.73</c:v>
                </c:pt>
                <c:pt idx="381">
                  <c:v>2097.9</c:v>
                </c:pt>
                <c:pt idx="382">
                  <c:v>2129.9</c:v>
                </c:pt>
                <c:pt idx="383">
                  <c:v>2137.16</c:v>
                </c:pt>
                <c:pt idx="384">
                  <c:v>2152.14</c:v>
                </c:pt>
                <c:pt idx="385">
                  <c:v>2152.4299999999998</c:v>
                </c:pt>
                <c:pt idx="386">
                  <c:v>2163.75</c:v>
                </c:pt>
                <c:pt idx="387">
                  <c:v>2161.7399999999998</c:v>
                </c:pt>
                <c:pt idx="388">
                  <c:v>2166.89</c:v>
                </c:pt>
                <c:pt idx="389">
                  <c:v>2163.7800000000002</c:v>
                </c:pt>
                <c:pt idx="390">
                  <c:v>2173.02</c:v>
                </c:pt>
                <c:pt idx="391">
                  <c:v>2165.17</c:v>
                </c:pt>
                <c:pt idx="392">
                  <c:v>2175.0300000000002</c:v>
                </c:pt>
                <c:pt idx="393">
                  <c:v>2168.48</c:v>
                </c:pt>
                <c:pt idx="394">
                  <c:v>2169.1799999999998</c:v>
                </c:pt>
                <c:pt idx="395">
                  <c:v>2166.58</c:v>
                </c:pt>
                <c:pt idx="396">
                  <c:v>2170.06</c:v>
                </c:pt>
                <c:pt idx="397">
                  <c:v>2173.6</c:v>
                </c:pt>
                <c:pt idx="398">
                  <c:v>2170.84</c:v>
                </c:pt>
                <c:pt idx="399">
                  <c:v>2157.0300000000002</c:v>
                </c:pt>
                <c:pt idx="400">
                  <c:v>2163.79</c:v>
                </c:pt>
                <c:pt idx="401">
                  <c:v>2164.25</c:v>
                </c:pt>
                <c:pt idx="402">
                  <c:v>2182.87</c:v>
                </c:pt>
                <c:pt idx="403">
                  <c:v>2180.89</c:v>
                </c:pt>
                <c:pt idx="404">
                  <c:v>2181.7399999999998</c:v>
                </c:pt>
                <c:pt idx="405">
                  <c:v>2175.4899999999998</c:v>
                </c:pt>
                <c:pt idx="406">
                  <c:v>2185.79</c:v>
                </c:pt>
                <c:pt idx="407">
                  <c:v>2184.0500000000002</c:v>
                </c:pt>
                <c:pt idx="408">
                  <c:v>2190.15</c:v>
                </c:pt>
                <c:pt idx="409">
                  <c:v>2178.15</c:v>
                </c:pt>
                <c:pt idx="410">
                  <c:v>2182.2199999999998</c:v>
                </c:pt>
                <c:pt idx="411">
                  <c:v>2187.02</c:v>
                </c:pt>
                <c:pt idx="412">
                  <c:v>2183.87</c:v>
                </c:pt>
                <c:pt idx="413">
                  <c:v>2182.64</c:v>
                </c:pt>
                <c:pt idx="414">
                  <c:v>2186.9</c:v>
                </c:pt>
                <c:pt idx="415">
                  <c:v>2175.44</c:v>
                </c:pt>
                <c:pt idx="416">
                  <c:v>2172.4699999999998</c:v>
                </c:pt>
                <c:pt idx="417">
                  <c:v>2169.04</c:v>
                </c:pt>
                <c:pt idx="418">
                  <c:v>2180.38</c:v>
                </c:pt>
                <c:pt idx="419">
                  <c:v>2176.12</c:v>
                </c:pt>
                <c:pt idx="420">
                  <c:v>2170.9499999999998</c:v>
                </c:pt>
                <c:pt idx="421">
                  <c:v>2170.86</c:v>
                </c:pt>
                <c:pt idx="422">
                  <c:v>2179.98</c:v>
                </c:pt>
                <c:pt idx="423">
                  <c:v>2186.48</c:v>
                </c:pt>
                <c:pt idx="424">
                  <c:v>2186.16</c:v>
                </c:pt>
                <c:pt idx="425">
                  <c:v>2181.3000000000002</c:v>
                </c:pt>
                <c:pt idx="426">
                  <c:v>2127.81</c:v>
                </c:pt>
                <c:pt idx="427">
                  <c:v>2159.04</c:v>
                </c:pt>
                <c:pt idx="428">
                  <c:v>2127.02</c:v>
                </c:pt>
                <c:pt idx="429">
                  <c:v>2125.77</c:v>
                </c:pt>
                <c:pt idx="430">
                  <c:v>2147.2600000000002</c:v>
                </c:pt>
                <c:pt idx="431">
                  <c:v>2139.16</c:v>
                </c:pt>
                <c:pt idx="432">
                  <c:v>2139.12</c:v>
                </c:pt>
                <c:pt idx="433">
                  <c:v>2139.7600000000002</c:v>
                </c:pt>
                <c:pt idx="434">
                  <c:v>2163.12</c:v>
                </c:pt>
                <c:pt idx="435">
                  <c:v>2177.1799999999998</c:v>
                </c:pt>
                <c:pt idx="436">
                  <c:v>2164.69</c:v>
                </c:pt>
                <c:pt idx="437">
                  <c:v>2146.1</c:v>
                </c:pt>
                <c:pt idx="438">
                  <c:v>2159.9299999999998</c:v>
                </c:pt>
                <c:pt idx="439">
                  <c:v>2171.37</c:v>
                </c:pt>
                <c:pt idx="440">
                  <c:v>2151.13</c:v>
                </c:pt>
                <c:pt idx="441">
                  <c:v>2168.27</c:v>
                </c:pt>
                <c:pt idx="442">
                  <c:v>2161.1999999999998</c:v>
                </c:pt>
                <c:pt idx="443">
                  <c:v>2150.4899999999998</c:v>
                </c:pt>
                <c:pt idx="444">
                  <c:v>2159.73</c:v>
                </c:pt>
                <c:pt idx="445">
                  <c:v>2160.77</c:v>
                </c:pt>
                <c:pt idx="446">
                  <c:v>2153.7399999999998</c:v>
                </c:pt>
                <c:pt idx="447">
                  <c:v>2163.66</c:v>
                </c:pt>
                <c:pt idx="448">
                  <c:v>2136.73</c:v>
                </c:pt>
                <c:pt idx="449">
                  <c:v>2139.1799999999998</c:v>
                </c:pt>
                <c:pt idx="450">
                  <c:v>2132.5500000000002</c:v>
                </c:pt>
                <c:pt idx="451">
                  <c:v>2132.98</c:v>
                </c:pt>
                <c:pt idx="452">
                  <c:v>2126.5</c:v>
                </c:pt>
                <c:pt idx="453">
                  <c:v>2139.6</c:v>
                </c:pt>
                <c:pt idx="454">
                  <c:v>2144.29</c:v>
                </c:pt>
                <c:pt idx="455">
                  <c:v>2141.34</c:v>
                </c:pt>
                <c:pt idx="456">
                  <c:v>2141.16</c:v>
                </c:pt>
                <c:pt idx="457">
                  <c:v>2151.33</c:v>
                </c:pt>
                <c:pt idx="458">
                  <c:v>2143.16</c:v>
                </c:pt>
                <c:pt idx="459">
                  <c:v>2139.4299999999998</c:v>
                </c:pt>
                <c:pt idx="460">
                  <c:v>2133.04</c:v>
                </c:pt>
                <c:pt idx="461">
                  <c:v>2126.41</c:v>
                </c:pt>
                <c:pt idx="462">
                  <c:v>2126.15</c:v>
                </c:pt>
                <c:pt idx="463">
                  <c:v>2111.7199999999998</c:v>
                </c:pt>
                <c:pt idx="464">
                  <c:v>2097.94</c:v>
                </c:pt>
                <c:pt idx="465">
                  <c:v>2088.66</c:v>
                </c:pt>
                <c:pt idx="466">
                  <c:v>2085.1799999999998</c:v>
                </c:pt>
                <c:pt idx="467">
                  <c:v>2131.52</c:v>
                </c:pt>
                <c:pt idx="468">
                  <c:v>2139.56</c:v>
                </c:pt>
                <c:pt idx="469">
                  <c:v>2163.2600000000002</c:v>
                </c:pt>
                <c:pt idx="470">
                  <c:v>2167.48</c:v>
                </c:pt>
                <c:pt idx="471">
                  <c:v>2164.4499999999998</c:v>
                </c:pt>
                <c:pt idx="472">
                  <c:v>2164.1999999999998</c:v>
                </c:pt>
                <c:pt idx="473">
                  <c:v>2180.39</c:v>
                </c:pt>
                <c:pt idx="474">
                  <c:v>2176.94</c:v>
                </c:pt>
                <c:pt idx="475">
                  <c:v>2187.12</c:v>
                </c:pt>
                <c:pt idx="476">
                  <c:v>2181.9</c:v>
                </c:pt>
                <c:pt idx="477">
                  <c:v>2198.1799999999998</c:v>
                </c:pt>
                <c:pt idx="478">
                  <c:v>2202.94</c:v>
                </c:pt>
                <c:pt idx="479">
                  <c:v>2204.7199999999998</c:v>
                </c:pt>
                <c:pt idx="480">
                  <c:v>2213.35</c:v>
                </c:pt>
                <c:pt idx="481">
                  <c:v>2201.7199999999998</c:v>
                </c:pt>
                <c:pt idx="482">
                  <c:v>2204.66</c:v>
                </c:pt>
                <c:pt idx="483">
                  <c:v>2198.81</c:v>
                </c:pt>
                <c:pt idx="484">
                  <c:v>2191.08</c:v>
                </c:pt>
                <c:pt idx="485">
                  <c:v>2191.9499999999998</c:v>
                </c:pt>
                <c:pt idx="486">
                  <c:v>2204.71</c:v>
                </c:pt>
                <c:pt idx="487">
                  <c:v>2212.23</c:v>
                </c:pt>
                <c:pt idx="488">
                  <c:v>2241.35</c:v>
                </c:pt>
                <c:pt idx="489">
                  <c:v>2246.19</c:v>
                </c:pt>
                <c:pt idx="490">
                  <c:v>2259.5300000000002</c:v>
                </c:pt>
                <c:pt idx="491">
                  <c:v>2256.96</c:v>
                </c:pt>
                <c:pt idx="492">
                  <c:v>2271.7199999999998</c:v>
                </c:pt>
                <c:pt idx="493">
                  <c:v>2253.2800000000002</c:v>
                </c:pt>
                <c:pt idx="494">
                  <c:v>2262.0300000000002</c:v>
                </c:pt>
                <c:pt idx="495">
                  <c:v>2258.0700000000002</c:v>
                </c:pt>
                <c:pt idx="496">
                  <c:v>2262.5300000000002</c:v>
                </c:pt>
                <c:pt idx="497">
                  <c:v>2270.7600000000002</c:v>
                </c:pt>
                <c:pt idx="498">
                  <c:v>2265.1799999999998</c:v>
                </c:pt>
                <c:pt idx="499">
                  <c:v>2260.96</c:v>
                </c:pt>
                <c:pt idx="500">
                  <c:v>2263.79</c:v>
                </c:pt>
                <c:pt idx="501">
                  <c:v>2268.88</c:v>
                </c:pt>
                <c:pt idx="502">
                  <c:v>2249.92</c:v>
                </c:pt>
                <c:pt idx="503">
                  <c:v>2249.2600000000002</c:v>
                </c:pt>
                <c:pt idx="504">
                  <c:v>2238.83</c:v>
                </c:pt>
                <c:pt idx="505">
                  <c:v>2257.83</c:v>
                </c:pt>
                <c:pt idx="506">
                  <c:v>2270.75</c:v>
                </c:pt>
                <c:pt idx="507">
                  <c:v>2269</c:v>
                </c:pt>
                <c:pt idx="508">
                  <c:v>2276.98</c:v>
                </c:pt>
                <c:pt idx="509">
                  <c:v>2268.9</c:v>
                </c:pt>
                <c:pt idx="510">
                  <c:v>2268.9</c:v>
                </c:pt>
                <c:pt idx="511">
                  <c:v>2275.3200000000002</c:v>
                </c:pt>
                <c:pt idx="512">
                  <c:v>2270.44</c:v>
                </c:pt>
                <c:pt idx="513">
                  <c:v>2274.64</c:v>
                </c:pt>
                <c:pt idx="514">
                  <c:v>2267.89</c:v>
                </c:pt>
                <c:pt idx="515">
                  <c:v>2271.89</c:v>
                </c:pt>
                <c:pt idx="516">
                  <c:v>2263.69</c:v>
                </c:pt>
                <c:pt idx="517">
                  <c:v>2271.31</c:v>
                </c:pt>
                <c:pt idx="518">
                  <c:v>2265.1999999999998</c:v>
                </c:pt>
                <c:pt idx="519">
                  <c:v>2280.0700000000002</c:v>
                </c:pt>
                <c:pt idx="520">
                  <c:v>2298.37</c:v>
                </c:pt>
                <c:pt idx="521">
                  <c:v>2296.6799999999998</c:v>
                </c:pt>
                <c:pt idx="522">
                  <c:v>2294.69</c:v>
                </c:pt>
                <c:pt idx="523">
                  <c:v>2280.9</c:v>
                </c:pt>
                <c:pt idx="524">
                  <c:v>2278.87</c:v>
                </c:pt>
                <c:pt idx="525">
                  <c:v>2279.5500000000002</c:v>
                </c:pt>
                <c:pt idx="526">
                  <c:v>2280.85</c:v>
                </c:pt>
                <c:pt idx="527">
                  <c:v>2297.42</c:v>
                </c:pt>
                <c:pt idx="528">
                  <c:v>2292.56</c:v>
                </c:pt>
                <c:pt idx="529">
                  <c:v>2293.08</c:v>
                </c:pt>
                <c:pt idx="530">
                  <c:v>2294.67</c:v>
                </c:pt>
                <c:pt idx="531">
                  <c:v>2307.87</c:v>
                </c:pt>
                <c:pt idx="532">
                  <c:v>2316.1</c:v>
                </c:pt>
                <c:pt idx="533">
                  <c:v>2328.25</c:v>
                </c:pt>
                <c:pt idx="534">
                  <c:v>2337.58</c:v>
                </c:pt>
                <c:pt idx="535">
                  <c:v>2349.25</c:v>
                </c:pt>
                <c:pt idx="536">
                  <c:v>2347.2199999999998</c:v>
                </c:pt>
                <c:pt idx="537">
                  <c:v>2351.16</c:v>
                </c:pt>
                <c:pt idx="538">
                  <c:v>2365.38</c:v>
                </c:pt>
                <c:pt idx="539">
                  <c:v>2362.8200000000002</c:v>
                </c:pt>
                <c:pt idx="540">
                  <c:v>2363.81</c:v>
                </c:pt>
                <c:pt idx="541">
                  <c:v>2367.34</c:v>
                </c:pt>
                <c:pt idx="542">
                  <c:v>2369.75</c:v>
                </c:pt>
                <c:pt idx="543">
                  <c:v>2363.64</c:v>
                </c:pt>
                <c:pt idx="544">
                  <c:v>2395.96</c:v>
                </c:pt>
                <c:pt idx="545">
                  <c:v>2381.92</c:v>
                </c:pt>
                <c:pt idx="546">
                  <c:v>2383.12</c:v>
                </c:pt>
                <c:pt idx="547">
                  <c:v>2375.31</c:v>
                </c:pt>
                <c:pt idx="548">
                  <c:v>2368.39</c:v>
                </c:pt>
                <c:pt idx="549">
                  <c:v>2362.98</c:v>
                </c:pt>
                <c:pt idx="550">
                  <c:v>2364.87</c:v>
                </c:pt>
                <c:pt idx="551">
                  <c:v>2372.6</c:v>
                </c:pt>
                <c:pt idx="552">
                  <c:v>2373.4699999999998</c:v>
                </c:pt>
                <c:pt idx="553">
                  <c:v>2365.4499999999998</c:v>
                </c:pt>
                <c:pt idx="554">
                  <c:v>2385.2600000000002</c:v>
                </c:pt>
                <c:pt idx="555">
                  <c:v>2381.38</c:v>
                </c:pt>
                <c:pt idx="556">
                  <c:v>2378.25</c:v>
                </c:pt>
                <c:pt idx="557">
                  <c:v>2373.4699999999998</c:v>
                </c:pt>
                <c:pt idx="558">
                  <c:v>2344.02</c:v>
                </c:pt>
                <c:pt idx="559">
                  <c:v>2348.4499999999998</c:v>
                </c:pt>
                <c:pt idx="560">
                  <c:v>2345.96</c:v>
                </c:pt>
                <c:pt idx="561">
                  <c:v>2343.98</c:v>
                </c:pt>
                <c:pt idx="562">
                  <c:v>2341.59</c:v>
                </c:pt>
                <c:pt idx="563">
                  <c:v>2358.5700000000002</c:v>
                </c:pt>
                <c:pt idx="564">
                  <c:v>2361.13</c:v>
                </c:pt>
                <c:pt idx="565">
                  <c:v>2368.06</c:v>
                </c:pt>
                <c:pt idx="566">
                  <c:v>2362.7199999999998</c:v>
                </c:pt>
                <c:pt idx="567">
                  <c:v>2358.84</c:v>
                </c:pt>
                <c:pt idx="568">
                  <c:v>2360.16</c:v>
                </c:pt>
                <c:pt idx="569">
                  <c:v>2352.9499999999998</c:v>
                </c:pt>
                <c:pt idx="570">
                  <c:v>2357.4899999999998</c:v>
                </c:pt>
                <c:pt idx="571">
                  <c:v>2355.54</c:v>
                </c:pt>
                <c:pt idx="572">
                  <c:v>2357.16</c:v>
                </c:pt>
                <c:pt idx="573">
                  <c:v>2353.7800000000002</c:v>
                </c:pt>
                <c:pt idx="574">
                  <c:v>2344.9299999999998</c:v>
                </c:pt>
                <c:pt idx="575">
                  <c:v>2328.9499999999998</c:v>
                </c:pt>
                <c:pt idx="576">
                  <c:v>2349.0100000000002</c:v>
                </c:pt>
                <c:pt idx="577">
                  <c:v>2342.19</c:v>
                </c:pt>
                <c:pt idx="578">
                  <c:v>2338.17</c:v>
                </c:pt>
                <c:pt idx="579">
                  <c:v>2355.84</c:v>
                </c:pt>
                <c:pt idx="580">
                  <c:v>2348.69</c:v>
                </c:pt>
                <c:pt idx="581">
                  <c:v>2374.15</c:v>
                </c:pt>
                <c:pt idx="582">
                  <c:v>2388.61</c:v>
                </c:pt>
                <c:pt idx="583">
                  <c:v>2387.4499999999998</c:v>
                </c:pt>
                <c:pt idx="584">
                  <c:v>2388.77</c:v>
                </c:pt>
                <c:pt idx="585">
                  <c:v>2384.1999999999998</c:v>
                </c:pt>
                <c:pt idx="586">
                  <c:v>2388.33</c:v>
                </c:pt>
                <c:pt idx="587">
                  <c:v>2391.17</c:v>
                </c:pt>
                <c:pt idx="588">
                  <c:v>2388.13</c:v>
                </c:pt>
                <c:pt idx="589">
                  <c:v>2389.52</c:v>
                </c:pt>
                <c:pt idx="590">
                  <c:v>2399.29</c:v>
                </c:pt>
                <c:pt idx="591">
                  <c:v>2399.38</c:v>
                </c:pt>
                <c:pt idx="592">
                  <c:v>2396.92</c:v>
                </c:pt>
                <c:pt idx="593">
                  <c:v>2399.63</c:v>
                </c:pt>
                <c:pt idx="594">
                  <c:v>2394.44</c:v>
                </c:pt>
                <c:pt idx="595">
                  <c:v>2390.9</c:v>
                </c:pt>
                <c:pt idx="596">
                  <c:v>2402.3200000000002</c:v>
                </c:pt>
                <c:pt idx="597">
                  <c:v>2400.67</c:v>
                </c:pt>
                <c:pt idx="598">
                  <c:v>2357.0300000000002</c:v>
                </c:pt>
                <c:pt idx="599">
                  <c:v>2365.7199999999998</c:v>
                </c:pt>
                <c:pt idx="600">
                  <c:v>2381.73</c:v>
                </c:pt>
                <c:pt idx="601">
                  <c:v>2394.02</c:v>
                </c:pt>
                <c:pt idx="602">
                  <c:v>2398.42</c:v>
                </c:pt>
                <c:pt idx="603">
                  <c:v>2404.39</c:v>
                </c:pt>
                <c:pt idx="604">
                  <c:v>2415.0700000000002</c:v>
                </c:pt>
                <c:pt idx="605">
                  <c:v>2415.8200000000002</c:v>
                </c:pt>
                <c:pt idx="606">
                  <c:v>2412.91</c:v>
                </c:pt>
                <c:pt idx="607">
                  <c:v>2411.8000000000002</c:v>
                </c:pt>
                <c:pt idx="608">
                  <c:v>2430.06</c:v>
                </c:pt>
                <c:pt idx="609">
                  <c:v>2439.0700000000002</c:v>
                </c:pt>
                <c:pt idx="610">
                  <c:v>2436.1</c:v>
                </c:pt>
                <c:pt idx="611">
                  <c:v>2429.33</c:v>
                </c:pt>
                <c:pt idx="612">
                  <c:v>2433.14</c:v>
                </c:pt>
                <c:pt idx="613">
                  <c:v>2433.79</c:v>
                </c:pt>
                <c:pt idx="614">
                  <c:v>2431.77</c:v>
                </c:pt>
                <c:pt idx="615">
                  <c:v>2429.39</c:v>
                </c:pt>
                <c:pt idx="616">
                  <c:v>2440.35</c:v>
                </c:pt>
                <c:pt idx="617">
                  <c:v>2437.92</c:v>
                </c:pt>
                <c:pt idx="618">
                  <c:v>2432.46</c:v>
                </c:pt>
                <c:pt idx="619">
                  <c:v>2433.15</c:v>
                </c:pt>
                <c:pt idx="620">
                  <c:v>2453.46</c:v>
                </c:pt>
                <c:pt idx="621">
                  <c:v>2437.0300000000002</c:v>
                </c:pt>
                <c:pt idx="622">
                  <c:v>2435.61</c:v>
                </c:pt>
                <c:pt idx="623">
                  <c:v>2434.5</c:v>
                </c:pt>
                <c:pt idx="624">
                  <c:v>2438.3000000000002</c:v>
                </c:pt>
                <c:pt idx="625">
                  <c:v>2439.0700000000002</c:v>
                </c:pt>
                <c:pt idx="626">
                  <c:v>2419.38</c:v>
                </c:pt>
                <c:pt idx="627">
                  <c:v>2440.69</c:v>
                </c:pt>
                <c:pt idx="628">
                  <c:v>2419.6999999999998</c:v>
                </c:pt>
                <c:pt idx="629">
                  <c:v>2423.41</c:v>
                </c:pt>
                <c:pt idx="630">
                  <c:v>2429.0100000000002</c:v>
                </c:pt>
                <c:pt idx="631">
                  <c:v>2432.54</c:v>
                </c:pt>
                <c:pt idx="632">
                  <c:v>2409.75</c:v>
                </c:pt>
                <c:pt idx="633">
                  <c:v>2425.1799999999998</c:v>
                </c:pt>
                <c:pt idx="634">
                  <c:v>2427.4299999999998</c:v>
                </c:pt>
                <c:pt idx="635">
                  <c:v>2425.5300000000002</c:v>
                </c:pt>
                <c:pt idx="636">
                  <c:v>2443.25</c:v>
                </c:pt>
                <c:pt idx="637">
                  <c:v>2447.83</c:v>
                </c:pt>
                <c:pt idx="638">
                  <c:v>2459.27</c:v>
                </c:pt>
                <c:pt idx="639">
                  <c:v>2459.14</c:v>
                </c:pt>
                <c:pt idx="640">
                  <c:v>2460.61</c:v>
                </c:pt>
                <c:pt idx="641">
                  <c:v>2473.83</c:v>
                </c:pt>
                <c:pt idx="642">
                  <c:v>2473.4499999999998</c:v>
                </c:pt>
                <c:pt idx="643">
                  <c:v>2472.54</c:v>
                </c:pt>
                <c:pt idx="644">
                  <c:v>2469.91</c:v>
                </c:pt>
                <c:pt idx="645">
                  <c:v>2477.13</c:v>
                </c:pt>
                <c:pt idx="646">
                  <c:v>2477.83</c:v>
                </c:pt>
                <c:pt idx="647">
                  <c:v>2475.42</c:v>
                </c:pt>
                <c:pt idx="648">
                  <c:v>2472.1</c:v>
                </c:pt>
                <c:pt idx="649">
                  <c:v>2470.3000000000002</c:v>
                </c:pt>
                <c:pt idx="650">
                  <c:v>2476.35</c:v>
                </c:pt>
                <c:pt idx="651">
                  <c:v>2477.5700000000002</c:v>
                </c:pt>
                <c:pt idx="652">
                  <c:v>2472.16</c:v>
                </c:pt>
                <c:pt idx="653">
                  <c:v>2476.83</c:v>
                </c:pt>
                <c:pt idx="654">
                  <c:v>2480.91</c:v>
                </c:pt>
                <c:pt idx="655">
                  <c:v>2474.92</c:v>
                </c:pt>
                <c:pt idx="656">
                  <c:v>2474.02</c:v>
                </c:pt>
                <c:pt idx="657">
                  <c:v>2438.21</c:v>
                </c:pt>
                <c:pt idx="658">
                  <c:v>2441.3200000000002</c:v>
                </c:pt>
                <c:pt idx="659">
                  <c:v>2465.84</c:v>
                </c:pt>
                <c:pt idx="660">
                  <c:v>2464.61</c:v>
                </c:pt>
                <c:pt idx="661">
                  <c:v>2468.11</c:v>
                </c:pt>
                <c:pt idx="662">
                  <c:v>2430.0100000000002</c:v>
                </c:pt>
                <c:pt idx="663">
                  <c:v>2425.5500000000002</c:v>
                </c:pt>
                <c:pt idx="664">
                  <c:v>2428.37</c:v>
                </c:pt>
                <c:pt idx="665">
                  <c:v>2452.5100000000002</c:v>
                </c:pt>
                <c:pt idx="666">
                  <c:v>2444.04</c:v>
                </c:pt>
                <c:pt idx="667">
                  <c:v>2438.9699999999998</c:v>
                </c:pt>
                <c:pt idx="668">
                  <c:v>2443.0500000000002</c:v>
                </c:pt>
                <c:pt idx="669">
                  <c:v>2444.2399999999998</c:v>
                </c:pt>
                <c:pt idx="670">
                  <c:v>2446.3000000000002</c:v>
                </c:pt>
                <c:pt idx="671">
                  <c:v>2457.59</c:v>
                </c:pt>
                <c:pt idx="672">
                  <c:v>2471.65</c:v>
                </c:pt>
                <c:pt idx="673">
                  <c:v>2476.5500000000002</c:v>
                </c:pt>
                <c:pt idx="674">
                  <c:v>2457.85</c:v>
                </c:pt>
                <c:pt idx="675">
                  <c:v>2465.54</c:v>
                </c:pt>
                <c:pt idx="676">
                  <c:v>2465.1</c:v>
                </c:pt>
                <c:pt idx="677">
                  <c:v>2461.4299999999998</c:v>
                </c:pt>
                <c:pt idx="678">
                  <c:v>2488.11</c:v>
                </c:pt>
                <c:pt idx="679">
                  <c:v>2496.48</c:v>
                </c:pt>
                <c:pt idx="680">
                  <c:v>2498.37</c:v>
                </c:pt>
                <c:pt idx="681">
                  <c:v>2495.62</c:v>
                </c:pt>
                <c:pt idx="682">
                  <c:v>2500.23</c:v>
                </c:pt>
                <c:pt idx="683">
                  <c:v>2503.87</c:v>
                </c:pt>
                <c:pt idx="684">
                  <c:v>2506.65</c:v>
                </c:pt>
                <c:pt idx="685">
                  <c:v>2508.2399999999998</c:v>
                </c:pt>
                <c:pt idx="686">
                  <c:v>2500.6</c:v>
                </c:pt>
                <c:pt idx="687">
                  <c:v>2502.2199999999998</c:v>
                </c:pt>
                <c:pt idx="688">
                  <c:v>2496.66</c:v>
                </c:pt>
                <c:pt idx="689">
                  <c:v>2496.84</c:v>
                </c:pt>
                <c:pt idx="690">
                  <c:v>2507.04</c:v>
                </c:pt>
                <c:pt idx="691">
                  <c:v>2510.06</c:v>
                </c:pt>
                <c:pt idx="692">
                  <c:v>2519.36</c:v>
                </c:pt>
                <c:pt idx="693">
                  <c:v>2529.12</c:v>
                </c:pt>
                <c:pt idx="694">
                  <c:v>2534.58</c:v>
                </c:pt>
                <c:pt idx="695">
                  <c:v>2537.7399999999998</c:v>
                </c:pt>
                <c:pt idx="696">
                  <c:v>2552.0700000000002</c:v>
                </c:pt>
                <c:pt idx="697">
                  <c:v>2549.33</c:v>
                </c:pt>
                <c:pt idx="698">
                  <c:v>2544.73</c:v>
                </c:pt>
                <c:pt idx="699">
                  <c:v>2550.64</c:v>
                </c:pt>
                <c:pt idx="700">
                  <c:v>2555.2399999999998</c:v>
                </c:pt>
                <c:pt idx="701">
                  <c:v>2550.9299999999998</c:v>
                </c:pt>
                <c:pt idx="702">
                  <c:v>2553.17</c:v>
                </c:pt>
                <c:pt idx="703">
                  <c:v>2557.64</c:v>
                </c:pt>
                <c:pt idx="704">
                  <c:v>2559.36</c:v>
                </c:pt>
                <c:pt idx="705">
                  <c:v>2561.2600000000002</c:v>
                </c:pt>
                <c:pt idx="706">
                  <c:v>2562.1</c:v>
                </c:pt>
                <c:pt idx="707">
                  <c:v>2575.21</c:v>
                </c:pt>
                <c:pt idx="708">
                  <c:v>2564.98</c:v>
                </c:pt>
                <c:pt idx="709">
                  <c:v>2569.13</c:v>
                </c:pt>
                <c:pt idx="710">
                  <c:v>2557.15</c:v>
                </c:pt>
                <c:pt idx="711">
                  <c:v>2560.4</c:v>
                </c:pt>
                <c:pt idx="712">
                  <c:v>2581.0700000000002</c:v>
                </c:pt>
                <c:pt idx="713">
                  <c:v>2572.83</c:v>
                </c:pt>
                <c:pt idx="714">
                  <c:v>2575.2600000000002</c:v>
                </c:pt>
                <c:pt idx="715">
                  <c:v>2579.36</c:v>
                </c:pt>
                <c:pt idx="716">
                  <c:v>2579.85</c:v>
                </c:pt>
                <c:pt idx="717">
                  <c:v>2587.84</c:v>
                </c:pt>
                <c:pt idx="718">
                  <c:v>2591.13</c:v>
                </c:pt>
                <c:pt idx="719">
                  <c:v>2590.64</c:v>
                </c:pt>
                <c:pt idx="720">
                  <c:v>2594.38</c:v>
                </c:pt>
                <c:pt idx="721">
                  <c:v>2584.62</c:v>
                </c:pt>
                <c:pt idx="722">
                  <c:v>2582.3000000000002</c:v>
                </c:pt>
                <c:pt idx="723">
                  <c:v>2584.84</c:v>
                </c:pt>
                <c:pt idx="724">
                  <c:v>2578.87</c:v>
                </c:pt>
                <c:pt idx="725">
                  <c:v>2564.62</c:v>
                </c:pt>
                <c:pt idx="726">
                  <c:v>2585.64</c:v>
                </c:pt>
                <c:pt idx="727">
                  <c:v>2578.85</c:v>
                </c:pt>
                <c:pt idx="728">
                  <c:v>2582.14</c:v>
                </c:pt>
                <c:pt idx="729">
                  <c:v>2599.0300000000002</c:v>
                </c:pt>
                <c:pt idx="730">
                  <c:v>2597.08</c:v>
                </c:pt>
                <c:pt idx="731">
                  <c:v>2602.42</c:v>
                </c:pt>
                <c:pt idx="732">
                  <c:v>2601.42</c:v>
                </c:pt>
                <c:pt idx="733">
                  <c:v>2627.04</c:v>
                </c:pt>
                <c:pt idx="734">
                  <c:v>2626.07</c:v>
                </c:pt>
                <c:pt idx="735">
                  <c:v>2647.58</c:v>
                </c:pt>
                <c:pt idx="736">
                  <c:v>2642.22</c:v>
                </c:pt>
                <c:pt idx="737">
                  <c:v>2639.44</c:v>
                </c:pt>
                <c:pt idx="738">
                  <c:v>2629.57</c:v>
                </c:pt>
                <c:pt idx="739">
                  <c:v>2629.27</c:v>
                </c:pt>
                <c:pt idx="740">
                  <c:v>2636.98</c:v>
                </c:pt>
                <c:pt idx="741">
                  <c:v>2651.5</c:v>
                </c:pt>
                <c:pt idx="742">
                  <c:v>2659.99</c:v>
                </c:pt>
                <c:pt idx="743">
                  <c:v>2664.11</c:v>
                </c:pt>
                <c:pt idx="744">
                  <c:v>2662.85</c:v>
                </c:pt>
                <c:pt idx="745">
                  <c:v>2652.01</c:v>
                </c:pt>
                <c:pt idx="746">
                  <c:v>2675.81</c:v>
                </c:pt>
                <c:pt idx="747">
                  <c:v>2690.16</c:v>
                </c:pt>
                <c:pt idx="748">
                  <c:v>2681.47</c:v>
                </c:pt>
                <c:pt idx="749">
                  <c:v>2679.25</c:v>
                </c:pt>
                <c:pt idx="750">
                  <c:v>2684.57</c:v>
                </c:pt>
                <c:pt idx="751">
                  <c:v>2683.34</c:v>
                </c:pt>
                <c:pt idx="752">
                  <c:v>2680.5</c:v>
                </c:pt>
                <c:pt idx="753">
                  <c:v>2682.62</c:v>
                </c:pt>
                <c:pt idx="754">
                  <c:v>2687.54</c:v>
                </c:pt>
                <c:pt idx="755">
                  <c:v>2673.61</c:v>
                </c:pt>
                <c:pt idx="756">
                  <c:v>2695.81</c:v>
                </c:pt>
                <c:pt idx="757">
                  <c:v>2713.06</c:v>
                </c:pt>
                <c:pt idx="758">
                  <c:v>2723.99</c:v>
                </c:pt>
                <c:pt idx="759">
                  <c:v>2743.15</c:v>
                </c:pt>
                <c:pt idx="760">
                  <c:v>2747.71</c:v>
                </c:pt>
                <c:pt idx="761">
                  <c:v>2751.29</c:v>
                </c:pt>
                <c:pt idx="762">
                  <c:v>2748.23</c:v>
                </c:pt>
                <c:pt idx="763">
                  <c:v>2767.56</c:v>
                </c:pt>
                <c:pt idx="764">
                  <c:v>2786.24</c:v>
                </c:pt>
                <c:pt idx="765">
                  <c:v>2776.42</c:v>
                </c:pt>
                <c:pt idx="766">
                  <c:v>2802.56</c:v>
                </c:pt>
                <c:pt idx="767">
                  <c:v>2798.03</c:v>
                </c:pt>
                <c:pt idx="768">
                  <c:v>2810.3</c:v>
                </c:pt>
                <c:pt idx="769">
                  <c:v>2832.97</c:v>
                </c:pt>
                <c:pt idx="770">
                  <c:v>2839.13</c:v>
                </c:pt>
                <c:pt idx="771">
                  <c:v>2837.54</c:v>
                </c:pt>
                <c:pt idx="772">
                  <c:v>2839.25</c:v>
                </c:pt>
                <c:pt idx="773">
                  <c:v>2872.87</c:v>
                </c:pt>
                <c:pt idx="774">
                  <c:v>2853.53</c:v>
                </c:pt>
                <c:pt idx="775">
                  <c:v>2822.43</c:v>
                </c:pt>
                <c:pt idx="776">
                  <c:v>2823.81</c:v>
                </c:pt>
                <c:pt idx="777">
                  <c:v>2821.98</c:v>
                </c:pt>
                <c:pt idx="778">
                  <c:v>2762.13</c:v>
                </c:pt>
                <c:pt idx="779">
                  <c:v>2648.94</c:v>
                </c:pt>
                <c:pt idx="780">
                  <c:v>2695.14</c:v>
                </c:pt>
                <c:pt idx="781">
                  <c:v>2681.66</c:v>
                </c:pt>
                <c:pt idx="782">
                  <c:v>2581</c:v>
                </c:pt>
                <c:pt idx="783">
                  <c:v>2619.5500000000002</c:v>
                </c:pt>
                <c:pt idx="784">
                  <c:v>2656</c:v>
                </c:pt>
                <c:pt idx="785">
                  <c:v>2662.94</c:v>
                </c:pt>
                <c:pt idx="786">
                  <c:v>2698.63</c:v>
                </c:pt>
                <c:pt idx="787">
                  <c:v>2731.2</c:v>
                </c:pt>
                <c:pt idx="788">
                  <c:v>2732.22</c:v>
                </c:pt>
                <c:pt idx="789">
                  <c:v>2716.26</c:v>
                </c:pt>
                <c:pt idx="790">
                  <c:v>2701.33</c:v>
                </c:pt>
                <c:pt idx="791">
                  <c:v>2703.96</c:v>
                </c:pt>
                <c:pt idx="792">
                  <c:v>2747.3</c:v>
                </c:pt>
                <c:pt idx="793">
                  <c:v>2779.6</c:v>
                </c:pt>
                <c:pt idx="794">
                  <c:v>2744.28</c:v>
                </c:pt>
                <c:pt idx="795">
                  <c:v>2713.83</c:v>
                </c:pt>
                <c:pt idx="796">
                  <c:v>2677.67</c:v>
                </c:pt>
                <c:pt idx="797">
                  <c:v>2691.25</c:v>
                </c:pt>
                <c:pt idx="798">
                  <c:v>2720.94</c:v>
                </c:pt>
                <c:pt idx="799">
                  <c:v>2728.12</c:v>
                </c:pt>
                <c:pt idx="800">
                  <c:v>2726.8</c:v>
                </c:pt>
                <c:pt idx="801">
                  <c:v>2738.97</c:v>
                </c:pt>
                <c:pt idx="802">
                  <c:v>2786.57</c:v>
                </c:pt>
                <c:pt idx="803">
                  <c:v>2783.02</c:v>
                </c:pt>
                <c:pt idx="804">
                  <c:v>2765.31</c:v>
                </c:pt>
                <c:pt idx="805">
                  <c:v>2749.48</c:v>
                </c:pt>
                <c:pt idx="806">
                  <c:v>2747.33</c:v>
                </c:pt>
                <c:pt idx="807">
                  <c:v>2752.01</c:v>
                </c:pt>
                <c:pt idx="808">
                  <c:v>2712.92</c:v>
                </c:pt>
                <c:pt idx="809">
                  <c:v>2716.94</c:v>
                </c:pt>
                <c:pt idx="810">
                  <c:v>2711.93</c:v>
                </c:pt>
                <c:pt idx="811">
                  <c:v>2643.69</c:v>
                </c:pt>
                <c:pt idx="812">
                  <c:v>2588.2600000000002</c:v>
                </c:pt>
                <c:pt idx="813">
                  <c:v>2658.55</c:v>
                </c:pt>
                <c:pt idx="814">
                  <c:v>2612.62</c:v>
                </c:pt>
                <c:pt idx="815">
                  <c:v>2605</c:v>
                </c:pt>
                <c:pt idx="816">
                  <c:v>2640.87</c:v>
                </c:pt>
                <c:pt idx="817">
                  <c:v>2581.88</c:v>
                </c:pt>
                <c:pt idx="818">
                  <c:v>2614.4499999999998</c:v>
                </c:pt>
                <c:pt idx="819">
                  <c:v>2644.69</c:v>
                </c:pt>
                <c:pt idx="820">
                  <c:v>2662.84</c:v>
                </c:pt>
                <c:pt idx="821">
                  <c:v>2604.4699999999998</c:v>
                </c:pt>
                <c:pt idx="822">
                  <c:v>2613.16</c:v>
                </c:pt>
                <c:pt idx="823">
                  <c:v>2656.87</c:v>
                </c:pt>
                <c:pt idx="824">
                  <c:v>2642.19</c:v>
                </c:pt>
                <c:pt idx="825">
                  <c:v>2663.99</c:v>
                </c:pt>
                <c:pt idx="826">
                  <c:v>2656.3</c:v>
                </c:pt>
                <c:pt idx="827">
                  <c:v>2677.84</c:v>
                </c:pt>
                <c:pt idx="828">
                  <c:v>2706.39</c:v>
                </c:pt>
                <c:pt idx="829">
                  <c:v>2708.64</c:v>
                </c:pt>
                <c:pt idx="830">
                  <c:v>2693.13</c:v>
                </c:pt>
                <c:pt idx="831">
                  <c:v>2670.14</c:v>
                </c:pt>
                <c:pt idx="832">
                  <c:v>2670.29</c:v>
                </c:pt>
                <c:pt idx="833">
                  <c:v>2634.56</c:v>
                </c:pt>
                <c:pt idx="834">
                  <c:v>2639.4</c:v>
                </c:pt>
                <c:pt idx="835">
                  <c:v>2666.94</c:v>
                </c:pt>
                <c:pt idx="836">
                  <c:v>2669.91</c:v>
                </c:pt>
                <c:pt idx="837">
                  <c:v>2648.05</c:v>
                </c:pt>
                <c:pt idx="838">
                  <c:v>2654.8</c:v>
                </c:pt>
                <c:pt idx="839">
                  <c:v>2635.67</c:v>
                </c:pt>
                <c:pt idx="840">
                  <c:v>2629.73</c:v>
                </c:pt>
                <c:pt idx="841">
                  <c:v>2663.42</c:v>
                </c:pt>
                <c:pt idx="842">
                  <c:v>2672.63</c:v>
                </c:pt>
                <c:pt idx="843">
                  <c:v>2671.92</c:v>
                </c:pt>
                <c:pt idx="844">
                  <c:v>2697.79</c:v>
                </c:pt>
                <c:pt idx="845">
                  <c:v>2723.07</c:v>
                </c:pt>
                <c:pt idx="846">
                  <c:v>2727.72</c:v>
                </c:pt>
                <c:pt idx="847">
                  <c:v>2730.13</c:v>
                </c:pt>
                <c:pt idx="848">
                  <c:v>2711.45</c:v>
                </c:pt>
                <c:pt idx="849">
                  <c:v>2722.46</c:v>
                </c:pt>
                <c:pt idx="850">
                  <c:v>2720.13</c:v>
                </c:pt>
                <c:pt idx="851">
                  <c:v>2712.97</c:v>
                </c:pt>
                <c:pt idx="852">
                  <c:v>2733.01</c:v>
                </c:pt>
                <c:pt idx="853">
                  <c:v>2724.44</c:v>
                </c:pt>
                <c:pt idx="854">
                  <c:v>2733.29</c:v>
                </c:pt>
                <c:pt idx="855">
                  <c:v>2727.76</c:v>
                </c:pt>
                <c:pt idx="856">
                  <c:v>2721.33</c:v>
                </c:pt>
                <c:pt idx="857">
                  <c:v>2689.86</c:v>
                </c:pt>
                <c:pt idx="858">
                  <c:v>2724.01</c:v>
                </c:pt>
                <c:pt idx="859">
                  <c:v>2705.27</c:v>
                </c:pt>
                <c:pt idx="860">
                  <c:v>2734.62</c:v>
                </c:pt>
                <c:pt idx="861">
                  <c:v>2746.87</c:v>
                </c:pt>
                <c:pt idx="862">
                  <c:v>2748.8</c:v>
                </c:pt>
                <c:pt idx="863">
                  <c:v>2772.35</c:v>
                </c:pt>
                <c:pt idx="864">
                  <c:v>2770.37</c:v>
                </c:pt>
                <c:pt idx="865">
                  <c:v>2779.03</c:v>
                </c:pt>
                <c:pt idx="866">
                  <c:v>2782</c:v>
                </c:pt>
                <c:pt idx="867">
                  <c:v>2786.85</c:v>
                </c:pt>
                <c:pt idx="868">
                  <c:v>2775.63</c:v>
                </c:pt>
                <c:pt idx="869">
                  <c:v>2782.49</c:v>
                </c:pt>
                <c:pt idx="870">
                  <c:v>2779.66</c:v>
                </c:pt>
                <c:pt idx="871">
                  <c:v>2773.75</c:v>
                </c:pt>
                <c:pt idx="872">
                  <c:v>2762.59</c:v>
                </c:pt>
                <c:pt idx="873">
                  <c:v>2767.32</c:v>
                </c:pt>
                <c:pt idx="874">
                  <c:v>2749.76</c:v>
                </c:pt>
                <c:pt idx="875">
                  <c:v>2754.88</c:v>
                </c:pt>
                <c:pt idx="876">
                  <c:v>2717.07</c:v>
                </c:pt>
                <c:pt idx="877">
                  <c:v>2723.06</c:v>
                </c:pt>
                <c:pt idx="878">
                  <c:v>2699.63</c:v>
                </c:pt>
                <c:pt idx="879">
                  <c:v>2716.31</c:v>
                </c:pt>
                <c:pt idx="880">
                  <c:v>2718.37</c:v>
                </c:pt>
                <c:pt idx="881">
                  <c:v>2726.71</c:v>
                </c:pt>
                <c:pt idx="882">
                  <c:v>2713.22</c:v>
                </c:pt>
                <c:pt idx="883">
                  <c:v>2736.61</c:v>
                </c:pt>
                <c:pt idx="884">
                  <c:v>2759.82</c:v>
                </c:pt>
                <c:pt idx="885">
                  <c:v>2784.17</c:v>
                </c:pt>
                <c:pt idx="886">
                  <c:v>2793.84</c:v>
                </c:pt>
                <c:pt idx="887">
                  <c:v>2774.02</c:v>
                </c:pt>
                <c:pt idx="888">
                  <c:v>2798.29</c:v>
                </c:pt>
                <c:pt idx="889">
                  <c:v>2801.31</c:v>
                </c:pt>
                <c:pt idx="890">
                  <c:v>2798.43</c:v>
                </c:pt>
                <c:pt idx="891">
                  <c:v>2809.55</c:v>
                </c:pt>
                <c:pt idx="892">
                  <c:v>2815.62</c:v>
                </c:pt>
                <c:pt idx="893">
                  <c:v>2804.49</c:v>
                </c:pt>
                <c:pt idx="894">
                  <c:v>2801.83</c:v>
                </c:pt>
                <c:pt idx="895">
                  <c:v>2806.98</c:v>
                </c:pt>
                <c:pt idx="896">
                  <c:v>2820.4</c:v>
                </c:pt>
                <c:pt idx="897">
                  <c:v>2846.07</c:v>
                </c:pt>
                <c:pt idx="898">
                  <c:v>2837.44</c:v>
                </c:pt>
                <c:pt idx="899">
                  <c:v>2818.82</c:v>
                </c:pt>
                <c:pt idx="900">
                  <c:v>2802.6</c:v>
                </c:pt>
                <c:pt idx="901">
                  <c:v>2816.29</c:v>
                </c:pt>
                <c:pt idx="902">
                  <c:v>2813.36</c:v>
                </c:pt>
                <c:pt idx="903">
                  <c:v>2827.22</c:v>
                </c:pt>
                <c:pt idx="904">
                  <c:v>2840.35</c:v>
                </c:pt>
                <c:pt idx="905">
                  <c:v>2850.4</c:v>
                </c:pt>
                <c:pt idx="906">
                  <c:v>2858.45</c:v>
                </c:pt>
                <c:pt idx="907">
                  <c:v>2857.7</c:v>
                </c:pt>
                <c:pt idx="908">
                  <c:v>2853.58</c:v>
                </c:pt>
                <c:pt idx="909">
                  <c:v>2833.28</c:v>
                </c:pt>
                <c:pt idx="910">
                  <c:v>2821.93</c:v>
                </c:pt>
                <c:pt idx="911">
                  <c:v>2839.96</c:v>
                </c:pt>
                <c:pt idx="912">
                  <c:v>2818.37</c:v>
                </c:pt>
                <c:pt idx="913">
                  <c:v>2840.69</c:v>
                </c:pt>
                <c:pt idx="914">
                  <c:v>2850.13</c:v>
                </c:pt>
                <c:pt idx="915">
                  <c:v>2857.05</c:v>
                </c:pt>
                <c:pt idx="916">
                  <c:v>2862.96</c:v>
                </c:pt>
                <c:pt idx="917">
                  <c:v>2861.82</c:v>
                </c:pt>
                <c:pt idx="918">
                  <c:v>2856.98</c:v>
                </c:pt>
                <c:pt idx="919">
                  <c:v>2874.69</c:v>
                </c:pt>
                <c:pt idx="920">
                  <c:v>2896.74</c:v>
                </c:pt>
                <c:pt idx="921">
                  <c:v>2897.52</c:v>
                </c:pt>
                <c:pt idx="922">
                  <c:v>2914.04</c:v>
                </c:pt>
                <c:pt idx="923">
                  <c:v>2901.13</c:v>
                </c:pt>
                <c:pt idx="924">
                  <c:v>2901.52</c:v>
                </c:pt>
                <c:pt idx="925">
                  <c:v>2896.72</c:v>
                </c:pt>
                <c:pt idx="926">
                  <c:v>2888.6</c:v>
                </c:pt>
                <c:pt idx="927">
                  <c:v>2878.05</c:v>
                </c:pt>
                <c:pt idx="928">
                  <c:v>2871.68</c:v>
                </c:pt>
                <c:pt idx="929">
                  <c:v>2877.13</c:v>
                </c:pt>
                <c:pt idx="930">
                  <c:v>2887.89</c:v>
                </c:pt>
                <c:pt idx="931">
                  <c:v>2888.92</c:v>
                </c:pt>
                <c:pt idx="932">
                  <c:v>2904.18</c:v>
                </c:pt>
                <c:pt idx="933">
                  <c:v>2904.98</c:v>
                </c:pt>
                <c:pt idx="934">
                  <c:v>2888.8</c:v>
                </c:pt>
                <c:pt idx="935">
                  <c:v>2904.31</c:v>
                </c:pt>
                <c:pt idx="936">
                  <c:v>2907.95</c:v>
                </c:pt>
                <c:pt idx="937">
                  <c:v>2930.75</c:v>
                </c:pt>
                <c:pt idx="938">
                  <c:v>2929.67</c:v>
                </c:pt>
                <c:pt idx="939">
                  <c:v>2919.37</c:v>
                </c:pt>
                <c:pt idx="940">
                  <c:v>2915.56</c:v>
                </c:pt>
                <c:pt idx="941">
                  <c:v>2905.97</c:v>
                </c:pt>
                <c:pt idx="942">
                  <c:v>2914</c:v>
                </c:pt>
                <c:pt idx="943">
                  <c:v>2913.98</c:v>
                </c:pt>
                <c:pt idx="944">
                  <c:v>2924.59</c:v>
                </c:pt>
                <c:pt idx="945">
                  <c:v>2923.43</c:v>
                </c:pt>
                <c:pt idx="946">
                  <c:v>2925.51</c:v>
                </c:pt>
                <c:pt idx="947">
                  <c:v>2901.61</c:v>
                </c:pt>
                <c:pt idx="948">
                  <c:v>2885.57</c:v>
                </c:pt>
                <c:pt idx="949">
                  <c:v>2884.43</c:v>
                </c:pt>
                <c:pt idx="950">
                  <c:v>2880.34</c:v>
                </c:pt>
                <c:pt idx="951">
                  <c:v>2785.68</c:v>
                </c:pt>
                <c:pt idx="952">
                  <c:v>2728.37</c:v>
                </c:pt>
                <c:pt idx="953">
                  <c:v>2767.13</c:v>
                </c:pt>
                <c:pt idx="954">
                  <c:v>2750.79</c:v>
                </c:pt>
                <c:pt idx="955">
                  <c:v>2809.92</c:v>
                </c:pt>
                <c:pt idx="956">
                  <c:v>2809.21</c:v>
                </c:pt>
                <c:pt idx="957">
                  <c:v>2768.78</c:v>
                </c:pt>
                <c:pt idx="958">
                  <c:v>2767.78</c:v>
                </c:pt>
                <c:pt idx="959">
                  <c:v>2755.88</c:v>
                </c:pt>
                <c:pt idx="960">
                  <c:v>2740.69</c:v>
                </c:pt>
                <c:pt idx="961">
                  <c:v>2656.1</c:v>
                </c:pt>
                <c:pt idx="962">
                  <c:v>2705.57</c:v>
                </c:pt>
                <c:pt idx="963">
                  <c:v>2658.69</c:v>
                </c:pt>
                <c:pt idx="964">
                  <c:v>2641.25</c:v>
                </c:pt>
                <c:pt idx="965">
                  <c:v>2682.63</c:v>
                </c:pt>
                <c:pt idx="966">
                  <c:v>2711.74</c:v>
                </c:pt>
                <c:pt idx="967">
                  <c:v>2740.37</c:v>
                </c:pt>
                <c:pt idx="968">
                  <c:v>2723.06</c:v>
                </c:pt>
                <c:pt idx="969">
                  <c:v>2738.31</c:v>
                </c:pt>
                <c:pt idx="970">
                  <c:v>2755.45</c:v>
                </c:pt>
                <c:pt idx="971">
                  <c:v>2813.89</c:v>
                </c:pt>
                <c:pt idx="972">
                  <c:v>2806.83</c:v>
                </c:pt>
                <c:pt idx="973">
                  <c:v>2781.01</c:v>
                </c:pt>
                <c:pt idx="974">
                  <c:v>2726.22</c:v>
                </c:pt>
                <c:pt idx="975">
                  <c:v>2722.18</c:v>
                </c:pt>
                <c:pt idx="976">
                  <c:v>2701.58</c:v>
                </c:pt>
                <c:pt idx="977">
                  <c:v>2730.2</c:v>
                </c:pt>
                <c:pt idx="978">
                  <c:v>2736.27</c:v>
                </c:pt>
                <c:pt idx="979">
                  <c:v>2690.73</c:v>
                </c:pt>
                <c:pt idx="980">
                  <c:v>2641.89</c:v>
                </c:pt>
                <c:pt idx="981">
                  <c:v>2649.93</c:v>
                </c:pt>
                <c:pt idx="982">
                  <c:v>2632.56</c:v>
                </c:pt>
                <c:pt idx="983">
                  <c:v>2673.45</c:v>
                </c:pt>
                <c:pt idx="984">
                  <c:v>2682.17</c:v>
                </c:pt>
                <c:pt idx="985">
                  <c:v>2743.79</c:v>
                </c:pt>
                <c:pt idx="986">
                  <c:v>2737.76</c:v>
                </c:pt>
                <c:pt idx="987">
                  <c:v>2760.17</c:v>
                </c:pt>
                <c:pt idx="988">
                  <c:v>2790.37</c:v>
                </c:pt>
                <c:pt idx="989">
                  <c:v>2700.06</c:v>
                </c:pt>
                <c:pt idx="990">
                  <c:v>2695.95</c:v>
                </c:pt>
                <c:pt idx="991">
                  <c:v>2633.08</c:v>
                </c:pt>
                <c:pt idx="992">
                  <c:v>2637.72</c:v>
                </c:pt>
                <c:pt idx="993">
                  <c:v>2636.78</c:v>
                </c:pt>
                <c:pt idx="994">
                  <c:v>2651.07</c:v>
                </c:pt>
                <c:pt idx="995">
                  <c:v>2650.54</c:v>
                </c:pt>
                <c:pt idx="996">
                  <c:v>2599.9499999999998</c:v>
                </c:pt>
                <c:pt idx="997">
                  <c:v>2545.94</c:v>
                </c:pt>
                <c:pt idx="998">
                  <c:v>2546.16</c:v>
                </c:pt>
                <c:pt idx="999">
                  <c:v>2506.96</c:v>
                </c:pt>
                <c:pt idx="1000">
                  <c:v>2467.42</c:v>
                </c:pt>
                <c:pt idx="1001">
                  <c:v>2416.62</c:v>
                </c:pt>
                <c:pt idx="1002">
                  <c:v>2351.1</c:v>
                </c:pt>
                <c:pt idx="1003">
                  <c:v>2467.6999999999998</c:v>
                </c:pt>
                <c:pt idx="1004">
                  <c:v>2488.83</c:v>
                </c:pt>
                <c:pt idx="1005">
                  <c:v>2485.7399999999998</c:v>
                </c:pt>
                <c:pt idx="1006">
                  <c:v>2506.85</c:v>
                </c:pt>
                <c:pt idx="1007">
                  <c:v>2510.0300000000002</c:v>
                </c:pt>
                <c:pt idx="1008">
                  <c:v>2447.89</c:v>
                </c:pt>
                <c:pt idx="1009">
                  <c:v>2531.94</c:v>
                </c:pt>
                <c:pt idx="1010">
                  <c:v>2549.69</c:v>
                </c:pt>
                <c:pt idx="1011">
                  <c:v>2574.41</c:v>
                </c:pt>
                <c:pt idx="1012">
                  <c:v>2584.96</c:v>
                </c:pt>
                <c:pt idx="1013">
                  <c:v>2596.64</c:v>
                </c:pt>
                <c:pt idx="1014">
                  <c:v>2596.2600000000002</c:v>
                </c:pt>
                <c:pt idx="1015">
                  <c:v>2582.61</c:v>
                </c:pt>
                <c:pt idx="1016">
                  <c:v>2610.3000000000002</c:v>
                </c:pt>
                <c:pt idx="1017">
                  <c:v>2616.1</c:v>
                </c:pt>
                <c:pt idx="1018">
                  <c:v>2635.96</c:v>
                </c:pt>
                <c:pt idx="1019">
                  <c:v>2670.71</c:v>
                </c:pt>
                <c:pt idx="1020">
                  <c:v>2632.9</c:v>
                </c:pt>
                <c:pt idx="1021">
                  <c:v>2638.7</c:v>
                </c:pt>
                <c:pt idx="1022">
                  <c:v>2642.33</c:v>
                </c:pt>
                <c:pt idx="1023">
                  <c:v>2664.76</c:v>
                </c:pt>
                <c:pt idx="1024">
                  <c:v>2643.85</c:v>
                </c:pt>
                <c:pt idx="1025">
                  <c:v>2640</c:v>
                </c:pt>
                <c:pt idx="1026">
                  <c:v>2681.05</c:v>
                </c:pt>
                <c:pt idx="1027">
                  <c:v>2704.1</c:v>
                </c:pt>
                <c:pt idx="1028">
                  <c:v>2706.53</c:v>
                </c:pt>
                <c:pt idx="1029">
                  <c:v>2724.87</c:v>
                </c:pt>
                <c:pt idx="1030">
                  <c:v>2737.7</c:v>
                </c:pt>
                <c:pt idx="1031">
                  <c:v>2731.61</c:v>
                </c:pt>
                <c:pt idx="1032">
                  <c:v>2706.05</c:v>
                </c:pt>
                <c:pt idx="1033">
                  <c:v>2707.88</c:v>
                </c:pt>
                <c:pt idx="1034">
                  <c:v>2709.8</c:v>
                </c:pt>
                <c:pt idx="1035">
                  <c:v>2744.73</c:v>
                </c:pt>
                <c:pt idx="1036">
                  <c:v>2753.03</c:v>
                </c:pt>
                <c:pt idx="1037">
                  <c:v>2745.73</c:v>
                </c:pt>
                <c:pt idx="1038">
                  <c:v>2775.6</c:v>
                </c:pt>
                <c:pt idx="1039">
                  <c:v>2779.76</c:v>
                </c:pt>
                <c:pt idx="1040">
                  <c:v>2784.7</c:v>
                </c:pt>
                <c:pt idx="1041">
                  <c:v>2774.88</c:v>
                </c:pt>
                <c:pt idx="1042">
                  <c:v>2792.67</c:v>
                </c:pt>
                <c:pt idx="1043">
                  <c:v>2796.11</c:v>
                </c:pt>
                <c:pt idx="1044">
                  <c:v>2793.9</c:v>
                </c:pt>
                <c:pt idx="1045">
                  <c:v>2792.38</c:v>
                </c:pt>
                <c:pt idx="1046">
                  <c:v>2784.49</c:v>
                </c:pt>
                <c:pt idx="1047">
                  <c:v>2803.69</c:v>
                </c:pt>
                <c:pt idx="1048">
                  <c:v>2792.81</c:v>
                </c:pt>
                <c:pt idx="1049">
                  <c:v>2789.65</c:v>
                </c:pt>
                <c:pt idx="1050">
                  <c:v>2771.45</c:v>
                </c:pt>
                <c:pt idx="1051">
                  <c:v>2748.93</c:v>
                </c:pt>
                <c:pt idx="1052">
                  <c:v>2743.07</c:v>
                </c:pt>
                <c:pt idx="1053">
                  <c:v>2783.3</c:v>
                </c:pt>
                <c:pt idx="1054">
                  <c:v>2791.52</c:v>
                </c:pt>
                <c:pt idx="1055">
                  <c:v>2810.92</c:v>
                </c:pt>
                <c:pt idx="1056">
                  <c:v>2808.48</c:v>
                </c:pt>
                <c:pt idx="1057">
                  <c:v>2822.48</c:v>
                </c:pt>
                <c:pt idx="1058">
                  <c:v>2832.94</c:v>
                </c:pt>
                <c:pt idx="1059">
                  <c:v>2832.57</c:v>
                </c:pt>
                <c:pt idx="1060">
                  <c:v>2824.23</c:v>
                </c:pt>
                <c:pt idx="1061">
                  <c:v>2854.88</c:v>
                </c:pt>
                <c:pt idx="1062">
                  <c:v>2800.71</c:v>
                </c:pt>
                <c:pt idx="1063">
                  <c:v>2798.36</c:v>
                </c:pt>
                <c:pt idx="1064">
                  <c:v>2818.46</c:v>
                </c:pt>
                <c:pt idx="1065">
                  <c:v>2805.37</c:v>
                </c:pt>
                <c:pt idx="1066">
                  <c:v>2815.44</c:v>
                </c:pt>
                <c:pt idx="1067">
                  <c:v>2834.4</c:v>
                </c:pt>
                <c:pt idx="1068">
                  <c:v>2867.19</c:v>
                </c:pt>
                <c:pt idx="1069">
                  <c:v>2867.24</c:v>
                </c:pt>
                <c:pt idx="1070">
                  <c:v>2873.4</c:v>
                </c:pt>
                <c:pt idx="1071">
                  <c:v>2879.39</c:v>
                </c:pt>
                <c:pt idx="1072">
                  <c:v>2892.74</c:v>
                </c:pt>
                <c:pt idx="1073">
                  <c:v>2895.77</c:v>
                </c:pt>
                <c:pt idx="1074">
                  <c:v>2878.2</c:v>
                </c:pt>
                <c:pt idx="1075">
                  <c:v>2888.21</c:v>
                </c:pt>
                <c:pt idx="1076">
                  <c:v>2888.32</c:v>
                </c:pt>
                <c:pt idx="1077">
                  <c:v>2907.41</c:v>
                </c:pt>
                <c:pt idx="1078">
                  <c:v>2905.58</c:v>
                </c:pt>
                <c:pt idx="1079">
                  <c:v>2907.06</c:v>
                </c:pt>
                <c:pt idx="1080">
                  <c:v>2900.45</c:v>
                </c:pt>
                <c:pt idx="1081">
                  <c:v>2905.03</c:v>
                </c:pt>
                <c:pt idx="1082">
                  <c:v>2907.97</c:v>
                </c:pt>
                <c:pt idx="1083">
                  <c:v>2933.68</c:v>
                </c:pt>
                <c:pt idx="1084">
                  <c:v>2927.25</c:v>
                </c:pt>
                <c:pt idx="1085">
                  <c:v>2926.17</c:v>
                </c:pt>
                <c:pt idx="1086">
                  <c:v>2939.88</c:v>
                </c:pt>
                <c:pt idx="1087">
                  <c:v>2943.03</c:v>
                </c:pt>
                <c:pt idx="1088">
                  <c:v>2945.83</c:v>
                </c:pt>
                <c:pt idx="1089">
                  <c:v>2923.73</c:v>
                </c:pt>
                <c:pt idx="1090">
                  <c:v>2917.52</c:v>
                </c:pt>
                <c:pt idx="1091">
                  <c:v>2945.64</c:v>
                </c:pt>
                <c:pt idx="1092">
                  <c:v>2932.47</c:v>
                </c:pt>
                <c:pt idx="1093">
                  <c:v>2884.05</c:v>
                </c:pt>
                <c:pt idx="1094">
                  <c:v>2879.42</c:v>
                </c:pt>
                <c:pt idx="1095">
                  <c:v>2870.72</c:v>
                </c:pt>
                <c:pt idx="1096">
                  <c:v>2881.4</c:v>
                </c:pt>
                <c:pt idx="1097">
                  <c:v>2811.87</c:v>
                </c:pt>
                <c:pt idx="1098">
                  <c:v>2834.41</c:v>
                </c:pt>
                <c:pt idx="1099">
                  <c:v>2850.96</c:v>
                </c:pt>
                <c:pt idx="1100">
                  <c:v>2876.32</c:v>
                </c:pt>
                <c:pt idx="1101">
                  <c:v>2859.53</c:v>
                </c:pt>
                <c:pt idx="1102">
                  <c:v>2840.23</c:v>
                </c:pt>
                <c:pt idx="1103">
                  <c:v>2864.36</c:v>
                </c:pt>
                <c:pt idx="1104">
                  <c:v>2856.27</c:v>
                </c:pt>
                <c:pt idx="1105">
                  <c:v>2822.24</c:v>
                </c:pt>
                <c:pt idx="1106">
                  <c:v>2826.06</c:v>
                </c:pt>
                <c:pt idx="1107">
                  <c:v>2802.39</c:v>
                </c:pt>
                <c:pt idx="1108">
                  <c:v>2783.02</c:v>
                </c:pt>
                <c:pt idx="1109">
                  <c:v>2788.86</c:v>
                </c:pt>
                <c:pt idx="1110">
                  <c:v>2752.06</c:v>
                </c:pt>
                <c:pt idx="1111">
                  <c:v>2744.45</c:v>
                </c:pt>
                <c:pt idx="1112">
                  <c:v>2803.27</c:v>
                </c:pt>
                <c:pt idx="1113">
                  <c:v>2826.15</c:v>
                </c:pt>
                <c:pt idx="1114">
                  <c:v>2843.49</c:v>
                </c:pt>
                <c:pt idx="1115">
                  <c:v>2873.34</c:v>
                </c:pt>
                <c:pt idx="1116">
                  <c:v>2886.73</c:v>
                </c:pt>
                <c:pt idx="1117">
                  <c:v>2885.72</c:v>
                </c:pt>
                <c:pt idx="1118">
                  <c:v>2879.84</c:v>
                </c:pt>
                <c:pt idx="1119">
                  <c:v>2891.64</c:v>
                </c:pt>
                <c:pt idx="1120">
                  <c:v>2886.98</c:v>
                </c:pt>
                <c:pt idx="1121">
                  <c:v>2889.67</c:v>
                </c:pt>
                <c:pt idx="1122">
                  <c:v>2917.75</c:v>
                </c:pt>
                <c:pt idx="1123">
                  <c:v>2926.46</c:v>
                </c:pt>
                <c:pt idx="1124">
                  <c:v>2954.18</c:v>
                </c:pt>
                <c:pt idx="1125">
                  <c:v>2950.46</c:v>
                </c:pt>
                <c:pt idx="1126">
                  <c:v>2945.35</c:v>
                </c:pt>
                <c:pt idx="1127">
                  <c:v>2917.38</c:v>
                </c:pt>
                <c:pt idx="1128">
                  <c:v>2913.78</c:v>
                </c:pt>
                <c:pt idx="1129">
                  <c:v>2924.92</c:v>
                </c:pt>
                <c:pt idx="1130">
                  <c:v>2941.76</c:v>
                </c:pt>
                <c:pt idx="1131">
                  <c:v>2964.33</c:v>
                </c:pt>
                <c:pt idx="1132">
                  <c:v>2973.01</c:v>
                </c:pt>
                <c:pt idx="1133">
                  <c:v>2995.82</c:v>
                </c:pt>
                <c:pt idx="1134">
                  <c:v>2990.41</c:v>
                </c:pt>
                <c:pt idx="1135">
                  <c:v>2975.95</c:v>
                </c:pt>
                <c:pt idx="1136">
                  <c:v>2979.63</c:v>
                </c:pt>
                <c:pt idx="1137">
                  <c:v>2993.07</c:v>
                </c:pt>
                <c:pt idx="1138">
                  <c:v>2999.91</c:v>
                </c:pt>
                <c:pt idx="1139">
                  <c:v>3013.77</c:v>
                </c:pt>
                <c:pt idx="1140">
                  <c:v>3014.3</c:v>
                </c:pt>
                <c:pt idx="1141">
                  <c:v>3004.04</c:v>
                </c:pt>
                <c:pt idx="1142">
                  <c:v>2984.42</c:v>
                </c:pt>
                <c:pt idx="1143">
                  <c:v>2995.11</c:v>
                </c:pt>
                <c:pt idx="1144">
                  <c:v>2976.61</c:v>
                </c:pt>
                <c:pt idx="1145">
                  <c:v>2985.03</c:v>
                </c:pt>
                <c:pt idx="1146">
                  <c:v>3005.47</c:v>
                </c:pt>
                <c:pt idx="1147">
                  <c:v>3019.56</c:v>
                </c:pt>
                <c:pt idx="1148">
                  <c:v>3003.67</c:v>
                </c:pt>
                <c:pt idx="1149">
                  <c:v>3025.86</c:v>
                </c:pt>
                <c:pt idx="1150">
                  <c:v>3020.97</c:v>
                </c:pt>
                <c:pt idx="1151">
                  <c:v>3013.18</c:v>
                </c:pt>
                <c:pt idx="1152">
                  <c:v>2980.38</c:v>
                </c:pt>
                <c:pt idx="1153">
                  <c:v>2953.56</c:v>
                </c:pt>
                <c:pt idx="1154">
                  <c:v>2932.05</c:v>
                </c:pt>
                <c:pt idx="1155">
                  <c:v>2844.74</c:v>
                </c:pt>
                <c:pt idx="1156">
                  <c:v>2881.77</c:v>
                </c:pt>
                <c:pt idx="1157">
                  <c:v>2883.98</c:v>
                </c:pt>
                <c:pt idx="1158">
                  <c:v>2938.09</c:v>
                </c:pt>
                <c:pt idx="1159">
                  <c:v>2918.65</c:v>
                </c:pt>
                <c:pt idx="1160">
                  <c:v>2883.75</c:v>
                </c:pt>
                <c:pt idx="1161">
                  <c:v>2926.32</c:v>
                </c:pt>
                <c:pt idx="1162">
                  <c:v>2840.6</c:v>
                </c:pt>
                <c:pt idx="1163">
                  <c:v>2847.6</c:v>
                </c:pt>
                <c:pt idx="1164">
                  <c:v>2888.68</c:v>
                </c:pt>
                <c:pt idx="1165">
                  <c:v>2923.65</c:v>
                </c:pt>
                <c:pt idx="1166">
                  <c:v>2900.51</c:v>
                </c:pt>
                <c:pt idx="1167">
                  <c:v>2924.43</c:v>
                </c:pt>
                <c:pt idx="1168">
                  <c:v>2922.95</c:v>
                </c:pt>
                <c:pt idx="1169">
                  <c:v>2847.11</c:v>
                </c:pt>
                <c:pt idx="1170">
                  <c:v>2878.38</c:v>
                </c:pt>
                <c:pt idx="1171">
                  <c:v>2869.16</c:v>
                </c:pt>
                <c:pt idx="1172">
                  <c:v>2887.94</c:v>
                </c:pt>
                <c:pt idx="1173">
                  <c:v>2924.58</c:v>
                </c:pt>
                <c:pt idx="1174">
                  <c:v>2926.46</c:v>
                </c:pt>
                <c:pt idx="1175">
                  <c:v>2906.27</c:v>
                </c:pt>
                <c:pt idx="1176">
                  <c:v>2937.78</c:v>
                </c:pt>
                <c:pt idx="1177">
                  <c:v>2976</c:v>
                </c:pt>
                <c:pt idx="1178">
                  <c:v>2978.71</c:v>
                </c:pt>
                <c:pt idx="1179">
                  <c:v>2978.43</c:v>
                </c:pt>
                <c:pt idx="1180">
                  <c:v>2979.39</c:v>
                </c:pt>
                <c:pt idx="1181">
                  <c:v>3000.93</c:v>
                </c:pt>
                <c:pt idx="1182">
                  <c:v>3009.57</c:v>
                </c:pt>
                <c:pt idx="1183">
                  <c:v>3007.39</c:v>
                </c:pt>
                <c:pt idx="1184">
                  <c:v>2997.96</c:v>
                </c:pt>
                <c:pt idx="1185">
                  <c:v>3005.7</c:v>
                </c:pt>
                <c:pt idx="1186">
                  <c:v>3006.73</c:v>
                </c:pt>
                <c:pt idx="1187">
                  <c:v>3006.79</c:v>
                </c:pt>
                <c:pt idx="1188">
                  <c:v>2992.07</c:v>
                </c:pt>
                <c:pt idx="1189">
                  <c:v>2991.78</c:v>
                </c:pt>
                <c:pt idx="1190">
                  <c:v>2966.6</c:v>
                </c:pt>
                <c:pt idx="1191">
                  <c:v>2984.87</c:v>
                </c:pt>
                <c:pt idx="1192">
                  <c:v>2977.62</c:v>
                </c:pt>
                <c:pt idx="1193">
                  <c:v>2961.79</c:v>
                </c:pt>
                <c:pt idx="1194">
                  <c:v>2976.74</c:v>
                </c:pt>
                <c:pt idx="1195">
                  <c:v>2940.25</c:v>
                </c:pt>
                <c:pt idx="1196">
                  <c:v>2887.61</c:v>
                </c:pt>
                <c:pt idx="1197">
                  <c:v>2910.63</c:v>
                </c:pt>
                <c:pt idx="1198">
                  <c:v>2952.01</c:v>
                </c:pt>
                <c:pt idx="1199">
                  <c:v>2938.79</c:v>
                </c:pt>
                <c:pt idx="1200">
                  <c:v>2893.06</c:v>
                </c:pt>
                <c:pt idx="1201">
                  <c:v>2919.4</c:v>
                </c:pt>
                <c:pt idx="1202">
                  <c:v>2938.13</c:v>
                </c:pt>
                <c:pt idx="1203">
                  <c:v>2970.27</c:v>
                </c:pt>
                <c:pt idx="1204">
                  <c:v>2966.15</c:v>
                </c:pt>
                <c:pt idx="1205">
                  <c:v>2995.68</c:v>
                </c:pt>
                <c:pt idx="1206">
                  <c:v>2989.69</c:v>
                </c:pt>
                <c:pt idx="1207">
                  <c:v>2997.95</c:v>
                </c:pt>
                <c:pt idx="1208">
                  <c:v>2986.2</c:v>
                </c:pt>
                <c:pt idx="1209">
                  <c:v>3006.72</c:v>
                </c:pt>
                <c:pt idx="1210">
                  <c:v>2995.99</c:v>
                </c:pt>
                <c:pt idx="1211">
                  <c:v>3004.52</c:v>
                </c:pt>
                <c:pt idx="1212">
                  <c:v>3010.29</c:v>
                </c:pt>
                <c:pt idx="1213">
                  <c:v>3022.55</c:v>
                </c:pt>
                <c:pt idx="1214">
                  <c:v>3039.42</c:v>
                </c:pt>
                <c:pt idx="1215">
                  <c:v>3036.89</c:v>
                </c:pt>
                <c:pt idx="1216">
                  <c:v>3046.77</c:v>
                </c:pt>
                <c:pt idx="1217">
                  <c:v>3037.56</c:v>
                </c:pt>
                <c:pt idx="1218">
                  <c:v>3066.91</c:v>
                </c:pt>
                <c:pt idx="1219">
                  <c:v>3078.27</c:v>
                </c:pt>
                <c:pt idx="1220">
                  <c:v>3074.62</c:v>
                </c:pt>
                <c:pt idx="1221">
                  <c:v>3076.78</c:v>
                </c:pt>
                <c:pt idx="1222">
                  <c:v>3085.18</c:v>
                </c:pt>
                <c:pt idx="1223">
                  <c:v>3093.08</c:v>
                </c:pt>
                <c:pt idx="1224">
                  <c:v>3087.01</c:v>
                </c:pt>
                <c:pt idx="1225">
                  <c:v>3091.84</c:v>
                </c:pt>
                <c:pt idx="1226">
                  <c:v>3094.04</c:v>
                </c:pt>
                <c:pt idx="1227">
                  <c:v>3096.63</c:v>
                </c:pt>
                <c:pt idx="1228">
                  <c:v>3120.46</c:v>
                </c:pt>
                <c:pt idx="1229">
                  <c:v>3122.03</c:v>
                </c:pt>
                <c:pt idx="1230">
                  <c:v>3120.18</c:v>
                </c:pt>
                <c:pt idx="1231">
                  <c:v>3108.46</c:v>
                </c:pt>
                <c:pt idx="1232">
                  <c:v>3103.54</c:v>
                </c:pt>
                <c:pt idx="1233">
                  <c:v>3110.29</c:v>
                </c:pt>
                <c:pt idx="1234">
                  <c:v>3133.64</c:v>
                </c:pt>
                <c:pt idx="1235">
                  <c:v>3140.52</c:v>
                </c:pt>
                <c:pt idx="1236">
                  <c:v>3153.63</c:v>
                </c:pt>
                <c:pt idx="1237">
                  <c:v>3140.98</c:v>
                </c:pt>
                <c:pt idx="1238">
                  <c:v>3113.87</c:v>
                </c:pt>
                <c:pt idx="1239">
                  <c:v>3093.2</c:v>
                </c:pt>
                <c:pt idx="1240">
                  <c:v>3112.76</c:v>
                </c:pt>
                <c:pt idx="1241">
                  <c:v>3117.43</c:v>
                </c:pt>
                <c:pt idx="1242">
                  <c:v>3145.91</c:v>
                </c:pt>
                <c:pt idx="1243">
                  <c:v>3135.96</c:v>
                </c:pt>
                <c:pt idx="1244">
                  <c:v>3132.52</c:v>
                </c:pt>
                <c:pt idx="1245">
                  <c:v>3141.63</c:v>
                </c:pt>
                <c:pt idx="1246">
                  <c:v>3168.57</c:v>
                </c:pt>
                <c:pt idx="1247">
                  <c:v>3168.8</c:v>
                </c:pt>
                <c:pt idx="1248">
                  <c:v>3191.45</c:v>
                </c:pt>
                <c:pt idx="1249">
                  <c:v>3192.52</c:v>
                </c:pt>
                <c:pt idx="1250">
                  <c:v>3191.14</c:v>
                </c:pt>
                <c:pt idx="1251">
                  <c:v>3205.37</c:v>
                </c:pt>
                <c:pt idx="1252">
                  <c:v>3221.22</c:v>
                </c:pt>
                <c:pt idx="1253">
                  <c:v>3224.01</c:v>
                </c:pt>
                <c:pt idx="1254">
                  <c:v>3223.38</c:v>
                </c:pt>
                <c:pt idx="1255">
                  <c:v>3239.91</c:v>
                </c:pt>
                <c:pt idx="1256">
                  <c:v>3240.02</c:v>
                </c:pt>
                <c:pt idx="1257">
                  <c:v>3221.29</c:v>
                </c:pt>
                <c:pt idx="1258">
                  <c:v>3230.78</c:v>
                </c:pt>
              </c:numCache>
            </c:numRef>
          </c:val>
          <c:smooth val="0"/>
          <c:extLst>
            <c:ext xmlns:c16="http://schemas.microsoft.com/office/drawing/2014/chart" uri="{C3380CC4-5D6E-409C-BE32-E72D297353CC}">
              <c16:uniqueId val="{00000000-89EE-4C6A-8421-1704A1B66236}"/>
            </c:ext>
          </c:extLst>
        </c:ser>
        <c:dLbls>
          <c:showLegendKey val="0"/>
          <c:showVal val="0"/>
          <c:showCatName val="0"/>
          <c:showSerName val="0"/>
          <c:showPercent val="0"/>
          <c:showBubbleSize val="0"/>
        </c:dLbls>
        <c:smooth val="0"/>
        <c:axId val="1428688160"/>
        <c:axId val="1428692000"/>
      </c:lineChart>
      <c:dateAx>
        <c:axId val="1428688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8692000"/>
        <c:crosses val="autoZero"/>
        <c:auto val="1"/>
        <c:lblOffset val="100"/>
        <c:baseTimeUnit val="days"/>
      </c:dateAx>
      <c:valAx>
        <c:axId val="142869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286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3.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1"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24</xdr:col>
      <xdr:colOff>28575</xdr:colOff>
      <xdr:row>10</xdr:row>
      <xdr:rowOff>114300</xdr:rowOff>
    </xdr:from>
    <xdr:to>
      <xdr:col>29</xdr:col>
      <xdr:colOff>295275</xdr:colOff>
      <xdr:row>20</xdr:row>
      <xdr:rowOff>57150</xdr:rowOff>
    </xdr:to>
    <xdr:graphicFrame macro="">
      <xdr:nvGraphicFramePr>
        <xdr:cNvPr id="2" name="Gráfico 1">
          <a:extLst>
            <a:ext uri="{FF2B5EF4-FFF2-40B4-BE49-F238E27FC236}">
              <a16:creationId xmlns:a16="http://schemas.microsoft.com/office/drawing/2014/main" id="{EE73AF66-4E40-4439-A56C-FE949935A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28575</xdr:colOff>
      <xdr:row>20</xdr:row>
      <xdr:rowOff>171449</xdr:rowOff>
    </xdr:from>
    <xdr:to>
      <xdr:col>29</xdr:col>
      <xdr:colOff>295275</xdr:colOff>
      <xdr:row>29</xdr:row>
      <xdr:rowOff>38099</xdr:rowOff>
    </xdr:to>
    <xdr:graphicFrame macro="">
      <xdr:nvGraphicFramePr>
        <xdr:cNvPr id="3" name="Gráfico 2">
          <a:extLst>
            <a:ext uri="{FF2B5EF4-FFF2-40B4-BE49-F238E27FC236}">
              <a16:creationId xmlns:a16="http://schemas.microsoft.com/office/drawing/2014/main" id="{2D24D7EE-FBD9-4753-A471-FA4E578337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304799</xdr:colOff>
      <xdr:row>5</xdr:row>
      <xdr:rowOff>57151</xdr:rowOff>
    </xdr:from>
    <xdr:to>
      <xdr:col>23</xdr:col>
      <xdr:colOff>800100</xdr:colOff>
      <xdr:row>11</xdr:row>
      <xdr:rowOff>333376</xdr:rowOff>
    </xdr:to>
    <xdr:graphicFrame macro="">
      <xdr:nvGraphicFramePr>
        <xdr:cNvPr id="4" name="Chart 3">
          <a:extLst>
            <a:ext uri="{FF2B5EF4-FFF2-40B4-BE49-F238E27FC236}">
              <a16:creationId xmlns:a16="http://schemas.microsoft.com/office/drawing/2014/main" id="{BDC7EB88-9778-470E-BCE9-B8EE9E975B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819150</xdr:colOff>
      <xdr:row>4</xdr:row>
      <xdr:rowOff>133351</xdr:rowOff>
    </xdr:from>
    <xdr:to>
      <xdr:col>24</xdr:col>
      <xdr:colOff>504826</xdr:colOff>
      <xdr:row>11</xdr:row>
      <xdr:rowOff>171451</xdr:rowOff>
    </xdr:to>
    <xdr:graphicFrame macro="">
      <xdr:nvGraphicFramePr>
        <xdr:cNvPr id="2" name="Chart 3">
          <a:extLst>
            <a:ext uri="{FF2B5EF4-FFF2-40B4-BE49-F238E27FC236}">
              <a16:creationId xmlns:a16="http://schemas.microsoft.com/office/drawing/2014/main" id="{B2D430E4-7F01-4202-B312-3B10DBB43C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571501</xdr:colOff>
      <xdr:row>4</xdr:row>
      <xdr:rowOff>142875</xdr:rowOff>
    </xdr:from>
    <xdr:to>
      <xdr:col>18</xdr:col>
      <xdr:colOff>752476</xdr:colOff>
      <xdr:row>11</xdr:row>
      <xdr:rowOff>171450</xdr:rowOff>
    </xdr:to>
    <xdr:graphicFrame macro="">
      <xdr:nvGraphicFramePr>
        <xdr:cNvPr id="3" name="Chart 3">
          <a:extLst>
            <a:ext uri="{FF2B5EF4-FFF2-40B4-BE49-F238E27FC236}">
              <a16:creationId xmlns:a16="http://schemas.microsoft.com/office/drawing/2014/main" id="{B37ECDB9-6475-47D2-8646-665B37605A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638174</xdr:colOff>
      <xdr:row>4</xdr:row>
      <xdr:rowOff>0</xdr:rowOff>
    </xdr:from>
    <xdr:to>
      <xdr:col>32</xdr:col>
      <xdr:colOff>466724</xdr:colOff>
      <xdr:row>11</xdr:row>
      <xdr:rowOff>85725</xdr:rowOff>
    </xdr:to>
    <xdr:graphicFrame macro="">
      <xdr:nvGraphicFramePr>
        <xdr:cNvPr id="5" name="Gráfico 4">
          <a:extLst>
            <a:ext uri="{FF2B5EF4-FFF2-40B4-BE49-F238E27FC236}">
              <a16:creationId xmlns:a16="http://schemas.microsoft.com/office/drawing/2014/main" id="{A428FDD2-9818-487A-B82F-6295BD053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257175</xdr:colOff>
      <xdr:row>18</xdr:row>
      <xdr:rowOff>171450</xdr:rowOff>
    </xdr:from>
    <xdr:to>
      <xdr:col>23</xdr:col>
      <xdr:colOff>76200</xdr:colOff>
      <xdr:row>28</xdr:row>
      <xdr:rowOff>38100</xdr:rowOff>
    </xdr:to>
    <xdr:graphicFrame macro="">
      <xdr:nvGraphicFramePr>
        <xdr:cNvPr id="2" name="Gráfico 1">
          <a:extLst>
            <a:ext uri="{FF2B5EF4-FFF2-40B4-BE49-F238E27FC236}">
              <a16:creationId xmlns:a16="http://schemas.microsoft.com/office/drawing/2014/main" id="{C1D0859E-2EF1-4A65-8B47-D1CB48AE2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20</xdr:col>
      <xdr:colOff>152400</xdr:colOff>
      <xdr:row>20</xdr:row>
      <xdr:rowOff>200026</xdr:rowOff>
    </xdr:from>
    <xdr:to>
      <xdr:col>26</xdr:col>
      <xdr:colOff>28575</xdr:colOff>
      <xdr:row>29</xdr:row>
      <xdr:rowOff>57151</xdr:rowOff>
    </xdr:to>
    <xdr:graphicFrame macro="">
      <xdr:nvGraphicFramePr>
        <xdr:cNvPr id="2" name="Gráfico 1">
          <a:extLst>
            <a:ext uri="{FF2B5EF4-FFF2-40B4-BE49-F238E27FC236}">
              <a16:creationId xmlns:a16="http://schemas.microsoft.com/office/drawing/2014/main" id="{164E9EBD-238E-47FC-BFC3-B91211555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133350</xdr:colOff>
      <xdr:row>20</xdr:row>
      <xdr:rowOff>180974</xdr:rowOff>
    </xdr:from>
    <xdr:to>
      <xdr:col>32</xdr:col>
      <xdr:colOff>161925</xdr:colOff>
      <xdr:row>29</xdr:row>
      <xdr:rowOff>47624</xdr:rowOff>
    </xdr:to>
    <xdr:graphicFrame macro="">
      <xdr:nvGraphicFramePr>
        <xdr:cNvPr id="3" name="Gráfico 2">
          <a:extLst>
            <a:ext uri="{FF2B5EF4-FFF2-40B4-BE49-F238E27FC236}">
              <a16:creationId xmlns:a16="http://schemas.microsoft.com/office/drawing/2014/main" id="{199B36DB-E4D1-4011-BF67-877AA093A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152400</xdr:colOff>
      <xdr:row>29</xdr:row>
      <xdr:rowOff>161927</xdr:rowOff>
    </xdr:from>
    <xdr:to>
      <xdr:col>26</xdr:col>
      <xdr:colOff>28575</xdr:colOff>
      <xdr:row>38</xdr:row>
      <xdr:rowOff>19052</xdr:rowOff>
    </xdr:to>
    <xdr:graphicFrame macro="">
      <xdr:nvGraphicFramePr>
        <xdr:cNvPr id="6" name="Gráfico 1">
          <a:extLst>
            <a:ext uri="{FF2B5EF4-FFF2-40B4-BE49-F238E27FC236}">
              <a16:creationId xmlns:a16="http://schemas.microsoft.com/office/drawing/2014/main" id="{167DE328-71E8-46C0-908A-A0E663207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133350</xdr:colOff>
      <xdr:row>29</xdr:row>
      <xdr:rowOff>142875</xdr:rowOff>
    </xdr:from>
    <xdr:to>
      <xdr:col>32</xdr:col>
      <xdr:colOff>161925</xdr:colOff>
      <xdr:row>38</xdr:row>
      <xdr:rowOff>9525</xdr:rowOff>
    </xdr:to>
    <xdr:graphicFrame macro="">
      <xdr:nvGraphicFramePr>
        <xdr:cNvPr id="7" name="Gráfico 2">
          <a:extLst>
            <a:ext uri="{FF2B5EF4-FFF2-40B4-BE49-F238E27FC236}">
              <a16:creationId xmlns:a16="http://schemas.microsoft.com/office/drawing/2014/main" id="{3A3C3D4A-E80F-4DF6-A867-80FBE388D1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12</xdr:col>
      <xdr:colOff>409575</xdr:colOff>
      <xdr:row>16</xdr:row>
      <xdr:rowOff>190500</xdr:rowOff>
    </xdr:from>
    <xdr:to>
      <xdr:col>23</xdr:col>
      <xdr:colOff>19050</xdr:colOff>
      <xdr:row>27</xdr:row>
      <xdr:rowOff>204787</xdr:rowOff>
    </xdr:to>
    <xdr:graphicFrame macro="">
      <xdr:nvGraphicFramePr>
        <xdr:cNvPr id="3" name="Gráfico 2">
          <a:extLst>
            <a:ext uri="{FF2B5EF4-FFF2-40B4-BE49-F238E27FC236}">
              <a16:creationId xmlns:a16="http://schemas.microsoft.com/office/drawing/2014/main" id="{72699B8C-4EFD-441C-8AFB-4D70F6DDF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647700</xdr:colOff>
      <xdr:row>18</xdr:row>
      <xdr:rowOff>144780</xdr:rowOff>
    </xdr:from>
    <xdr:to>
      <xdr:col>9</xdr:col>
      <xdr:colOff>250426</xdr:colOff>
      <xdr:row>34</xdr:row>
      <xdr:rowOff>187341</xdr:rowOff>
    </xdr:to>
    <xdr:pic>
      <xdr:nvPicPr>
        <xdr:cNvPr id="3" name="Imagem 2">
          <a:extLst>
            <a:ext uri="{FF2B5EF4-FFF2-40B4-BE49-F238E27FC236}">
              <a16:creationId xmlns:a16="http://schemas.microsoft.com/office/drawing/2014/main" id="{F53F2AF0-B454-4A19-A077-F6564F54026E}"/>
            </a:ext>
          </a:extLst>
        </xdr:cNvPr>
        <xdr:cNvPicPr>
          <a:picLocks noChangeAspect="1"/>
        </xdr:cNvPicPr>
      </xdr:nvPicPr>
      <xdr:blipFill>
        <a:blip xmlns:r="http://schemas.openxmlformats.org/officeDocument/2006/relationships" r:embed="rId1"/>
        <a:stretch>
          <a:fillRect/>
        </a:stretch>
      </xdr:blipFill>
      <xdr:spPr>
        <a:xfrm>
          <a:off x="647700" y="4564380"/>
          <a:ext cx="5576806" cy="370778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23</xdr:col>
      <xdr:colOff>561975</xdr:colOff>
      <xdr:row>5</xdr:row>
      <xdr:rowOff>180975</xdr:rowOff>
    </xdr:from>
    <xdr:to>
      <xdr:col>29</xdr:col>
      <xdr:colOff>352425</xdr:colOff>
      <xdr:row>19</xdr:row>
      <xdr:rowOff>66672</xdr:rowOff>
    </xdr:to>
    <xdr:graphicFrame macro="">
      <xdr:nvGraphicFramePr>
        <xdr:cNvPr id="2" name="Gráfico 1">
          <a:extLst>
            <a:ext uri="{FF2B5EF4-FFF2-40B4-BE49-F238E27FC236}">
              <a16:creationId xmlns:a16="http://schemas.microsoft.com/office/drawing/2014/main" id="{C9983100-FB6F-491D-AED5-10446DBDB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24</xdr:col>
      <xdr:colOff>76200</xdr:colOff>
      <xdr:row>7</xdr:row>
      <xdr:rowOff>161924</xdr:rowOff>
    </xdr:from>
    <xdr:to>
      <xdr:col>31</xdr:col>
      <xdr:colOff>19050</xdr:colOff>
      <xdr:row>21</xdr:row>
      <xdr:rowOff>219071</xdr:rowOff>
    </xdr:to>
    <xdr:graphicFrame macro="">
      <xdr:nvGraphicFramePr>
        <xdr:cNvPr id="2" name="Gráfico 1">
          <a:extLst>
            <a:ext uri="{FF2B5EF4-FFF2-40B4-BE49-F238E27FC236}">
              <a16:creationId xmlns:a16="http://schemas.microsoft.com/office/drawing/2014/main" id="{4CDB18C6-6033-49FC-A763-A876A9468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352425</xdr:colOff>
      <xdr:row>12</xdr:row>
      <xdr:rowOff>66674</xdr:rowOff>
    </xdr:from>
    <xdr:to>
      <xdr:col>24</xdr:col>
      <xdr:colOff>58615</xdr:colOff>
      <xdr:row>23</xdr:row>
      <xdr:rowOff>171450</xdr:rowOff>
    </xdr:to>
    <xdr:graphicFrame macro="">
      <xdr:nvGraphicFramePr>
        <xdr:cNvPr id="2" name="Gráfico 1">
          <a:extLst>
            <a:ext uri="{FF2B5EF4-FFF2-40B4-BE49-F238E27FC236}">
              <a16:creationId xmlns:a16="http://schemas.microsoft.com/office/drawing/2014/main" id="{A1CD280E-63C6-467A-944C-F8A758048B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15</xdr:col>
      <xdr:colOff>323849</xdr:colOff>
      <xdr:row>8</xdr:row>
      <xdr:rowOff>542923</xdr:rowOff>
    </xdr:from>
    <xdr:to>
      <xdr:col>27</xdr:col>
      <xdr:colOff>180974</xdr:colOff>
      <xdr:row>25</xdr:row>
      <xdr:rowOff>238124</xdr:rowOff>
    </xdr:to>
    <xdr:graphicFrame macro="">
      <xdr:nvGraphicFramePr>
        <xdr:cNvPr id="2" name="Gráfico 1">
          <a:extLst>
            <a:ext uri="{FF2B5EF4-FFF2-40B4-BE49-F238E27FC236}">
              <a16:creationId xmlns:a16="http://schemas.microsoft.com/office/drawing/2014/main" id="{C6B162FD-E337-42CD-8E17-53FFDC2A6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450849</xdr:colOff>
      <xdr:row>13</xdr:row>
      <xdr:rowOff>85723</xdr:rowOff>
    </xdr:from>
    <xdr:to>
      <xdr:col>28</xdr:col>
      <xdr:colOff>307974</xdr:colOff>
      <xdr:row>32</xdr:row>
      <xdr:rowOff>73024</xdr:rowOff>
    </xdr:to>
    <xdr:graphicFrame macro="">
      <xdr:nvGraphicFramePr>
        <xdr:cNvPr id="2" name="Gráfico 1">
          <a:extLst>
            <a:ext uri="{FF2B5EF4-FFF2-40B4-BE49-F238E27FC236}">
              <a16:creationId xmlns:a16="http://schemas.microsoft.com/office/drawing/2014/main" id="{77A342F6-7E8E-6C47-9D45-09B489518B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304799</xdr:colOff>
      <xdr:row>10</xdr:row>
      <xdr:rowOff>190498</xdr:rowOff>
    </xdr:from>
    <xdr:to>
      <xdr:col>27</xdr:col>
      <xdr:colOff>161924</xdr:colOff>
      <xdr:row>30</xdr:row>
      <xdr:rowOff>95249</xdr:rowOff>
    </xdr:to>
    <xdr:graphicFrame macro="">
      <xdr:nvGraphicFramePr>
        <xdr:cNvPr id="2" name="Gráfico 1">
          <a:extLst>
            <a:ext uri="{FF2B5EF4-FFF2-40B4-BE49-F238E27FC236}">
              <a16:creationId xmlns:a16="http://schemas.microsoft.com/office/drawing/2014/main" id="{207913DA-33BF-47F7-B814-5F5A2136D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18</xdr:col>
      <xdr:colOff>228599</xdr:colOff>
      <xdr:row>13</xdr:row>
      <xdr:rowOff>85723</xdr:rowOff>
    </xdr:from>
    <xdr:to>
      <xdr:col>30</xdr:col>
      <xdr:colOff>85724</xdr:colOff>
      <xdr:row>32</xdr:row>
      <xdr:rowOff>190499</xdr:rowOff>
    </xdr:to>
    <xdr:graphicFrame macro="">
      <xdr:nvGraphicFramePr>
        <xdr:cNvPr id="2" name="Gráfico 1">
          <a:extLst>
            <a:ext uri="{FF2B5EF4-FFF2-40B4-BE49-F238E27FC236}">
              <a16:creationId xmlns:a16="http://schemas.microsoft.com/office/drawing/2014/main" id="{376A675F-DD1B-45DA-BB3E-82861092E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19</xdr:col>
      <xdr:colOff>228599</xdr:colOff>
      <xdr:row>15</xdr:row>
      <xdr:rowOff>85723</xdr:rowOff>
    </xdr:from>
    <xdr:to>
      <xdr:col>31</xdr:col>
      <xdr:colOff>85724</xdr:colOff>
      <xdr:row>34</xdr:row>
      <xdr:rowOff>190499</xdr:rowOff>
    </xdr:to>
    <xdr:graphicFrame macro="">
      <xdr:nvGraphicFramePr>
        <xdr:cNvPr id="2" name="Gráfico 1">
          <a:extLst>
            <a:ext uri="{FF2B5EF4-FFF2-40B4-BE49-F238E27FC236}">
              <a16:creationId xmlns:a16="http://schemas.microsoft.com/office/drawing/2014/main" id="{4C957994-8068-4D7A-8B69-026757633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17</xdr:col>
      <xdr:colOff>228599</xdr:colOff>
      <xdr:row>13</xdr:row>
      <xdr:rowOff>85723</xdr:rowOff>
    </xdr:from>
    <xdr:to>
      <xdr:col>29</xdr:col>
      <xdr:colOff>85724</xdr:colOff>
      <xdr:row>32</xdr:row>
      <xdr:rowOff>190499</xdr:rowOff>
    </xdr:to>
    <xdr:graphicFrame macro="">
      <xdr:nvGraphicFramePr>
        <xdr:cNvPr id="2" name="Gráfico 1">
          <a:extLst>
            <a:ext uri="{FF2B5EF4-FFF2-40B4-BE49-F238E27FC236}">
              <a16:creationId xmlns:a16="http://schemas.microsoft.com/office/drawing/2014/main" id="{AA5615E1-0630-45E4-944E-3470CA4643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16</xdr:col>
      <xdr:colOff>228599</xdr:colOff>
      <xdr:row>12</xdr:row>
      <xdr:rowOff>85723</xdr:rowOff>
    </xdr:from>
    <xdr:to>
      <xdr:col>28</xdr:col>
      <xdr:colOff>85724</xdr:colOff>
      <xdr:row>31</xdr:row>
      <xdr:rowOff>190499</xdr:rowOff>
    </xdr:to>
    <xdr:graphicFrame macro="">
      <xdr:nvGraphicFramePr>
        <xdr:cNvPr id="2" name="Gráfico 1">
          <a:extLst>
            <a:ext uri="{FF2B5EF4-FFF2-40B4-BE49-F238E27FC236}">
              <a16:creationId xmlns:a16="http://schemas.microsoft.com/office/drawing/2014/main" id="{D0C23B9E-E062-4D5D-8F37-F8D6A99CB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18</xdr:row>
      <xdr:rowOff>66672</xdr:rowOff>
    </xdr:to>
    <xdr:graphicFrame macro="">
      <xdr:nvGraphicFramePr>
        <xdr:cNvPr id="2" name="Gráfico 1">
          <a:extLst>
            <a:ext uri="{FF2B5EF4-FFF2-40B4-BE49-F238E27FC236}">
              <a16:creationId xmlns:a16="http://schemas.microsoft.com/office/drawing/2014/main" id="{14E6D6EB-81DE-4966-9371-53D828015C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21</xdr:col>
      <xdr:colOff>504825</xdr:colOff>
      <xdr:row>5</xdr:row>
      <xdr:rowOff>133349</xdr:rowOff>
    </xdr:from>
    <xdr:to>
      <xdr:col>29</xdr:col>
      <xdr:colOff>495300</xdr:colOff>
      <xdr:row>20</xdr:row>
      <xdr:rowOff>66672</xdr:rowOff>
    </xdr:to>
    <xdr:graphicFrame macro="">
      <xdr:nvGraphicFramePr>
        <xdr:cNvPr id="2" name="Gráfico 1">
          <a:extLst>
            <a:ext uri="{FF2B5EF4-FFF2-40B4-BE49-F238E27FC236}">
              <a16:creationId xmlns:a16="http://schemas.microsoft.com/office/drawing/2014/main" id="{46FEC9A4-B963-4D29-8C31-1556EB6A8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19</xdr:col>
      <xdr:colOff>361950</xdr:colOff>
      <xdr:row>5</xdr:row>
      <xdr:rowOff>133349</xdr:rowOff>
    </xdr:from>
    <xdr:to>
      <xdr:col>27</xdr:col>
      <xdr:colOff>352425</xdr:colOff>
      <xdr:row>20</xdr:row>
      <xdr:rowOff>66672</xdr:rowOff>
    </xdr:to>
    <xdr:graphicFrame macro="">
      <xdr:nvGraphicFramePr>
        <xdr:cNvPr id="2" name="Gráfico 1">
          <a:extLst>
            <a:ext uri="{FF2B5EF4-FFF2-40B4-BE49-F238E27FC236}">
              <a16:creationId xmlns:a16="http://schemas.microsoft.com/office/drawing/2014/main" id="{7A882AE3-7766-4F33-AC7C-D6A68B421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22</xdr:col>
      <xdr:colOff>76200</xdr:colOff>
      <xdr:row>5</xdr:row>
      <xdr:rowOff>180974</xdr:rowOff>
    </xdr:from>
    <xdr:to>
      <xdr:col>30</xdr:col>
      <xdr:colOff>66675</xdr:colOff>
      <xdr:row>20</xdr:row>
      <xdr:rowOff>114297</xdr:rowOff>
    </xdr:to>
    <xdr:graphicFrame macro="">
      <xdr:nvGraphicFramePr>
        <xdr:cNvPr id="2" name="Gráfico 1">
          <a:extLst>
            <a:ext uri="{FF2B5EF4-FFF2-40B4-BE49-F238E27FC236}">
              <a16:creationId xmlns:a16="http://schemas.microsoft.com/office/drawing/2014/main" id="{7E32262E-7210-440E-9F07-864816A694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451595B5-D615-4700-AF97-A0F95685F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361950</xdr:colOff>
      <xdr:row>5</xdr:row>
      <xdr:rowOff>133349</xdr:rowOff>
    </xdr:from>
    <xdr:to>
      <xdr:col>20</xdr:col>
      <xdr:colOff>352425</xdr:colOff>
      <xdr:row>17</xdr:row>
      <xdr:rowOff>66672</xdr:rowOff>
    </xdr:to>
    <xdr:graphicFrame macro="">
      <xdr:nvGraphicFramePr>
        <xdr:cNvPr id="2" name="Gráfico 1">
          <a:extLst>
            <a:ext uri="{FF2B5EF4-FFF2-40B4-BE49-F238E27FC236}">
              <a16:creationId xmlns:a16="http://schemas.microsoft.com/office/drawing/2014/main" id="{DE1F184A-7C9C-4C72-8BA7-316DDD10D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5" name="Gráfico 4">
          <a:extLst>
            <a:ext uri="{FF2B5EF4-FFF2-40B4-BE49-F238E27FC236}">
              <a16:creationId xmlns:a16="http://schemas.microsoft.com/office/drawing/2014/main" id="{525901D2-1581-4E4B-8DCE-FA1700536C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361950</xdr:colOff>
      <xdr:row>5</xdr:row>
      <xdr:rowOff>133349</xdr:rowOff>
    </xdr:from>
    <xdr:to>
      <xdr:col>21</xdr:col>
      <xdr:colOff>352425</xdr:colOff>
      <xdr:row>17</xdr:row>
      <xdr:rowOff>66672</xdr:rowOff>
    </xdr:to>
    <xdr:graphicFrame macro="">
      <xdr:nvGraphicFramePr>
        <xdr:cNvPr id="2" name="Gráfico 4">
          <a:extLst>
            <a:ext uri="{FF2B5EF4-FFF2-40B4-BE49-F238E27FC236}">
              <a16:creationId xmlns:a16="http://schemas.microsoft.com/office/drawing/2014/main" id="{0240F7BD-12E9-42F2-8BF5-B8E86B462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28575</xdr:colOff>
      <xdr:row>8</xdr:row>
      <xdr:rowOff>47625</xdr:rowOff>
    </xdr:from>
    <xdr:to>
      <xdr:col>20</xdr:col>
      <xdr:colOff>152400</xdr:colOff>
      <xdr:row>23</xdr:row>
      <xdr:rowOff>47625</xdr:rowOff>
    </xdr:to>
    <xdr:graphicFrame macro="">
      <xdr:nvGraphicFramePr>
        <xdr:cNvPr id="2" name="Gráfico 1">
          <a:extLst>
            <a:ext uri="{FF2B5EF4-FFF2-40B4-BE49-F238E27FC236}">
              <a16:creationId xmlns:a16="http://schemas.microsoft.com/office/drawing/2014/main" id="{4B9F3D74-996B-4D75-A3AB-0089FCD26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17</xdr:col>
      <xdr:colOff>571500</xdr:colOff>
      <xdr:row>12</xdr:row>
      <xdr:rowOff>57150</xdr:rowOff>
    </xdr:from>
    <xdr:to>
      <xdr:col>25</xdr:col>
      <xdr:colOff>104775</xdr:colOff>
      <xdr:row>27</xdr:row>
      <xdr:rowOff>57150</xdr:rowOff>
    </xdr:to>
    <xdr:graphicFrame macro="">
      <xdr:nvGraphicFramePr>
        <xdr:cNvPr id="2" name="Gráfico 1">
          <a:extLst>
            <a:ext uri="{FF2B5EF4-FFF2-40B4-BE49-F238E27FC236}">
              <a16:creationId xmlns:a16="http://schemas.microsoft.com/office/drawing/2014/main" id="{0C50905D-7A5D-4E88-A718-D6A4F43E4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16</xdr:col>
      <xdr:colOff>266700</xdr:colOff>
      <xdr:row>10</xdr:row>
      <xdr:rowOff>171450</xdr:rowOff>
    </xdr:from>
    <xdr:to>
      <xdr:col>23</xdr:col>
      <xdr:colOff>390525</xdr:colOff>
      <xdr:row>25</xdr:row>
      <xdr:rowOff>76200</xdr:rowOff>
    </xdr:to>
    <xdr:graphicFrame macro="">
      <xdr:nvGraphicFramePr>
        <xdr:cNvPr id="2" name="Gráfico 1">
          <a:extLst>
            <a:ext uri="{FF2B5EF4-FFF2-40B4-BE49-F238E27FC236}">
              <a16:creationId xmlns:a16="http://schemas.microsoft.com/office/drawing/2014/main" id="{BCDB6224-DB35-4687-8AC2-3730974DD9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323850</xdr:colOff>
      <xdr:row>13</xdr:row>
      <xdr:rowOff>52387</xdr:rowOff>
    </xdr:from>
    <xdr:to>
      <xdr:col>20</xdr:col>
      <xdr:colOff>552450</xdr:colOff>
      <xdr:row>27</xdr:row>
      <xdr:rowOff>128587</xdr:rowOff>
    </xdr:to>
    <xdr:graphicFrame macro="">
      <xdr:nvGraphicFramePr>
        <xdr:cNvPr id="2" name="Chart 1">
          <a:extLst>
            <a:ext uri="{FF2B5EF4-FFF2-40B4-BE49-F238E27FC236}">
              <a16:creationId xmlns:a16="http://schemas.microsoft.com/office/drawing/2014/main" id="{F6C44998-98CA-4027-A7DC-62F74E0626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560293</xdr:colOff>
      <xdr:row>12</xdr:row>
      <xdr:rowOff>168090</xdr:rowOff>
    </xdr:from>
    <xdr:to>
      <xdr:col>21</xdr:col>
      <xdr:colOff>549088</xdr:colOff>
      <xdr:row>29</xdr:row>
      <xdr:rowOff>171451</xdr:rowOff>
    </xdr:to>
    <xdr:graphicFrame macro="">
      <xdr:nvGraphicFramePr>
        <xdr:cNvPr id="2" name="Chart 1">
          <a:extLst>
            <a:ext uri="{FF2B5EF4-FFF2-40B4-BE49-F238E27FC236}">
              <a16:creationId xmlns:a16="http://schemas.microsoft.com/office/drawing/2014/main" id="{5D5C1B49-A6D4-4FF8-8833-6DBAA23AE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6C98862F-C8AE-440A-AE08-E27FCE2466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15</xdr:col>
      <xdr:colOff>247650</xdr:colOff>
      <xdr:row>17</xdr:row>
      <xdr:rowOff>28574</xdr:rowOff>
    </xdr:from>
    <xdr:to>
      <xdr:col>23</xdr:col>
      <xdr:colOff>238125</xdr:colOff>
      <xdr:row>32</xdr:row>
      <xdr:rowOff>9522</xdr:rowOff>
    </xdr:to>
    <xdr:graphicFrame macro="">
      <xdr:nvGraphicFramePr>
        <xdr:cNvPr id="2" name="Gráfico 1">
          <a:extLst>
            <a:ext uri="{FF2B5EF4-FFF2-40B4-BE49-F238E27FC236}">
              <a16:creationId xmlns:a16="http://schemas.microsoft.com/office/drawing/2014/main" id="{0AEBDA6B-4721-4855-89F2-360A62B429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8A4C1490-3177-4D75-93A9-FEF841E924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16</xdr:col>
      <xdr:colOff>247650</xdr:colOff>
      <xdr:row>18</xdr:row>
      <xdr:rowOff>28574</xdr:rowOff>
    </xdr:from>
    <xdr:to>
      <xdr:col>24</xdr:col>
      <xdr:colOff>238125</xdr:colOff>
      <xdr:row>33</xdr:row>
      <xdr:rowOff>9522</xdr:rowOff>
    </xdr:to>
    <xdr:graphicFrame macro="">
      <xdr:nvGraphicFramePr>
        <xdr:cNvPr id="2" name="Gráfico 1">
          <a:extLst>
            <a:ext uri="{FF2B5EF4-FFF2-40B4-BE49-F238E27FC236}">
              <a16:creationId xmlns:a16="http://schemas.microsoft.com/office/drawing/2014/main" id="{5C1A1D68-8CC1-44F4-92D3-14503EF25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457201</xdr:colOff>
      <xdr:row>15</xdr:row>
      <xdr:rowOff>54842</xdr:rowOff>
    </xdr:from>
    <xdr:to>
      <xdr:col>1</xdr:col>
      <xdr:colOff>4539987</xdr:colOff>
      <xdr:row>29</xdr:row>
      <xdr:rowOff>169333</xdr:rowOff>
    </xdr:to>
    <xdr:pic>
      <xdr:nvPicPr>
        <xdr:cNvPr id="3" name="Picture 2">
          <a:extLst>
            <a:ext uri="{FF2B5EF4-FFF2-40B4-BE49-F238E27FC236}">
              <a16:creationId xmlns:a16="http://schemas.microsoft.com/office/drawing/2014/main" id="{A1C4095B-0962-C772-92F6-3CC40C4E91B8}"/>
            </a:ext>
          </a:extLst>
        </xdr:cNvPr>
        <xdr:cNvPicPr>
          <a:picLocks noChangeAspect="1"/>
        </xdr:cNvPicPr>
      </xdr:nvPicPr>
      <xdr:blipFill>
        <a:blip xmlns:r="http://schemas.openxmlformats.org/officeDocument/2006/relationships" r:embed="rId1"/>
        <a:stretch>
          <a:fillRect/>
        </a:stretch>
      </xdr:blipFill>
      <xdr:spPr>
        <a:xfrm>
          <a:off x="457201" y="5388842"/>
          <a:ext cx="5505186" cy="30778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280146</xdr:colOff>
      <xdr:row>8</xdr:row>
      <xdr:rowOff>33618</xdr:rowOff>
    </xdr:from>
    <xdr:to>
      <xdr:col>21</xdr:col>
      <xdr:colOff>369794</xdr:colOff>
      <xdr:row>25</xdr:row>
      <xdr:rowOff>121024</xdr:rowOff>
    </xdr:to>
    <xdr:graphicFrame macro="">
      <xdr:nvGraphicFramePr>
        <xdr:cNvPr id="3" name="Gráfico 2">
          <a:extLst>
            <a:ext uri="{FF2B5EF4-FFF2-40B4-BE49-F238E27FC236}">
              <a16:creationId xmlns:a16="http://schemas.microsoft.com/office/drawing/2014/main" id="{306657A2-1CCA-4A0C-8B87-129AFC5CC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Eduardo Amaral" id="{D6DB9FE1-3307-4620-8E2D-D33C5FE10F9B}" userId="1bfa2ac83e16c31e"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2</v>
    <v>2</v>
    <v>19</v>
  </rv>
  <rv s="0">
    <v>3</v>
    <v>2</v>
    <v>19</v>
  </rv>
  <rv s="0">
    <v>1</v>
    <v>2</v>
    <v>19</v>
  </rv>
  <rv s="1">
    <v>2</v>
    <v>2</v>
    <v>19</v>
  </rv>
  <rv s="1">
    <v>2</v>
    <v>1</v>
    <v>19</v>
  </rv>
  <rv s="0">
    <v>4</v>
    <v>2</v>
    <v>19</v>
  </rv>
  <rv s="0">
    <v>5</v>
    <v>2</v>
    <v>19</v>
  </rv>
</rvData>
</file>

<file path=xl/richData/rdrichvaluestructure.xml><?xml version="1.0" encoding="utf-8"?>
<rvStructures xmlns="http://schemas.microsoft.com/office/spreadsheetml/2017/richdata" count="2">
  <s t="_error">
    <k n="argument" t="s"/>
    <k n="errorType" t="i"/>
    <k n="subType" t="i"/>
  </s>
  <s t="_error">
    <k n="errorType" t="i"/>
    <k n="argument" t="s"/>
    <k n="subType" t="i"/>
  </s>
</rvStructures>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21" dT="2022-08-28T20:34:50.17" personId="{D6DB9FE1-3307-4620-8E2D-D33C5FE10F9B}" id="{69D6092B-5AD3-4BA5-8EC3-971B5270794C}">
    <text>Excel's LINEST function calculates wrongly the ESS if the parameter CONSTANT is FALSE, but X still has a constant.</text>
  </threadedComment>
  <threadedComment ref="Y21" dT="2023-10-03T02:13:25.56" personId="{D6DB9FE1-3307-4620-8E2D-D33C5FE10F9B}" id="{86FC117C-2AD7-4CBC-9904-CE46304BE3DE}" parentId="{69D6092B-5AD3-4BA5-8EC3-971B5270794C}">
    <text>Controversy: http://web.ist.utl.pt/~ist11038/compute/errtheory/,regression/regrthroughorigin.pdf</text>
    <extLst>
      <x:ext xmlns:xltc2="http://schemas.microsoft.com/office/spreadsheetml/2020/threadedcomments2" uri="{F7C98A9C-CBB3-438F-8F68-D28B6AF4A901}">
        <xltc2:checksum>1223930333</xltc2:checksum>
        <xltc2:hyperlink startIndex="13" length="83" url="http://web.ist.utl.pt/~ist11038/compute/errtheory/,regression/regrthroughorigin.pdf"/>
      </x:ext>
    </extLst>
  </threadedComment>
  <threadedComment ref="Y30" dT="2023-10-04T01:02:49.47" personId="{D6DB9FE1-3307-4620-8E2D-D33C5FE10F9B}" id="{B811DD19-5DE6-4508-8B69-5E437616D3D4}">
    <text>In case of regression without a constant, it returns "non-centered R2".</text>
  </threadedComment>
</ThreadedComments>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700" row="3">
    <wetp:webextensionref xmlns:r="http://schemas.openxmlformats.org/officeDocument/2006/relationships" r:id="rId2"/>
  </wetp:taskpane>
  <wetp:taskpane dockstate="right" visibility="0" width="1486" row="3">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E4794065-FD69-45EC-974B-6C48C1D93FA4}">
  <we:reference id="wa200003696" version="1.0.0.0" store="en-US" storeType="OMEX"/>
  <we:alternateReferences>
    <we:reference id="wa200003696" version="1.0.0.0" store="en-US" storeType="OMEX"/>
  </we:alternateReferences>
  <we:properties>
    <we:property name="projectV0_1-56c6e055-265e-4713-816e-a646dbb708de" value="{&quot;kind&quot;:&quot;AFEJSONBlobNode&quot;,&quot;id&quot;:&quot;{86D63367-6E00-4284-8E3B-867B08054859}&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5422697-017C-4CD3-8353-F9EA1F35FBDC}">
  <we:reference id="wa104381504" version="1.0.0.0" store="pt-BR" storeType="OMEX"/>
  <we:alternateReferences>
    <we:reference id="WA104381504" version="1.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3AEBBA7F-3845-42F3-BA17-B9211EDDD952}">
  <we:reference id="wa200008175" version="1.0.0.0" store="pt-BR"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0][\&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5&quot;"/>
    <we:property name="requirements.txt" value="&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_xldudf_ARIMA_AIC</we:customFunctionIds>
        <we:customFunctionIds>_xldudf_ARIMA_AICC</we:customFunctionIds>
        <we:customFunctionIds>_xldudf_ARIMA_BACKCAST</we:customFunctionIds>
        <we:customFunctionIds>_xldudf_ARIMA_BIC</we:customFunctionIds>
        <we:customFunctionIds>_xldudf_ARIMA_COEFF</we:customFunctionIds>
        <we:customFunctionIds>_xldudf_ARIMA_COEFF_PVALUE</we:customFunctionIds>
        <we:customFunctionIds>_xldudf_ARIMA_COEFF_STDEV</we:customFunctionIds>
        <we:customFunctionIds>_xldudf_ARIMA_COEFF_TSTAT</we:customFunctionIds>
        <we:customFunctionIds>_xldudf_ARIMA_COOKS_DISTANCE</we:customFunctionIds>
        <we:customFunctionIds>_xldudf_ARIMA_COX_SNELL_R2</we:customFunctionIds>
        <we:customFunctionIds>_xldudf_ARIMA_DURBINWATSON</we:customFunctionIds>
        <we:customFunctionIds>_xldudf_ARIMA_ESS</we:customFunctionIds>
        <we:customFunctionIds>_xldudf_ARIMA_FITTED</we:customFunctionIds>
        <we:customFunctionIds>_xldudf_ARIMA_FORECAST</we:customFunctionIds>
        <we:customFunctionIds>_xldudf_ARIMA_FSTAT</we:customFunctionIds>
        <we:customFunctionIds>_xldudf_ARIMA_FSTAT_PVALUE</we:customFunctionIds>
        <we:customFunctionIds>_xldudf_ARIMA_HQC</we:customFunctionIds>
        <we:customFunctionIds>_xldudf_ARIMA_LEVERAGE</we:customFunctionIds>
        <we:customFunctionIds>_xldudf_ARIMA_LOGLIKELIHOOD</we:customFunctionIds>
        <we:customFunctionIds>_xldudf_ARIMA_MCFADDEN_ADJ_R2</we:customFunctionIds>
        <we:customFunctionIds>_xldudf_ARIMA_MCFADDEN_R2</we:customFunctionIds>
        <we:customFunctionIds>_xldudf_ARIMA_NAGELKERKE_R2</we:customFunctionIds>
        <we:customFunctionIds>_xldudf_ARIMA_R2</we:customFunctionIds>
        <we:customFunctionIds>_xldudf_ARIMA_R2_ADJUSTED</we:customFunctionIds>
        <we:customFunctionIds>_xldudf_ARIMA_RESIDUALS</we:customFunctionIds>
        <we:customFunctionIds>_xldudf_ARIMA_RESIDUALS_AR</we:customFunctionIds>
        <we:customFunctionIds>_xldudf_ARIMA_RESIDUALS_PARTIAL</we:customFunctionIds>
        <we:customFunctionIds>_xldudf_ARIMA_RESIDUALS_STD</we:customFunctionIds>
        <we:customFunctionIds>_xldudf_ARIMA_RSS</we:customFunctionIds>
        <we:customFunctionIds>_xldudf_ARIMA_SSE_R2</we:customFunctionIds>
        <we:customFunctionIds>_xldudf_ARIMA_STDEV</we:customFunctionIds>
        <we:customFunctionIds>_xldudf_ARIMA_TSS</we:customFunctionIds>
        <we:customFunctionIds>_xldudf_ARIMA_VARCOV</we:customFunctionIds>
        <we:customFunctionIds>_xldudf_ARIMA_VARCOV_HAC</we:customFunctionIds>
        <we:customFunctionIds>_xldudf_BNFILTER</we:customFunctionIds>
        <we:customFunctionIds>_xldudf_SARIMAX_FITTED</we:customFunctionIds>
      </we:customFunctionIdList>
    </a:ext>
  </we:extLst>
</we:webextension>
</file>

<file path=xl/webextensions/webextension4.xml><?xml version="1.0" encoding="utf-8"?>
<we:webextension xmlns:we="http://schemas.microsoft.com/office/webextensions/webextension/2010/11" id="{E2353DE0-4C05-384E-8D47-47CDFE997589}">
  <we:reference id="wa104380862" version="3.0.0.0" store="pt-BR" storeType="OMEX"/>
  <we:alternateReferences>
    <we:reference id="WA104380862" version="3.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youtube.com/watch?v=GtY8HWqFSgk"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consultglp.com/wp-content/uploads/2018/07/Using-Excel-functions-for-one-way-ANOVA.pdf"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9.xml.rels><?xml version="1.0" encoding="UTF-8" standalone="yes"?>
<Relationships xmlns="http://schemas.openxmlformats.org/package/2006/relationships"><Relationship Id="rId3" Type="http://schemas.openxmlformats.org/officeDocument/2006/relationships/hyperlink" Target="https://www.youtube.com/watch?v=Oiglkuurb9c" TargetMode="External"/><Relationship Id="rId2" Type="http://schemas.openxmlformats.org/officeDocument/2006/relationships/hyperlink" Target="https://www.youtube.com/watch?v=SFESr6tal2o" TargetMode="External"/><Relationship Id="rId1" Type="http://schemas.openxmlformats.org/officeDocument/2006/relationships/hyperlink" Target="https://www.youtube.com/watch?v=oucbiiHKvGk" TargetMode="External"/><Relationship Id="rId6" Type="http://schemas.openxmlformats.org/officeDocument/2006/relationships/hyperlink" Target="https://www.youtube.com/watch?v=icC5Z5FM_Sw" TargetMode="External"/><Relationship Id="rId5" Type="http://schemas.openxmlformats.org/officeDocument/2006/relationships/hyperlink" Target="https://www.youtube.com/watch?v=z61iEgUR9V4&amp;t=101s" TargetMode="External"/><Relationship Id="rId4" Type="http://schemas.openxmlformats.org/officeDocument/2006/relationships/hyperlink" Target="https://www.youtube.com/watch?v=JUocSFe-DT0" TargetMode="External"/></Relationships>
</file>

<file path=xl/worksheets/_rels/sheet100.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E1965-C276-4C4D-805E-36C4D53F123D}">
  <sheetPr codeName="Planilha10"/>
  <dimension ref="A1:I318"/>
  <sheetViews>
    <sheetView showGridLines="0" tabSelected="1" workbookViewId="0">
      <pane ySplit="2" topLeftCell="A3" activePane="bottomLeft" state="frozen"/>
      <selection pane="bottomLeft"/>
    </sheetView>
  </sheetViews>
  <sheetFormatPr defaultColWidth="8.796875" defaultRowHeight="14.25" x14ac:dyDescent="0.45"/>
  <cols>
    <col min="1" max="3" width="8" customWidth="1"/>
    <col min="6" max="6" width="79.1328125" customWidth="1"/>
    <col min="7" max="7" width="22.33203125" customWidth="1"/>
    <col min="8" max="8" width="59.33203125" customWidth="1"/>
    <col min="9" max="9" width="36" customWidth="1"/>
    <col min="10" max="12" width="10.6640625" customWidth="1"/>
    <col min="13" max="17" width="12" bestFit="1" customWidth="1"/>
  </cols>
  <sheetData>
    <row r="1" spans="1:9" ht="23.25" x14ac:dyDescent="0.7">
      <c r="A1" s="4" t="s">
        <v>1322</v>
      </c>
    </row>
    <row r="2" spans="1:9" ht="21" x14ac:dyDescent="0.65">
      <c r="A2" s="3" t="s">
        <v>0</v>
      </c>
    </row>
    <row r="3" spans="1:9" s="9" customFormat="1" ht="15.75" x14ac:dyDescent="0.5">
      <c r="A3" s="9" t="s">
        <v>11</v>
      </c>
    </row>
    <row r="4" spans="1:9" s="9" customFormat="1" ht="15.75" x14ac:dyDescent="0.5">
      <c r="A4" s="165" t="s">
        <v>1381</v>
      </c>
    </row>
    <row r="5" spans="1:9" s="9" customFormat="1" ht="15.75" x14ac:dyDescent="0.5">
      <c r="A5" s="9" t="s">
        <v>12</v>
      </c>
    </row>
    <row r="6" spans="1:9" s="9" customFormat="1" ht="66.75" customHeight="1" x14ac:dyDescent="0.5">
      <c r="A6" s="166" t="s">
        <v>493</v>
      </c>
      <c r="B6" s="166"/>
      <c r="C6" s="166"/>
      <c r="D6" s="166"/>
      <c r="E6" s="166"/>
      <c r="F6" s="166"/>
    </row>
    <row r="7" spans="1:9" s="9" customFormat="1" ht="15.75" x14ac:dyDescent="0.5"/>
    <row r="8" spans="1:9" s="9" customFormat="1" ht="18" x14ac:dyDescent="0.55000000000000004">
      <c r="A8" s="168" t="str">
        <f ca="1">COUNTA($I:$I) &amp; " functions available"</f>
        <v>191 functions available</v>
      </c>
      <c r="B8" s="168"/>
      <c r="C8" s="168"/>
      <c r="D8" s="168"/>
      <c r="E8" s="168"/>
      <c r="F8" s="168"/>
    </row>
    <row r="9" spans="1:9" s="9" customFormat="1" ht="50.25" customHeight="1" x14ac:dyDescent="0.5">
      <c r="A9" s="167" t="s">
        <v>151</v>
      </c>
      <c r="B9" s="167"/>
      <c r="C9" s="167"/>
      <c r="D9" s="167"/>
      <c r="E9" s="167"/>
      <c r="F9" s="167"/>
      <c r="G9" s="167"/>
      <c r="H9" s="167"/>
      <c r="I9" s="167"/>
    </row>
    <row r="11" spans="1:9" ht="44.25" x14ac:dyDescent="0.65">
      <c r="B11" s="3" t="s">
        <v>96</v>
      </c>
      <c r="F11" s="1" t="s">
        <v>16</v>
      </c>
      <c r="G11" s="1" t="s">
        <v>75</v>
      </c>
      <c r="H11" s="1" t="s">
        <v>77</v>
      </c>
      <c r="I11" s="33" t="s">
        <v>152</v>
      </c>
    </row>
    <row r="12" spans="1:9" x14ac:dyDescent="0.45">
      <c r="B12" s="31" t="s">
        <v>422</v>
      </c>
      <c r="F12" s="29" t="s">
        <v>448</v>
      </c>
      <c r="G12" s="32"/>
      <c r="H12" s="30"/>
      <c r="I12" t="e" cm="1" vm="1">
        <f t="array" ref="I12">GET()</f>
        <v>#VALUE!</v>
      </c>
    </row>
    <row r="13" spans="1:9" x14ac:dyDescent="0.45">
      <c r="B13" s="31" t="s">
        <v>74</v>
      </c>
      <c r="F13" s="29" t="s">
        <v>446</v>
      </c>
      <c r="G13" s="32" t="s">
        <v>74</v>
      </c>
      <c r="H13" s="30" t="s">
        <v>79</v>
      </c>
      <c r="I13" t="e" cm="1" vm="1">
        <f t="array" ref="I13">HORZCAT()</f>
        <v>#VALUE!</v>
      </c>
    </row>
    <row r="14" spans="1:9" x14ac:dyDescent="0.45">
      <c r="B14" s="31" t="s">
        <v>894</v>
      </c>
      <c r="F14" s="29" t="s">
        <v>896</v>
      </c>
      <c r="G14" s="32"/>
      <c r="H14" s="30"/>
      <c r="I14" t="e" cm="1" vm="2">
        <f t="array" ref="I14">HORZCAT_EX()</f>
        <v>#VALUE!</v>
      </c>
    </row>
    <row r="15" spans="1:9" x14ac:dyDescent="0.45">
      <c r="B15" s="31" t="s">
        <v>371</v>
      </c>
      <c r="F15" s="29" t="s">
        <v>372</v>
      </c>
      <c r="G15" s="32"/>
      <c r="H15" s="30"/>
      <c r="I15" t="e" cm="1" vm="3">
        <f t="array" ref="I15">ISEMPTY()</f>
        <v>#VALUE!</v>
      </c>
    </row>
    <row r="16" spans="1:9" x14ac:dyDescent="0.45">
      <c r="B16" s="31" t="s">
        <v>94</v>
      </c>
      <c r="F16" s="29" t="s">
        <v>270</v>
      </c>
      <c r="G16" s="32"/>
      <c r="H16" s="30"/>
      <c r="I16" t="e" cm="1" vm="1">
        <f t="array" ref="I16">M()</f>
        <v>#VALUE!</v>
      </c>
    </row>
    <row r="17" spans="2:9" x14ac:dyDescent="0.45">
      <c r="B17" s="31" t="s">
        <v>81</v>
      </c>
      <c r="F17" s="29" t="s">
        <v>63</v>
      </c>
      <c r="G17" s="32" t="s">
        <v>76</v>
      </c>
      <c r="H17" s="30"/>
      <c r="I17" t="e" cm="1" vm="3">
        <f t="array" ref="I17">NOZERO()</f>
        <v>#VALUE!</v>
      </c>
    </row>
    <row r="18" spans="2:9" x14ac:dyDescent="0.45">
      <c r="B18" s="31" t="s">
        <v>66</v>
      </c>
      <c r="F18" s="29" t="s">
        <v>443</v>
      </c>
      <c r="G18" s="32"/>
      <c r="H18" s="30"/>
      <c r="I18" t="e" cm="1" vm="4">
        <f t="array" aca="1" ref="I18" ca="1">SAMPLE()</f>
        <v>#VALUE!</v>
      </c>
    </row>
    <row r="19" spans="2:9" x14ac:dyDescent="0.45">
      <c r="B19" s="31" t="s">
        <v>47</v>
      </c>
      <c r="F19" s="29" t="s">
        <v>449</v>
      </c>
      <c r="G19" s="32"/>
      <c r="H19" s="30"/>
      <c r="I19" t="e" cm="1" vm="3">
        <f t="array" ref="I19">SLICE()</f>
        <v>#VALUE!</v>
      </c>
    </row>
    <row r="20" spans="2:9" x14ac:dyDescent="0.45">
      <c r="B20" s="31" t="s">
        <v>39</v>
      </c>
      <c r="F20" s="29" t="s">
        <v>440</v>
      </c>
      <c r="G20" s="32" t="s">
        <v>80</v>
      </c>
      <c r="H20" s="30"/>
      <c r="I20" t="e" cm="1" vm="3">
        <f t="array" ref="I20">VEC()</f>
        <v>#VALUE!</v>
      </c>
    </row>
    <row r="21" spans="2:9" x14ac:dyDescent="0.45">
      <c r="B21" s="31" t="s">
        <v>73</v>
      </c>
      <c r="F21" s="29" t="s">
        <v>445</v>
      </c>
      <c r="G21" s="32" t="s">
        <v>73</v>
      </c>
      <c r="H21" s="30" t="s">
        <v>78</v>
      </c>
      <c r="I21" t="e" cm="1" vm="1">
        <f t="array" ref="I21">VERTCAT()</f>
        <v>#VALUE!</v>
      </c>
    </row>
    <row r="22" spans="2:9" x14ac:dyDescent="0.45">
      <c r="B22" s="31" t="s">
        <v>893</v>
      </c>
      <c r="F22" s="29" t="s">
        <v>895</v>
      </c>
      <c r="G22" s="32"/>
      <c r="H22" s="30"/>
      <c r="I22" t="e" cm="1" vm="2">
        <f t="array" ref="I22">VERTCAT_EX()</f>
        <v>#VALUE!</v>
      </c>
    </row>
    <row r="25" spans="2:9" ht="21" x14ac:dyDescent="0.65">
      <c r="B25" s="3" t="s">
        <v>622</v>
      </c>
    </row>
    <row r="26" spans="2:9" x14ac:dyDescent="0.45">
      <c r="B26" s="31" t="s">
        <v>600</v>
      </c>
      <c r="F26" s="29" t="str" cm="1">
        <f t="array" aca="1" ref="F26" ca="1">INDIRECT(B26&amp;"!A2")</f>
        <v>Evaluates a formula expression (workbook file will have to be saved with the .xlsm extension)</v>
      </c>
      <c r="G26" s="32"/>
      <c r="H26" s="30"/>
      <c r="I26" t="e" cm="1" vm="3">
        <f t="array" ref="I26">EVALS()</f>
        <v>#VALUE!</v>
      </c>
    </row>
    <row r="27" spans="2:9" x14ac:dyDescent="0.45">
      <c r="B27" s="31" t="s">
        <v>591</v>
      </c>
      <c r="F27" s="29" t="str" cm="1">
        <f t="array" aca="1" ref="F27" ca="1">INDIRECT(B27&amp;"!A2")</f>
        <v>Find the roots of a function (workbook file will have to be saved with the .xlsm extension)</v>
      </c>
      <c r="G27" s="32"/>
      <c r="H27" s="30"/>
      <c r="I27" t="e" cm="1" vm="3">
        <f t="array" ref="I27">FZERO()</f>
        <v>#VALUE!</v>
      </c>
    </row>
    <row r="28" spans="2:9" ht="28.5" x14ac:dyDescent="0.45">
      <c r="B28" s="31" t="s">
        <v>842</v>
      </c>
      <c r="F28" s="29" t="str" cm="1">
        <f t="array" aca="1" ref="F28" ca="1">INDIRECT(B28&amp;"!A2")</f>
        <v>Evaluates a formula expression after replacing variables with numbers (workbook file will have to be saved with the .xlsm extension)</v>
      </c>
      <c r="G28" s="32"/>
      <c r="H28" s="30"/>
      <c r="I28" t="e" cm="1" vm="2">
        <f t="array" ref="I28">SUBS()</f>
        <v>#VALUE!</v>
      </c>
    </row>
    <row r="31" spans="2:9" ht="21" x14ac:dyDescent="0.65">
      <c r="B31" s="3" t="s">
        <v>97</v>
      </c>
    </row>
    <row r="32" spans="2:9" x14ac:dyDescent="0.45">
      <c r="B32" s="31" t="s">
        <v>83</v>
      </c>
      <c r="F32" s="29" t="str" cm="1">
        <f t="array" aca="1" ref="F32" ca="1">INDIRECT(B32&amp;"!A2")</f>
        <v>Determine if all array elements are nonzero or true</v>
      </c>
      <c r="G32" s="32" t="s">
        <v>83</v>
      </c>
      <c r="H32" s="30"/>
      <c r="I32" t="e" cm="1" vm="3">
        <f t="array" ref="I32">ALL()</f>
        <v>#VALUE!</v>
      </c>
    </row>
    <row r="33" spans="2:9" x14ac:dyDescent="0.45">
      <c r="B33" s="31" t="s">
        <v>89</v>
      </c>
      <c r="F33" s="29" t="str" cm="1">
        <f t="array" aca="1" ref="F33" ca="1">INDIRECT(B33&amp;"!A2")</f>
        <v>Determine if any array elements are nonzero</v>
      </c>
      <c r="G33" s="32" t="s">
        <v>89</v>
      </c>
      <c r="H33" s="30"/>
      <c r="I33" t="e" cm="1" vm="3">
        <f t="array" ref="I33">ANY()</f>
        <v>#VALUE!</v>
      </c>
    </row>
    <row r="34" spans="2:9" x14ac:dyDescent="0.45">
      <c r="B34" s="31" t="s">
        <v>501</v>
      </c>
      <c r="F34" s="29" t="str" cm="1">
        <f t="array" aca="1" ref="F34" ca="1">INDIRECT(B34&amp;"!A2")</f>
        <v>Apply lambda function to each column</v>
      </c>
      <c r="G34" s="32"/>
      <c r="H34" s="30"/>
      <c r="I34" t="e" cm="1" vm="2">
        <f t="array" ref="I34">APPLYCOLS()</f>
        <v>#VALUE!</v>
      </c>
    </row>
    <row r="35" spans="2:9" x14ac:dyDescent="0.45">
      <c r="B35" s="31" t="s">
        <v>1126</v>
      </c>
      <c r="F35" s="29" t="str" cm="1">
        <f t="array" aca="1" ref="F35" ca="1">INDIRECT(B35&amp;"!A2")</f>
        <v>Apply lambda function to each row</v>
      </c>
      <c r="G35" s="32"/>
      <c r="H35" s="30"/>
      <c r="I35" t="e" cm="1" vm="2">
        <f t="array" ref="I35">APPLYROWS()</f>
        <v>#VALUE!</v>
      </c>
    </row>
    <row r="36" spans="2:9" x14ac:dyDescent="0.45">
      <c r="B36" s="31" t="s">
        <v>67</v>
      </c>
      <c r="F36" s="29" t="str" cm="1">
        <f t="array" aca="1" ref="F36" ca="1">INDIRECT(B36&amp;"!A2")</f>
        <v>Create a block diagonal matrix from existing matrices</v>
      </c>
      <c r="G36" s="32" t="s">
        <v>67</v>
      </c>
      <c r="H36" s="30"/>
      <c r="I36" t="e" cm="1" vm="1">
        <f t="array" ref="I36">BLKDIAG()</f>
        <v>#VALUE!</v>
      </c>
    </row>
    <row r="37" spans="2:9" x14ac:dyDescent="0.45">
      <c r="B37" s="31" t="s">
        <v>911</v>
      </c>
      <c r="F37" s="29" t="str" cm="1">
        <f t="array" aca="1" ref="F37" ca="1">INDIRECT(B37&amp;"!A2")</f>
        <v>Bootstrap sampling</v>
      </c>
      <c r="G37" s="32" t="s">
        <v>911</v>
      </c>
      <c r="H37" s="30"/>
      <c r="I37" t="e" cm="1" vm="2">
        <f t="array" ref="I37">BOOTSTRP()</f>
        <v>#VALUE!</v>
      </c>
    </row>
    <row r="38" spans="2:9" x14ac:dyDescent="0.45">
      <c r="B38" s="31" t="s">
        <v>1114</v>
      </c>
      <c r="F38" s="29" t="str" cm="1">
        <f t="array" aca="1" ref="F38" ca="1">INDIRECT(B38&amp;"!A2")</f>
        <v>Shift array circularly</v>
      </c>
      <c r="G38" s="32" t="s">
        <v>1114</v>
      </c>
      <c r="H38" s="30"/>
      <c r="I38" t="e" cm="1" vm="1">
        <f t="array" ref="I38">CIRCSHIFT()</f>
        <v>#VALUE!</v>
      </c>
    </row>
    <row r="39" spans="2:9" x14ac:dyDescent="0.45">
      <c r="B39" s="31" t="s">
        <v>309</v>
      </c>
      <c r="F39" s="29" t="str" cm="1">
        <f t="array" aca="1" ref="F39" ca="1">INDIRECT(B39&amp;"!A2")</f>
        <v>Return the elements in a continuous range of integers that do not belong to a matrix</v>
      </c>
      <c r="G39" s="32"/>
      <c r="H39" s="30"/>
      <c r="I39" t="e" cm="1" vm="3">
        <f t="array" ref="I39">COMPLEMENT()</f>
        <v>#VALUE!</v>
      </c>
    </row>
    <row r="40" spans="2:9" x14ac:dyDescent="0.45">
      <c r="B40" s="31" t="s">
        <v>1323</v>
      </c>
      <c r="F40" s="29" t="str" cm="1">
        <f t="array" aca="1" ref="F40" ca="1">INDIRECT(B40&amp;"!A2")</f>
        <v>Generate all element combinations of arrays</v>
      </c>
      <c r="G40" s="32" t="s">
        <v>1323</v>
      </c>
      <c r="H40" s="30"/>
      <c r="I40" t="e" cm="1" vm="1">
        <f t="array" ref="I40">COMBINATIONS()</f>
        <v>#VALUE!</v>
      </c>
    </row>
    <row r="41" spans="2:9" x14ac:dyDescent="0.45">
      <c r="B41" s="31" t="s">
        <v>1200</v>
      </c>
      <c r="F41" s="29" t="str" cm="1">
        <f t="array" aca="1" ref="F41" ca="1">INDIRECT(B41&amp;"!A2")</f>
        <v>Convolution and polynomial multiplication</v>
      </c>
      <c r="G41" s="32" t="s">
        <v>1200</v>
      </c>
      <c r="H41" s="30"/>
      <c r="I41" t="e" cm="1" vm="1">
        <f t="array" ref="I41">CONV()</f>
        <v>#VALUE!</v>
      </c>
    </row>
    <row r="42" spans="2:9" x14ac:dyDescent="0.45">
      <c r="B42" s="31" t="s">
        <v>20</v>
      </c>
      <c r="F42" s="29" t="str" cm="1">
        <f t="array" aca="1" ref="F42" ca="1">INDIRECT(B42&amp;"!A2")</f>
        <v>Returns the diagonal of a matrix</v>
      </c>
      <c r="G42" s="32" t="s">
        <v>20</v>
      </c>
      <c r="H42" s="30"/>
      <c r="I42" t="e" cm="1" vm="3">
        <f t="array" ref="I42">DIAG()</f>
        <v>#VALUE!</v>
      </c>
    </row>
    <row r="43" spans="2:9" x14ac:dyDescent="0.45">
      <c r="B43" s="31" t="s">
        <v>457</v>
      </c>
      <c r="F43" s="29" t="str" cm="1">
        <f t="array" aca="1" ref="F43" ca="1">INDIRECT(B43&amp;"!A2")</f>
        <v>Array length at specified dimension</v>
      </c>
      <c r="G43" s="32" t="s">
        <v>187</v>
      </c>
      <c r="H43" s="30"/>
      <c r="I43" t="e" cm="1" vm="3">
        <f t="array" ref="I43">DIM()</f>
        <v>#VALUE!</v>
      </c>
    </row>
    <row r="44" spans="2:9" x14ac:dyDescent="0.45">
      <c r="B44" s="31" t="s">
        <v>575</v>
      </c>
      <c r="F44" s="29" t="str" cm="1">
        <f t="array" aca="1" ref="F44" ca="1">INDIRECT(B44&amp;"!A2")</f>
        <v>Real eigenvalues of a squared matrix calculated using QR decomposition</v>
      </c>
      <c r="G44" s="32"/>
      <c r="H44" s="30"/>
      <c r="I44" t="e" cm="1" vm="3">
        <f t="array" ref="I44">EIGENVALUES()</f>
        <v>#VALUE!</v>
      </c>
    </row>
    <row r="45" spans="2:9" x14ac:dyDescent="0.45">
      <c r="B45" s="31" t="s">
        <v>579</v>
      </c>
      <c r="F45" s="29" t="str" cm="1">
        <f t="array" aca="1" ref="F45" ca="1">INDIRECT(B45&amp;"!A2")</f>
        <v>Real eigenvectors of a squared matrix calculated using QR decomposition</v>
      </c>
      <c r="G45" s="32"/>
      <c r="H45" s="30"/>
      <c r="I45" t="e" cm="1" vm="3">
        <f t="array" ref="I45">EIGENVECTORS()</f>
        <v>#VALUE!</v>
      </c>
    </row>
    <row r="46" spans="2:9" x14ac:dyDescent="0.45">
      <c r="B46" s="31" t="s">
        <v>1080</v>
      </c>
      <c r="F46" s="29" t="str" cm="1">
        <f t="array" aca="1" ref="F46" ca="1">INDIRECT(B46&amp;"!A2")</f>
        <v>Create alternate sequence of consecutive integers</v>
      </c>
      <c r="G46" s="32"/>
      <c r="H46" s="30"/>
      <c r="I46" t="e" cm="1" vm="1">
        <f t="array" ref="I46">EVERY()</f>
        <v>#VALUE!</v>
      </c>
    </row>
    <row r="47" spans="2:9" x14ac:dyDescent="0.45">
      <c r="B47" s="31" t="s">
        <v>14</v>
      </c>
      <c r="F47" s="29" t="str" cm="1">
        <f t="array" aca="1" ref="F47" ca="1">INDIRECT(B47&amp;"!A2")</f>
        <v>Returns an identity matrix</v>
      </c>
      <c r="G47" s="32" t="s">
        <v>14</v>
      </c>
      <c r="H47" s="30"/>
      <c r="I47" t="e" cm="1" vm="3">
        <f t="array" ref="I47">EYE()</f>
        <v>#VALUE!</v>
      </c>
    </row>
    <row r="48" spans="2:9" ht="28.5" x14ac:dyDescent="0.45">
      <c r="B48" s="31" t="s">
        <v>898</v>
      </c>
      <c r="F48" s="29" t="str" cm="1">
        <f t="array" aca="1" ref="F48" ca="1">INDIRECT(B48&amp;"!A2")</f>
        <v>Factorizes a positive-definite matrix into a lower-triangular matrix (L) and an upper-triangular matrix (U).</v>
      </c>
      <c r="G48" s="32" t="s">
        <v>907</v>
      </c>
      <c r="H48" s="30"/>
      <c r="I48" t="e" cm="1" vm="5">
        <f t="array" ref="I48">FACTORIZE_CHOL()</f>
        <v>#VALUE!</v>
      </c>
    </row>
    <row r="49" spans="2:9" ht="28.5" x14ac:dyDescent="0.45">
      <c r="B49" s="31" t="s">
        <v>897</v>
      </c>
      <c r="F49" s="29" t="str" cm="1">
        <f t="array" aca="1" ref="F49" ca="1">INDIRECT(B49&amp;"!A2")</f>
        <v>Factorizes a matrix into its QR decomposition (Q is orthogonal and R is upper-triangular) using the Gram-Schmidt algorithm with householder transformation.</v>
      </c>
      <c r="G49" s="32" t="s">
        <v>837</v>
      </c>
      <c r="H49" s="30"/>
      <c r="I49" t="e" cm="1" vm="3">
        <f t="array" ref="I49">FACTORIZE_QR()</f>
        <v>#VALUE!</v>
      </c>
    </row>
    <row r="50" spans="2:9" x14ac:dyDescent="0.45">
      <c r="B50" s="31" t="s">
        <v>1290</v>
      </c>
      <c r="F50" s="29" t="str" cm="1">
        <f t="array" aca="1" ref="F50" ca="1">INDIRECT(B50&amp;"!A2")</f>
        <v>Flatten one or more matrices into a single matrix</v>
      </c>
      <c r="G50" s="32"/>
      <c r="H50" s="30"/>
      <c r="I50" t="e" cm="1" vm="1">
        <f t="array" ref="I50">FLATTEN()</f>
        <v>#VALUE!</v>
      </c>
    </row>
    <row r="51" spans="2:9" ht="28.5" x14ac:dyDescent="0.45">
      <c r="B51" s="31" t="s">
        <v>43</v>
      </c>
      <c r="F51" s="29" t="str" cm="1">
        <f t="array" aca="1" ref="F51" ca="1">INDIRECT(B51&amp;"!A2")</f>
        <v>Flip array left to right</v>
      </c>
      <c r="G51" s="32" t="s">
        <v>43</v>
      </c>
      <c r="H51" s="30" t="s">
        <v>854</v>
      </c>
      <c r="I51" t="e" cm="1" vm="3">
        <f t="array" ref="I51">FLIPLR()</f>
        <v>#VALUE!</v>
      </c>
    </row>
    <row r="52" spans="2:9" x14ac:dyDescent="0.45">
      <c r="B52" s="31" t="s">
        <v>45</v>
      </c>
      <c r="F52" s="29" t="str" cm="1">
        <f t="array" aca="1" ref="F52" ca="1">INDIRECT(B52&amp;"!A2")</f>
        <v>Flip array up to down</v>
      </c>
      <c r="G52" s="32" t="s">
        <v>45</v>
      </c>
      <c r="H52" s="30" t="s">
        <v>855</v>
      </c>
      <c r="I52" t="e" cm="1" vm="3">
        <f t="array" ref="I52">FLIPUD()</f>
        <v>#VALUE!</v>
      </c>
    </row>
    <row r="53" spans="2:9" x14ac:dyDescent="0.45">
      <c r="B53" s="31" t="s">
        <v>1046</v>
      </c>
      <c r="F53" s="29" t="str" cm="1">
        <f t="array" aca="1" ref="F53" ca="1">INDIRECT(B53&amp;"!A2")</f>
        <v>Convert sparse matrix to full matrix</v>
      </c>
      <c r="G53" s="32" t="s">
        <v>1046</v>
      </c>
      <c r="H53" s="30"/>
      <c r="I53" t="e" cm="1" vm="3">
        <f t="array" ref="I53">_xludf.FULL()</f>
        <v>#VALUE!</v>
      </c>
    </row>
    <row r="54" spans="2:9" x14ac:dyDescent="0.45">
      <c r="B54" s="31" t="s">
        <v>548</v>
      </c>
      <c r="F54" s="29" t="str" cm="1">
        <f t="array" aca="1" ref="F54" ca="1">INDIRECT(B54&amp;"!A2")</f>
        <v>Checks whether a matrix contains a certain element</v>
      </c>
      <c r="G54" s="32"/>
      <c r="H54" s="30"/>
      <c r="I54" t="e" cm="1" vm="4">
        <f t="array" ref="I54">ISMEMBER()</f>
        <v>#VALUE!</v>
      </c>
    </row>
    <row r="55" spans="2:9" x14ac:dyDescent="0.45">
      <c r="B55" s="31" t="s">
        <v>433</v>
      </c>
      <c r="F55" s="29" t="str" cm="1">
        <f t="array" aca="1" ref="F55" ca="1">INDIRECT(B55&amp;"!A2")</f>
        <v>Detect outliers in a matrix</v>
      </c>
      <c r="G55" s="32"/>
      <c r="H55" s="30"/>
      <c r="I55" t="e" cm="1" vm="3">
        <f t="array" ref="I55">ISOUTLIER()</f>
        <v>#VALUE!</v>
      </c>
    </row>
    <row r="56" spans="2:9" x14ac:dyDescent="0.45">
      <c r="B56" s="31" t="s">
        <v>395</v>
      </c>
      <c r="F56" s="29" t="str" cm="1">
        <f t="array" aca="1" ref="F56" ca="1">INDIRECT(B56&amp;"!A2")</f>
        <v>Checks whether a value is unique in a range</v>
      </c>
      <c r="G56" s="32"/>
      <c r="H56" s="30"/>
      <c r="I56" t="e" cm="1" vm="1">
        <f t="array" ref="I56">ISUNIQUE()</f>
        <v>#VALUE!</v>
      </c>
    </row>
    <row r="57" spans="2:9" x14ac:dyDescent="0.45">
      <c r="B57" s="31" t="s">
        <v>935</v>
      </c>
      <c r="F57" s="29" t="str" cm="1">
        <f t="array" aca="1" ref="F57" ca="1">INDIRECT(B57&amp;"!A2")</f>
        <v>Jackknife sampling (or leave-N-out)</v>
      </c>
      <c r="G57" s="32" t="s">
        <v>935</v>
      </c>
      <c r="H57" s="30" t="s">
        <v>941</v>
      </c>
      <c r="I57" t="e" cm="1" vm="2">
        <f t="array" ref="I57">JACKKNIFE()</f>
        <v>#VALUE!</v>
      </c>
    </row>
    <row r="58" spans="2:9" x14ac:dyDescent="0.45">
      <c r="B58" s="31" t="s">
        <v>110</v>
      </c>
      <c r="F58" s="29" t="str" cm="1">
        <f t="array" aca="1" ref="F58" ca="1">INDIRECT(B58&amp;"!A2")</f>
        <v>Length of largest array dimension</v>
      </c>
      <c r="G58" s="32" t="s">
        <v>110</v>
      </c>
      <c r="H58" s="30"/>
      <c r="I58" t="e" cm="1" vm="3">
        <f t="array" ref="I58">LENGTH()</f>
        <v>#VALUE!</v>
      </c>
    </row>
    <row r="59" spans="2:9" x14ac:dyDescent="0.45">
      <c r="B59" s="31" t="s">
        <v>838</v>
      </c>
      <c r="F59" s="29" t="str" cm="1">
        <f t="array" aca="1" ref="F59" ca="1">INDIRECT(B59&amp;"!A2")</f>
        <v>Solve linear system of equations (AX = B) using QR decomposition. Only determined systems.</v>
      </c>
      <c r="G59" s="32" t="s">
        <v>838</v>
      </c>
      <c r="H59" s="30"/>
      <c r="I59" t="e" cm="1" vm="1">
        <f t="array" ref="I59">LINSOLVE()</f>
        <v>#VALUE!</v>
      </c>
    </row>
    <row r="60" spans="2:9" x14ac:dyDescent="0.45">
      <c r="B60" s="31" t="s">
        <v>103</v>
      </c>
      <c r="F60" s="29" t="str" cm="1">
        <f t="array" aca="1" ref="F60" ca="1">INDIRECT(B60&amp;"!A2")</f>
        <v>Generate linearly spaced vector</v>
      </c>
      <c r="G60" s="32" t="s">
        <v>103</v>
      </c>
      <c r="H60" s="30"/>
      <c r="I60" t="e" cm="1" vm="1">
        <f t="array" ref="I60">LINSPACE()</f>
        <v>#VALUE!</v>
      </c>
    </row>
    <row r="61" spans="2:9" x14ac:dyDescent="0.45">
      <c r="B61" s="31" t="s">
        <v>962</v>
      </c>
      <c r="F61" s="29" t="str" cm="1">
        <f t="array" aca="1" ref="F61" ca="1">INDIRECT(B61&amp;"!A2")</f>
        <v>Mahalanobis distance</v>
      </c>
      <c r="G61" s="32" t="s">
        <v>962</v>
      </c>
      <c r="H61" s="30"/>
      <c r="I61" t="e" cm="1" vm="1">
        <f t="array" ref="I61">MAHAL()</f>
        <v>#VALUE!</v>
      </c>
    </row>
    <row r="62" spans="2:9" x14ac:dyDescent="0.45">
      <c r="B62" s="31" t="s">
        <v>582</v>
      </c>
      <c r="F62" s="29" t="str" cm="1">
        <f t="array" aca="1" ref="F62" ca="1">INDIRECT(B62&amp;"!A2")</f>
        <v>Returns a matrix p-norm</v>
      </c>
      <c r="G62" s="32"/>
      <c r="H62" s="30"/>
      <c r="I62" t="e" cm="1" vm="3">
        <f t="array" ref="I62">MNORM()</f>
        <v>#VALUE!</v>
      </c>
    </row>
    <row r="63" spans="2:9" x14ac:dyDescent="0.45">
      <c r="B63" s="31" t="s">
        <v>274</v>
      </c>
      <c r="F63" s="29" t="str" cm="1">
        <f t="array" aca="1" ref="F63" ca="1">INDIRECT(B63&amp;"!A2")</f>
        <v>Filter dataset based on (multiple) criteria passed as string</v>
      </c>
      <c r="G63" s="32"/>
      <c r="H63" s="30"/>
      <c r="I63" t="e" cm="1" vm="1">
        <f t="array" ref="I63">MULTIFILTER()</f>
        <v>#VALUE!</v>
      </c>
    </row>
    <row r="64" spans="2:9" ht="32.25" customHeight="1" x14ac:dyDescent="0.45">
      <c r="B64" s="31" t="s">
        <v>115</v>
      </c>
      <c r="F64" s="29" t="str" cm="1">
        <f t="array" aca="1" ref="F64" ca="1">INDIRECT(B64&amp;"!A2")</f>
        <v>Number of nonzero (nor FALSE) matrix elements</v>
      </c>
      <c r="G64" s="32" t="s">
        <v>115</v>
      </c>
      <c r="H64" s="30"/>
      <c r="I64" t="e" cm="1" vm="3">
        <f t="array" ref="I64">NNZ()</f>
        <v>#VALUE!</v>
      </c>
    </row>
    <row r="65" spans="2:9" ht="32.25" customHeight="1" x14ac:dyDescent="0.45">
      <c r="B65" s="31" t="s">
        <v>114</v>
      </c>
      <c r="F65" s="29" t="str" cm="1">
        <f t="array" aca="1" ref="F65" ca="1">INDIRECT(B65&amp;"!A2")</f>
        <v>Number of array elements</v>
      </c>
      <c r="G65" s="32" t="s">
        <v>114</v>
      </c>
      <c r="H65" s="30"/>
      <c r="I65" t="e" cm="1" vm="3">
        <f t="array" ref="I65">NUMEL()</f>
        <v>#VALUE!</v>
      </c>
    </row>
    <row r="66" spans="2:9" x14ac:dyDescent="0.45">
      <c r="B66" s="31" t="s">
        <v>32</v>
      </c>
      <c r="F66" s="29" t="str" cm="1">
        <f t="array" aca="1" ref="F66" ca="1">INDIRECT(B66&amp;"!A2")</f>
        <v>Returns a matrix of ones</v>
      </c>
      <c r="G66" s="32" t="s">
        <v>32</v>
      </c>
      <c r="H66" s="30"/>
      <c r="I66" t="e" cm="1" vm="3">
        <f t="array" ref="I66">ONES()</f>
        <v>#VALUE!</v>
      </c>
    </row>
    <row r="67" spans="2:9" x14ac:dyDescent="0.45">
      <c r="B67" s="31" t="s">
        <v>916</v>
      </c>
      <c r="F67" s="29" t="str" cm="1">
        <f t="array" aca="1" ref="F67" ca="1">INDIRECT(B67&amp;"!A2")</f>
        <v>Rank each column or row of a range independently. Range may contain text values.</v>
      </c>
      <c r="G67" s="32"/>
      <c r="H67" s="30"/>
      <c r="I67" t="e" cm="1" vm="3">
        <f t="array" ref="I67">RANKRANGE()</f>
        <v>#VALUE!</v>
      </c>
    </row>
    <row r="68" spans="2:9" ht="28.5" x14ac:dyDescent="0.45">
      <c r="B68" s="31" t="s">
        <v>48</v>
      </c>
      <c r="F68" s="29" t="str" cm="1">
        <f t="array" aca="1" ref="F68" ca="1">INDIRECT(B68&amp;"!A2")</f>
        <v>Repeat copies of array</v>
      </c>
      <c r="G68" s="32" t="s">
        <v>48</v>
      </c>
      <c r="H68" s="30" t="s">
        <v>880</v>
      </c>
      <c r="I68" t="e" cm="1" vm="3">
        <f t="array" ref="I68">REPMAT()</f>
        <v>#VALUE!</v>
      </c>
    </row>
    <row r="69" spans="2:9" ht="28.5" x14ac:dyDescent="0.45">
      <c r="B69" s="31" t="s">
        <v>120</v>
      </c>
      <c r="F69" s="29" t="str" cm="1">
        <f t="array" aca="1" ref="F69" ca="1">INDIRECT(B69&amp;"!A2")</f>
        <v>Reshape array</v>
      </c>
      <c r="G69" s="32" t="s">
        <v>120</v>
      </c>
      <c r="H69" s="30" t="s">
        <v>129</v>
      </c>
      <c r="I69" t="e" cm="1" vm="2">
        <f t="array" ref="I69">RESHAPE()</f>
        <v>#VALUE!</v>
      </c>
    </row>
    <row r="70" spans="2:9" x14ac:dyDescent="0.45">
      <c r="B70" s="31" t="s">
        <v>135</v>
      </c>
      <c r="F70" s="29" t="str" cm="1">
        <f t="array" aca="1" ref="F70" ca="1">INDIRECT(B70&amp;"!A2")</f>
        <v>Remove rows or columns with missing entries</v>
      </c>
      <c r="G70" s="32" t="s">
        <v>135</v>
      </c>
      <c r="H70" s="30"/>
      <c r="I70" t="e" cm="1" vm="3">
        <f t="array" ref="I70">RMMISSING()</f>
        <v>#VALUE!</v>
      </c>
    </row>
    <row r="71" spans="2:9" x14ac:dyDescent="0.45">
      <c r="B71" s="31" t="s">
        <v>426</v>
      </c>
      <c r="F71" s="29" t="str" cm="1">
        <f t="array" aca="1" ref="F71" ca="1">INDIRECT(B71&amp;"!A2")</f>
        <v>Remove rows or columns with outliers</v>
      </c>
      <c r="G71" s="32"/>
      <c r="H71" s="30"/>
      <c r="I71" t="e" cm="1" vm="3">
        <f t="array" ref="I71">RMOUTLIERS()</f>
        <v>#VALUE!</v>
      </c>
    </row>
    <row r="72" spans="2:9" x14ac:dyDescent="0.45">
      <c r="B72" s="31" t="s">
        <v>1168</v>
      </c>
      <c r="F72" s="29" t="str" cm="1">
        <f t="array" aca="1" ref="F72" ca="1">INDIRECT(B72&amp;"!A2")</f>
        <v>Shift array by rows and/or columns</v>
      </c>
      <c r="G72" s="32"/>
      <c r="H72" s="30"/>
      <c r="I72" t="e" cm="1" vm="3">
        <f t="array" ref="I72">SHIFT()</f>
        <v>#VALUE!</v>
      </c>
    </row>
    <row r="73" spans="2:9" x14ac:dyDescent="0.45">
      <c r="B73" s="31" t="s">
        <v>385</v>
      </c>
      <c r="F73" s="29" t="str" cm="1">
        <f t="array" aca="1" ref="F73" ca="1">INDIRECT(B73&amp;"!A2")</f>
        <v>Sort each column or row of a range independently. Range may contain text values.</v>
      </c>
      <c r="G73" s="32"/>
      <c r="H73" s="30"/>
      <c r="I73" t="e" cm="1" vm="3">
        <f t="array" ref="I73">SORTRANGE()</f>
        <v>#VALUE!</v>
      </c>
    </row>
    <row r="74" spans="2:9" ht="28.5" x14ac:dyDescent="0.45">
      <c r="B74" s="31" t="s">
        <v>1044</v>
      </c>
      <c r="F74" s="29" t="str" cm="1">
        <f t="array" aca="1" ref="F74" ca="1">INDIRECT(B74&amp;"!A2")</f>
        <v>Create sparse matrix</v>
      </c>
      <c r="G74" s="32" t="s">
        <v>1044</v>
      </c>
      <c r="H74" s="30" t="s">
        <v>1075</v>
      </c>
      <c r="I74" t="e">
        <f>_xlfn.LET(_xlpm.a, SPARSE(), #VALUE!)</f>
        <v>#VALUE!</v>
      </c>
    </row>
    <row r="75" spans="2:9" x14ac:dyDescent="0.45">
      <c r="B75" s="31" t="s">
        <v>1241</v>
      </c>
      <c r="F75" s="29" t="str" cm="1">
        <f t="array" aca="1" ref="F75" ca="1">INDIRECT(B75&amp;"!A2")</f>
        <v>Returns the diagonal of a sparse matrix as a sparse matrix</v>
      </c>
      <c r="G75" s="32"/>
      <c r="H75" s="30"/>
      <c r="I75" t="e" cm="1" vm="3">
        <f t="array" ref="I75">SPARSEDIAG()</f>
        <v>#VALUE!</v>
      </c>
    </row>
    <row r="76" spans="2:9" x14ac:dyDescent="0.45">
      <c r="B76" s="31" t="s">
        <v>1286</v>
      </c>
      <c r="F76" s="29" t="str" cm="1">
        <f t="array" aca="1" ref="F76" ca="1">INDIRECT(B76&amp;"!A2")</f>
        <v>Divide two sparse matrices element-wise or a scalar and a sparse matrix</v>
      </c>
      <c r="G76" s="32"/>
      <c r="H76" s="30"/>
      <c r="I76" t="e" cm="1" vm="1">
        <f t="array" ref="I76">SPARSEDIV()</f>
        <v>#VALUE!</v>
      </c>
    </row>
    <row r="77" spans="2:9" x14ac:dyDescent="0.45">
      <c r="B77" s="31" t="s">
        <v>1224</v>
      </c>
      <c r="F77" s="29" t="str" cm="1">
        <f t="array" aca="1" ref="F77" ca="1">INDIRECT(B77&amp;"!A2")</f>
        <v>Multiply two sparse matrices element-wise or a scalar and a sparse matrix</v>
      </c>
      <c r="G77" s="32"/>
      <c r="H77" s="30"/>
      <c r="I77" t="e" cm="1" vm="1">
        <f t="array" ref="I77">SPARSEDOT()</f>
        <v>#VALUE!</v>
      </c>
    </row>
    <row r="78" spans="2:9" x14ac:dyDescent="0.45">
      <c r="B78" s="31" t="s">
        <v>1235</v>
      </c>
      <c r="F78" s="29" t="str" cm="1">
        <f t="array" aca="1" ref="F78" ca="1">INDIRECT(B78&amp;"!A2")</f>
        <v>Returns a sparse identity matrix</v>
      </c>
      <c r="G78" s="32"/>
      <c r="H78" s="30"/>
      <c r="I78" t="e" cm="1" vm="3">
        <f t="array" ref="I78">SPARSEEYE()</f>
        <v>#VALUE!</v>
      </c>
    </row>
    <row r="79" spans="2:9" x14ac:dyDescent="0.45">
      <c r="B79" s="31" t="s">
        <v>1247</v>
      </c>
      <c r="F79" s="29" t="str" cm="1">
        <f t="array" aca="1" ref="F79" ca="1">INDIRECT(B79&amp;"!A2")</f>
        <v>Concatenate horizontally two sparse matrices</v>
      </c>
      <c r="G79" s="32"/>
      <c r="H79" s="30"/>
      <c r="I79" t="e" cm="1" vm="1">
        <f t="array" ref="I79">SPARSEHSTACK()</f>
        <v>#VALUE!</v>
      </c>
    </row>
    <row r="80" spans="2:9" x14ac:dyDescent="0.45">
      <c r="B80" s="31" t="s">
        <v>1220</v>
      </c>
      <c r="F80" s="29" t="str" cm="1">
        <f t="array" aca="1" ref="F80" ca="1">INDIRECT(B80&amp;"!A2")</f>
        <v>Subtract two sparse matrices</v>
      </c>
      <c r="G80" s="32"/>
      <c r="H80" s="30"/>
      <c r="I80" t="e" cm="1" vm="1">
        <f t="array" ref="I80">SPARSEMINUS()</f>
        <v>#VALUE!</v>
      </c>
    </row>
    <row r="81" spans="2:9" x14ac:dyDescent="0.45">
      <c r="B81" s="31" t="s">
        <v>1232</v>
      </c>
      <c r="F81" s="29" t="str" cm="1">
        <f t="array" aca="1" ref="F81" ca="1">INDIRECT(B81&amp;"!A2")</f>
        <v>Multiply two sparse matrices</v>
      </c>
      <c r="G81" s="32"/>
      <c r="H81" s="30"/>
      <c r="I81" t="e" cm="1" vm="1">
        <f t="array" ref="I81">SPARSEMULT()</f>
        <v>#VALUE!</v>
      </c>
    </row>
    <row r="82" spans="2:9" x14ac:dyDescent="0.45">
      <c r="B82" s="31" t="s">
        <v>1251</v>
      </c>
      <c r="F82" s="29" t="str" cm="1">
        <f t="array" aca="1" ref="F82" ca="1">INDIRECT(B82&amp;"!A2")</f>
        <v>Returns a sparse matrix of ones</v>
      </c>
      <c r="G82" s="32"/>
      <c r="H82" s="30"/>
      <c r="I82" t="e" cm="1" vm="3">
        <f t="array" ref="I82">SPARSEONES()</f>
        <v>#VALUE!</v>
      </c>
    </row>
    <row r="83" spans="2:9" x14ac:dyDescent="0.45">
      <c r="B83" s="31" t="s">
        <v>1219</v>
      </c>
      <c r="F83" s="29" t="str" cm="1">
        <f t="array" aca="1" ref="F83" ca="1">INDIRECT(B83&amp;"!A2")</f>
        <v>Sum two sparse matrices</v>
      </c>
      <c r="G83" s="32"/>
      <c r="H83" s="30"/>
      <c r="I83" t="e" cm="1" vm="1">
        <f t="array" ref="I83">SPARSEPLUS()</f>
        <v>#VALUE!</v>
      </c>
    </row>
    <row r="84" spans="2:9" x14ac:dyDescent="0.45">
      <c r="B84" s="31" t="s">
        <v>1225</v>
      </c>
      <c r="F84" s="29" t="str" cm="1">
        <f t="array" aca="1" ref="F84" ca="1">INDIRECT(B84&amp;"!A2")</f>
        <v>Raise sparse matrix elements to a specific power</v>
      </c>
      <c r="G84" s="32"/>
      <c r="H84" s="30"/>
      <c r="I84" t="e" cm="1" vm="1">
        <f t="array" ref="I84">SPARSEPOWER()</f>
        <v>#VALUE!</v>
      </c>
    </row>
    <row r="85" spans="2:9" x14ac:dyDescent="0.45">
      <c r="B85" s="31" t="s">
        <v>1254</v>
      </c>
      <c r="F85" s="29" t="str" cm="1">
        <f t="array" aca="1" ref="F85" ca="1">INDIRECT(B85&amp;"!A2")</f>
        <v>Slice a sparse matrix</v>
      </c>
      <c r="G85" s="32"/>
      <c r="H85" s="30"/>
      <c r="I85" t="e" cm="1" vm="3">
        <f t="array" ref="I85">SPARSESLICE()</f>
        <v>#VALUE!</v>
      </c>
    </row>
    <row r="86" spans="2:9" x14ac:dyDescent="0.45">
      <c r="B86" s="31" t="s">
        <v>1234</v>
      </c>
      <c r="F86" s="29" t="str" cm="1">
        <f t="array" aca="1" ref="F86" ca="1">INDIRECT(B86&amp;"!A2")</f>
        <v>Returns the transpose of a sparse matrix as a sparse matrix</v>
      </c>
      <c r="G86" s="32"/>
      <c r="H86" s="30"/>
      <c r="I86" t="e" cm="1" vm="3">
        <f t="array" ref="I86">SPARSET()</f>
        <v>#VALUE!</v>
      </c>
    </row>
    <row r="87" spans="2:9" x14ac:dyDescent="0.45">
      <c r="B87" s="31" t="s">
        <v>1245</v>
      </c>
      <c r="F87" s="29" t="str" cm="1">
        <f t="array" aca="1" ref="F87" ca="1">INDIRECT(B87&amp;"!A2")</f>
        <v>Pile up two sparse matrices</v>
      </c>
      <c r="G87" s="32"/>
      <c r="H87" s="30"/>
      <c r="I87" t="e" cm="1" vm="1">
        <f t="array" ref="I87">SPARSEVSTACK()</f>
        <v>#VALUE!</v>
      </c>
    </row>
    <row r="88" spans="2:9" x14ac:dyDescent="0.45">
      <c r="B88" s="31" t="s">
        <v>1214</v>
      </c>
      <c r="F88" s="29" t="str" cm="1">
        <f t="array" aca="1" ref="F88" ca="1">INDIRECT(B88&amp;"!A2")</f>
        <v>Run element-wise operations between two sparse matrices</v>
      </c>
      <c r="G88" s="32"/>
      <c r="H88" s="30"/>
      <c r="I88" t="e" cm="1" vm="1">
        <f t="array" ref="I88">SPARSEWISE()</f>
        <v>#VALUE!</v>
      </c>
    </row>
    <row r="89" spans="2:9" x14ac:dyDescent="0.45">
      <c r="B89" s="31" t="s">
        <v>1250</v>
      </c>
      <c r="F89" s="29" t="str" cm="1">
        <f t="array" aca="1" ref="F89" ca="1">INDIRECT(B89&amp;"!A2")</f>
        <v>Returns a sparse matrix of zeros</v>
      </c>
      <c r="G89" s="32"/>
      <c r="H89" s="30"/>
      <c r="I89" t="e" cm="1" vm="3">
        <f t="array" ref="I89">SPARSEZEROS()</f>
        <v>#VALUE!</v>
      </c>
    </row>
    <row r="90" spans="2:9" x14ac:dyDescent="0.45">
      <c r="B90" s="31" t="s">
        <v>30</v>
      </c>
      <c r="F90" s="29" t="str" cm="1">
        <f t="array" aca="1" ref="F90" ca="1">INDIRECT(B90&amp;"!A2")</f>
        <v>Returns the lower triangular part of a matrix</v>
      </c>
      <c r="G90" s="32" t="s">
        <v>30</v>
      </c>
      <c r="H90" s="30"/>
      <c r="I90" t="e" cm="1" vm="3">
        <f t="array" ref="I90">TRIL()</f>
        <v>#VALUE!</v>
      </c>
    </row>
    <row r="91" spans="2:9" x14ac:dyDescent="0.45">
      <c r="B91" s="31" t="s">
        <v>31</v>
      </c>
      <c r="F91" s="29" t="str" cm="1">
        <f t="array" aca="1" ref="F91" ca="1">INDIRECT(B91&amp;"!A2")</f>
        <v>Returns the upper triangular part of a matrix</v>
      </c>
      <c r="G91" s="32" t="s">
        <v>31</v>
      </c>
      <c r="H91" s="30"/>
      <c r="I91" t="e" cm="1" vm="3">
        <f t="array" ref="I91">TRIU()</f>
        <v>#VALUE!</v>
      </c>
    </row>
    <row r="92" spans="2:9" x14ac:dyDescent="0.45">
      <c r="B92" s="31" t="s">
        <v>1304</v>
      </c>
      <c r="F92" s="29" t="str" cm="1">
        <f t="array" aca="1" ref="F92" ca="1">INDIRECT(B92&amp;"!A2")</f>
        <v>Unflatten a flattened matrix to extract a specific component</v>
      </c>
      <c r="G92" s="32"/>
      <c r="H92" s="30"/>
      <c r="I92" t="e" cm="1" vm="1">
        <f t="array" ref="I92">UNFLATTEN()</f>
        <v>#VALUE!</v>
      </c>
    </row>
    <row r="93" spans="2:9" x14ac:dyDescent="0.45">
      <c r="B93" s="31" t="s">
        <v>23</v>
      </c>
      <c r="F93" s="29" t="str" cm="1">
        <f t="array" aca="1" ref="F93" ca="1">INDIRECT(B93&amp;"!A2")</f>
        <v>Returns a matrix of zeros</v>
      </c>
      <c r="G93" s="32" t="s">
        <v>23</v>
      </c>
      <c r="H93" s="30"/>
      <c r="I93" t="e" cm="1" vm="3">
        <f t="array" ref="I93">ZEROS()</f>
        <v>#VALUE!</v>
      </c>
    </row>
    <row r="96" spans="2:9" ht="21" x14ac:dyDescent="0.65">
      <c r="B96" s="3" t="s">
        <v>1339</v>
      </c>
    </row>
    <row r="97" spans="2:9" x14ac:dyDescent="0.45">
      <c r="B97" s="31" t="s">
        <v>1351</v>
      </c>
      <c r="F97" s="29" t="s">
        <v>1362</v>
      </c>
      <c r="G97" s="32"/>
      <c r="H97" s="30"/>
      <c r="I97" s="31" t="e" cm="1" vm="3">
        <f t="array" ref="I97">CMABS()</f>
        <v>#VALUE!</v>
      </c>
    </row>
    <row r="98" spans="2:9" x14ac:dyDescent="0.45">
      <c r="B98" s="31" t="s">
        <v>1353</v>
      </c>
      <c r="F98" s="29" t="s">
        <v>1361</v>
      </c>
      <c r="G98" s="32"/>
      <c r="H98" s="30"/>
      <c r="I98" s="31" t="e" cm="1" vm="3">
        <f t="array" ref="I98">CMARG()</f>
        <v>#VALUE!</v>
      </c>
    </row>
    <row r="99" spans="2:9" x14ac:dyDescent="0.45">
      <c r="B99" s="31" t="s">
        <v>1375</v>
      </c>
      <c r="F99" s="29" t="s">
        <v>1376</v>
      </c>
      <c r="G99" s="32"/>
      <c r="H99" s="30"/>
      <c r="I99" s="31" t="e" cm="1" vm="3">
        <f t="array" ref="I99">CMATRIX()</f>
        <v>#VALUE!</v>
      </c>
    </row>
    <row r="100" spans="2:9" x14ac:dyDescent="0.45">
      <c r="B100" s="31" t="s">
        <v>1348</v>
      </c>
      <c r="F100" s="29" t="s">
        <v>1365</v>
      </c>
      <c r="G100" s="32"/>
      <c r="H100" s="30"/>
      <c r="I100" s="31" t="e" cm="1" vm="3">
        <f t="array" ref="I100">CMCONJ()</f>
        <v>#VALUE!</v>
      </c>
    </row>
    <row r="101" spans="2:9" x14ac:dyDescent="0.45">
      <c r="B101" s="31" t="s">
        <v>1355</v>
      </c>
      <c r="F101" s="29" t="s">
        <v>1366</v>
      </c>
      <c r="G101" s="32"/>
      <c r="H101" s="30"/>
      <c r="I101" s="31" t="e" cm="1" vm="3">
        <f t="array" ref="I101">CMCOS()</f>
        <v>#VALUE!</v>
      </c>
    </row>
    <row r="102" spans="2:9" x14ac:dyDescent="0.45">
      <c r="B102" s="31" t="s">
        <v>1352</v>
      </c>
      <c r="F102" s="29" t="s">
        <v>1360</v>
      </c>
      <c r="G102" s="32"/>
      <c r="H102" s="30"/>
      <c r="I102" s="31" t="e" cm="1" vm="1">
        <f t="array" ref="I102">CMDIV()</f>
        <v>#VALUE!</v>
      </c>
    </row>
    <row r="103" spans="2:9" x14ac:dyDescent="0.45">
      <c r="B103" s="31" t="s">
        <v>1378</v>
      </c>
      <c r="F103" s="29" t="s">
        <v>1379</v>
      </c>
      <c r="G103" s="32"/>
      <c r="H103" s="30"/>
      <c r="I103" s="31" t="e" cm="1" vm="1">
        <f t="array" ref="I103">CMFORMAT()</f>
        <v>#VALUE!</v>
      </c>
    </row>
    <row r="104" spans="2:9" x14ac:dyDescent="0.45">
      <c r="B104" s="31" t="s">
        <v>1350</v>
      </c>
      <c r="F104" s="29" t="s">
        <v>1363</v>
      </c>
      <c r="G104" s="32"/>
      <c r="H104" s="30"/>
      <c r="I104" s="31" t="e" cm="1" vm="3">
        <f t="array" ref="I104">CMIMAGINARY()</f>
        <v>#VALUE!</v>
      </c>
    </row>
    <row r="105" spans="2:9" x14ac:dyDescent="0.45">
      <c r="B105" s="31" t="s">
        <v>1374</v>
      </c>
      <c r="F105" s="29" t="s">
        <v>1377</v>
      </c>
      <c r="G105" s="32"/>
      <c r="H105" s="30"/>
      <c r="I105" s="31" t="e" cm="1" vm="3">
        <f t="array" ref="I105">CMINVERSE()</f>
        <v>#VALUE!</v>
      </c>
    </row>
    <row r="106" spans="2:9" x14ac:dyDescent="0.45">
      <c r="B106" s="31" t="s">
        <v>1347</v>
      </c>
      <c r="F106" s="29" t="s">
        <v>1359</v>
      </c>
      <c r="G106" s="32"/>
      <c r="H106" s="30"/>
      <c r="I106" s="31" t="e" cm="1" vm="1">
        <f t="array" ref="I106">CMMULT()</f>
        <v>#VALUE!</v>
      </c>
    </row>
    <row r="107" spans="2:9" x14ac:dyDescent="0.45">
      <c r="B107" s="31" t="s">
        <v>1354</v>
      </c>
      <c r="F107" s="29" t="s">
        <v>1373</v>
      </c>
      <c r="G107" s="32"/>
      <c r="H107" s="30"/>
      <c r="I107" s="31" t="e" cm="1" vm="1">
        <f t="array" ref="I107">CMPOWER()</f>
        <v>#VALUE!</v>
      </c>
    </row>
    <row r="108" spans="2:9" x14ac:dyDescent="0.45">
      <c r="B108" s="31" t="s">
        <v>1346</v>
      </c>
      <c r="F108" s="29" t="s">
        <v>1368</v>
      </c>
      <c r="G108" s="32"/>
      <c r="H108" s="30"/>
      <c r="I108" s="31" t="e" cm="1" vm="1">
        <f t="array" ref="I108">CMPROD()</f>
        <v>#VALUE!</v>
      </c>
    </row>
    <row r="109" spans="2:9" x14ac:dyDescent="0.45">
      <c r="B109" s="31" t="s">
        <v>1349</v>
      </c>
      <c r="F109" s="29" t="s">
        <v>1364</v>
      </c>
      <c r="G109" s="32"/>
      <c r="H109" s="30"/>
      <c r="I109" s="31" t="e" cm="1" vm="3">
        <f t="array" ref="I109">CMREAL()</f>
        <v>#VALUE!</v>
      </c>
    </row>
    <row r="110" spans="2:9" x14ac:dyDescent="0.45">
      <c r="B110" s="31" t="s">
        <v>1371</v>
      </c>
      <c r="F110" s="29" t="s">
        <v>1372</v>
      </c>
      <c r="G110" s="32"/>
      <c r="H110" s="30"/>
      <c r="I110" s="31" t="e" cm="1" vm="1">
        <f t="array" ref="I110">CMROUND()</f>
        <v>#VALUE!</v>
      </c>
    </row>
    <row r="111" spans="2:9" x14ac:dyDescent="0.45">
      <c r="B111" s="31" t="s">
        <v>1369</v>
      </c>
      <c r="F111" s="29" t="s">
        <v>1370</v>
      </c>
      <c r="G111" s="32"/>
      <c r="H111" s="30"/>
      <c r="I111" s="31" t="e" cm="1" vm="3">
        <f t="array" ref="I111">CMSIGN()</f>
        <v>#VALUE!</v>
      </c>
    </row>
    <row r="112" spans="2:9" x14ac:dyDescent="0.45">
      <c r="B112" s="31" t="s">
        <v>1356</v>
      </c>
      <c r="F112" s="29" t="s">
        <v>1367</v>
      </c>
      <c r="G112" s="32"/>
      <c r="H112" s="30"/>
      <c r="I112" s="31" t="e" cm="1" vm="3">
        <f t="array" ref="I112">CMSIN()</f>
        <v>#VALUE!</v>
      </c>
    </row>
    <row r="113" spans="2:9" x14ac:dyDescent="0.45">
      <c r="B113" s="31" t="s">
        <v>1345</v>
      </c>
      <c r="F113" s="29" t="s">
        <v>1358</v>
      </c>
      <c r="G113" s="32"/>
      <c r="H113" s="30"/>
      <c r="I113" s="31" t="e" cm="1" vm="1">
        <f t="array" ref="I113">CMSUB()</f>
        <v>#VALUE!</v>
      </c>
    </row>
    <row r="114" spans="2:9" x14ac:dyDescent="0.45">
      <c r="B114" s="31" t="s">
        <v>1344</v>
      </c>
      <c r="F114" s="29" t="s">
        <v>1357</v>
      </c>
      <c r="G114" s="32"/>
      <c r="H114" s="30"/>
      <c r="I114" s="31" t="e" cm="1" vm="1">
        <f t="array" ref="I114">CMSUM()</f>
        <v>#VALUE!</v>
      </c>
    </row>
    <row r="117" spans="2:9" ht="21" x14ac:dyDescent="0.65">
      <c r="B117" s="3" t="s">
        <v>143</v>
      </c>
    </row>
    <row r="118" spans="2:9" x14ac:dyDescent="0.45">
      <c r="B118" s="31" t="s">
        <v>539</v>
      </c>
      <c r="F118" s="29" t="str" cm="1">
        <f t="array" aca="1" ref="F118" ca="1">INDIRECT(B118&amp;"!A2")</f>
        <v>Checks whether a string contains a certain sequence of characters</v>
      </c>
      <c r="G118" s="32"/>
      <c r="H118" s="30"/>
      <c r="I118" t="e" cm="1" vm="4">
        <f t="array" ref="I118">CONTAINS()</f>
        <v>#VALUE!</v>
      </c>
    </row>
    <row r="119" spans="2:9" x14ac:dyDescent="0.45">
      <c r="B119" s="31" t="s">
        <v>535</v>
      </c>
      <c r="F119" s="29" t="str" cm="1">
        <f t="array" aca="1" ref="F119" ca="1">INDIRECT(B119&amp;"!A2")</f>
        <v>Checks whether a string ends with a certain sequence of characters</v>
      </c>
      <c r="G119" s="32"/>
      <c r="H119" s="30"/>
      <c r="I119" t="e" cm="1" vm="4">
        <f t="array" ref="I119">ENDSWITH()</f>
        <v>#VALUE!</v>
      </c>
    </row>
    <row r="120" spans="2:9" x14ac:dyDescent="0.45">
      <c r="B120" s="31" t="s">
        <v>323</v>
      </c>
      <c r="F120" s="29" t="s">
        <v>324</v>
      </c>
      <c r="G120" s="32"/>
      <c r="H120" s="30"/>
      <c r="I120" t="e" cm="1" vm="2">
        <f t="array" ref="I120">REPLACEALL()</f>
        <v>#VALUE!</v>
      </c>
    </row>
    <row r="121" spans="2:9" x14ac:dyDescent="0.45">
      <c r="B121" s="31" t="s">
        <v>95</v>
      </c>
      <c r="F121" s="29" t="s">
        <v>130</v>
      </c>
      <c r="G121" s="32" t="s">
        <v>95</v>
      </c>
      <c r="H121" s="30"/>
      <c r="I121" t="e" cm="1" vm="1">
        <f t="array" ref="I121">_xludf.SPLIT()</f>
        <v>#VALUE!</v>
      </c>
    </row>
    <row r="122" spans="2:9" x14ac:dyDescent="0.45">
      <c r="B122" s="31" t="s">
        <v>325</v>
      </c>
      <c r="F122" s="29" t="s">
        <v>326</v>
      </c>
      <c r="G122" s="32"/>
      <c r="H122" s="30"/>
      <c r="I122" t="e" cm="1" vm="4">
        <f t="array" ref="I122">SPLITALL()</f>
        <v>#VALUE!</v>
      </c>
    </row>
    <row r="123" spans="2:9" x14ac:dyDescent="0.45">
      <c r="B123" s="31" t="s">
        <v>354</v>
      </c>
      <c r="F123" s="29" t="s">
        <v>384</v>
      </c>
      <c r="G123" s="32"/>
      <c r="H123" s="30"/>
      <c r="I123" t="e" cm="1" vm="2">
        <f t="array" ref="I123">SPLITTWO()</f>
        <v>#VALUE!</v>
      </c>
    </row>
    <row r="124" spans="2:9" x14ac:dyDescent="0.45">
      <c r="B124" s="31" t="s">
        <v>527</v>
      </c>
      <c r="F124" s="29" t="str" cm="1">
        <f t="array" aca="1" ref="F124" ca="1">INDIRECT(B124&amp;"!A2")</f>
        <v>Checks whether a string starts with a certain sequence of characters</v>
      </c>
      <c r="G124" s="32"/>
      <c r="H124" s="30"/>
      <c r="I124" t="e" cm="1" vm="4">
        <f t="array" ref="I124">STARTSWITH()</f>
        <v>#VALUE!</v>
      </c>
    </row>
    <row r="125" spans="2:9" x14ac:dyDescent="0.45">
      <c r="B125" s="31" t="s">
        <v>288</v>
      </c>
      <c r="F125" s="29" t="str" cm="1">
        <f t="array" aca="1" ref="F125" ca="1">INDIRECT(B125&amp;"!A2")</f>
        <v>Convert a text that represents a matrix into an array</v>
      </c>
      <c r="G125" s="32"/>
      <c r="H125" s="30"/>
      <c r="I125" t="e" cm="1" vm="3">
        <f t="array" ref="I125">TEXTTOARRAY()</f>
        <v>#VALUE!</v>
      </c>
    </row>
    <row r="126" spans="2:9" x14ac:dyDescent="0.45">
      <c r="B126" s="31" t="s">
        <v>102</v>
      </c>
      <c r="F126" s="29" t="s">
        <v>131</v>
      </c>
      <c r="G126" s="32"/>
      <c r="H126" s="30"/>
      <c r="I126" t="e" cm="1" vm="3">
        <f t="array" ref="I126">TEXTTOCHAR()</f>
        <v>#VALUE!</v>
      </c>
    </row>
    <row r="129" spans="2:9" ht="21" x14ac:dyDescent="0.65">
      <c r="B129" s="3" t="s">
        <v>98</v>
      </c>
    </row>
    <row r="130" spans="2:9" x14ac:dyDescent="0.45">
      <c r="B130" s="31" t="s">
        <v>169</v>
      </c>
      <c r="F130" s="29" t="str" cm="1">
        <f t="array" aca="1" ref="F130" ca="1">INDIRECT(B130&amp;"!A2")</f>
        <v>Add a column of ones to a matrix</v>
      </c>
      <c r="G130" s="32"/>
      <c r="H130" s="30"/>
      <c r="I130" t="e" cm="1" vm="3">
        <f t="array" ref="I130">ADDCONST()</f>
        <v>#VALUE!</v>
      </c>
    </row>
    <row r="131" spans="2:9" x14ac:dyDescent="0.45">
      <c r="B131" s="31" t="s">
        <v>173</v>
      </c>
      <c r="F131" s="29" t="str" cm="1">
        <f t="array" aca="1" ref="F131" ca="1">INDIRECT(B131&amp;"!A2")</f>
        <v>Add a column with a deterministic trend to a matrix</v>
      </c>
      <c r="G131" s="32"/>
      <c r="H131" s="30"/>
      <c r="I131" t="e" cm="1" vm="3">
        <f t="array" ref="I131">ADDTREND()</f>
        <v>#VALUE!</v>
      </c>
    </row>
    <row r="132" spans="2:9" x14ac:dyDescent="0.45">
      <c r="B132" s="31" t="s">
        <v>554</v>
      </c>
      <c r="F132" s="29" t="str" cm="1">
        <f t="array" aca="1" ref="F132" ca="1">INDIRECT(B132&amp;"!A2")</f>
        <v>Aggregate a time series to a lower time frequency</v>
      </c>
      <c r="G132" s="32"/>
      <c r="H132" s="30"/>
      <c r="I132" t="e" cm="1" vm="6">
        <f t="array" ref="I132">AGGREGBYDATE()</f>
        <v>#VALUE!</v>
      </c>
    </row>
    <row r="133" spans="2:9" x14ac:dyDescent="0.45">
      <c r="B133" s="31" t="s">
        <v>204</v>
      </c>
      <c r="F133" s="29" t="str" cm="1">
        <f t="array" aca="1" ref="F133" ca="1">INDIRECT(B133&amp;"!A2")</f>
        <v>Analysis of variance (1 factor or one-way)</v>
      </c>
      <c r="G133" s="32"/>
      <c r="H133" s="30"/>
      <c r="I133" t="e" cm="1" vm="1">
        <f t="array" ref="I133">ANOVA()</f>
        <v>#VALUE!</v>
      </c>
    </row>
    <row r="134" spans="2:9" x14ac:dyDescent="0.45">
      <c r="B134" s="31" t="s">
        <v>1106</v>
      </c>
      <c r="F134" s="29" t="str" cm="1">
        <f t="array" aca="1" ref="F134" ca="1">INDIRECT(B134&amp;"!A2")</f>
        <v>Baxter-King filter for trend and cyclical components</v>
      </c>
      <c r="G134" s="32" t="s">
        <v>1106</v>
      </c>
      <c r="H134" s="30"/>
      <c r="I134" t="e" cm="1" vm="3">
        <f t="array" ref="I134">BKFILTER()</f>
        <v>#VALUE!</v>
      </c>
    </row>
    <row r="135" spans="2:9" ht="28.5" x14ac:dyDescent="0.45">
      <c r="B135" s="31" t="s">
        <v>1156</v>
      </c>
      <c r="F135" s="29" t="str" cm="1">
        <f t="array" aca="1" ref="F135" ca="1">INDIRECT(B135&amp;"!A2")</f>
        <v>Christiano-Fitzgerald filter for trend and cyclical components</v>
      </c>
      <c r="G135" s="32" t="s">
        <v>1156</v>
      </c>
      <c r="H135" s="30" t="s">
        <v>1167</v>
      </c>
      <c r="I135" t="e" cm="1" vm="3">
        <f t="array" ref="I135">CFFILTER()</f>
        <v>#VALUE!</v>
      </c>
    </row>
    <row r="136" spans="2:9" x14ac:dyDescent="0.45">
      <c r="B136" s="136" t="s">
        <v>994</v>
      </c>
      <c r="F136" s="137" t="str" cm="1">
        <f t="array" aca="1" ref="F136" ca="1">INDIRECT(B136&amp;"!A2")</f>
        <v>Chow test for structural change</v>
      </c>
      <c r="G136" s="32"/>
      <c r="H136" s="30" t="s">
        <v>995</v>
      </c>
      <c r="I136" t="e" cm="1" vm="2">
        <f t="array" ref="I136">CHOWTEST()</f>
        <v>#VALUE!</v>
      </c>
    </row>
    <row r="137" spans="2:9" x14ac:dyDescent="0.45">
      <c r="B137" s="31" t="s">
        <v>651</v>
      </c>
      <c r="F137" s="29" t="str" cm="1">
        <f t="array" aca="1" ref="F137" ca="1">INDIRECT(B137&amp;"!A2")</f>
        <v>Test for contagion using the Cokurtosis test.</v>
      </c>
      <c r="G137" s="32"/>
      <c r="H137" s="30"/>
      <c r="I137" t="e" cm="1" vm="6">
        <f t="array" ref="I137">CONTAGION_COKURTOSIS()</f>
        <v>#VALUE!</v>
      </c>
    </row>
    <row r="138" spans="2:9" x14ac:dyDescent="0.45">
      <c r="B138" s="31" t="s">
        <v>653</v>
      </c>
      <c r="F138" s="29" t="str" cm="1">
        <f t="array" aca="1" ref="F138" ca="1">INDIRECT(B138&amp;"!A2")</f>
        <v>Test for contagion using the Coskewness test.</v>
      </c>
      <c r="G138" s="32"/>
      <c r="H138" s="30"/>
      <c r="I138" t="e" cm="1" vm="6">
        <f t="array" ref="I138">CONTAGION_COSKEWNESS()</f>
        <v>#VALUE!</v>
      </c>
    </row>
    <row r="139" spans="2:9" x14ac:dyDescent="0.45">
      <c r="B139" s="31" t="s">
        <v>644</v>
      </c>
      <c r="F139" s="29" t="str" cm="1">
        <f t="array" aca="1" ref="F139" ca="1">INDIRECT(B139&amp;"!A2")</f>
        <v>Test for contagion using the Covolatility test.</v>
      </c>
      <c r="G139" s="32"/>
      <c r="H139" s="30"/>
      <c r="I139" t="e" cm="1" vm="6">
        <f t="array" ref="I139">CONTAGION_COVOLATILITY()</f>
        <v>#VALUE!</v>
      </c>
    </row>
    <row r="140" spans="2:9" x14ac:dyDescent="0.45">
      <c r="B140" s="31" t="s">
        <v>648</v>
      </c>
      <c r="F140" s="29" t="str" cm="1">
        <f t="array" aca="1" ref="F140" ca="1">INDIRECT(B140&amp;"!A2")</f>
        <v>Test for contagion using the Forbes and Rigobon test.</v>
      </c>
      <c r="G140" s="32"/>
      <c r="H140" s="30"/>
      <c r="I140" t="e" cm="1" vm="6">
        <f t="array" ref="I140">CONTAGION_FORBESRIGOBON()</f>
        <v>#VALUE!</v>
      </c>
    </row>
    <row r="141" spans="2:9" x14ac:dyDescent="0.45">
      <c r="B141" s="31" t="s">
        <v>796</v>
      </c>
      <c r="F141" s="29" t="str" cm="1">
        <f t="array" aca="1" ref="F141" ca="1">INDIRECT(B141&amp;"!A2")</f>
        <v>Correlation coefficients</v>
      </c>
      <c r="G141" s="32" t="s">
        <v>796</v>
      </c>
      <c r="H141" s="30"/>
      <c r="I141" t="e" cm="1" vm="3">
        <f t="array" ref="I141">CORRCOEF()</f>
        <v>#VALUE!</v>
      </c>
    </row>
    <row r="142" spans="2:9" ht="28.5" x14ac:dyDescent="0.45">
      <c r="B142" s="31" t="s">
        <v>942</v>
      </c>
      <c r="F142" s="29" t="str" cm="1">
        <f t="array" aca="1" ref="F142" ca="1">INDIRECT(B142&amp;"!A2")</f>
        <v>Test the difference between the Pearson correlations of two samples. Null hypothesis is that correlations are the same.</v>
      </c>
      <c r="G142" s="32"/>
      <c r="H142" s="30"/>
      <c r="I142" t="e" cm="1" vm="6">
        <f t="array" ref="I142">CORREL_DIFF_TEST()</f>
        <v>#VALUE!</v>
      </c>
    </row>
    <row r="143" spans="2:9" x14ac:dyDescent="0.45">
      <c r="B143" s="31" t="s">
        <v>965</v>
      </c>
      <c r="F143" s="29" t="str" cm="1">
        <f t="array" aca="1" ref="F143" ca="1">INDIRECT(B143&amp;"!A2")</f>
        <v>Covariance</v>
      </c>
      <c r="G143" s="32" t="s">
        <v>965</v>
      </c>
      <c r="H143" s="30"/>
      <c r="I143" t="e" cm="1" vm="3">
        <f t="array" ref="I143">COV()</f>
        <v>#VALUE!</v>
      </c>
    </row>
    <row r="144" spans="2:9" x14ac:dyDescent="0.45">
      <c r="B144" s="31" t="s">
        <v>183</v>
      </c>
      <c r="F144" s="29" t="str" cm="1">
        <f t="array" aca="1" ref="F144" ca="1">INDIRECT(B144&amp;"!A2")</f>
        <v>Detrend a time series</v>
      </c>
      <c r="G144" s="32"/>
      <c r="H144" s="30"/>
      <c r="I144" t="e" cm="1" vm="3">
        <f t="array" ref="I144">DETREND()</f>
        <v>#VALUE!</v>
      </c>
    </row>
    <row r="145" spans="2:9" x14ac:dyDescent="0.45">
      <c r="B145" s="31" t="s">
        <v>334</v>
      </c>
      <c r="F145" s="29" t="str" cm="1">
        <f t="array" aca="1" ref="F145" ca="1">INDIRECT(B145&amp;"!A2")</f>
        <v>Critical values for the (Augmented) Dicky-Fuller test</v>
      </c>
      <c r="G145" s="32"/>
      <c r="H145" s="30"/>
      <c r="I145" t="e" cm="1" vm="3">
        <f t="array" ref="I145">DFTABLE()</f>
        <v>#VALUE!</v>
      </c>
    </row>
    <row r="146" spans="2:9" x14ac:dyDescent="0.45">
      <c r="B146" s="31" t="s">
        <v>349</v>
      </c>
      <c r="F146" s="29" t="str" cm="1">
        <f t="array" aca="1" ref="F146" ca="1">INDIRECT(B146&amp;"!A2")</f>
        <v>Differences between adjacent elements</v>
      </c>
      <c r="G146" s="32" t="s">
        <v>349</v>
      </c>
      <c r="H146" s="30"/>
      <c r="I146" t="e" cm="1" vm="3">
        <f t="array" ref="I146">DIFF()</f>
        <v>#VALUE!</v>
      </c>
    </row>
    <row r="147" spans="2:9" x14ac:dyDescent="0.45">
      <c r="B147" s="31" t="s">
        <v>157</v>
      </c>
      <c r="F147" s="29" t="str" cm="1">
        <f t="array" aca="1" ref="F147" ca="1">INDIRECT(B147&amp;"!A2")</f>
        <v>Create alphabetically ordered dummy variables from categorical ones</v>
      </c>
      <c r="G147" s="32" t="s">
        <v>157</v>
      </c>
      <c r="H147" s="30" t="s">
        <v>164</v>
      </c>
      <c r="I147" t="e" cm="1" vm="3">
        <f t="array" ref="I147">DUMMYVAR()</f>
        <v>#VALUE!</v>
      </c>
    </row>
    <row r="148" spans="2:9" x14ac:dyDescent="0.45">
      <c r="B148" s="31" t="s">
        <v>217</v>
      </c>
      <c r="F148" s="29" t="str" cm="1">
        <f t="array" aca="1" ref="F148" ca="1">INDIRECT(B148&amp;"!A2")</f>
        <v>Granger causality</v>
      </c>
      <c r="G148" s="32"/>
      <c r="H148" s="30"/>
      <c r="I148" t="e" cm="1" vm="2">
        <f t="array" ref="I148">GRANGER()</f>
        <v>#VALUE!</v>
      </c>
    </row>
    <row r="149" spans="2:9" x14ac:dyDescent="0.45">
      <c r="B149" s="31" t="s">
        <v>884</v>
      </c>
      <c r="F149" s="29" t="str" cm="1">
        <f t="array" aca="1" ref="F149" ca="1">INDIRECT(B149&amp;"!A2")</f>
        <v>Checks whether a matrix has a constant column or row</v>
      </c>
      <c r="G149" s="32"/>
      <c r="H149" s="30"/>
      <c r="I149" t="e" cm="1" vm="3">
        <f t="array" ref="I149">HASCONST()</f>
        <v>#VALUE!</v>
      </c>
    </row>
    <row r="150" spans="2:9" x14ac:dyDescent="0.45">
      <c r="B150" s="31" t="s">
        <v>1177</v>
      </c>
      <c r="F150" s="29" t="str" cm="1">
        <f t="array" aca="1" ref="F150" ca="1">INDIRECT(B150&amp;"!A2")</f>
        <v>Henderson filter for trend and cyclical components</v>
      </c>
      <c r="G150" s="32"/>
      <c r="H150" s="30"/>
      <c r="I150" t="e" cm="1" vm="3">
        <f t="array" ref="I150">HENDFILTER()</f>
        <v>#VALUE!</v>
      </c>
    </row>
    <row r="151" spans="2:9" x14ac:dyDescent="0.45">
      <c r="B151" s="31" t="s">
        <v>1182</v>
      </c>
      <c r="F151" s="29" t="str" cm="1">
        <f t="array" aca="1" ref="F151" ca="1">INDIRECT(B151&amp;"!A2")</f>
        <v>Henderson filter weights</v>
      </c>
      <c r="G151" s="32"/>
      <c r="H151" s="30"/>
      <c r="I151" t="e" cm="1" vm="3">
        <f t="array" ref="I151">HENDFILTER_WEIGHTS()</f>
        <v>#VALUE!</v>
      </c>
    </row>
    <row r="152" spans="2:9" x14ac:dyDescent="0.45">
      <c r="B152" s="31" t="s">
        <v>1094</v>
      </c>
      <c r="F152" s="29" t="str" cm="1">
        <f t="array" aca="1" ref="F152" ca="1">INDIRECT(B152&amp;"!A2")</f>
        <v>Hamilton filter for trend and cyclical components</v>
      </c>
      <c r="G152" s="32" t="s">
        <v>1094</v>
      </c>
      <c r="H152" s="30"/>
      <c r="I152" t="e" cm="1" vm="3">
        <f t="array" ref="I152">HFILTER()</f>
        <v>#VALUE!</v>
      </c>
    </row>
    <row r="153" spans="2:9" x14ac:dyDescent="0.45">
      <c r="B153" s="31" t="s">
        <v>190</v>
      </c>
      <c r="F153" s="29" t="str" cm="1">
        <f t="array" aca="1" ref="F153" ca="1">INDIRECT(B153&amp;"!A2")</f>
        <v>Hodrick-Prescott filter for trend and cyclical components</v>
      </c>
      <c r="G153" s="32" t="s">
        <v>190</v>
      </c>
      <c r="H153" s="30"/>
      <c r="I153" t="e" cm="1" vm="1">
        <f t="array" ref="I153">HPFILTER()</f>
        <v>#VALUE!</v>
      </c>
    </row>
    <row r="154" spans="2:9" x14ac:dyDescent="0.45">
      <c r="B154" s="31" t="s">
        <v>461</v>
      </c>
      <c r="F154" s="29" t="str" cm="1">
        <f t="array" aca="1" ref="F154" ca="1">INDIRECT(B154&amp;"!A2")</f>
        <v>Returns the integration order of a vector</v>
      </c>
      <c r="G154" s="32"/>
      <c r="H154" s="30"/>
      <c r="I154" t="e" cm="1" vm="3">
        <f t="array" ref="I154">IORDER()</f>
        <v>#VALUE!</v>
      </c>
    </row>
    <row r="155" spans="2:9" x14ac:dyDescent="0.45">
      <c r="B155" s="31" t="s">
        <v>495</v>
      </c>
      <c r="F155" s="29" t="str" cm="1">
        <f t="array" aca="1" ref="F155" ca="1">INDIRECT(B155&amp;"!A2")</f>
        <v>Test whether two vectors are cointegrated (Engle–Granger method)</v>
      </c>
      <c r="G155" s="32"/>
      <c r="H155" s="30"/>
      <c r="I155" t="e" cm="1" vm="1">
        <f t="array" ref="I155">ISCOINTEGRATED()</f>
        <v>#VALUE!</v>
      </c>
    </row>
    <row r="156" spans="2:9" ht="28.5" x14ac:dyDescent="0.45">
      <c r="B156" s="31" t="s">
        <v>811</v>
      </c>
      <c r="F156" s="29" t="str" cm="1">
        <f t="array" aca="1" ref="F156" ca="1">INDIRECT(B156&amp;"!A2")</f>
        <v>Test for multicollinearity using either the variance inflation factor test, the eigenvalues test or the condition index test</v>
      </c>
      <c r="G156" s="32"/>
      <c r="H156" s="30"/>
      <c r="I156" t="e" cm="1" vm="3">
        <f t="array" ref="I156">ISMULTICOLLINEAR()</f>
        <v>#VALUE!</v>
      </c>
    </row>
    <row r="157" spans="2:9" x14ac:dyDescent="0.45">
      <c r="B157" s="31" t="s">
        <v>494</v>
      </c>
      <c r="F157" s="29" t="str" cm="1">
        <f t="array" aca="1" ref="F157" ca="1">INDIRECT(B157&amp;"!A2")</f>
        <v>Tests whether a vector is stationary according to the Dickey-Fuller test</v>
      </c>
      <c r="G157" s="32"/>
      <c r="H157" s="30"/>
      <c r="I157" t="e" cm="1" vm="3">
        <f t="array" ref="I157">ISSTATIONARY()</f>
        <v>#VALUE!</v>
      </c>
    </row>
    <row r="158" spans="2:9" x14ac:dyDescent="0.45">
      <c r="B158" s="31" t="s">
        <v>1153</v>
      </c>
      <c r="F158" s="29" t="str" cm="1">
        <f t="array" aca="1" ref="F158" ca="1">INDIRECT(B158&amp;"!A2")</f>
        <v>Kalman filter estimation</v>
      </c>
      <c r="G158" s="32"/>
      <c r="H158" s="30"/>
      <c r="I158" t="e" cm="1" vm="7">
        <f t="array" ref="I158">KFILTER()</f>
        <v>#VALUE!</v>
      </c>
    </row>
    <row r="159" spans="2:9" x14ac:dyDescent="0.45">
      <c r="B159" s="31" t="s">
        <v>1139</v>
      </c>
      <c r="F159" s="29" t="str" cm="1">
        <f t="array" aca="1" ref="F159" ca="1">INDIRECT(B159&amp;"!A2")</f>
        <v>Updates the Kalman filter estimation of the state and MSE</v>
      </c>
      <c r="G159" s="32"/>
      <c r="H159" s="30"/>
      <c r="I159" t="e" cm="1" vm="7">
        <f t="array" ref="I159">KFILTER_UPDATE()</f>
        <v>#VALUE!</v>
      </c>
    </row>
    <row r="160" spans="2:9" x14ac:dyDescent="0.45">
      <c r="B160" s="31" t="s">
        <v>205</v>
      </c>
      <c r="F160" s="29" t="str" cm="1">
        <f t="array" aca="1" ref="F160" ca="1">INDIRECT(B160&amp;"!A2")</f>
        <v>Lag a vector</v>
      </c>
      <c r="G160" s="32"/>
      <c r="H160" s="30"/>
      <c r="I160" t="e" cm="1" vm="3">
        <f t="array" ref="I160">LAG()</f>
        <v>#VALUE!</v>
      </c>
    </row>
    <row r="161" spans="2:9" x14ac:dyDescent="0.45">
      <c r="B161" s="31" t="s">
        <v>213</v>
      </c>
      <c r="F161" s="29" t="str" cm="1">
        <f t="array" aca="1" ref="F161" ca="1">INDIRECT(B161&amp;"!A2")</f>
        <v>Lead a vector</v>
      </c>
      <c r="G161" s="32"/>
      <c r="H161" s="30"/>
      <c r="I161" t="e" cm="1" vm="3">
        <f t="array" ref="I161">LEAD()</f>
        <v>#VALUE!</v>
      </c>
    </row>
    <row r="162" spans="2:9" x14ac:dyDescent="0.45">
      <c r="B162" s="31" t="s">
        <v>1192</v>
      </c>
      <c r="F162" s="29" t="str" cm="1">
        <f t="array" aca="1" ref="F162" ca="1">INDIRECT(B162&amp;"!A2")</f>
        <v>Moving average filter for trend and cyclical components</v>
      </c>
      <c r="G162" s="32"/>
      <c r="H162" s="30"/>
      <c r="I162" t="e" cm="1" vm="3">
        <f t="array" ref="I162">MAFILTER()</f>
        <v>#VALUE!</v>
      </c>
    </row>
    <row r="163" spans="2:9" x14ac:dyDescent="0.45">
      <c r="B163" s="31" t="s">
        <v>1315</v>
      </c>
      <c r="F163" s="29" t="str" cm="1">
        <f t="array" aca="1" ref="F163" ca="1">INDIRECT(B163&amp;"!A2")</f>
        <v>Modified Hamilton filter for trend and cyclical components</v>
      </c>
      <c r="G163" s="32"/>
      <c r="H163" s="30"/>
      <c r="I163" t="e" cm="1" vm="3">
        <f t="array" ref="I163">MHFILTER()</f>
        <v>#VALUE!</v>
      </c>
    </row>
    <row r="164" spans="2:9" x14ac:dyDescent="0.45">
      <c r="B164" s="31" t="s">
        <v>516</v>
      </c>
      <c r="F164" s="29" t="str" cm="1">
        <f t="array" aca="1" ref="F164" ca="1">INDIRECT(B164&amp;"!A2")</f>
        <v>Moving average of a matrix</v>
      </c>
      <c r="G164" s="32"/>
      <c r="H164" s="30"/>
      <c r="I164" t="e" cm="1" vm="3">
        <f t="array" ref="I164">MOVAVG()</f>
        <v>#VALUE!</v>
      </c>
    </row>
    <row r="165" spans="2:9" x14ac:dyDescent="0.45">
      <c r="B165" s="31" t="s">
        <v>524</v>
      </c>
      <c r="F165" s="29" t="str" cm="1">
        <f t="array" aca="1" ref="F165" ca="1">INDIRECT(B165&amp;"!A2")</f>
        <v>Moving product of a matrix</v>
      </c>
      <c r="G165" s="32"/>
      <c r="H165" s="30"/>
      <c r="I165" t="e" cm="1" vm="3">
        <f t="array" ref="I165">MOVPROD()</f>
        <v>#VALUE!</v>
      </c>
    </row>
    <row r="166" spans="2:9" x14ac:dyDescent="0.45">
      <c r="B166" s="31" t="s">
        <v>523</v>
      </c>
      <c r="F166" s="29" t="str" cm="1">
        <f t="array" aca="1" ref="F166" ca="1">INDIRECT(B166&amp;"!A2")</f>
        <v>Moving sum of a matrix</v>
      </c>
      <c r="G166" s="32"/>
      <c r="H166" s="30"/>
      <c r="I166" t="e" cm="1" vm="3">
        <f t="array" ref="I166">MOVSUM()</f>
        <v>#VALUE!</v>
      </c>
    </row>
    <row r="167" spans="2:9" x14ac:dyDescent="0.45">
      <c r="B167" s="31" t="s">
        <v>954</v>
      </c>
      <c r="F167" s="29" t="str" cm="1">
        <f t="array" aca="1" ref="F167" ca="1">INDIRECT(B167&amp;"!A2")</f>
        <v>Principal component analysis of raw data</v>
      </c>
      <c r="G167" s="32" t="s">
        <v>954</v>
      </c>
      <c r="H167" s="30"/>
      <c r="I167" t="e" cm="1" vm="3">
        <f t="array" ref="I167">PCA()</f>
        <v>#VALUE!</v>
      </c>
    </row>
    <row r="168" spans="2:9" x14ac:dyDescent="0.45">
      <c r="B168" s="31" t="s">
        <v>1164</v>
      </c>
      <c r="F168" s="29" t="str" cm="1">
        <f t="array" aca="1" ref="F168" ca="1">INDIRECT(B168&amp;"!A2")</f>
        <v>Random walk filter for trend and cyclical components</v>
      </c>
      <c r="G168" s="32"/>
      <c r="H168" s="30"/>
      <c r="I168" t="e" cm="1" vm="3">
        <f t="array" ref="I168">RWFILTER()</f>
        <v>#VALUE!</v>
      </c>
    </row>
    <row r="169" spans="2:9" x14ac:dyDescent="0.45">
      <c r="B169" s="31" t="s">
        <v>153</v>
      </c>
      <c r="F169" s="29" t="str" cm="1">
        <f t="array" aca="1" ref="F169" ca="1">INDIRECT(B169&amp;"!A2")</f>
        <v>Seasonally adjust a (stationarized) time series with seasonal dummies</v>
      </c>
      <c r="G169" s="32"/>
      <c r="H169" s="30"/>
      <c r="I169" t="e" cm="1" vm="1">
        <f t="array" ref="I169">SEASADJ()</f>
        <v>#VALUE!</v>
      </c>
    </row>
    <row r="170" spans="2:9" x14ac:dyDescent="0.45">
      <c r="B170" s="31" t="s">
        <v>508</v>
      </c>
      <c r="F170" s="29" t="str" cm="1">
        <f t="array" aca="1" ref="F170" ca="1">INDIRECT(B170&amp;"!A2")</f>
        <v>Seasonal factors of a stationarized time series</v>
      </c>
      <c r="G170" s="32"/>
      <c r="H170" s="30"/>
      <c r="I170" t="e" cm="1" vm="1">
        <f t="array" ref="I170">SEASFACTOR()</f>
        <v>#VALUE!</v>
      </c>
    </row>
    <row r="171" spans="2:9" x14ac:dyDescent="0.45">
      <c r="B171" s="31" t="s">
        <v>329</v>
      </c>
      <c r="F171" s="29" t="str" cm="1">
        <f t="array" aca="1" ref="F171" ca="1">INDIRECT(B171&amp;"!A2")</f>
        <v>Stationarize a vector</v>
      </c>
      <c r="G171" s="32"/>
      <c r="H171" s="30"/>
      <c r="I171" t="e" cm="1" vm="3">
        <f t="array" ref="I171">STATIONARIZE()</f>
        <v>#VALUE!</v>
      </c>
    </row>
    <row r="172" spans="2:9" x14ac:dyDescent="0.45">
      <c r="B172" s="31" t="s">
        <v>489</v>
      </c>
      <c r="F172" s="29" t="str" cm="1">
        <f t="array" aca="1" ref="F172" ca="1">INDIRECT(B172&amp;"!A2")</f>
        <v>Time series operation</v>
      </c>
      <c r="G172" s="32"/>
      <c r="H172" s="30"/>
      <c r="I172" t="e" cm="1" vm="2">
        <f t="array" ref="I172">TSOPER()</f>
        <v>#VALUE!</v>
      </c>
    </row>
    <row r="173" spans="2:9" x14ac:dyDescent="0.45">
      <c r="B173" s="31" t="s">
        <v>510</v>
      </c>
      <c r="F173" s="29" t="str" cm="1">
        <f t="array" aca="1" ref="F173" ca="1">INDIRECT(B173&amp;"!A2")</f>
        <v>Trend of a time series</v>
      </c>
      <c r="G173" s="32"/>
      <c r="H173" s="30"/>
      <c r="I173" t="e" cm="1" vm="3">
        <f t="array" ref="I173">TSTREND()</f>
        <v>#VALUE!</v>
      </c>
    </row>
    <row r="174" spans="2:9" x14ac:dyDescent="0.45">
      <c r="B174" s="31" t="s">
        <v>813</v>
      </c>
      <c r="F174" s="29" t="str" cm="1">
        <f t="array" aca="1" ref="F174" ca="1">INDIRECT(B174&amp;"!A2")</f>
        <v>Calculates the variance inflation factor of a linear regression</v>
      </c>
      <c r="G174" s="32"/>
      <c r="H174" s="30"/>
      <c r="I174" t="e" cm="1" vm="1">
        <f t="array" ref="I174">VARINFLATIONFACTOR()</f>
        <v>#VALUE!</v>
      </c>
    </row>
    <row r="175" spans="2:9" ht="25.5" customHeight="1" x14ac:dyDescent="0.45"/>
    <row r="176" spans="2:9" ht="21" x14ac:dyDescent="0.65">
      <c r="B176" s="3" t="s">
        <v>1017</v>
      </c>
    </row>
    <row r="177" spans="2:9" x14ac:dyDescent="0.45">
      <c r="B177" s="31" t="s">
        <v>1039</v>
      </c>
      <c r="F177" s="29" t="str" cm="1">
        <f t="array" aca="1" ref="F177" ca="1">INDIRECT(B177&amp;"!A2")</f>
        <v>Calculates drawdown for a time series</v>
      </c>
      <c r="G177" s="32"/>
      <c r="H177" s="30"/>
      <c r="I177" t="e" cm="1" vm="3">
        <f t="array" ref="I177">DRAWDOWN()</f>
        <v>#VALUE!</v>
      </c>
    </row>
    <row r="178" spans="2:9" x14ac:dyDescent="0.45">
      <c r="B178" s="31" t="s">
        <v>1011</v>
      </c>
      <c r="F178" s="29" t="str" cm="1">
        <f t="array" aca="1" ref="F178" ca="1">INDIRECT(B178&amp;"!A2")</f>
        <v>Value at risk, both unconditional and conditional (expected shortfall)</v>
      </c>
      <c r="G178" s="32"/>
      <c r="H178" s="30"/>
      <c r="I178" t="e" cm="1" vm="5">
        <f t="array" aca="1" ref="I178" ca="1">FINANCE_VAR()</f>
        <v>#VALUE!</v>
      </c>
    </row>
    <row r="179" spans="2:9" ht="25.5" customHeight="1" x14ac:dyDescent="0.45"/>
    <row r="180" spans="2:9" ht="21" x14ac:dyDescent="0.65">
      <c r="B180" s="3" t="s">
        <v>98</v>
      </c>
    </row>
    <row r="181" spans="2:9" ht="22.5" customHeight="1" x14ac:dyDescent="0.45">
      <c r="B181" s="31" t="s">
        <v>1099</v>
      </c>
      <c r="F181" s="29" t="s">
        <v>1100</v>
      </c>
      <c r="G181" s="32"/>
      <c r="H181" s="30"/>
      <c r="I181" t="e" cm="1" vm="3">
        <f t="array" ref="I181">AR_COEFF()</f>
        <v>#VALUE!</v>
      </c>
    </row>
    <row r="182" spans="2:9" ht="22.5" customHeight="1" x14ac:dyDescent="0.45">
      <c r="B182" s="31" t="s">
        <v>1310</v>
      </c>
      <c r="F182" s="29" t="s">
        <v>1311</v>
      </c>
      <c r="G182" s="32"/>
      <c r="H182" s="30"/>
      <c r="I182" t="e" cm="1" vm="3">
        <f t="array" ref="I182">AR_FITTED()</f>
        <v>#VALUE!</v>
      </c>
    </row>
    <row r="183" spans="2:9" ht="22.5" customHeight="1" x14ac:dyDescent="0.45">
      <c r="B183" s="31" t="s">
        <v>1312</v>
      </c>
      <c r="F183" s="29" t="s">
        <v>1313</v>
      </c>
      <c r="G183" s="32"/>
      <c r="H183" s="30"/>
      <c r="I183" t="e" cm="1" vm="3">
        <f t="array" ref="I183">AR_BACKCAST()</f>
        <v>#VALUE!</v>
      </c>
    </row>
    <row r="184" spans="2:9" ht="22.5" customHeight="1" x14ac:dyDescent="0.45">
      <c r="B184" s="31" t="s">
        <v>1098</v>
      </c>
      <c r="F184" s="29" t="s">
        <v>1101</v>
      </c>
      <c r="G184" s="32"/>
      <c r="H184" s="30"/>
      <c r="I184" t="e" cm="1" vm="3">
        <f t="array" ref="I184">AR_FORECAST()</f>
        <v>#VALUE!</v>
      </c>
    </row>
    <row r="185" spans="2:9" x14ac:dyDescent="0.45">
      <c r="B185" s="31" t="s">
        <v>300</v>
      </c>
      <c r="F185" s="29" t="s">
        <v>303</v>
      </c>
      <c r="G185" s="32"/>
      <c r="H185" s="30"/>
      <c r="I185" t="e" cm="1" vm="1">
        <f t="array" ref="I185">OLS_AIC()</f>
        <v>#VALUE!</v>
      </c>
    </row>
    <row r="186" spans="2:9" ht="28.5" x14ac:dyDescent="0.45">
      <c r="B186" s="31" t="s">
        <v>301</v>
      </c>
      <c r="F186" s="29" t="s">
        <v>304</v>
      </c>
      <c r="G186" s="32"/>
      <c r="H186" s="30"/>
      <c r="I186" t="e" cm="1" vm="1">
        <f t="array" ref="I186">OLS_BIC()</f>
        <v>#VALUE!</v>
      </c>
    </row>
    <row r="187" spans="2:9" x14ac:dyDescent="0.45">
      <c r="B187" s="31" t="s">
        <v>99</v>
      </c>
      <c r="F187" s="29" t="s">
        <v>132</v>
      </c>
      <c r="G187" s="32"/>
      <c r="H187" s="30"/>
      <c r="I187" t="e" cm="1" vm="1">
        <f t="array" ref="I187">OLS_COEFF()</f>
        <v>#VALUE!</v>
      </c>
    </row>
    <row r="188" spans="2:9" x14ac:dyDescent="0.45">
      <c r="B188" s="31" t="s">
        <v>297</v>
      </c>
      <c r="F188" s="29" t="s">
        <v>298</v>
      </c>
      <c r="G188" s="32"/>
      <c r="H188" s="30"/>
      <c r="I188" t="e" cm="1" vm="1">
        <f t="array" ref="I188">OLS_COEFF_PVALUE()</f>
        <v>#VALUE!</v>
      </c>
    </row>
    <row r="189" spans="2:9" x14ac:dyDescent="0.45">
      <c r="B189" s="31" t="s">
        <v>419</v>
      </c>
      <c r="F189" s="29" t="s">
        <v>983</v>
      </c>
      <c r="G189" s="32"/>
      <c r="H189" s="30"/>
      <c r="I189" t="e" cm="1" vm="1">
        <f t="array" ref="I189">OLS_COEFF_PVALUE_HAC()</f>
        <v>#VALUE!</v>
      </c>
    </row>
    <row r="190" spans="2:9" x14ac:dyDescent="0.45">
      <c r="B190" s="31" t="s">
        <v>979</v>
      </c>
      <c r="F190" s="29" t="s">
        <v>982</v>
      </c>
      <c r="G190" s="32"/>
      <c r="H190" s="30"/>
      <c r="I190" t="e" cm="1" vm="1">
        <f t="array" ref="I190">OLS_COEFF_PVALUE_HC()</f>
        <v>#VALUE!</v>
      </c>
    </row>
    <row r="191" spans="2:9" ht="28.5" x14ac:dyDescent="0.45">
      <c r="B191" s="31" t="s">
        <v>140</v>
      </c>
      <c r="F191" s="29" t="s">
        <v>267</v>
      </c>
      <c r="G191" s="32"/>
      <c r="H191" s="30"/>
      <c r="I191" t="e" cm="1" vm="1">
        <f t="array" ref="I191">OLS_COEFF_STDEV()</f>
        <v>#VALUE!</v>
      </c>
    </row>
    <row r="192" spans="2:9" ht="28.5" x14ac:dyDescent="0.45">
      <c r="B192" s="31" t="s">
        <v>415</v>
      </c>
      <c r="F192" s="29" t="s">
        <v>417</v>
      </c>
      <c r="G192" s="32"/>
      <c r="H192" s="30"/>
      <c r="I192" t="e" cm="1" vm="1">
        <f t="array" ref="I192">OLS_COEFF_STDEV_HAC()</f>
        <v>#VALUE!</v>
      </c>
    </row>
    <row r="193" spans="2:9" ht="28.5" x14ac:dyDescent="0.45">
      <c r="B193" s="31" t="s">
        <v>977</v>
      </c>
      <c r="F193" s="29" t="s">
        <v>980</v>
      </c>
      <c r="G193" s="32"/>
      <c r="H193" s="30"/>
      <c r="I193" t="e" cm="1" vm="1">
        <f t="array" ref="I193">OLS_COEFF_STDEV_HC()</f>
        <v>#VALUE!</v>
      </c>
    </row>
    <row r="194" spans="2:9" x14ac:dyDescent="0.45">
      <c r="B194" s="31" t="s">
        <v>265</v>
      </c>
      <c r="F194" s="29" t="s">
        <v>266</v>
      </c>
      <c r="G194" s="32"/>
      <c r="H194" s="30"/>
      <c r="I194" t="e" cm="1" vm="1">
        <f t="array" ref="I194">OLS_COEFF_TSTAT()</f>
        <v>#VALUE!</v>
      </c>
    </row>
    <row r="195" spans="2:9" x14ac:dyDescent="0.45">
      <c r="B195" s="31" t="s">
        <v>418</v>
      </c>
      <c r="F195" s="29" t="s">
        <v>420</v>
      </c>
      <c r="G195" s="32"/>
      <c r="H195" s="30"/>
      <c r="I195" t="e" cm="1" vm="1">
        <f t="array" ref="I195">OLS_COEFF_TSTAT_HAC()</f>
        <v>#VALUE!</v>
      </c>
    </row>
    <row r="196" spans="2:9" x14ac:dyDescent="0.45">
      <c r="B196" s="31" t="s">
        <v>978</v>
      </c>
      <c r="F196" s="29" t="s">
        <v>981</v>
      </c>
      <c r="G196" s="32"/>
      <c r="H196" s="30"/>
      <c r="I196" t="e" cm="1" vm="1">
        <f t="array" ref="I196">OLS_COEFF_TSTAT_HC()</f>
        <v>#VALUE!</v>
      </c>
    </row>
    <row r="197" spans="2:9" ht="28.5" x14ac:dyDescent="0.45">
      <c r="B197" s="31" t="s">
        <v>481</v>
      </c>
      <c r="F197" s="29" t="s">
        <v>487</v>
      </c>
      <c r="G197" s="32"/>
      <c r="H197" s="30"/>
      <c r="I197" t="e" cm="1" vm="6">
        <f t="array" ref="I197">OLS_CONF_INTERVAL()</f>
        <v>#VALUE!</v>
      </c>
    </row>
    <row r="198" spans="2:9" ht="28.5" x14ac:dyDescent="0.45">
      <c r="B198" s="31" t="s">
        <v>478</v>
      </c>
      <c r="F198" s="29" t="s">
        <v>480</v>
      </c>
      <c r="G198" s="32"/>
      <c r="H198" s="30"/>
      <c r="I198" t="e" cm="1" vm="1">
        <f t="array" ref="I198">OLS_COOKS_DISTANCE()</f>
        <v>#VALUE!</v>
      </c>
    </row>
    <row r="199" spans="2:9" x14ac:dyDescent="0.45">
      <c r="B199" s="31" t="s">
        <v>405</v>
      </c>
      <c r="F199" s="29" t="s">
        <v>407</v>
      </c>
      <c r="G199" s="32"/>
      <c r="H199" s="30"/>
      <c r="I199" t="e" cm="1" vm="1">
        <f t="array" ref="I199">OLS_ESS()</f>
        <v>#VALUE!</v>
      </c>
    </row>
    <row r="200" spans="2:9" x14ac:dyDescent="0.45">
      <c r="B200" s="31" t="s">
        <v>100</v>
      </c>
      <c r="F200" s="29" t="s">
        <v>133</v>
      </c>
      <c r="G200" s="32"/>
      <c r="H200" s="30"/>
      <c r="I200" t="e" cm="1" vm="1">
        <f t="array" ref="I200">OLS_FITTED()</f>
        <v>#VALUE!</v>
      </c>
    </row>
    <row r="201" spans="2:9" x14ac:dyDescent="0.45">
      <c r="B201" s="31" t="s">
        <v>436</v>
      </c>
      <c r="F201" s="29" t="s">
        <v>437</v>
      </c>
      <c r="G201" s="32"/>
      <c r="H201" s="30"/>
      <c r="I201" t="e" cm="1" vm="1">
        <f t="array" ref="I201">OLS_FSTAT()</f>
        <v>#VALUE!</v>
      </c>
    </row>
    <row r="202" spans="2:9" x14ac:dyDescent="0.45">
      <c r="B202" s="31" t="s">
        <v>438</v>
      </c>
      <c r="F202" s="29" t="s">
        <v>439</v>
      </c>
      <c r="G202" s="32"/>
      <c r="H202" s="30"/>
      <c r="I202" t="e" cm="1" vm="1">
        <f t="array" ref="I202">OLS_FSTAT_PVALUE()</f>
        <v>#VALUE!</v>
      </c>
    </row>
    <row r="203" spans="2:9" x14ac:dyDescent="0.45">
      <c r="B203" s="31" t="s">
        <v>859</v>
      </c>
      <c r="F203" s="29" t="s">
        <v>860</v>
      </c>
      <c r="G203" s="32"/>
      <c r="H203" s="30"/>
      <c r="I203" t="e" cm="1" vm="1">
        <f t="array" ref="I203">OLS_HQC()</f>
        <v>#VALUE!</v>
      </c>
    </row>
    <row r="204" spans="2:9" ht="28.5" x14ac:dyDescent="0.45">
      <c r="B204" s="31" t="s">
        <v>477</v>
      </c>
      <c r="F204" s="29" t="s">
        <v>479</v>
      </c>
      <c r="G204" s="32"/>
      <c r="H204" s="30"/>
      <c r="I204" t="e" cm="1" vm="1">
        <f t="array" ref="I204">OLS_LEVERAGE()</f>
        <v>#VALUE!</v>
      </c>
    </row>
    <row r="205" spans="2:9" x14ac:dyDescent="0.45">
      <c r="B205" s="31" t="s">
        <v>299</v>
      </c>
      <c r="F205" s="29" t="s">
        <v>302</v>
      </c>
      <c r="G205" s="32"/>
      <c r="H205" s="30"/>
      <c r="I205" t="e" cm="1" vm="1">
        <f t="array" ref="I205">OLS_LOGLIKELIHOOD()</f>
        <v>#VALUE!</v>
      </c>
    </row>
    <row r="206" spans="2:9" ht="28.5" x14ac:dyDescent="0.45">
      <c r="B206" s="31" t="s">
        <v>305</v>
      </c>
      <c r="F206" s="29" t="s">
        <v>306</v>
      </c>
      <c r="G206" s="32"/>
      <c r="H206" s="30"/>
      <c r="I206" t="e" cm="1" vm="2">
        <f t="array" ref="I206">OLS_OPTIMAL_LAG()</f>
        <v>#VALUE!</v>
      </c>
    </row>
    <row r="207" spans="2:9" ht="28.5" x14ac:dyDescent="0.45">
      <c r="B207" s="31" t="s">
        <v>483</v>
      </c>
      <c r="F207" s="29" t="s">
        <v>488</v>
      </c>
      <c r="G207" s="32"/>
      <c r="H207" s="30"/>
      <c r="I207" t="e" cm="1" vm="6">
        <f t="array" ref="I207">OLS_PRED_INTERVAL()</f>
        <v>#VALUE!</v>
      </c>
    </row>
    <row r="208" spans="2:9" x14ac:dyDescent="0.45">
      <c r="B208" s="31" t="s">
        <v>402</v>
      </c>
      <c r="F208" s="29" t="s">
        <v>409</v>
      </c>
      <c r="G208" s="32"/>
      <c r="H208" s="30"/>
      <c r="I208" t="e" cm="1" vm="1">
        <f t="array" ref="I208">OLS_R2()</f>
        <v>#VALUE!</v>
      </c>
    </row>
    <row r="209" spans="1:9" x14ac:dyDescent="0.45">
      <c r="B209" s="31" t="s">
        <v>412</v>
      </c>
      <c r="F209" s="29" t="s">
        <v>413</v>
      </c>
      <c r="G209" s="32"/>
      <c r="H209" s="30"/>
      <c r="I209" t="e" cm="1" vm="1">
        <f t="array" ref="I209">OLS_R2_ADJUSTED()</f>
        <v>#VALUE!</v>
      </c>
    </row>
    <row r="210" spans="1:9" x14ac:dyDescent="0.45">
      <c r="B210" s="31" t="s">
        <v>101</v>
      </c>
      <c r="F210" s="29" t="s">
        <v>134</v>
      </c>
      <c r="G210" s="32"/>
      <c r="H210" s="30"/>
      <c r="I210" t="e" cm="1" vm="1">
        <f t="array" ref="I210">OLS_RESIDUALS()</f>
        <v>#VALUE!</v>
      </c>
    </row>
    <row r="211" spans="1:9" ht="28.5" x14ac:dyDescent="0.45">
      <c r="B211" s="31" t="s">
        <v>861</v>
      </c>
      <c r="F211" s="29" t="s">
        <v>863</v>
      </c>
      <c r="G211" s="32"/>
      <c r="H211" s="30"/>
      <c r="I211" t="e" cm="1" vm="1">
        <f t="array" ref="I211">OLS_RESIDUALS_AR()</f>
        <v>#VALUE!</v>
      </c>
    </row>
    <row r="212" spans="1:9" x14ac:dyDescent="0.45">
      <c r="B212" s="31" t="s">
        <v>484</v>
      </c>
      <c r="F212" s="29" t="s">
        <v>486</v>
      </c>
      <c r="G212" s="32"/>
      <c r="H212" s="30"/>
      <c r="I212" t="e" cm="1" vm="1">
        <f t="array" ref="I212">OLS_RESIDUALS_PARTIAL()</f>
        <v>#VALUE!</v>
      </c>
    </row>
    <row r="213" spans="1:9" x14ac:dyDescent="0.45">
      <c r="B213" s="31" t="s">
        <v>482</v>
      </c>
      <c r="F213" s="29" t="s">
        <v>485</v>
      </c>
      <c r="G213" s="32"/>
      <c r="H213" s="30"/>
      <c r="I213" t="e" cm="1" vm="1">
        <f t="array" ref="I213">OLS_RESIDUALS_STD()</f>
        <v>#VALUE!</v>
      </c>
    </row>
    <row r="214" spans="1:9" x14ac:dyDescent="0.45">
      <c r="B214" s="31" t="s">
        <v>406</v>
      </c>
      <c r="F214" s="29" t="s">
        <v>408</v>
      </c>
      <c r="G214" s="32"/>
      <c r="H214" s="30"/>
      <c r="I214" t="e" cm="1" vm="1">
        <f t="array" ref="I214">OLS_RSS()</f>
        <v>#VALUE!</v>
      </c>
    </row>
    <row r="215" spans="1:9" x14ac:dyDescent="0.45">
      <c r="B215" s="31" t="s">
        <v>403</v>
      </c>
      <c r="F215" s="29" t="s">
        <v>404</v>
      </c>
      <c r="G215" s="32"/>
      <c r="H215" s="30"/>
      <c r="I215" t="e" cm="1" vm="1">
        <f t="array" ref="I215">OLS_STDEV()</f>
        <v>#VALUE!</v>
      </c>
    </row>
    <row r="216" spans="1:9" x14ac:dyDescent="0.45">
      <c r="B216" s="31" t="s">
        <v>858</v>
      </c>
      <c r="F216" s="29" t="s">
        <v>862</v>
      </c>
      <c r="G216" s="32"/>
      <c r="H216" s="30"/>
      <c r="I216" t="e" cm="1" vm="1">
        <f t="array" ref="I216">OLS_SUMMARY()</f>
        <v>#VALUE!</v>
      </c>
    </row>
    <row r="217" spans="1:9" x14ac:dyDescent="0.45">
      <c r="B217" s="31" t="s">
        <v>410</v>
      </c>
      <c r="F217" s="29" t="s">
        <v>411</v>
      </c>
      <c r="G217" s="32"/>
      <c r="H217" s="30"/>
      <c r="I217" t="e" cm="1" vm="1">
        <f t="array" ref="I217">OLS_TSS()</f>
        <v>#VALUE!</v>
      </c>
    </row>
    <row r="218" spans="1:9" ht="28.5" x14ac:dyDescent="0.45">
      <c r="B218" s="31" t="s">
        <v>141</v>
      </c>
      <c r="F218" s="29" t="s">
        <v>142</v>
      </c>
      <c r="G218" s="32"/>
      <c r="H218" s="30"/>
      <c r="I218" t="e" cm="1" vm="1">
        <f t="array" ref="I218">OLS_VARCOV()</f>
        <v>#VALUE!</v>
      </c>
    </row>
    <row r="219" spans="1:9" ht="28.5" x14ac:dyDescent="0.45">
      <c r="B219" s="31" t="s">
        <v>414</v>
      </c>
      <c r="F219" s="29" t="s">
        <v>416</v>
      </c>
      <c r="G219" s="32"/>
      <c r="H219" s="30"/>
      <c r="I219" t="e" cm="1" vm="1">
        <f t="array" ref="I219">OLS_VARCOV_HAC()</f>
        <v>#VALUE!</v>
      </c>
    </row>
    <row r="220" spans="1:9" ht="28.5" x14ac:dyDescent="0.45">
      <c r="B220" s="31" t="s">
        <v>976</v>
      </c>
      <c r="F220" s="29" t="s">
        <v>984</v>
      </c>
      <c r="G220" s="32"/>
      <c r="H220" s="30"/>
      <c r="I220" t="e" cm="1" vm="1">
        <f t="array" ref="I220">OLS_VARCOV_HC()</f>
        <v>#VALUE!</v>
      </c>
    </row>
    <row r="222" spans="1:9" ht="18" x14ac:dyDescent="0.55000000000000004">
      <c r="A222" s="16" t="s">
        <v>55</v>
      </c>
    </row>
    <row r="224" spans="1:9" x14ac:dyDescent="0.45">
      <c r="A224" t="s">
        <v>1285</v>
      </c>
    </row>
    <row r="225" spans="1:1" x14ac:dyDescent="0.45">
      <c r="A225" t="s">
        <v>1380</v>
      </c>
    </row>
    <row r="226" spans="1:1" x14ac:dyDescent="0.45">
      <c r="A226" t="s">
        <v>1283</v>
      </c>
    </row>
    <row r="227" spans="1:1" x14ac:dyDescent="0.45">
      <c r="A227" t="s">
        <v>1333</v>
      </c>
    </row>
    <row r="228" spans="1:1" x14ac:dyDescent="0.45">
      <c r="A228" t="s">
        <v>1335</v>
      </c>
    </row>
    <row r="229" spans="1:1" x14ac:dyDescent="0.45">
      <c r="A229" t="s">
        <v>1332</v>
      </c>
    </row>
    <row r="230" spans="1:1" x14ac:dyDescent="0.45">
      <c r="A230" t="s">
        <v>1284</v>
      </c>
    </row>
    <row r="231" spans="1:1" x14ac:dyDescent="0.45">
      <c r="A231" t="s">
        <v>1288</v>
      </c>
    </row>
    <row r="232" spans="1:1" x14ac:dyDescent="0.45">
      <c r="A232" t="s">
        <v>1289</v>
      </c>
    </row>
    <row r="233" spans="1:1" x14ac:dyDescent="0.45">
      <c r="A233" t="s">
        <v>1327</v>
      </c>
    </row>
    <row r="234" spans="1:1" x14ac:dyDescent="0.45">
      <c r="A234" t="s">
        <v>1334</v>
      </c>
    </row>
    <row r="236" spans="1:1" x14ac:dyDescent="0.45">
      <c r="A236" t="s">
        <v>1061</v>
      </c>
    </row>
    <row r="237" spans="1:1" x14ac:dyDescent="0.45">
      <c r="A237" t="s">
        <v>1269</v>
      </c>
    </row>
    <row r="238" spans="1:1" x14ac:dyDescent="0.45">
      <c r="A238" t="s">
        <v>1270</v>
      </c>
    </row>
    <row r="239" spans="1:1" x14ac:dyDescent="0.45">
      <c r="A239" t="s">
        <v>1091</v>
      </c>
    </row>
    <row r="240" spans="1:1" x14ac:dyDescent="0.45">
      <c r="A240" t="s">
        <v>1146</v>
      </c>
    </row>
    <row r="241" spans="1:1" x14ac:dyDescent="0.45">
      <c r="A241" t="s">
        <v>1079</v>
      </c>
    </row>
    <row r="242" spans="1:1" x14ac:dyDescent="0.45">
      <c r="A242" t="s">
        <v>1072</v>
      </c>
    </row>
    <row r="243" spans="1:1" x14ac:dyDescent="0.45">
      <c r="A243" t="s">
        <v>1244</v>
      </c>
    </row>
    <row r="244" spans="1:1" x14ac:dyDescent="0.45">
      <c r="A244" t="s">
        <v>1073</v>
      </c>
    </row>
    <row r="245" spans="1:1" x14ac:dyDescent="0.45">
      <c r="A245" t="s">
        <v>1074</v>
      </c>
    </row>
    <row r="246" spans="1:1" x14ac:dyDescent="0.45">
      <c r="A246" t="s">
        <v>1092</v>
      </c>
    </row>
    <row r="247" spans="1:1" x14ac:dyDescent="0.45">
      <c r="A247" t="s">
        <v>1093</v>
      </c>
    </row>
    <row r="248" spans="1:1" x14ac:dyDescent="0.45">
      <c r="A248" t="s">
        <v>1147</v>
      </c>
    </row>
    <row r="250" spans="1:1" x14ac:dyDescent="0.45">
      <c r="A250" t="s">
        <v>1002</v>
      </c>
    </row>
    <row r="251" spans="1:1" x14ac:dyDescent="0.45">
      <c r="A251" t="s">
        <v>1049</v>
      </c>
    </row>
    <row r="252" spans="1:1" x14ac:dyDescent="0.45">
      <c r="A252" t="s">
        <v>1010</v>
      </c>
    </row>
    <row r="253" spans="1:1" x14ac:dyDescent="0.45">
      <c r="A253" t="s">
        <v>1034</v>
      </c>
    </row>
    <row r="255" spans="1:1" x14ac:dyDescent="0.45">
      <c r="A255" t="s">
        <v>975</v>
      </c>
    </row>
    <row r="256" spans="1:1" x14ac:dyDescent="0.45">
      <c r="A256" t="s">
        <v>985</v>
      </c>
    </row>
    <row r="257" spans="1:1" x14ac:dyDescent="0.45">
      <c r="A257" t="s">
        <v>986</v>
      </c>
    </row>
    <row r="258" spans="1:1" x14ac:dyDescent="0.45">
      <c r="A258" t="s">
        <v>987</v>
      </c>
    </row>
    <row r="259" spans="1:1" x14ac:dyDescent="0.45">
      <c r="A259" t="s">
        <v>930</v>
      </c>
    </row>
    <row r="261" spans="1:1" x14ac:dyDescent="0.45">
      <c r="A261" t="s">
        <v>655</v>
      </c>
    </row>
    <row r="262" spans="1:1" x14ac:dyDescent="0.45">
      <c r="A262" t="s">
        <v>925</v>
      </c>
    </row>
    <row r="263" spans="1:1" x14ac:dyDescent="0.45">
      <c r="A263" t="s">
        <v>883</v>
      </c>
    </row>
    <row r="264" spans="1:1" x14ac:dyDescent="0.45">
      <c r="A264" t="s">
        <v>828</v>
      </c>
    </row>
    <row r="265" spans="1:1" x14ac:dyDescent="0.45">
      <c r="A265" t="s">
        <v>857</v>
      </c>
    </row>
    <row r="266" spans="1:1" x14ac:dyDescent="0.45">
      <c r="A266" t="s">
        <v>853</v>
      </c>
    </row>
    <row r="267" spans="1:1" x14ac:dyDescent="0.45">
      <c r="A267" t="s">
        <v>865</v>
      </c>
    </row>
    <row r="268" spans="1:1" x14ac:dyDescent="0.45">
      <c r="A268" t="s">
        <v>873</v>
      </c>
    </row>
    <row r="269" spans="1:1" x14ac:dyDescent="0.45">
      <c r="A269" t="s">
        <v>874</v>
      </c>
    </row>
    <row r="270" spans="1:1" x14ac:dyDescent="0.45">
      <c r="A270" t="s">
        <v>879</v>
      </c>
    </row>
    <row r="271" spans="1:1" x14ac:dyDescent="0.45">
      <c r="A271" t="s">
        <v>889</v>
      </c>
    </row>
    <row r="272" spans="1:1" x14ac:dyDescent="0.45">
      <c r="A272" t="s">
        <v>890</v>
      </c>
    </row>
    <row r="273" spans="1:1" x14ac:dyDescent="0.45">
      <c r="A273" t="s">
        <v>926</v>
      </c>
    </row>
    <row r="275" spans="1:1" x14ac:dyDescent="0.45">
      <c r="A275" t="s">
        <v>499</v>
      </c>
    </row>
    <row r="276" spans="1:1" x14ac:dyDescent="0.45">
      <c r="A276" t="s">
        <v>618</v>
      </c>
    </row>
    <row r="277" spans="1:1" x14ac:dyDescent="0.45">
      <c r="A277" t="s">
        <v>500</v>
      </c>
    </row>
    <row r="278" spans="1:1" x14ac:dyDescent="0.45">
      <c r="A278" t="s">
        <v>515</v>
      </c>
    </row>
    <row r="280" spans="1:1" x14ac:dyDescent="0.45">
      <c r="A280" t="s">
        <v>295</v>
      </c>
    </row>
    <row r="281" spans="1:1" x14ac:dyDescent="0.45">
      <c r="A281" t="s">
        <v>496</v>
      </c>
    </row>
    <row r="282" spans="1:1" x14ac:dyDescent="0.45">
      <c r="A282" t="s">
        <v>374</v>
      </c>
    </row>
    <row r="283" spans="1:1" x14ac:dyDescent="0.45">
      <c r="A283" t="s">
        <v>373</v>
      </c>
    </row>
    <row r="284" spans="1:1" x14ac:dyDescent="0.45">
      <c r="A284" t="s">
        <v>319</v>
      </c>
    </row>
    <row r="285" spans="1:1" x14ac:dyDescent="0.45">
      <c r="A285" t="s">
        <v>269</v>
      </c>
    </row>
    <row r="286" spans="1:1" x14ac:dyDescent="0.45">
      <c r="A286" t="s">
        <v>275</v>
      </c>
    </row>
    <row r="287" spans="1:1" x14ac:dyDescent="0.45">
      <c r="A287" t="s">
        <v>321</v>
      </c>
    </row>
    <row r="288" spans="1:1" x14ac:dyDescent="0.45">
      <c r="A288" t="s">
        <v>368</v>
      </c>
    </row>
    <row r="289" spans="1:1" x14ac:dyDescent="0.45">
      <c r="A289" t="s">
        <v>355</v>
      </c>
    </row>
    <row r="290" spans="1:1" x14ac:dyDescent="0.45">
      <c r="A290" t="s">
        <v>342</v>
      </c>
    </row>
    <row r="291" spans="1:1" x14ac:dyDescent="0.45">
      <c r="A291" t="s">
        <v>363</v>
      </c>
    </row>
    <row r="292" spans="1:1" x14ac:dyDescent="0.45">
      <c r="A292" t="s">
        <v>379</v>
      </c>
    </row>
    <row r="293" spans="1:1" x14ac:dyDescent="0.45">
      <c r="A293" t="s">
        <v>383</v>
      </c>
    </row>
    <row r="294" spans="1:1" x14ac:dyDescent="0.45">
      <c r="A294" t="s">
        <v>421</v>
      </c>
    </row>
    <row r="295" spans="1:1" x14ac:dyDescent="0.45">
      <c r="A295" t="s">
        <v>444</v>
      </c>
    </row>
    <row r="296" spans="1:1" x14ac:dyDescent="0.45">
      <c r="A296" t="s">
        <v>460</v>
      </c>
    </row>
    <row r="298" spans="1:1" x14ac:dyDescent="0.45">
      <c r="A298" t="s">
        <v>258</v>
      </c>
    </row>
    <row r="299" spans="1:1" x14ac:dyDescent="0.45">
      <c r="A299" t="s">
        <v>259</v>
      </c>
    </row>
    <row r="301" spans="1:1" x14ac:dyDescent="0.45">
      <c r="A301" t="s">
        <v>189</v>
      </c>
    </row>
    <row r="302" spans="1:1" x14ac:dyDescent="0.45">
      <c r="A302" t="s">
        <v>203</v>
      </c>
    </row>
    <row r="304" spans="1:1" x14ac:dyDescent="0.45">
      <c r="A304" t="s">
        <v>181</v>
      </c>
    </row>
    <row r="305" spans="1:1" x14ac:dyDescent="0.45">
      <c r="A305" t="s">
        <v>182</v>
      </c>
    </row>
    <row r="307" spans="1:1" x14ac:dyDescent="0.45">
      <c r="A307" t="s">
        <v>179</v>
      </c>
    </row>
    <row r="308" spans="1:1" x14ac:dyDescent="0.45">
      <c r="A308" t="s">
        <v>178</v>
      </c>
    </row>
    <row r="310" spans="1:1" x14ac:dyDescent="0.45">
      <c r="A310" t="s">
        <v>57</v>
      </c>
    </row>
    <row r="311" spans="1:1" x14ac:dyDescent="0.45">
      <c r="A311" t="s">
        <v>58</v>
      </c>
    </row>
    <row r="312" spans="1:1" x14ac:dyDescent="0.45">
      <c r="A312" t="s">
        <v>147</v>
      </c>
    </row>
    <row r="313" spans="1:1" x14ac:dyDescent="0.45">
      <c r="A313" t="s">
        <v>149</v>
      </c>
    </row>
    <row r="314" spans="1:1" x14ac:dyDescent="0.45">
      <c r="A314" t="s">
        <v>150</v>
      </c>
    </row>
    <row r="315" spans="1:1" x14ac:dyDescent="0.45">
      <c r="A315" t="s">
        <v>148</v>
      </c>
    </row>
    <row r="317" spans="1:1" x14ac:dyDescent="0.45">
      <c r="A317" t="s">
        <v>56</v>
      </c>
    </row>
    <row r="318" spans="1:1" x14ac:dyDescent="0.45">
      <c r="A318" t="s">
        <v>59</v>
      </c>
    </row>
  </sheetData>
  <sortState xmlns:xlrd2="http://schemas.microsoft.com/office/spreadsheetml/2017/richdata2" ref="B97:I114">
    <sortCondition ref="B97:B114"/>
  </sortState>
  <mergeCells count="3">
    <mergeCell ref="A6:F6"/>
    <mergeCell ref="A9:I9"/>
    <mergeCell ref="A8:F8"/>
  </mergeCells>
  <pageMargins left="0.511811024" right="0.511811024" top="0.78740157499999996" bottom="0.78740157499999996" header="0.31496062000000002" footer="0.31496062000000002"/>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23F5C-C4F5-4E87-B96E-C1138A322570}">
  <sheetPr codeName="Planilha1">
    <tabColor theme="9" tint="0.59999389629810485"/>
  </sheetPr>
  <dimension ref="A1:CJ33"/>
  <sheetViews>
    <sheetView showGridLines="0" workbookViewId="0">
      <pane ySplit="1" topLeftCell="A2" activePane="bottomLeft" state="frozen"/>
      <selection pane="bottomLeft" activeCell="G40" sqref="G40"/>
    </sheetView>
  </sheetViews>
  <sheetFormatPr defaultColWidth="8.796875" defaultRowHeight="14.25" x14ac:dyDescent="0.45"/>
  <cols>
    <col min="1" max="3" width="8" customWidth="1"/>
    <col min="7" max="7" width="3.6640625" customWidth="1"/>
    <col min="8" max="9" width="11.33203125" customWidth="1"/>
    <col min="10" max="10" width="10" customWidth="1"/>
    <col min="11" max="12" width="11.33203125" customWidth="1"/>
    <col min="13" max="14" width="10" customWidth="1"/>
    <col min="15" max="16" width="11.33203125" customWidth="1"/>
    <col min="17" max="18" width="10" customWidth="1"/>
    <col min="19" max="20" width="11.33203125" customWidth="1"/>
    <col min="21" max="22" width="10" customWidth="1"/>
    <col min="25" max="25" width="3.6640625" customWidth="1"/>
    <col min="26" max="27" width="11.33203125" customWidth="1"/>
    <col min="28" max="28" width="10" customWidth="1"/>
    <col min="29" max="31" width="11.33203125" customWidth="1"/>
    <col min="32" max="32" width="10" customWidth="1"/>
    <col min="33" max="35" width="11.33203125" customWidth="1"/>
    <col min="36" max="36" width="7.6640625" customWidth="1"/>
    <col min="37" max="37" width="5.6640625" customWidth="1"/>
    <col min="39" max="39" width="3.6640625" customWidth="1"/>
    <col min="40" max="40" width="5.6640625" customWidth="1"/>
    <col min="42" max="42" width="9.6640625" customWidth="1"/>
    <col min="43" max="43" width="7.6640625" customWidth="1"/>
    <col min="45" max="45" width="9.6640625" customWidth="1"/>
    <col min="48" max="48" width="6" bestFit="1" customWidth="1"/>
    <col min="51" max="51" width="8.796875" customWidth="1"/>
    <col min="52" max="52" width="2.6640625" customWidth="1"/>
    <col min="55" max="55" width="6" bestFit="1" customWidth="1"/>
    <col min="58" max="58" width="8.796875" customWidth="1"/>
    <col min="59" max="59" width="2.6640625" customWidth="1"/>
    <col min="60" max="60" width="8.796875" customWidth="1"/>
    <col min="63" max="63" width="6.33203125" customWidth="1"/>
    <col min="67" max="67" width="6.33203125" customWidth="1"/>
    <col min="68" max="68" width="12.33203125" customWidth="1"/>
    <col min="69" max="69" width="9.796875" customWidth="1"/>
    <col min="71" max="71" width="6.33203125" customWidth="1"/>
    <col min="72" max="72" width="12.33203125" customWidth="1"/>
    <col min="73" max="73" width="9.796875" customWidth="1"/>
    <col min="75" max="75" width="6.33203125" customWidth="1"/>
    <col min="76" max="76" width="12.33203125" customWidth="1"/>
    <col min="77" max="77" width="9.796875" customWidth="1"/>
    <col min="79" max="79" width="6.33203125" customWidth="1"/>
    <col min="82" max="82" width="6.33203125" customWidth="1"/>
    <col min="85" max="85" width="6.33203125" customWidth="1"/>
    <col min="87" max="88" width="12.33203125" bestFit="1" customWidth="1"/>
  </cols>
  <sheetData>
    <row r="1" spans="1:88" ht="23.25" x14ac:dyDescent="0.7">
      <c r="A1" s="4" t="s">
        <v>65</v>
      </c>
    </row>
    <row r="3" spans="1:88" x14ac:dyDescent="0.45">
      <c r="E3" s="7" t="s">
        <v>7</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row>
    <row r="4" spans="1:88" x14ac:dyDescent="0.45">
      <c r="A4" s="1" t="s">
        <v>4</v>
      </c>
      <c r="E4" s="1" t="s">
        <v>5</v>
      </c>
      <c r="F4" s="1"/>
      <c r="G4" s="1"/>
      <c r="H4" s="1" t="s">
        <v>6</v>
      </c>
      <c r="I4" s="1"/>
      <c r="J4" s="1"/>
      <c r="K4" s="1" t="s">
        <v>268</v>
      </c>
      <c r="L4" s="1"/>
      <c r="M4" s="1"/>
      <c r="N4" s="1"/>
      <c r="O4" s="1" t="s">
        <v>317</v>
      </c>
      <c r="P4" s="1"/>
      <c r="Q4" s="1"/>
      <c r="R4" s="1"/>
      <c r="S4" s="1" t="s">
        <v>369</v>
      </c>
      <c r="T4" s="1"/>
      <c r="U4" s="1"/>
      <c r="V4" s="1"/>
      <c r="W4" s="1" t="s">
        <v>92</v>
      </c>
      <c r="X4" s="1"/>
      <c r="Y4" s="1"/>
      <c r="Z4" s="1" t="s">
        <v>93</v>
      </c>
      <c r="AA4" s="1"/>
      <c r="AB4" s="1"/>
      <c r="AC4" s="1" t="s">
        <v>318</v>
      </c>
      <c r="AD4" s="1"/>
      <c r="AE4" s="1"/>
      <c r="AF4" s="1"/>
      <c r="AG4" s="1" t="s">
        <v>370</v>
      </c>
      <c r="AH4" s="1"/>
      <c r="AI4" s="1"/>
      <c r="AJ4" s="1"/>
      <c r="AK4" s="1" t="s">
        <v>423</v>
      </c>
      <c r="AL4" s="1"/>
      <c r="AM4" s="1"/>
      <c r="AN4" s="1" t="s">
        <v>424</v>
      </c>
      <c r="AO4" s="1"/>
      <c r="AP4" s="1"/>
      <c r="AQ4" s="1" t="s">
        <v>447</v>
      </c>
      <c r="AR4" s="1"/>
      <c r="AS4" s="1"/>
      <c r="AT4" s="1" t="s">
        <v>73</v>
      </c>
      <c r="AU4" s="1"/>
      <c r="AV4" s="1"/>
      <c r="AW4" s="1" t="s">
        <v>74</v>
      </c>
      <c r="AX4" s="1"/>
      <c r="AY4" s="1"/>
      <c r="BA4" s="1" t="s">
        <v>893</v>
      </c>
      <c r="BB4" s="1"/>
      <c r="BC4" s="1"/>
      <c r="BD4" s="1" t="s">
        <v>894</v>
      </c>
      <c r="BE4" s="1"/>
      <c r="BF4" s="1"/>
      <c r="BH4" s="1" t="s">
        <v>450</v>
      </c>
      <c r="BL4" s="1" t="s">
        <v>451</v>
      </c>
      <c r="BP4" s="1" t="s">
        <v>95</v>
      </c>
      <c r="BT4" s="1" t="s">
        <v>354</v>
      </c>
      <c r="BX4" s="1" t="s">
        <v>325</v>
      </c>
      <c r="CB4" s="1" t="s">
        <v>102</v>
      </c>
      <c r="CE4" s="1" t="s">
        <v>323</v>
      </c>
      <c r="CH4" s="1" t="s">
        <v>371</v>
      </c>
    </row>
    <row r="5" spans="1:88" x14ac:dyDescent="0.45">
      <c r="A5" s="5" t="s">
        <v>1</v>
      </c>
      <c r="B5" s="5" t="s">
        <v>2</v>
      </c>
      <c r="C5" s="5" t="s">
        <v>3</v>
      </c>
      <c r="E5" s="5" t="s">
        <v>1</v>
      </c>
      <c r="F5" s="5" t="s">
        <v>2</v>
      </c>
      <c r="H5" s="5" t="s">
        <v>1</v>
      </c>
      <c r="I5" s="5" t="s">
        <v>2</v>
      </c>
      <c r="K5" s="5" t="s">
        <v>1</v>
      </c>
      <c r="L5" s="5" t="s">
        <v>2</v>
      </c>
      <c r="M5" s="5" t="s">
        <v>3</v>
      </c>
      <c r="O5" s="5" t="s">
        <v>1</v>
      </c>
      <c r="P5" s="5" t="s">
        <v>2</v>
      </c>
      <c r="Q5" s="5" t="s">
        <v>3</v>
      </c>
      <c r="S5" s="97"/>
      <c r="T5" s="97"/>
      <c r="U5" s="97"/>
      <c r="W5" s="5" t="s">
        <v>1</v>
      </c>
      <c r="X5" s="5" t="s">
        <v>2</v>
      </c>
      <c r="Z5" s="5" t="s">
        <v>1</v>
      </c>
      <c r="AA5" s="5" t="s">
        <v>2</v>
      </c>
      <c r="AC5" s="5" t="s">
        <v>1</v>
      </c>
      <c r="AD5" s="5" t="s">
        <v>2</v>
      </c>
      <c r="AE5" s="5" t="s">
        <v>3</v>
      </c>
      <c r="AG5" s="5" t="s">
        <v>1</v>
      </c>
      <c r="AH5" s="5" t="s">
        <v>2</v>
      </c>
      <c r="AI5" s="5" t="s">
        <v>3</v>
      </c>
      <c r="AK5" s="5"/>
      <c r="AL5" s="5"/>
      <c r="AN5" s="5"/>
      <c r="AO5" s="5"/>
      <c r="AQ5" s="5"/>
      <c r="AR5" s="5"/>
      <c r="AT5" s="8" t="s">
        <v>9</v>
      </c>
      <c r="AU5" s="8"/>
      <c r="AW5" s="8" t="s">
        <v>10</v>
      </c>
      <c r="AX5" s="5"/>
      <c r="AY5" s="5"/>
      <c r="BA5" s="8" t="s">
        <v>891</v>
      </c>
      <c r="BB5" s="8"/>
      <c r="BD5" s="8" t="s">
        <v>892</v>
      </c>
      <c r="BE5" s="5"/>
      <c r="BF5" s="5"/>
      <c r="BH5" s="8"/>
      <c r="BI5" s="5"/>
      <c r="BJ5" s="5"/>
      <c r="BL5" s="8"/>
      <c r="BM5" s="5"/>
      <c r="BN5" s="5"/>
      <c r="BP5" s="8"/>
      <c r="BQ5" s="5"/>
      <c r="BR5" s="5"/>
      <c r="BT5" s="8"/>
      <c r="BU5" s="5"/>
      <c r="BV5" s="5"/>
      <c r="BX5" s="8"/>
      <c r="BY5" s="5"/>
      <c r="BZ5" s="5"/>
      <c r="CB5" s="8"/>
      <c r="CC5" s="5"/>
      <c r="CE5" s="8"/>
      <c r="CF5" s="5"/>
      <c r="CH5" s="8"/>
      <c r="CI5" s="5"/>
      <c r="CJ5" s="5"/>
    </row>
    <row r="6" spans="1:88" x14ac:dyDescent="0.45">
      <c r="A6" s="10">
        <v>1</v>
      </c>
      <c r="B6" s="10">
        <v>100</v>
      </c>
      <c r="C6" s="10">
        <v>1000</v>
      </c>
      <c r="E6" cm="1">
        <f t="array" ref="E6:F8">_xlfn.LAMBDA(_xlpm.matrix,_xlop.lin_start,_xlop.lin_end,_xlop.col_start,_xlop.col_end,_xlop.patch,_xlop.remove, _xlfn.LET(_xlpm.nLins, ROWS(_xlpm.matrix), _xlpm.nCols, COLUMNS(_xlpm.matrix), _xlpm.miss_lin_start, OR(_xlfn.ISOMITTED(_xlpm.lin_start), ISBLANK(_xlpm.lin_start), _xlpm.lin_start = 0), _xlpm.miss_lin_end, OR(_xlfn.ISOMITTED(_xlpm.lin_end), ISBLANK(_xlpm.lin_end), _xlpm.lin_end = 0), _xlpm.miss_col_start, OR(_xlfn.ISOMITTED(_xlpm.col_start), ISBLANK(_xlpm.col_start), _xlpm.col_start = 0), _xlpm.miss_col_end, OR(_xlfn.ISOMITTED(_xlpm.col_end), ISBLANK(_xlpm.col_end), _xlpm.col_end = 0), _xlpm.lin_start, IF(_xlpm.miss_lin_start, 1, IF(ISTEXT(_xlpm.lin_start), MATCH(_xlpm.lin_start, INDEX(_xlpm.matrix, 0, 1), 0), _xlpm.lin_start)), _xlpm.lin_end, IF(_xlpm.miss_lin_end, _xlpm.nLins, IF(ISTEXT(_xlpm.lin_end), MATCH(_xlpm.lin_end, INDEX(_xlpm.matrix, 0, 1), 0), _xlpm.lin_end)), _xlpm.col_start, IF(_xlpm.miss_col_start, 1, IF(ISTEXT(_xlpm.col_start), MATCH(_xlpm.col_start, INDEX(_xlpm.matrix, 1, 0), 0), _xlpm.col_start)), _xlpm.col_end, IF(_xlpm.miss_col_end,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IF(AND(_xlpm.miss_lin_start, _xlpm.miss_lin_end), _xlfn.SEQUENCE(_xlpm.nLins), COMPLEMENT(_xlpm.idxLins, 1, _xlpm.nLins)), _xlpm.remCols, IF(AND(_xlpm.miss_col_start, _xlpm.miss_col_end), _xlfn.SEQUENCE(1, _xlpm.nCols),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_xlpm.result)))($A$6:$C$17,2,4,1,2)</f>
        <v>2</v>
      </c>
      <c r="F6">
        <v>200</v>
      </c>
      <c r="H6" cm="1">
        <f t="array" ref="H6:I16">_xlfn.LAMBDA(_xlpm.matrix,_xlop.lin_start,_xlop.lin_end,_xlop.col_start,_xlop.col_end,_xlop.patch,_xlop.remove, _xlfn.LET(_xlpm.nLins, ROWS(_xlpm.matrix), _xlpm.nCols, COLUMNS(_xlpm.matrix), _xlpm.miss_lin_start, OR(_xlfn.ISOMITTED(_xlpm.lin_start), ISBLANK(_xlpm.lin_start), _xlpm.lin_start = 0), _xlpm.miss_lin_end, OR(_xlfn.ISOMITTED(_xlpm.lin_end), ISBLANK(_xlpm.lin_end), _xlpm.lin_end = 0), _xlpm.miss_col_start, OR(_xlfn.ISOMITTED(_xlpm.col_start), ISBLANK(_xlpm.col_start), _xlpm.col_start = 0), _xlpm.miss_col_end, OR(_xlfn.ISOMITTED(_xlpm.col_end), ISBLANK(_xlpm.col_end), _xlpm.col_end = 0), _xlpm.lin_start, IF(_xlpm.miss_lin_start, 1, IF(ISTEXT(_xlpm.lin_start), MATCH(_xlpm.lin_start, INDEX(_xlpm.matrix, 0, 1), 0), _xlpm.lin_start)), _xlpm.lin_end, IF(_xlpm.miss_lin_end, _xlpm.nLins, IF(ISTEXT(_xlpm.lin_end), MATCH(_xlpm.lin_end, INDEX(_xlpm.matrix, 0, 1), 0), _xlpm.lin_end)), _xlpm.col_start, IF(_xlpm.miss_col_start, 1, IF(ISTEXT(_xlpm.col_start), MATCH(_xlpm.col_start, INDEX(_xlpm.matrix, 1, 0), 0), _xlpm.col_start)), _xlpm.col_end, IF(_xlpm.miss_col_end,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IF(AND(_xlpm.miss_lin_start, _xlpm.miss_lin_end), _xlfn.SEQUENCE(_xlpm.nLins), COMPLEMENT(_xlpm.idxLins, 1, _xlpm.nLins)), _xlpm.remCols, IF(AND(_xlpm.miss_col_start, _xlpm.miss_col_end), _xlfn.SEQUENCE(1, _xlpm.nCols),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_xlpm.result)))($A$6:$C$17,2,,1,2)</f>
        <v>2</v>
      </c>
      <c r="I6">
        <v>200</v>
      </c>
      <c r="K6" cm="1">
        <f t="array" ref="K6:M17">_xlfn.LAMBDA(_xlpm.matrix,_xlop.lin_start,_xlop.lin_end,_xlop.col_start,_xlop.col_end,_xlop.patch,_xlop.remove, _xlfn.LET(_xlpm.nLins, ROWS(_xlpm.matrix), _xlpm.nCols, COLUMNS(_xlpm.matrix), _xlpm.miss_lin_start, OR(_xlfn.ISOMITTED(_xlpm.lin_start), ISBLANK(_xlpm.lin_start), _xlpm.lin_start = 0), _xlpm.miss_lin_end, OR(_xlfn.ISOMITTED(_xlpm.lin_end), ISBLANK(_xlpm.lin_end), _xlpm.lin_end = 0), _xlpm.miss_col_start, OR(_xlfn.ISOMITTED(_xlpm.col_start), ISBLANK(_xlpm.col_start), _xlpm.col_start = 0), _xlpm.miss_col_end, OR(_xlfn.ISOMITTED(_xlpm.col_end), ISBLANK(_xlpm.col_end), _xlpm.col_end = 0), _xlpm.lin_start, IF(_xlpm.miss_lin_start, 1, IF(ISTEXT(_xlpm.lin_start), MATCH(_xlpm.lin_start, INDEX(_xlpm.matrix, 0, 1), 0), _xlpm.lin_start)), _xlpm.lin_end, IF(_xlpm.miss_lin_end, _xlpm.nLins, IF(ISTEXT(_xlpm.lin_end), MATCH(_xlpm.lin_end, INDEX(_xlpm.matrix, 0, 1), 0), _xlpm.lin_end)), _xlpm.col_start, IF(_xlpm.miss_col_start, 1, IF(ISTEXT(_xlpm.col_start), MATCH(_xlpm.col_start, INDEX(_xlpm.matrix, 1, 0), 0), _xlpm.col_start)), _xlpm.col_end, IF(_xlpm.miss_col_end,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IF(AND(_xlpm.miss_lin_start, _xlpm.miss_lin_end), _xlfn.SEQUENCE(_xlpm.nLins), COMPLEMENT(_xlpm.idxLins, 1, _xlpm.nLins)), _xlpm.remCols, IF(AND(_xlpm.miss_col_start, _xlpm.miss_col_end), _xlfn.SEQUENCE(1, _xlpm.nCols),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_xlpm.result)))($A$6:$C$17,2,4,1,2,A15:B17)</f>
        <v>1</v>
      </c>
      <c r="L6">
        <v>100</v>
      </c>
      <c r="M6">
        <v>1000</v>
      </c>
      <c r="O6" cm="1">
        <f t="array" ref="O6:O14">_xlfn.LAMBDA(_xlpm.matrix,_xlop.lin_start,_xlop.lin_end,_xlop.col_start,_xlop.col_end,_xlop.patch,_xlop.remove, _xlfn.LET(_xlpm.nLins, ROWS(_xlpm.matrix), _xlpm.nCols, COLUMNS(_xlpm.matrix), _xlpm.miss_lin_start, OR(_xlfn.ISOMITTED(_xlpm.lin_start), ISBLANK(_xlpm.lin_start), _xlpm.lin_start = 0), _xlpm.miss_lin_end, OR(_xlfn.ISOMITTED(_xlpm.lin_end), ISBLANK(_xlpm.lin_end), _xlpm.lin_end = 0), _xlpm.miss_col_start, OR(_xlfn.ISOMITTED(_xlpm.col_start), ISBLANK(_xlpm.col_start), _xlpm.col_start = 0), _xlpm.miss_col_end, OR(_xlfn.ISOMITTED(_xlpm.col_end), ISBLANK(_xlpm.col_end), _xlpm.col_end = 0), _xlpm.lin_start, IF(_xlpm.miss_lin_start, 1, IF(ISTEXT(_xlpm.lin_start), MATCH(_xlpm.lin_start, INDEX(_xlpm.matrix, 0, 1), 0), _xlpm.lin_start)), _xlpm.lin_end, IF(_xlpm.miss_lin_end, _xlpm.nLins, IF(ISTEXT(_xlpm.lin_end), MATCH(_xlpm.lin_end, INDEX(_xlpm.matrix, 0, 1), 0), _xlpm.lin_end)), _xlpm.col_start, IF(_xlpm.miss_col_start, 1, IF(ISTEXT(_xlpm.col_start), MATCH(_xlpm.col_start, INDEX(_xlpm.matrix, 1, 0), 0), _xlpm.col_start)), _xlpm.col_end, IF(_xlpm.miss_col_end,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IF(AND(_xlpm.miss_lin_start, _xlpm.miss_lin_end), _xlfn.SEQUENCE(_xlpm.nLins), COMPLEMENT(_xlpm.idxLins, 1, _xlpm.nLins)), _xlpm.remCols, IF(AND(_xlpm.miss_col_start, _xlpm.miss_col_end), _xlfn.SEQUENCE(1, _xlpm.nCols),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_xlpm.result)))($A$6:$C$17, 2, 4, 1, 2, , TRUE)</f>
        <v>1000</v>
      </c>
      <c r="S6" t="str" cm="1">
        <f t="array" ref="S6:T18">_xlfn.LAMBDA(_xlpm.matrix,_xlop.lin_start,_xlop.lin_end,_xlop.col_start,_xlop.col_end,_xlop.patch,_xlop.remove, _xlfn.LET(_xlpm.nLins, ROWS(_xlpm.matrix), _xlpm.nCols, COLUMNS(_xlpm.matrix), _xlpm.miss_lin_start, OR(_xlfn.ISOMITTED(_xlpm.lin_start), ISBLANK(_xlpm.lin_start), _xlpm.lin_start = 0), _xlpm.miss_lin_end, OR(_xlfn.ISOMITTED(_xlpm.lin_end), ISBLANK(_xlpm.lin_end), _xlpm.lin_end = 0), _xlpm.miss_col_start, OR(_xlfn.ISOMITTED(_xlpm.col_start), ISBLANK(_xlpm.col_start), _xlpm.col_start = 0), _xlpm.miss_col_end, OR(_xlfn.ISOMITTED(_xlpm.col_end), ISBLANK(_xlpm.col_end), _xlpm.col_end = 0), _xlpm.lin_start, IF(_xlpm.miss_lin_start, 1, IF(ISTEXT(_xlpm.lin_start), MATCH(_xlpm.lin_start, INDEX(_xlpm.matrix, 0, 1), 0), _xlpm.lin_start)), _xlpm.lin_end, IF(_xlpm.miss_lin_end, _xlpm.nLins, IF(ISTEXT(_xlpm.lin_end), MATCH(_xlpm.lin_end, INDEX(_xlpm.matrix, 0, 1), 0), _xlpm.lin_end)), _xlpm.col_start, IF(_xlpm.miss_col_start, 1, IF(ISTEXT(_xlpm.col_start), MATCH(_xlpm.col_start, INDEX(_xlpm.matrix, 1, 0), 0), _xlpm.col_start)), _xlpm.col_end, IF(_xlpm.miss_col_end, _xlpm.nCols, IF(ISTEXT(_xlpm.col_end), MATCH(_xlpm.col_end, INDEX(_xlpm.matrix, 1, 0), 0), _xlpm.col_end)), _xlpm.remove, IF(OR(_xlfn.ISOMITTED(_xlpm.remove), _xlpm.remove = 0), FALSE, _xlpm.remove), _xlfn.LET(_xlpm.lin_start, IF(ABS(_xlpm.lin_start) &gt; _xlpm.nLins, SIGN(_xlpm.lin_start) * _xlpm.nLins, _xlpm.lin_start), _xlpm.lin_end, IF(ABS(_xlpm.lin_end) &gt; _xlpm.nLins, SIGN(_xlpm.lin_end) * _xlpm.nLins, _xlpm.lin_end), _xlpm.col_start, IF(ABS(_xlpm.col_start) &gt; _xlpm.nCols, SIGN(_xlpm.col_start) * _xlpm.nCols, _xlpm.col_start), _xlpm.col_end, IF(ABS(_xlpm.col_end) &gt; _xlpm.nCols, SIGN(_xlpm.col_end) * _xlpm.nCols, _xlpm.col_end), _xlpm.idxLins, _xlfn.SEQUENCE(IF(_xlpm.lin_end &gt; 0, _xlpm.lin_end, _xlpm.nLins + _xlpm.lin_end + 1) - IF(_xlpm.lin_start &gt; 0, _xlpm.lin_start, _xlpm.nLins + _xlpm.lin_start + 1) + 1, 1, IF(_xlpm.lin_start &gt; 0, _xlpm.lin_start, _xlpm.nLins + _xlpm.lin_start + 1)), _xlpm.idxCols, _xlfn.SEQUENCE(1, IF(_xlpm.col_end &gt; 0, _xlpm.col_end, _xlpm.nCols + _xlpm.col_end + 1) - IF(_xlpm.col_start &gt; 0, _xlpm.col_start, _xlpm.nCols + _xlpm.col_start + 1) + 1, IF(_xlpm.col_start &gt; 0, _xlpm.col_start, _xlpm.nCols + _xlpm.col_start + 1)), _xlpm.result, IF(_xlfn.ISOMITTED(_xlpm.patch), IF(_xlpm.remove = FALSE, INDEX(_xlpm.matrix, _xlpm.idxLins, _xlpm.idxCols), _xlfn.LET(_xlpm.remLins, IF(AND(_xlpm.miss_lin_start, _xlpm.miss_lin_end), _xlfn.SEQUENCE(_xlpm.nLins), COMPLEMENT(_xlpm.idxLins, 1, _xlpm.nLins)), _xlpm.remCols, IF(AND(_xlpm.miss_col_start, _xlpm.miss_col_end), _xlfn.SEQUENCE(1, _xlpm.nCols), TRANSPOSE(COMPLEMENT(_xlpm.idxCols, 1, _xlpm.nCols))), INDEX(_xlpm.matrix, _xlpm.remLins, _xlpm.remCols))), _xlfn.LET(_xlpm.patchLeft, IF(_xlpm.col_start - 1 &gt;= 1, _xlfn.HSTACK(M(_xlpm.matrix, "[" &amp; (_xlpm.lin_start) &amp; ":" &amp; (_xlpm.lin_end) &amp; ",1:" &amp; (_xlpm.col_start - 1) &amp; "]"), _xlpm.patch), _xlpm.patch), _xlpm.patchRight, IF(_xlpm.col_end + 1 &lt;= _xlpm.nCols, _xlfn.HSTACK(_xlpm.patchLeft, M(_xlpm.matrix, "[" &amp; (_xlpm.lin_start) &amp; ":" &amp; (_xlpm.lin_end) &amp; "," &amp; (_xlpm.col_end + 1) &amp; ":]")), _xlpm.patchLeft), _xlpm.patchUpper, IF(_xlpm.lin_start - 1 &gt;= 1, _xlfn.VSTACK(M(_xlpm.matrix, "[1:" &amp; (_xlpm.lin_start - 1) &amp; ",:]"), _xlpm.patchRight), _xlpm.patchRight), _xlpm.patchLower, IF(_xlpm.lin_end + 1 &lt;= _xlpm.nLins, _xlfn.VSTACK(_xlpm.patchUpper, M(_xlpm.matrix, "[" &amp; (_xlpm.lin_end + 1) &amp; ":,:]")), _xlpm.patchUpper), IF(AND(ROWS(_xlpm.patch) = (_xlpm.lin_end - _xlpm.lin_start + 1), COLUMNS(_xlpm.patch) = (_xlpm.col_end - _xlpm.col_start + 1)), _xlpm.patchLower, "# Patch range size is different"))), _xlpm.result)))($A$5:$C$17,,,"y","z")</f>
        <v>y</v>
      </c>
      <c r="T6" t="str">
        <v>z</v>
      </c>
      <c r="W6" cm="1">
        <f t="array" ref="W6:X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)($A$6:$C$17,"[2:4,1:2]")</f>
        <v>2</v>
      </c>
      <c r="X6">
        <v>200</v>
      </c>
      <c r="Z6" cm="1">
        <f t="array" ref="Z6:AA16">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)($A$6:$C$17,"[2:,1:2]")</f>
        <v>2</v>
      </c>
      <c r="AA6">
        <v>200</v>
      </c>
      <c r="AC6" cm="1">
        <f t="array" ref="AC6:AE17">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)($A$6:$C$17,"[2:,1]",$C$7:$C$17)</f>
        <v>1</v>
      </c>
      <c r="AD6">
        <v>100</v>
      </c>
      <c r="AE6">
        <v>1000</v>
      </c>
      <c r="AG6" t="str" cm="1">
        <f t="array" ref="AG6:AH18">_xlfn.LAMBDA(_xlpm.matrix,_xlpm.ref,_xlop.patch,
_xlfn.LET(_xlpm.ref, MID(_xlpm.ref,2,LEN(_xlpm.ref)-2),
_xlpm.idxs, _xludf.SPLIT(_xlpm.ref,","),
_xlpm.idxRows, IF( LEN(_xludf.SPLIT( INDEX(_xlpm.idxs,1), ":")) = 0, _xludf.SPLIT( INDEX(_xlpm.idxs,1), ":") * #VALUE!, IFERROR(VALUE(_xludf.SPLIT( INDEX(_xlpm.idxs,1), ":")), _xludf.SPLIT( INDEX(_xlpm.idxs,1), ":")) ),
_xlpm.idxRowLB, IF( ISERR( INDEX(_xlpm.idxRows,1,1) ), 1, IF(INDEX(_xlpm.idxRows,1,1) = 0, 1, INDEX(_xlpm.idxRows,1,1) ) ),
_xlpm.idxRowUB, IF( COLUMNS(_xlpm.idxRows) = 2, IF( ISERR( INDEX(_xlpm.idxRows,1,2) ), ROWS(_xlpm.matrix), IF( INDEX(_xlpm.idxRows,1,2) = 0, ROWS(_xlpm.matrix), INDEX(_xlpm.idxRows,1,2) ) ), IF(INDEX(_xlpm.idxRows,1,1)=0,ROWS(_xlpm.matrix),_xlpm.idxRowLB) ),
_xlpm.idxCols, IF( LEN(_xludf.SPLIT( INDEX(_xlpm.idxs,2), ":")) = 0, _xludf.SPLIT( INDEX(_xlpm.idxs,2), ":") * #VALUE!, IFERROR(VALUE( _xludf.SPLIT( INDEX(_xlpm.idxs,2), ":") ), _xludf.SPLIT( INDEX(_xlpm.idxs,2), ":")) ),
_xlpm.idxColLB, IF( ISERR( INDEX(_xlpm.idxCols,1,1) ), 1, IF( INDEX(_xlpm.idxCols,1,1) = 0, 1, INDEX(_xlpm.idxCols,1,1) ) ),
_xlpm.idxColUB, IF( COLUMNS(_xlpm.idxCols) = 2, IF( ISERR( INDEX(_xlpm.idxCols,1,2) ), COLUMNS(_xlpm.matrix), IF( INDEX(_xlpm.idxCols,1,2) = 0, COLUMNS(_xlpm.matrix), INDEX(_xlpm.idxCols,1,2) ) ), IF(INDEX(_xlpm.idxCols,1,1)=0,COLUMNS(_xlpm.matrix),_xlpm.idxColLB) ),
SLICE(_xlpm.matrix,_xlpm.idxRowLB,_xlpm.idxRowUB,_xlpm.idxColLB,_xlpm.idxColUB,_xlpm.patch,FALSE))
)($A$5:$C$17,"[1:,y:z]")</f>
        <v>y</v>
      </c>
      <c r="AH6" t="str">
        <v>z</v>
      </c>
      <c r="AK6" cm="1">
        <f t="array" ref="AK6">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)))($A$6:$C$17,2,,FALSE,FALSE)</f>
        <v>2</v>
      </c>
      <c r="AN6" cm="1">
        <f t="array" ref="AN6:AN17">_xlfn.LAMBDA(_xlpm.matrix,_xlpm.position,_xlop.patch,_xlop.remove,_xlop.rowsToCols,
_xlfn.LET(
_xlpm.nRows, ROWS(_xlpm.matrix), _xlpm.nCols, COLUMNS(_xlpm.matrix),
_xlpm.remove, IF(_xlfn.ISOMITTED(_xlpm.remove), FALSE,_xlpm.remove),
_xlpm.rowsToCols, IF(_xlfn.ISOMITTED(_xlpm.rowsToCols), TRUE, _xlpm.rowsToCols),
IF(_xlfn.ISOMITTED(_xlpm.patch),
IF(_xlpm.remove=FALSE,
IF(AND(_xlpm.nRows&gt;1,_xlpm.nCols&gt;1),INDEX(VEC(_xlpm.matrix,_xlpm.rowsToCols),_xlpm.position,1), IF(_xlpm.nRows&gt;1, INDEX(_xlpm.matrix,_xlpm.position,1), INDEX(_xlpm.matrix,1,_xlpm.position) )),
IF(AND(_xlpm.nRows&gt;1,_xlpm.nCols&gt;1),SLICE(VEC(_xlpm.matrix,_xlpm.rowsToCols),_xlpm.position,_xlpm.position,1,1,,TRUE), IF(_xlpm.nRows&gt;1, SLICE(_xlpm.matrix,_xlpm.position,_xlpm.position,1,1,,TRUE), SLICE(_xlpm.matrix,1,1,_xlpm.position,_xlpm.position,,TRUE) ))
),
IF(AND(_xlpm.nRows&gt;1,_xlpm.nCols&gt;1),SLICE(VEC(_xlpm.matrix,_xlpm.rowsToCols),_xlpm.position,_xlpm.position,1,1,_xlpm.patch), IF(_xlpm.nRows&gt;1, SLICE(_xlpm.matrix,_xlpm.position,_xlpm.position,1,1,_xlpm.patch), SLICE(_xlpm.matrix,1,1,_xlpm.position,_xlpm.position,_xlpm.patch) ))
)))($A$6:$A$17,2,"XXX",FALSE,FALSE)</f>
        <v>1</v>
      </c>
      <c r="AQ6" cm="1">
        <f t="array" ref="AQ6:AQ16">_xlfn.LAMBDA(_xlpm.matrix,_xlpm.position,_xlop.patch,_xlop.remove,_xlop.rowsToCols, _xlfn.LET(_xlpm.nRows, ROWS(_xlpm.matrix), _xlpm.nCols, COLUMNS(_xlpm.matrix), _xlpm.remove, IF(OR(_xlfn.ISOMITTED(_xlpm.remove), ISBLANK(_xlpm.remove)), FALSE, _xlpm.remove), _xlpm.rowsToCols, IF(OR(_xlfn.ISOMITTED(_xlpm.rowsToCols), ISBLANK(_xlpm.rowsToCols)), TRUE, _xlpm.rowsToCols), IF(_xlfn.ISOMITTED(_xlpm.patch), IF(_xlpm.remove = FALSE, IF(AND(_xlpm.nRows &gt; 1, _xlpm.nCols &gt; 1), INDEX(VEC(_xlpm.matrix, _xlpm.rowsToCols), _xlpm.position, 1), IF(_xlpm.nRows &gt; 1, INDEX(_xlpm.matrix, _xlpm.position, 1), INDEX(_xlpm.matrix, 1, _xlpm.position))), IF(AND(_xlpm.nRows &gt; 1, _xlpm.nCols &gt; 1), SLICE(VEC(_xlpm.matrix, _xlpm.rowsToCols), _xlpm.position, _xlpm.position, 1, 1, , TRUE), IF(_xlpm.nRows &gt; 1, SLICE(_xlpm.matrix, _xlpm.position, _xlpm.position, , , , TRUE), SLICE(_xlpm.matrix, , , _xlpm.position, _xlpm.position, , TRUE)))), IF(AND(_xlpm.nRows &gt; 1, _xlpm.nCols &gt; 1), SLICE(VEC(_xlpm.matrix, _xlpm.rowsToCols), _xlpm.position, _xlpm.position, 1, 1, _xlpm.patch), IF(_xlpm.nRows &gt; 1, SLICE(_xlpm.matrix, _xlpm.position, _xlpm.position, 1, 1, _xlpm.patch), SLICE(_xlpm.matrix, 1, 1, _xlpm.position, _xlpm.position, _xlpm.patch))))))($A$6:$A$17, 2, , TRUE, FALSE)</f>
        <v>1</v>
      </c>
      <c r="AT6" cm="1">
        <f t="array" ref="AT6:AU11">_xlfn.LAMBDA(_xlpm.matrixA,_xlpm.matrixB,
_xlfn.LET(
_xlpm.LinsA, IFERROR(ROWS(_xlpm.matrixA), 1),
_xlpm.LinsB, IFERROR(ROWS(_xlpm.matrixB), 1),
_xlpm.ColsA, IFERROR(COLUMNS(_xlpm.matrixA), 1),
_xlpm.ColsB, IFERROR(COLUMNS(_xlpm.matrixB), 1),
_xlpm.DataA, INDEX(_xlpm.matrixA, _xlfn.SEQUENCE(_xlpm.LinsA), _xlfn.SEQUENCE(1,MAX(_xlpm.ColsA,_xlpm.ColsB)) ),
_xlpm.DataB, INDEX(_xlpm.matrixB, _xlfn.SEQUENCE(_xlpm.LinsB), _xlfn.SEQUENCE(1,MAX(_xlpm.ColsA,_xlpm.ColsB)) ),
_xlpm.NumCols, COLUMNS(_xlpm.DataA),
_xlpm.SeqCol, _xlfn.SEQUENCE( _xlpm.LinsA + _xlpm.LinsB ),
_xlpm.SeqRow, _xlfn.SEQUENCE( 1, _xlpm.NumCols),
_xlfn.IFS(_xlfn.ISOMITTED(_xlpm.matrixA), _xlpm.matrixB, _xlfn.ISOMITTED(_xlpm.matrixB), _xlpm.matrixA, TRUE,
IF( _xlpm.SeqCol &lt;= _xlpm.LinsA, INDEX( _xlpm.DataA, _xlpm.SeqCol, _xlpm.SeqRow ), INDEX( _xlpm.DataB, _xlpm.SeqCol - _xlpm.LinsA, _xlpm.SeqRow ) ) ) )
)(A6:B8,A15:B17)</f>
        <v>1</v>
      </c>
      <c r="AU6">
        <v>100</v>
      </c>
      <c r="AW6" cm="1">
        <f t="array" ref="AW6:AY11">_xlfn.LAMBDA(_xlpm.matrixA,_xlpm.matrixB,
_xlfn.LET(
_xlpm.LinsA, IFERROR(ROWS(_xlpm.matrixA), 1),
_xlpm.LinsB, IFERROR(ROWS(_xlpm.matrixB), 1),
_xlpm.ColsA, IFERROR(COLUMNS(_xlpm.matrixA), 1),
_xlpm.ColsB, IFERROR(COLUMNS(_xlpm.matrixB), 1),
_xlpm.DataC, INDEX(_xlpm.matrixA, _xlfn.SEQUENCE(MAX(_xlpm.LinsA,_xlpm.LinsB)), _xlfn.SEQUENCE(1,_xlpm.ColsA) ),
_xlpm.DataD, INDEX(_xlpm.matrixB, _xlfn.SEQUENCE(MAX(_xlpm.LinsA,_xlpm.LinsB)), _xlfn.SEQUENCE(1,_xlpm.ColsB) ),
_xlpm.NumRows, ROWS(_xlpm.DataC),
_xlpm.SeqCol, _xlfn.SEQUENCE( _xlpm.NumRows ),
_xlpm.SeqRow, _xlfn.SEQUENCE(1, _xlpm.ColsA + _xlpm.ColsB),
_xlfn.IFS(_xlfn.ISOMITTED(_xlpm.matrixA), _xlpm.matrixB, _xlfn.ISOMITTED(_xlpm.matrixB), _xlpm.matrixA, TRUE,
IF( _xlpm.SeqRow &lt;= _xlpm.ColsA, INDEX( _xlpm.DataC, _xlpm.SeqCol,_xlpm.SeqRow), INDEX( _xlpm.DataD, _xlpm.SeqCol, _xlpm.SeqRow-_xlpm.ColsA ) ) ) )
)(A6:B11,C12:C17)</f>
        <v>1</v>
      </c>
      <c r="AX6">
        <v>100</v>
      </c>
      <c r="AY6">
        <v>7000</v>
      </c>
      <c r="BA6" cm="1">
        <f t="array" ref="BA6:BB8">_xlfn.LAMBDA(_xlpm.matrixA,_xlpm.matrixB,_xlpm.excludeValue,
_xlfn.LET(
_xlpm.testA, ALL(_xlpm.matrixA=_xlpm.excludeValue),
_xlpm.testB, ALL(_xlpm.matrixB=_xlpm.excludeValue),
_xlfn.IFS(AND(_xlpm.testA,_xlpm.testB), NA(), _xlpm.testA, _xlpm.matrixB, _xlpm.testB, _xlpm.matrixA, TRUE, _xlfn.VSTACK(_xlpm.matrixA,_xlpm.matrixB))
))(H6:I8,1,1)</f>
        <v>2</v>
      </c>
      <c r="BB6">
        <v>200</v>
      </c>
      <c r="BD6" cm="1">
        <f t="array" ref="BD6:BE11">_xlfn.LAMBDA(_xlpm.matrixA,_xlpm.matrixB,_xlpm.excludeValue,
_xlfn.LET(
_xlpm.testA, ALL(_xlpm.matrixA=_xlpm.excludeValue),
_xlpm.testB, ALL(_xlpm.matrixB=_xlpm.excludeValue),
_xlfn.IFS(AND(_xlpm.testA,_xlpm.testB), NA(), _xlpm.testA, _xlpm.matrixB, _xlpm.testB, _xlpm.matrixA, TRUE, _xlfn.HSTACK(_xlpm.matrixA,_xlpm.matrixB))
))($A$6:$B$11,1,1)</f>
        <v>1</v>
      </c>
      <c r="BE6">
        <v>100</v>
      </c>
      <c r="BH6" cm="1">
        <f t="array" aca="1" ref="BH6:BJ10" ca="1">_xlfn.LAMBDA(_xlpm.matrix,_xlpm.N,_xlop.dim,_xlop.withoutReplacement,
_xlfn.LET(
_xlpm.dim,IF(_xlfn.ISOMITTED(_xlpm.dim),1,_xlpm.dim),
_xlpm.withoutReplacement,IF(_xlfn.ISOMITTED(_xlpm.withoutReplacement),TRUE,_xlpm.withoutReplacement),
_xlpm.matrixClass, IF(_xlpm.dim=1,_xlpm.matrix,IF(_xlpm.dim=2,TRANSPOSE(_xlpm.matrix),#VALUE!)),
_xlpm.matrixSample, IF(_xlpm.withoutReplacement = FALSE,
SLICE(_xlpm.matrixClass, _xlfn.RANDARRAY(_xlpm.N,1,1,ROWS(_xlpm.matrixClass),TRUE), 0 ),
IF(_xlpm.withoutReplacement = TRUE,
SLICE(_xlfn.SORTBY(_xlpm.matrixClass, _xlfn.RANDARRAY(ROWS(_xlpm.matrixClass))), _xlfn.SEQUENCE(_xlpm.N), 0),
#VALUE!)),
IF(_xlpm.dim=1,_xlpm.matrixSample,TRANSPOSE(_xlpm.matrixSample))
))($A$6:$C$17,5,1,TRUE)</f>
        <v>11</v>
      </c>
      <c r="BI6">
        <f ca="1"/>
        <v>1100</v>
      </c>
      <c r="BJ6">
        <f ca="1"/>
        <v>11000</v>
      </c>
      <c r="BL6" cm="1">
        <f t="array" aca="1" ref="BL6:BM17" ca="1">SAMPLE($A$6:$C$17,2,2,FALSE)</f>
        <v>1000</v>
      </c>
      <c r="BM6">
        <f ca="1"/>
        <v>1</v>
      </c>
      <c r="BP6" s="91" t="str" cm="1">
        <f t="array" ref="BP6:BR6">_xlfn.LAMBDA(_xlpm.txt,_xlpm.delim,_xlop.n,_xlop.list,
_xlfn.LET(
_xlpm.p,IFERROR(FIND(_xlpm.delim,_xlpm.txt),0),
_xlpm.delimLength, LEN(_xlpm.delim),
_xlpm.list,IF(_xlfn.ISOMITTED(_xlpm.list), {""}, _xlpm.list),
IF(_xlpm.p,
_xludf.SPLIT(MID(_xlpm.txt,_xlpm.p+_xlpm.delimLength,9999999),_xlpm.delim,_xlpm.n+1, IF(_xlfn.SEQUENCE(1,_xlpm.n+1)&lt;_xlpm.n+1,_xlpm.list,LEFT(_xlpm.txt,_xlpm.p-1))),
IF(_xlpm.n=0,_xlpm.txt,IF(_xlfn.SEQUENCE(1,_xlpm.n+1)&lt;_xlpm.n+1,_xlpm.list,_xlpm.txt)) )
)
)("A--B--C","--")</f>
        <v>A</v>
      </c>
      <c r="BQ6" t="str">
        <v>B</v>
      </c>
      <c r="BR6" t="str">
        <v>C</v>
      </c>
      <c r="BT6" s="91" t="str" cm="1">
        <f t="array" ref="BT6:BT11">_xlfn.LAMBDA(_xlpm.txt,_xlpm.delim1,_xlpm.delim2,_xlop.returnedObject, _xlfn.LET(
_xlpm.returnedObject, IF(_xlfn.ISOMITTED(_xlpm.returnedObject), "ELEMENTS", UPPER(_xlpm.returnedObject)),
_xlpm.txtVec, TEXTTOCHAR(_xlpm.txt),
_xlpm.posPlus, NOZERO( _xlpm.txtVec = _xlpm.delim1 ),
_xlpm.posMin, NOZERO( _xlpm.txtVec = _xlpm.delim2 ),
_xlpm.posAll, RMMISSING( _xlfn._xlws.SORT( VEC( _xlfn.HSTACK(_xlpm.posPlus,_xlpm.posMin) ) ) ),
_xlpm.posStart,  IF(SUM(ISERR(_xlpm.posAll)*1), 1, _xlfn.VSTACK(1, _xlpm.posAll + 1 )),
_xlpm.posEnd, IF( SUM(ISERR(_xlpm.posAll)*1), LEN(_xlpm.txt), _xlfn.VSTACK(_xlpm.posAll - 1, LEN(_xlpm.txt)) ),
_xlpm.items, MID(_xlpm.txt,_xlpm.posStart,_xlpm.posEnd-_xlpm.posStart+1),
_xlpm.itemsPlus, _xlfn.VSTACK(1, _xlfn.MAP(_xlpm.posAll, _xlfn.LAMBDA(_xlpm.val, SUM(1*(_xlpm.val=_xlpm.posPlus))))),
_xlpm.itemsMin, 1*NOT(_xlpm.itemsPlus),
_xlfn.SWITCH(_xlpm.returnedObject, "ELEMENTS", _xlpm.items, "DELIM1POS", _xlpm.itemsPlus, "DELIM2POS", _xlpm.itemsMin )
) )("aa+b+c-dd+e-f", "+", "-", "ELEMENTS")</f>
        <v>aa</v>
      </c>
      <c r="BX6" t="str" cm="1">
        <f t="array" ref="BX6:BZ6">_xlfn.LAMBDA(_xlpm.text,_xlpm.delim, _xlfn.TEXTSPLIT(_xlpm.text, _xlpm.delim))("A--B;;C", {"--";";;"})</f>
        <v>A</v>
      </c>
      <c r="BY6" t="str">
        <v>B</v>
      </c>
      <c r="BZ6" t="str">
        <v>C</v>
      </c>
      <c r="CB6" t="str" cm="1">
        <f t="array" ref="CB6:CB11">_xlfn.LAMBDA(_xlpm.txt,MID(_xlpm.txt,_xlfn.SEQUENCE(LEN(_xlpm.txt)),1))("ABCDEF")</f>
        <v>A</v>
      </c>
      <c r="CE6" t="str" cm="1">
        <f t="array" ref="CE6">_xlfn.LAMBDA(_xlpm.text,_xlpm.oldChars,_xlpm.newText,_xlop.treatCharsAsText,
_xlfn.LET(_xlpm.treatCharsAsText, IF(_xlfn.ISOMITTED(_xlpm.treatCharsAsText), TRUE, _xlpm.treatCharsAsText),
_xlpm.oldChars, IF(_xlpm.treatCharsAsText, VEC(_xlpm.oldChars), _xlfn.TEXTJOIN("",TRUE,_xlpm.oldChars) ),
IF(_xlpm.treatCharsAsText,
IF(AND(LENGTH(_xlpm.oldChars)=1,_xlpm.oldChars=""), _xlpm.text,
REPLACEALL(
SUBSTITUTE( _xlpm.text, SLICE(_xlpm.oldChars,1,1), _xlpm.newText),
IFERROR(SLICE(_xlpm.oldChars,2,-1), ""),
_xlpm.newText,_xlpm.treatCharsAsText)),
IF(_xlpm.oldChars ="", _xlpm.text,
REPLACEALL(
SUBSTITUTE( _xlpm.text, LEFT(_xlpm.oldChars,1), _xlpm.newText),
MID(_xlpm.oldChars, 2, LEN(_xlpm.oldChars)-1),
_xlpm.newText,_xlpm.treatCharsAsText)
))))("Hello World",{"e";"o"},"",FALSE)</f>
        <v>Hll Wrld</v>
      </c>
      <c r="CH6" t="b" cm="1">
        <f t="array" ref="CH6:CJ8">_xlfn.LAMBDA(_xlpm.values,
LEN(_xlpm.values)=0
)($A$4:$C$6)</f>
        <v>0</v>
      </c>
      <c r="CI6" t="b">
        <v>1</v>
      </c>
      <c r="CJ6" t="b">
        <v>1</v>
      </c>
    </row>
    <row r="7" spans="1:88" x14ac:dyDescent="0.45">
      <c r="A7" s="10">
        <v>2</v>
      </c>
      <c r="B7" s="10">
        <v>200</v>
      </c>
      <c r="C7" s="10">
        <v>2000</v>
      </c>
      <c r="E7">
        <v>3</v>
      </c>
      <c r="F7">
        <v>300</v>
      </c>
      <c r="H7">
        <v>3</v>
      </c>
      <c r="I7">
        <v>300</v>
      </c>
      <c r="K7">
        <v>10</v>
      </c>
      <c r="L7">
        <v>1000</v>
      </c>
      <c r="M7">
        <v>2000</v>
      </c>
      <c r="O7">
        <v>5000</v>
      </c>
      <c r="S7">
        <v>100</v>
      </c>
      <c r="T7">
        <v>1000</v>
      </c>
      <c r="W7">
        <v>3</v>
      </c>
      <c r="X7">
        <v>300</v>
      </c>
      <c r="Z7">
        <v>3</v>
      </c>
      <c r="AA7">
        <v>300</v>
      </c>
      <c r="AC7">
        <v>2000</v>
      </c>
      <c r="AD7">
        <v>200</v>
      </c>
      <c r="AE7">
        <v>2000</v>
      </c>
      <c r="AG7">
        <v>100</v>
      </c>
      <c r="AH7">
        <v>1000</v>
      </c>
      <c r="AN7" t="str">
        <v>XXX</v>
      </c>
      <c r="AQ7">
        <v>3</v>
      </c>
      <c r="AT7">
        <v>2</v>
      </c>
      <c r="AU7">
        <v>200</v>
      </c>
      <c r="AW7">
        <v>2</v>
      </c>
      <c r="AX7">
        <v>200</v>
      </c>
      <c r="AY7">
        <v>8000</v>
      </c>
      <c r="BA7">
        <v>3</v>
      </c>
      <c r="BB7">
        <v>300</v>
      </c>
      <c r="BD7">
        <v>2</v>
      </c>
      <c r="BE7">
        <v>200</v>
      </c>
      <c r="BH7">
        <f ca="1"/>
        <v>10</v>
      </c>
      <c r="BI7">
        <f ca="1"/>
        <v>1000</v>
      </c>
      <c r="BJ7">
        <f ca="1"/>
        <v>10000</v>
      </c>
      <c r="BL7">
        <f ca="1"/>
        <v>2000</v>
      </c>
      <c r="BM7">
        <f ca="1"/>
        <v>2</v>
      </c>
      <c r="BT7" t="str">
        <v>b</v>
      </c>
      <c r="CB7" t="str">
        <v>B</v>
      </c>
      <c r="CH7" t="b">
        <v>0</v>
      </c>
      <c r="CI7" t="b">
        <v>0</v>
      </c>
      <c r="CJ7" t="b">
        <v>0</v>
      </c>
    </row>
    <row r="8" spans="1:88" x14ac:dyDescent="0.45">
      <c r="A8" s="10">
        <v>3</v>
      </c>
      <c r="B8" s="10">
        <v>300</v>
      </c>
      <c r="C8" s="10">
        <v>3000</v>
      </c>
      <c r="E8">
        <v>4</v>
      </c>
      <c r="F8">
        <v>400</v>
      </c>
      <c r="H8">
        <v>4</v>
      </c>
      <c r="I8">
        <v>400</v>
      </c>
      <c r="K8">
        <v>11</v>
      </c>
      <c r="L8">
        <v>1100</v>
      </c>
      <c r="M8">
        <v>3000</v>
      </c>
      <c r="O8">
        <v>6000</v>
      </c>
      <c r="S8">
        <v>200</v>
      </c>
      <c r="T8">
        <v>2000</v>
      </c>
      <c r="W8">
        <v>4</v>
      </c>
      <c r="X8">
        <v>400</v>
      </c>
      <c r="Z8">
        <v>4</v>
      </c>
      <c r="AA8">
        <v>400</v>
      </c>
      <c r="AC8">
        <v>3000</v>
      </c>
      <c r="AD8">
        <v>300</v>
      </c>
      <c r="AE8">
        <v>3000</v>
      </c>
      <c r="AG8">
        <v>200</v>
      </c>
      <c r="AH8">
        <v>2000</v>
      </c>
      <c r="AN8">
        <v>3</v>
      </c>
      <c r="AQ8">
        <v>4</v>
      </c>
      <c r="AT8">
        <v>3</v>
      </c>
      <c r="AU8">
        <v>300</v>
      </c>
      <c r="AW8">
        <v>3</v>
      </c>
      <c r="AX8">
        <v>300</v>
      </c>
      <c r="AY8">
        <v>9000</v>
      </c>
      <c r="BA8">
        <v>4</v>
      </c>
      <c r="BB8">
        <v>400</v>
      </c>
      <c r="BD8">
        <v>3</v>
      </c>
      <c r="BE8">
        <v>300</v>
      </c>
      <c r="BH8">
        <f ca="1"/>
        <v>2</v>
      </c>
      <c r="BI8">
        <f ca="1"/>
        <v>200</v>
      </c>
      <c r="BJ8">
        <f ca="1"/>
        <v>2000</v>
      </c>
      <c r="BL8">
        <f ca="1"/>
        <v>3000</v>
      </c>
      <c r="BM8">
        <f ca="1"/>
        <v>3</v>
      </c>
      <c r="BT8" t="str">
        <v>c</v>
      </c>
      <c r="CB8" t="str">
        <v>C</v>
      </c>
      <c r="CH8" t="b">
        <v>0</v>
      </c>
      <c r="CI8" t="b">
        <v>0</v>
      </c>
      <c r="CJ8" t="b">
        <v>0</v>
      </c>
    </row>
    <row r="9" spans="1:88" x14ac:dyDescent="0.45">
      <c r="A9" s="10">
        <v>4</v>
      </c>
      <c r="B9" s="10">
        <v>400</v>
      </c>
      <c r="C9" s="10">
        <v>4000</v>
      </c>
      <c r="H9">
        <v>5</v>
      </c>
      <c r="I9">
        <v>500</v>
      </c>
      <c r="K9">
        <v>12</v>
      </c>
      <c r="L9">
        <v>1200</v>
      </c>
      <c r="M9">
        <v>4000</v>
      </c>
      <c r="O9">
        <v>7000</v>
      </c>
      <c r="S9">
        <v>300</v>
      </c>
      <c r="T9">
        <v>3000</v>
      </c>
      <c r="Z9">
        <v>5</v>
      </c>
      <c r="AA9">
        <v>500</v>
      </c>
      <c r="AC9">
        <v>4000</v>
      </c>
      <c r="AD9">
        <v>400</v>
      </c>
      <c r="AE9">
        <v>4000</v>
      </c>
      <c r="AG9">
        <v>300</v>
      </c>
      <c r="AH9">
        <v>3000</v>
      </c>
      <c r="AN9">
        <v>4</v>
      </c>
      <c r="AQ9">
        <v>5</v>
      </c>
      <c r="AT9">
        <v>10</v>
      </c>
      <c r="AU9">
        <v>1000</v>
      </c>
      <c r="AW9">
        <v>4</v>
      </c>
      <c r="AX9">
        <v>400</v>
      </c>
      <c r="AY9">
        <v>10000</v>
      </c>
      <c r="BD9">
        <v>4</v>
      </c>
      <c r="BE9">
        <v>400</v>
      </c>
      <c r="BH9">
        <f ca="1"/>
        <v>3</v>
      </c>
      <c r="BI9">
        <f ca="1"/>
        <v>300</v>
      </c>
      <c r="BJ9">
        <f ca="1"/>
        <v>3000</v>
      </c>
      <c r="BL9">
        <f ca="1"/>
        <v>4000</v>
      </c>
      <c r="BM9">
        <f ca="1"/>
        <v>4</v>
      </c>
      <c r="BT9" t="str">
        <v>dd</v>
      </c>
      <c r="CB9" t="str">
        <v>D</v>
      </c>
    </row>
    <row r="10" spans="1:88" x14ac:dyDescent="0.45">
      <c r="A10" s="10">
        <v>5</v>
      </c>
      <c r="B10" s="10">
        <v>500</v>
      </c>
      <c r="C10" s="10">
        <v>5000</v>
      </c>
      <c r="H10">
        <v>6</v>
      </c>
      <c r="I10">
        <v>600</v>
      </c>
      <c r="K10">
        <v>5</v>
      </c>
      <c r="L10">
        <v>500</v>
      </c>
      <c r="M10">
        <v>5000</v>
      </c>
      <c r="O10">
        <v>8000</v>
      </c>
      <c r="S10">
        <v>400</v>
      </c>
      <c r="T10">
        <v>4000</v>
      </c>
      <c r="Z10">
        <v>6</v>
      </c>
      <c r="AA10">
        <v>600</v>
      </c>
      <c r="AC10">
        <v>5000</v>
      </c>
      <c r="AD10">
        <v>500</v>
      </c>
      <c r="AE10">
        <v>5000</v>
      </c>
      <c r="AG10">
        <v>400</v>
      </c>
      <c r="AH10">
        <v>4000</v>
      </c>
      <c r="AN10">
        <v>5</v>
      </c>
      <c r="AQ10">
        <v>6</v>
      </c>
      <c r="AT10">
        <v>11</v>
      </c>
      <c r="AU10">
        <v>1100</v>
      </c>
      <c r="AW10">
        <v>5</v>
      </c>
      <c r="AX10">
        <v>500</v>
      </c>
      <c r="AY10">
        <v>11000</v>
      </c>
      <c r="BD10">
        <v>5</v>
      </c>
      <c r="BE10">
        <v>500</v>
      </c>
      <c r="BH10">
        <f ca="1"/>
        <v>8</v>
      </c>
      <c r="BI10">
        <f ca="1"/>
        <v>800</v>
      </c>
      <c r="BJ10">
        <f ca="1"/>
        <v>8000</v>
      </c>
      <c r="BL10">
        <f ca="1"/>
        <v>5000</v>
      </c>
      <c r="BM10">
        <f ca="1"/>
        <v>5</v>
      </c>
      <c r="BT10" t="str">
        <v>e</v>
      </c>
      <c r="CB10" t="str">
        <v>E</v>
      </c>
    </row>
    <row r="11" spans="1:88" x14ac:dyDescent="0.45">
      <c r="A11" s="10">
        <v>6</v>
      </c>
      <c r="B11" s="10">
        <v>600</v>
      </c>
      <c r="C11" s="10">
        <v>6000</v>
      </c>
      <c r="H11">
        <v>7</v>
      </c>
      <c r="I11">
        <v>700</v>
      </c>
      <c r="K11">
        <v>6</v>
      </c>
      <c r="L11">
        <v>600</v>
      </c>
      <c r="M11">
        <v>6000</v>
      </c>
      <c r="O11">
        <v>9000</v>
      </c>
      <c r="S11">
        <v>500</v>
      </c>
      <c r="T11">
        <v>5000</v>
      </c>
      <c r="Z11">
        <v>7</v>
      </c>
      <c r="AA11">
        <v>700</v>
      </c>
      <c r="AC11">
        <v>6000</v>
      </c>
      <c r="AD11">
        <v>600</v>
      </c>
      <c r="AE11">
        <v>6000</v>
      </c>
      <c r="AG11">
        <v>500</v>
      </c>
      <c r="AH11">
        <v>5000</v>
      </c>
      <c r="AN11">
        <v>6</v>
      </c>
      <c r="AQ11">
        <v>7</v>
      </c>
      <c r="AT11">
        <v>12</v>
      </c>
      <c r="AU11">
        <v>1200</v>
      </c>
      <c r="AW11">
        <v>6</v>
      </c>
      <c r="AX11">
        <v>600</v>
      </c>
      <c r="AY11">
        <v>12000</v>
      </c>
      <c r="BD11">
        <v>6</v>
      </c>
      <c r="BE11">
        <v>600</v>
      </c>
      <c r="BL11">
        <f ca="1"/>
        <v>6000</v>
      </c>
      <c r="BM11">
        <f ca="1"/>
        <v>6</v>
      </c>
      <c r="BT11" t="str">
        <v>f</v>
      </c>
      <c r="CB11" t="str">
        <v>F</v>
      </c>
    </row>
    <row r="12" spans="1:88" x14ac:dyDescent="0.45">
      <c r="A12" s="10">
        <v>7</v>
      </c>
      <c r="B12" s="10">
        <v>700</v>
      </c>
      <c r="C12" s="10">
        <v>7000</v>
      </c>
      <c r="H12">
        <v>8</v>
      </c>
      <c r="I12">
        <v>800</v>
      </c>
      <c r="K12">
        <v>7</v>
      </c>
      <c r="L12">
        <v>700</v>
      </c>
      <c r="M12">
        <v>7000</v>
      </c>
      <c r="O12">
        <v>10000</v>
      </c>
      <c r="S12">
        <v>600</v>
      </c>
      <c r="T12">
        <v>6000</v>
      </c>
      <c r="Z12">
        <v>8</v>
      </c>
      <c r="AA12">
        <v>800</v>
      </c>
      <c r="AC12">
        <v>7000</v>
      </c>
      <c r="AD12">
        <v>700</v>
      </c>
      <c r="AE12">
        <v>7000</v>
      </c>
      <c r="AG12">
        <v>600</v>
      </c>
      <c r="AH12">
        <v>6000</v>
      </c>
      <c r="AN12">
        <v>7</v>
      </c>
      <c r="AQ12">
        <v>8</v>
      </c>
      <c r="BL12">
        <f ca="1"/>
        <v>7000</v>
      </c>
      <c r="BM12">
        <f ca="1"/>
        <v>7</v>
      </c>
      <c r="BP12" s="91"/>
      <c r="BT12" s="91"/>
      <c r="BX12" s="91"/>
    </row>
    <row r="13" spans="1:88" x14ac:dyDescent="0.45">
      <c r="A13" s="10">
        <v>8</v>
      </c>
      <c r="B13" s="10">
        <v>800</v>
      </c>
      <c r="C13" s="10">
        <v>8000</v>
      </c>
      <c r="H13">
        <v>9</v>
      </c>
      <c r="I13">
        <v>900</v>
      </c>
      <c r="K13">
        <v>8</v>
      </c>
      <c r="L13">
        <v>800</v>
      </c>
      <c r="M13">
        <v>8000</v>
      </c>
      <c r="O13">
        <v>11000</v>
      </c>
      <c r="S13">
        <v>700</v>
      </c>
      <c r="T13">
        <v>7000</v>
      </c>
      <c r="Z13">
        <v>9</v>
      </c>
      <c r="AA13">
        <v>900</v>
      </c>
      <c r="AC13">
        <v>8000</v>
      </c>
      <c r="AD13">
        <v>800</v>
      </c>
      <c r="AE13">
        <v>8000</v>
      </c>
      <c r="AG13">
        <v>700</v>
      </c>
      <c r="AH13">
        <v>7000</v>
      </c>
      <c r="AN13">
        <v>8</v>
      </c>
      <c r="AQ13">
        <v>9</v>
      </c>
      <c r="BL13">
        <f ca="1"/>
        <v>8000</v>
      </c>
      <c r="BM13">
        <f ca="1"/>
        <v>8</v>
      </c>
    </row>
    <row r="14" spans="1:88" x14ac:dyDescent="0.45">
      <c r="A14" s="10">
        <v>9</v>
      </c>
      <c r="B14" s="10">
        <v>900</v>
      </c>
      <c r="C14" s="10">
        <v>9000</v>
      </c>
      <c r="H14">
        <v>10</v>
      </c>
      <c r="I14">
        <v>1000</v>
      </c>
      <c r="K14">
        <v>9</v>
      </c>
      <c r="L14">
        <v>900</v>
      </c>
      <c r="M14">
        <v>9000</v>
      </c>
      <c r="O14">
        <v>12000</v>
      </c>
      <c r="S14">
        <v>800</v>
      </c>
      <c r="T14">
        <v>8000</v>
      </c>
      <c r="Z14">
        <v>10</v>
      </c>
      <c r="AA14">
        <v>1000</v>
      </c>
      <c r="AC14">
        <v>9000</v>
      </c>
      <c r="AD14">
        <v>900</v>
      </c>
      <c r="AE14">
        <v>9000</v>
      </c>
      <c r="AG14">
        <v>800</v>
      </c>
      <c r="AH14">
        <v>8000</v>
      </c>
      <c r="AN14">
        <v>9</v>
      </c>
      <c r="AQ14">
        <v>10</v>
      </c>
      <c r="BL14">
        <f ca="1"/>
        <v>9000</v>
      </c>
      <c r="BM14">
        <f ca="1"/>
        <v>9</v>
      </c>
    </row>
    <row r="15" spans="1:88" x14ac:dyDescent="0.45">
      <c r="A15" s="10">
        <v>10</v>
      </c>
      <c r="B15" s="10">
        <v>1000</v>
      </c>
      <c r="C15" s="10">
        <v>10000</v>
      </c>
      <c r="H15">
        <v>11</v>
      </c>
      <c r="I15">
        <v>1100</v>
      </c>
      <c r="K15">
        <v>10</v>
      </c>
      <c r="L15">
        <v>1000</v>
      </c>
      <c r="M15">
        <v>10000</v>
      </c>
      <c r="S15">
        <v>900</v>
      </c>
      <c r="T15">
        <v>9000</v>
      </c>
      <c r="Z15">
        <v>11</v>
      </c>
      <c r="AA15">
        <v>1100</v>
      </c>
      <c r="AC15">
        <v>10000</v>
      </c>
      <c r="AD15">
        <v>1000</v>
      </c>
      <c r="AE15">
        <v>10000</v>
      </c>
      <c r="AG15">
        <v>900</v>
      </c>
      <c r="AH15">
        <v>9000</v>
      </c>
      <c r="AN15">
        <v>10</v>
      </c>
      <c r="AQ15">
        <v>11</v>
      </c>
      <c r="BL15">
        <f ca="1"/>
        <v>10000</v>
      </c>
      <c r="BM15">
        <f ca="1"/>
        <v>10</v>
      </c>
    </row>
    <row r="16" spans="1:88" x14ac:dyDescent="0.45">
      <c r="A16" s="10">
        <v>11</v>
      </c>
      <c r="B16" s="10">
        <v>1100</v>
      </c>
      <c r="C16" s="10">
        <v>11000</v>
      </c>
      <c r="H16">
        <v>12</v>
      </c>
      <c r="I16">
        <v>1200</v>
      </c>
      <c r="K16">
        <v>11</v>
      </c>
      <c r="L16">
        <v>1100</v>
      </c>
      <c r="M16">
        <v>11000</v>
      </c>
      <c r="S16">
        <v>1000</v>
      </c>
      <c r="T16">
        <v>10000</v>
      </c>
      <c r="Z16">
        <v>12</v>
      </c>
      <c r="AA16">
        <v>1200</v>
      </c>
      <c r="AC16">
        <v>11000</v>
      </c>
      <c r="AD16">
        <v>1100</v>
      </c>
      <c r="AE16">
        <v>11000</v>
      </c>
      <c r="AG16">
        <v>1000</v>
      </c>
      <c r="AH16">
        <v>10000</v>
      </c>
      <c r="AN16">
        <v>11</v>
      </c>
      <c r="AQ16">
        <v>12</v>
      </c>
      <c r="BL16">
        <f ca="1"/>
        <v>11000</v>
      </c>
      <c r="BM16">
        <f ca="1"/>
        <v>11</v>
      </c>
    </row>
    <row r="17" spans="1:88" x14ac:dyDescent="0.45">
      <c r="A17" s="10">
        <v>12</v>
      </c>
      <c r="B17" s="10">
        <v>1200</v>
      </c>
      <c r="C17" s="10">
        <v>12000</v>
      </c>
      <c r="K17">
        <v>12</v>
      </c>
      <c r="L17">
        <v>1200</v>
      </c>
      <c r="M17">
        <v>12000</v>
      </c>
      <c r="S17">
        <v>1100</v>
      </c>
      <c r="T17">
        <v>11000</v>
      </c>
      <c r="AC17">
        <v>12000</v>
      </c>
      <c r="AD17">
        <v>1200</v>
      </c>
      <c r="AE17">
        <v>12000</v>
      </c>
      <c r="AG17">
        <v>1100</v>
      </c>
      <c r="AH17">
        <v>11000</v>
      </c>
      <c r="AN17">
        <v>12</v>
      </c>
      <c r="BL17">
        <f ca="1"/>
        <v>12000</v>
      </c>
      <c r="BM17">
        <f ca="1"/>
        <v>12</v>
      </c>
    </row>
    <row r="18" spans="1:88" x14ac:dyDescent="0.45">
      <c r="S18">
        <v>1200</v>
      </c>
      <c r="T18">
        <v>12000</v>
      </c>
      <c r="AG18">
        <v>1200</v>
      </c>
      <c r="AH18">
        <v>12000</v>
      </c>
    </row>
    <row r="20" spans="1:88" x14ac:dyDescent="0.45">
      <c r="E20" s="7" t="s">
        <v>8</v>
      </c>
      <c r="F20" s="6"/>
      <c r="G20" s="6"/>
      <c r="H20" s="6"/>
      <c r="I20" s="6"/>
      <c r="J20" s="6"/>
      <c r="K20" s="6"/>
      <c r="L20" s="6"/>
      <c r="M20" s="6"/>
      <c r="N20" s="6"/>
      <c r="O20" s="6"/>
      <c r="P20" s="6"/>
      <c r="Q20" s="6"/>
      <c r="R20" s="6"/>
      <c r="S20" s="6"/>
      <c r="T20" s="6"/>
      <c r="U20" s="6"/>
      <c r="V20" s="6"/>
      <c r="W20" s="7"/>
      <c r="X20" s="6"/>
      <c r="Y20" s="6"/>
      <c r="Z20" s="6"/>
      <c r="AA20" s="6"/>
      <c r="AB20" s="6"/>
      <c r="AC20" s="6"/>
      <c r="AD20" s="6"/>
      <c r="AE20" s="6"/>
      <c r="AF20" s="6"/>
      <c r="AG20" s="6"/>
      <c r="AH20" s="6"/>
      <c r="AI20" s="6"/>
      <c r="AJ20" s="6"/>
      <c r="AK20" s="7"/>
      <c r="AL20" s="6"/>
      <c r="AM20" s="6"/>
      <c r="AN20" s="7"/>
      <c r="AO20" s="6"/>
      <c r="AP20" s="6"/>
      <c r="AQ20" s="7"/>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row>
    <row r="21" spans="1:88" x14ac:dyDescent="0.45">
      <c r="E21" cm="1">
        <f t="array" ref="E21:F23">SLICE($A$6:$C$17,2,4,1,2)</f>
        <v>2</v>
      </c>
      <c r="F21">
        <v>200</v>
      </c>
      <c r="H21" cm="1">
        <f t="array" ref="H21:I31">SLICE($A$6:$C$17,2,,1,2)</f>
        <v>2</v>
      </c>
      <c r="I21">
        <v>200</v>
      </c>
      <c r="K21" cm="1">
        <f t="array" ref="K21:M32">SLICE($A$6:$C$17,2,4,1,2,A15:B17)</f>
        <v>1</v>
      </c>
      <c r="L21">
        <v>100</v>
      </c>
      <c r="M21">
        <v>1000</v>
      </c>
      <c r="O21" cm="1">
        <f t="array" ref="O21:O29">SLICE($A$6:$C$17,2,4,1,2,,TRUE)</f>
        <v>1000</v>
      </c>
      <c r="S21" t="str" cm="1">
        <f t="array" ref="S21:T33">SLICE($A$5:$C$17,,,"y","z")</f>
        <v>y</v>
      </c>
      <c r="T21" t="str">
        <v>z</v>
      </c>
      <c r="W21" cm="1">
        <f t="array" ref="W21:X23">M($A$6:$C$17,"[2:4,1:2]")</f>
        <v>2</v>
      </c>
      <c r="X21">
        <v>200</v>
      </c>
      <c r="Z21" cm="1">
        <f t="array" ref="Z21:AA31">M($A$6:$C$17,"[2:,1:2]")</f>
        <v>2</v>
      </c>
      <c r="AA21">
        <v>200</v>
      </c>
      <c r="AC21" cm="1">
        <f t="array" ref="AC21:AE32">M($A$6:$C$17,"[2:,1]",$C$7:$C$17)</f>
        <v>1</v>
      </c>
      <c r="AD21">
        <v>100</v>
      </c>
      <c r="AE21">
        <v>1000</v>
      </c>
      <c r="AG21" t="str" cm="1">
        <f t="array" ref="AG21:AH33">M($A$5:$C$17,"[1:,y:z]")</f>
        <v>y</v>
      </c>
      <c r="AH21" t="str">
        <v>z</v>
      </c>
      <c r="AK21" cm="1">
        <f t="array" ref="AK21">GET($A$6:$C$17,2,,FALSE,FALSE)</f>
        <v>2</v>
      </c>
      <c r="AN21" cm="1">
        <f t="array" ref="AN21:AN32">GET($A$6:$A$17,2,"XXX",FALSE,FALSE)</f>
        <v>1</v>
      </c>
      <c r="AQ21" cm="1">
        <f t="array" ref="AQ21:AQ31">GET($A$6:$A$17,2,,TRUE,FALSE)</f>
        <v>1</v>
      </c>
      <c r="AT21" cm="1">
        <f t="array" ref="AT21:AU26">VERTCAT($A$6:$B$8,$A$15:$B$17)</f>
        <v>1</v>
      </c>
      <c r="AU21">
        <v>100</v>
      </c>
      <c r="AW21" cm="1">
        <f t="array" ref="AW21:AY26">HORZCAT($A$6:$B$11,$C$12:$C$17)</f>
        <v>1</v>
      </c>
      <c r="AX21">
        <v>100</v>
      </c>
      <c r="AY21">
        <v>7000</v>
      </c>
      <c r="BA21" cm="1">
        <f t="array" ref="BA21:BB23">VERTCAT_EX($A$6:$B$8,1,1)</f>
        <v>1</v>
      </c>
      <c r="BB21">
        <v>100</v>
      </c>
      <c r="BD21" cm="1">
        <f t="array" ref="BD21:BE26">HORZCAT_EX($A$6:$B$11,1,1)</f>
        <v>1</v>
      </c>
      <c r="BE21">
        <v>100</v>
      </c>
      <c r="BH21" cm="1">
        <f t="array" aca="1" ref="BH21:BJ25" ca="1">SAMPLE(A6:C17,5,1,TRUE)</f>
        <v>10</v>
      </c>
      <c r="BI21">
        <f ca="1"/>
        <v>1000</v>
      </c>
      <c r="BJ21">
        <f ca="1"/>
        <v>10000</v>
      </c>
      <c r="BL21" cm="1">
        <f t="array" aca="1" ref="BL21:BM32" ca="1">SAMPLE($A$6:$C$17,2,2,FALSE)</f>
        <v>1000</v>
      </c>
      <c r="BM21">
        <f ca="1"/>
        <v>1000</v>
      </c>
      <c r="BP21" t="str" cm="1">
        <f t="array" ref="BP21:BR21">_xludf.SPLIT("A--B--C","--")</f>
        <v>A</v>
      </c>
      <c r="BQ21" t="str">
        <v>B</v>
      </c>
      <c r="BR21" t="str">
        <v>C</v>
      </c>
      <c r="BT21" t="str" cm="1">
        <f t="array" ref="BT21:BT26">SPLITTWO("aa+b+c-dd+e-f", "+", "-", "ELEMENTS")</f>
        <v>aa</v>
      </c>
      <c r="BX21" t="str" cm="1">
        <f t="array" ref="BX21:BZ21">SPLITALL("A--B--C","--")</f>
        <v>A</v>
      </c>
      <c r="BY21" t="str">
        <v>B</v>
      </c>
      <c r="BZ21" t="str">
        <v>C</v>
      </c>
      <c r="CB21" t="str" cm="1">
        <f t="array" ref="CB21:CB26">TEXTTOCHAR("ABCDEF")</f>
        <v>A</v>
      </c>
      <c r="CE21" t="str" cm="1">
        <f t="array" ref="CE21">REPLACEALL("Hello World",{"e";"o"},"",FALSE)</f>
        <v>Hll Wrld</v>
      </c>
      <c r="CH21" t="b" cm="1">
        <f t="array" ref="CH21:CJ23">ISEMPTY($A$4:$C$6)</f>
        <v>0</v>
      </c>
      <c r="CI21" t="b">
        <v>1</v>
      </c>
      <c r="CJ21" t="b">
        <v>1</v>
      </c>
    </row>
    <row r="22" spans="1:88" x14ac:dyDescent="0.45">
      <c r="E22">
        <v>3</v>
      </c>
      <c r="F22">
        <v>300</v>
      </c>
      <c r="H22">
        <v>3</v>
      </c>
      <c r="I22">
        <v>300</v>
      </c>
      <c r="K22">
        <v>10</v>
      </c>
      <c r="L22">
        <v>1000</v>
      </c>
      <c r="M22">
        <v>2000</v>
      </c>
      <c r="O22">
        <v>5000</v>
      </c>
      <c r="S22">
        <v>100</v>
      </c>
      <c r="T22">
        <v>1000</v>
      </c>
      <c r="W22">
        <v>3</v>
      </c>
      <c r="X22">
        <v>300</v>
      </c>
      <c r="Z22">
        <v>3</v>
      </c>
      <c r="AA22">
        <v>300</v>
      </c>
      <c r="AC22">
        <v>2000</v>
      </c>
      <c r="AD22">
        <v>200</v>
      </c>
      <c r="AE22">
        <v>2000</v>
      </c>
      <c r="AG22">
        <v>100</v>
      </c>
      <c r="AH22">
        <v>1000</v>
      </c>
      <c r="AN22" t="str">
        <v>XXX</v>
      </c>
      <c r="AQ22">
        <v>3</v>
      </c>
      <c r="AT22">
        <v>2</v>
      </c>
      <c r="AU22">
        <v>200</v>
      </c>
      <c r="AW22">
        <v>2</v>
      </c>
      <c r="AX22">
        <v>200</v>
      </c>
      <c r="AY22">
        <v>8000</v>
      </c>
      <c r="BA22">
        <v>2</v>
      </c>
      <c r="BB22">
        <v>200</v>
      </c>
      <c r="BD22">
        <v>2</v>
      </c>
      <c r="BE22">
        <v>200</v>
      </c>
      <c r="BH22">
        <f ca="1"/>
        <v>11</v>
      </c>
      <c r="BI22">
        <f ca="1"/>
        <v>1100</v>
      </c>
      <c r="BJ22">
        <f ca="1"/>
        <v>11000</v>
      </c>
      <c r="BL22">
        <f ca="1"/>
        <v>2000</v>
      </c>
      <c r="BM22">
        <f ca="1"/>
        <v>2000</v>
      </c>
      <c r="BT22" t="str">
        <v>b</v>
      </c>
      <c r="CB22" t="str">
        <v>B</v>
      </c>
      <c r="CH22" t="b">
        <v>0</v>
      </c>
      <c r="CI22" t="b">
        <v>0</v>
      </c>
      <c r="CJ22" t="b">
        <v>0</v>
      </c>
    </row>
    <row r="23" spans="1:88" x14ac:dyDescent="0.45">
      <c r="E23">
        <v>4</v>
      </c>
      <c r="F23">
        <v>400</v>
      </c>
      <c r="H23">
        <v>4</v>
      </c>
      <c r="I23">
        <v>400</v>
      </c>
      <c r="K23">
        <v>11</v>
      </c>
      <c r="L23">
        <v>1100</v>
      </c>
      <c r="M23">
        <v>3000</v>
      </c>
      <c r="O23">
        <v>6000</v>
      </c>
      <c r="S23">
        <v>200</v>
      </c>
      <c r="T23">
        <v>2000</v>
      </c>
      <c r="W23">
        <v>4</v>
      </c>
      <c r="X23">
        <v>400</v>
      </c>
      <c r="Z23">
        <v>4</v>
      </c>
      <c r="AA23">
        <v>400</v>
      </c>
      <c r="AC23">
        <v>3000</v>
      </c>
      <c r="AD23">
        <v>300</v>
      </c>
      <c r="AE23">
        <v>3000</v>
      </c>
      <c r="AG23">
        <v>200</v>
      </c>
      <c r="AH23">
        <v>2000</v>
      </c>
      <c r="AN23">
        <v>3</v>
      </c>
      <c r="AQ23">
        <v>4</v>
      </c>
      <c r="AT23">
        <v>3</v>
      </c>
      <c r="AU23">
        <v>300</v>
      </c>
      <c r="AW23">
        <v>3</v>
      </c>
      <c r="AX23">
        <v>300</v>
      </c>
      <c r="AY23">
        <v>9000</v>
      </c>
      <c r="BA23">
        <v>3</v>
      </c>
      <c r="BB23">
        <v>300</v>
      </c>
      <c r="BD23">
        <v>3</v>
      </c>
      <c r="BE23">
        <v>300</v>
      </c>
      <c r="BH23">
        <f ca="1"/>
        <v>2</v>
      </c>
      <c r="BI23">
        <f ca="1"/>
        <v>200</v>
      </c>
      <c r="BJ23">
        <f ca="1"/>
        <v>2000</v>
      </c>
      <c r="BL23">
        <f ca="1"/>
        <v>3000</v>
      </c>
      <c r="BM23">
        <f ca="1"/>
        <v>3000</v>
      </c>
      <c r="BT23" t="str">
        <v>c</v>
      </c>
      <c r="CB23" t="str">
        <v>C</v>
      </c>
      <c r="CH23" t="b">
        <v>0</v>
      </c>
      <c r="CI23" t="b">
        <v>0</v>
      </c>
      <c r="CJ23" t="b">
        <v>0</v>
      </c>
    </row>
    <row r="24" spans="1:88" x14ac:dyDescent="0.45">
      <c r="H24">
        <v>5</v>
      </c>
      <c r="I24">
        <v>500</v>
      </c>
      <c r="K24">
        <v>12</v>
      </c>
      <c r="L24">
        <v>1200</v>
      </c>
      <c r="M24">
        <v>4000</v>
      </c>
      <c r="O24">
        <v>7000</v>
      </c>
      <c r="S24">
        <v>300</v>
      </c>
      <c r="T24">
        <v>3000</v>
      </c>
      <c r="Z24">
        <v>5</v>
      </c>
      <c r="AA24">
        <v>500</v>
      </c>
      <c r="AC24">
        <v>4000</v>
      </c>
      <c r="AD24">
        <v>400</v>
      </c>
      <c r="AE24">
        <v>4000</v>
      </c>
      <c r="AG24">
        <v>300</v>
      </c>
      <c r="AH24">
        <v>3000</v>
      </c>
      <c r="AN24">
        <v>4</v>
      </c>
      <c r="AQ24">
        <v>5</v>
      </c>
      <c r="AT24">
        <v>10</v>
      </c>
      <c r="AU24">
        <v>1000</v>
      </c>
      <c r="AW24">
        <v>4</v>
      </c>
      <c r="AX24">
        <v>400</v>
      </c>
      <c r="AY24">
        <v>10000</v>
      </c>
      <c r="BD24">
        <v>4</v>
      </c>
      <c r="BE24">
        <v>400</v>
      </c>
      <c r="BH24">
        <f ca="1"/>
        <v>12</v>
      </c>
      <c r="BI24">
        <f ca="1"/>
        <v>1200</v>
      </c>
      <c r="BJ24">
        <f ca="1"/>
        <v>12000</v>
      </c>
      <c r="BL24">
        <f ca="1"/>
        <v>4000</v>
      </c>
      <c r="BM24">
        <f ca="1"/>
        <v>4000</v>
      </c>
      <c r="BT24" t="str">
        <v>dd</v>
      </c>
      <c r="CB24" t="str">
        <v>D</v>
      </c>
    </row>
    <row r="25" spans="1:88" x14ac:dyDescent="0.45">
      <c r="H25">
        <v>6</v>
      </c>
      <c r="I25">
        <v>600</v>
      </c>
      <c r="K25">
        <v>5</v>
      </c>
      <c r="L25">
        <v>500</v>
      </c>
      <c r="M25">
        <v>5000</v>
      </c>
      <c r="O25">
        <v>8000</v>
      </c>
      <c r="S25">
        <v>400</v>
      </c>
      <c r="T25">
        <v>4000</v>
      </c>
      <c r="Z25">
        <v>6</v>
      </c>
      <c r="AA25">
        <v>600</v>
      </c>
      <c r="AC25">
        <v>5000</v>
      </c>
      <c r="AD25">
        <v>500</v>
      </c>
      <c r="AE25">
        <v>5000</v>
      </c>
      <c r="AG25">
        <v>400</v>
      </c>
      <c r="AH25">
        <v>4000</v>
      </c>
      <c r="AN25">
        <v>5</v>
      </c>
      <c r="AQ25">
        <v>6</v>
      </c>
      <c r="AT25">
        <v>11</v>
      </c>
      <c r="AU25">
        <v>1100</v>
      </c>
      <c r="AW25">
        <v>5</v>
      </c>
      <c r="AX25">
        <v>500</v>
      </c>
      <c r="AY25">
        <v>11000</v>
      </c>
      <c r="BD25">
        <v>5</v>
      </c>
      <c r="BE25">
        <v>500</v>
      </c>
      <c r="BH25">
        <f ca="1"/>
        <v>5</v>
      </c>
      <c r="BI25">
        <f ca="1"/>
        <v>500</v>
      </c>
      <c r="BJ25">
        <f ca="1"/>
        <v>5000</v>
      </c>
      <c r="BL25">
        <f ca="1"/>
        <v>5000</v>
      </c>
      <c r="BM25">
        <f ca="1"/>
        <v>5000</v>
      </c>
      <c r="BT25" t="str">
        <v>e</v>
      </c>
      <c r="CB25" t="str">
        <v>E</v>
      </c>
    </row>
    <row r="26" spans="1:88" x14ac:dyDescent="0.45">
      <c r="H26">
        <v>7</v>
      </c>
      <c r="I26">
        <v>700</v>
      </c>
      <c r="K26">
        <v>6</v>
      </c>
      <c r="L26">
        <v>600</v>
      </c>
      <c r="M26">
        <v>6000</v>
      </c>
      <c r="O26">
        <v>9000</v>
      </c>
      <c r="S26">
        <v>500</v>
      </c>
      <c r="T26">
        <v>5000</v>
      </c>
      <c r="Z26">
        <v>7</v>
      </c>
      <c r="AA26">
        <v>700</v>
      </c>
      <c r="AC26">
        <v>6000</v>
      </c>
      <c r="AD26">
        <v>600</v>
      </c>
      <c r="AE26">
        <v>6000</v>
      </c>
      <c r="AG26">
        <v>500</v>
      </c>
      <c r="AH26">
        <v>5000</v>
      </c>
      <c r="AN26">
        <v>6</v>
      </c>
      <c r="AQ26">
        <v>7</v>
      </c>
      <c r="AT26">
        <v>12</v>
      </c>
      <c r="AU26">
        <v>1200</v>
      </c>
      <c r="AW26">
        <v>6</v>
      </c>
      <c r="AX26">
        <v>600</v>
      </c>
      <c r="AY26">
        <v>12000</v>
      </c>
      <c r="BD26">
        <v>6</v>
      </c>
      <c r="BE26">
        <v>600</v>
      </c>
      <c r="BL26">
        <f ca="1"/>
        <v>6000</v>
      </c>
      <c r="BM26">
        <f ca="1"/>
        <v>6000</v>
      </c>
      <c r="BT26" t="str">
        <v>f</v>
      </c>
      <c r="CB26" t="str">
        <v>F</v>
      </c>
    </row>
    <row r="27" spans="1:88" x14ac:dyDescent="0.45">
      <c r="H27">
        <v>8</v>
      </c>
      <c r="I27">
        <v>800</v>
      </c>
      <c r="K27">
        <v>7</v>
      </c>
      <c r="L27">
        <v>700</v>
      </c>
      <c r="M27">
        <v>7000</v>
      </c>
      <c r="O27">
        <v>10000</v>
      </c>
      <c r="S27">
        <v>600</v>
      </c>
      <c r="T27">
        <v>6000</v>
      </c>
      <c r="Z27">
        <v>8</v>
      </c>
      <c r="AA27">
        <v>800</v>
      </c>
      <c r="AC27">
        <v>7000</v>
      </c>
      <c r="AD27">
        <v>700</v>
      </c>
      <c r="AE27">
        <v>7000</v>
      </c>
      <c r="AG27">
        <v>600</v>
      </c>
      <c r="AH27">
        <v>6000</v>
      </c>
      <c r="AN27">
        <v>7</v>
      </c>
      <c r="AQ27">
        <v>8</v>
      </c>
      <c r="BL27">
        <f ca="1"/>
        <v>7000</v>
      </c>
      <c r="BM27">
        <f ca="1"/>
        <v>7000</v>
      </c>
    </row>
    <row r="28" spans="1:88" x14ac:dyDescent="0.45">
      <c r="H28">
        <v>9</v>
      </c>
      <c r="I28">
        <v>900</v>
      </c>
      <c r="K28">
        <v>8</v>
      </c>
      <c r="L28">
        <v>800</v>
      </c>
      <c r="M28">
        <v>8000</v>
      </c>
      <c r="O28">
        <v>11000</v>
      </c>
      <c r="S28">
        <v>700</v>
      </c>
      <c r="T28">
        <v>7000</v>
      </c>
      <c r="Z28">
        <v>9</v>
      </c>
      <c r="AA28">
        <v>900</v>
      </c>
      <c r="AC28">
        <v>8000</v>
      </c>
      <c r="AD28">
        <v>800</v>
      </c>
      <c r="AE28">
        <v>8000</v>
      </c>
      <c r="AG28">
        <v>700</v>
      </c>
      <c r="AH28">
        <v>7000</v>
      </c>
      <c r="AN28">
        <v>8</v>
      </c>
      <c r="AQ28">
        <v>9</v>
      </c>
      <c r="BL28">
        <f ca="1"/>
        <v>8000</v>
      </c>
      <c r="BM28">
        <f ca="1"/>
        <v>8000</v>
      </c>
    </row>
    <row r="29" spans="1:88" x14ac:dyDescent="0.45">
      <c r="H29">
        <v>10</v>
      </c>
      <c r="I29">
        <v>1000</v>
      </c>
      <c r="K29">
        <v>9</v>
      </c>
      <c r="L29">
        <v>900</v>
      </c>
      <c r="M29">
        <v>9000</v>
      </c>
      <c r="O29">
        <v>12000</v>
      </c>
      <c r="S29">
        <v>800</v>
      </c>
      <c r="T29">
        <v>8000</v>
      </c>
      <c r="Z29">
        <v>10</v>
      </c>
      <c r="AA29">
        <v>1000</v>
      </c>
      <c r="AC29">
        <v>9000</v>
      </c>
      <c r="AD29">
        <v>900</v>
      </c>
      <c r="AE29">
        <v>9000</v>
      </c>
      <c r="AG29">
        <v>800</v>
      </c>
      <c r="AH29">
        <v>8000</v>
      </c>
      <c r="AN29">
        <v>9</v>
      </c>
      <c r="AQ29">
        <v>10</v>
      </c>
      <c r="BL29">
        <f ca="1"/>
        <v>9000</v>
      </c>
      <c r="BM29">
        <f ca="1"/>
        <v>9000</v>
      </c>
    </row>
    <row r="30" spans="1:88" x14ac:dyDescent="0.45">
      <c r="H30">
        <v>11</v>
      </c>
      <c r="I30">
        <v>1100</v>
      </c>
      <c r="K30">
        <v>10</v>
      </c>
      <c r="L30">
        <v>1000</v>
      </c>
      <c r="M30">
        <v>10000</v>
      </c>
      <c r="S30">
        <v>900</v>
      </c>
      <c r="T30">
        <v>9000</v>
      </c>
      <c r="Z30">
        <v>11</v>
      </c>
      <c r="AA30">
        <v>1100</v>
      </c>
      <c r="AC30">
        <v>10000</v>
      </c>
      <c r="AD30">
        <v>1000</v>
      </c>
      <c r="AE30">
        <v>10000</v>
      </c>
      <c r="AG30">
        <v>900</v>
      </c>
      <c r="AH30">
        <v>9000</v>
      </c>
      <c r="AN30">
        <v>10</v>
      </c>
      <c r="AQ30">
        <v>11</v>
      </c>
      <c r="BL30">
        <f ca="1"/>
        <v>10000</v>
      </c>
      <c r="BM30">
        <f ca="1"/>
        <v>10000</v>
      </c>
    </row>
    <row r="31" spans="1:88" x14ac:dyDescent="0.45">
      <c r="H31">
        <v>12</v>
      </c>
      <c r="I31">
        <v>1200</v>
      </c>
      <c r="K31">
        <v>11</v>
      </c>
      <c r="L31">
        <v>1100</v>
      </c>
      <c r="M31">
        <v>11000</v>
      </c>
      <c r="S31">
        <v>1000</v>
      </c>
      <c r="T31">
        <v>10000</v>
      </c>
      <c r="Z31">
        <v>12</v>
      </c>
      <c r="AA31">
        <v>1200</v>
      </c>
      <c r="AC31">
        <v>11000</v>
      </c>
      <c r="AD31">
        <v>1100</v>
      </c>
      <c r="AE31">
        <v>11000</v>
      </c>
      <c r="AG31">
        <v>1000</v>
      </c>
      <c r="AH31">
        <v>10000</v>
      </c>
      <c r="AN31">
        <v>11</v>
      </c>
      <c r="AQ31">
        <v>12</v>
      </c>
      <c r="BL31">
        <f ca="1"/>
        <v>11000</v>
      </c>
      <c r="BM31">
        <f ca="1"/>
        <v>11000</v>
      </c>
    </row>
    <row r="32" spans="1:88" x14ac:dyDescent="0.45">
      <c r="K32">
        <v>12</v>
      </c>
      <c r="L32">
        <v>1200</v>
      </c>
      <c r="M32">
        <v>12000</v>
      </c>
      <c r="S32">
        <v>1100</v>
      </c>
      <c r="T32">
        <v>11000</v>
      </c>
      <c r="AC32">
        <v>12000</v>
      </c>
      <c r="AD32">
        <v>1200</v>
      </c>
      <c r="AE32">
        <v>12000</v>
      </c>
      <c r="AG32">
        <v>1100</v>
      </c>
      <c r="AH32">
        <v>11000</v>
      </c>
      <c r="AN32">
        <v>12</v>
      </c>
      <c r="BL32">
        <f ca="1"/>
        <v>12000</v>
      </c>
      <c r="BM32">
        <f ca="1"/>
        <v>12000</v>
      </c>
    </row>
    <row r="33" spans="19:34" x14ac:dyDescent="0.45">
      <c r="S33">
        <v>1200</v>
      </c>
      <c r="T33">
        <v>12000</v>
      </c>
      <c r="AG33">
        <v>1200</v>
      </c>
      <c r="AH33">
        <v>12000</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89104-29CD-3244-8A4A-9378D34E9D02}">
  <sheetPr codeName="Planilha124">
    <tabColor theme="9" tint="0.59999389629810485"/>
  </sheetPr>
  <dimension ref="A1:BW23"/>
  <sheetViews>
    <sheetView showGridLines="0" workbookViewId="0">
      <pane ySplit="1" topLeftCell="A2" activePane="bottomLeft" state="frozen"/>
      <selection pane="bottomLeft"/>
    </sheetView>
  </sheetViews>
  <sheetFormatPr defaultColWidth="8.796875" defaultRowHeight="14.25" x14ac:dyDescent="0.45"/>
  <cols>
    <col min="1" max="3" width="8" customWidth="1"/>
    <col min="5" max="5" width="13.1328125" customWidth="1"/>
    <col min="7" max="7" width="9.33203125" customWidth="1"/>
    <col min="9" max="10" width="13.46484375" customWidth="1"/>
    <col min="11" max="11" width="9.33203125" customWidth="1"/>
    <col min="15" max="15" width="9.33203125" customWidth="1"/>
    <col min="19" max="19" width="9.33203125" customWidth="1"/>
    <col min="23" max="23" width="9.33203125" customWidth="1"/>
    <col min="25" max="25" width="9.33203125" customWidth="1"/>
    <col min="26" max="26" width="10.33203125" customWidth="1"/>
    <col min="27" max="27" width="10.796875" customWidth="1"/>
    <col min="31" max="31" width="9.33203125" customWidth="1"/>
    <col min="35" max="35" width="9.33203125" customWidth="1"/>
    <col min="39" max="39" width="9.33203125" customWidth="1"/>
    <col min="43" max="43" width="9.33203125" customWidth="1"/>
    <col min="47" max="47" width="9.33203125" customWidth="1"/>
    <col min="51" max="51" width="9.33203125" customWidth="1"/>
    <col min="55" max="55" width="9.33203125" customWidth="1"/>
    <col min="59" max="59" width="9.33203125" customWidth="1"/>
    <col min="61" max="61" width="13.1328125" customWidth="1"/>
    <col min="63" max="63" width="9.33203125" customWidth="1"/>
    <col min="65" max="65" width="13.1328125" customWidth="1"/>
    <col min="67" max="67" width="9.33203125" customWidth="1"/>
    <col min="69" max="71" width="12.796875" customWidth="1"/>
    <col min="73" max="75" width="37.33203125" customWidth="1"/>
  </cols>
  <sheetData>
    <row r="1" spans="1:75" ht="23.25" x14ac:dyDescent="0.7">
      <c r="A1" s="4" t="s">
        <v>1339</v>
      </c>
    </row>
    <row r="3" spans="1:75" x14ac:dyDescent="0.45">
      <c r="E3" s="7" t="s">
        <v>7</v>
      </c>
      <c r="F3" s="7"/>
      <c r="G3" s="7"/>
      <c r="I3" s="7" t="s">
        <v>7</v>
      </c>
      <c r="J3" s="7"/>
      <c r="K3" s="7"/>
      <c r="M3" s="7" t="s">
        <v>7</v>
      </c>
      <c r="N3" s="7"/>
      <c r="O3" s="7"/>
      <c r="Q3" s="7" t="s">
        <v>7</v>
      </c>
      <c r="R3" s="7"/>
      <c r="S3" s="7"/>
      <c r="U3" s="7" t="s">
        <v>7</v>
      </c>
      <c r="V3" s="7"/>
      <c r="W3" s="7"/>
      <c r="Y3" s="7" t="s">
        <v>7</v>
      </c>
      <c r="Z3" s="7"/>
      <c r="AA3" s="7"/>
      <c r="AC3" s="7" t="s">
        <v>7</v>
      </c>
      <c r="AD3" s="7"/>
      <c r="AE3" s="7"/>
      <c r="AG3" s="7" t="s">
        <v>7</v>
      </c>
      <c r="AH3" s="7"/>
      <c r="AI3" s="7"/>
      <c r="AK3" s="7" t="s">
        <v>7</v>
      </c>
      <c r="AL3" s="7"/>
      <c r="AM3" s="7"/>
      <c r="AO3" s="7" t="s">
        <v>7</v>
      </c>
      <c r="AP3" s="7"/>
      <c r="AQ3" s="7"/>
      <c r="AS3" s="7" t="s">
        <v>7</v>
      </c>
      <c r="AT3" s="7"/>
      <c r="AU3" s="7"/>
      <c r="AW3" s="7" t="s">
        <v>7</v>
      </c>
      <c r="AX3" s="7"/>
      <c r="AY3" s="7"/>
      <c r="BA3" s="7" t="s">
        <v>7</v>
      </c>
      <c r="BB3" s="7"/>
      <c r="BC3" s="7"/>
      <c r="BE3" s="7" t="s">
        <v>7</v>
      </c>
      <c r="BF3" s="7"/>
      <c r="BG3" s="7"/>
      <c r="BI3" s="7" t="s">
        <v>7</v>
      </c>
      <c r="BJ3" s="7"/>
      <c r="BK3" s="7"/>
      <c r="BM3" s="7" t="s">
        <v>7</v>
      </c>
      <c r="BN3" s="7"/>
      <c r="BO3" s="7"/>
      <c r="BQ3" s="7" t="s">
        <v>7</v>
      </c>
      <c r="BR3" s="7"/>
      <c r="BS3" s="7"/>
      <c r="BU3" s="7" t="s">
        <v>7</v>
      </c>
      <c r="BV3" s="7"/>
      <c r="BW3" s="7"/>
    </row>
    <row r="4" spans="1:75" x14ac:dyDescent="0.45">
      <c r="A4" s="1" t="s">
        <v>4</v>
      </c>
      <c r="E4" s="1" t="s">
        <v>1375</v>
      </c>
      <c r="F4" s="1"/>
      <c r="G4" s="1"/>
      <c r="I4" s="1" t="s">
        <v>1344</v>
      </c>
      <c r="J4" s="1"/>
      <c r="K4" s="1"/>
      <c r="M4" s="1" t="s">
        <v>1345</v>
      </c>
      <c r="N4" s="1"/>
      <c r="O4" s="1"/>
      <c r="Q4" s="1" t="s">
        <v>1346</v>
      </c>
      <c r="R4" s="1"/>
      <c r="S4" s="1"/>
      <c r="U4" s="1" t="s">
        <v>1347</v>
      </c>
      <c r="V4" s="1"/>
      <c r="W4" s="1"/>
      <c r="Y4" s="1" t="s">
        <v>1352</v>
      </c>
      <c r="Z4" s="1"/>
      <c r="AA4" s="1"/>
      <c r="AC4" s="1" t="s">
        <v>1348</v>
      </c>
      <c r="AD4" s="1"/>
      <c r="AE4" s="1"/>
      <c r="AG4" s="1" t="s">
        <v>1349</v>
      </c>
      <c r="AH4" s="1"/>
      <c r="AI4" s="1"/>
      <c r="AK4" s="1" t="s">
        <v>1350</v>
      </c>
      <c r="AL4" s="1"/>
      <c r="AM4" s="1"/>
      <c r="AO4" s="1" t="s">
        <v>1351</v>
      </c>
      <c r="AP4" s="1"/>
      <c r="AQ4" s="1"/>
      <c r="AS4" s="1" t="s">
        <v>1353</v>
      </c>
      <c r="AT4" s="1"/>
      <c r="AU4" s="1"/>
      <c r="AW4" s="1" t="s">
        <v>1354</v>
      </c>
      <c r="AX4" s="1"/>
      <c r="AY4" s="1"/>
      <c r="BA4" s="1" t="s">
        <v>1355</v>
      </c>
      <c r="BB4" s="1"/>
      <c r="BC4" s="1"/>
      <c r="BE4" s="1" t="s">
        <v>1356</v>
      </c>
      <c r="BF4" s="1"/>
      <c r="BG4" s="1"/>
      <c r="BI4" s="1" t="s">
        <v>1369</v>
      </c>
      <c r="BJ4" s="1"/>
      <c r="BK4" s="1"/>
      <c r="BM4" s="1" t="s">
        <v>1371</v>
      </c>
      <c r="BN4" s="1"/>
      <c r="BO4" s="1"/>
      <c r="BQ4" s="1" t="s">
        <v>1378</v>
      </c>
      <c r="BR4" s="1"/>
      <c r="BS4" s="1"/>
      <c r="BU4" s="1" t="s">
        <v>1374</v>
      </c>
      <c r="BV4" s="1"/>
      <c r="BW4" s="1"/>
    </row>
    <row r="5" spans="1:75" x14ac:dyDescent="0.45">
      <c r="A5" s="5" t="s">
        <v>1</v>
      </c>
      <c r="B5" s="5" t="s">
        <v>2</v>
      </c>
      <c r="C5" s="5" t="s">
        <v>3</v>
      </c>
      <c r="E5" s="5" t="s">
        <v>1</v>
      </c>
      <c r="F5" s="5" t="s">
        <v>2</v>
      </c>
      <c r="G5" s="5" t="s">
        <v>3</v>
      </c>
      <c r="I5" s="5" t="s">
        <v>1</v>
      </c>
      <c r="J5" s="5" t="s">
        <v>2</v>
      </c>
      <c r="K5" s="5" t="s">
        <v>3</v>
      </c>
      <c r="M5" s="5" t="s">
        <v>1</v>
      </c>
      <c r="N5" s="5" t="s">
        <v>2</v>
      </c>
      <c r="O5" s="5" t="s">
        <v>3</v>
      </c>
      <c r="Q5" s="5" t="s">
        <v>1</v>
      </c>
      <c r="R5" s="5" t="s">
        <v>2</v>
      </c>
      <c r="S5" s="5" t="s">
        <v>3</v>
      </c>
      <c r="U5" s="5" t="s">
        <v>1</v>
      </c>
      <c r="V5" s="5" t="s">
        <v>2</v>
      </c>
      <c r="W5" s="5" t="s">
        <v>3</v>
      </c>
      <c r="Y5" s="5" t="s">
        <v>1</v>
      </c>
      <c r="Z5" s="5" t="s">
        <v>2</v>
      </c>
      <c r="AA5" s="5" t="s">
        <v>3</v>
      </c>
      <c r="AC5" s="5" t="s">
        <v>1</v>
      </c>
      <c r="AD5" s="5" t="s">
        <v>2</v>
      </c>
      <c r="AE5" s="5" t="s">
        <v>3</v>
      </c>
      <c r="AG5" s="5" t="s">
        <v>1</v>
      </c>
      <c r="AH5" s="5" t="s">
        <v>2</v>
      </c>
      <c r="AI5" s="5" t="s">
        <v>3</v>
      </c>
      <c r="AK5" s="5" t="s">
        <v>1</v>
      </c>
      <c r="AL5" s="5" t="s">
        <v>2</v>
      </c>
      <c r="AM5" s="5" t="s">
        <v>3</v>
      </c>
      <c r="AO5" s="5" t="s">
        <v>1</v>
      </c>
      <c r="AP5" s="5" t="s">
        <v>2</v>
      </c>
      <c r="AQ5" s="5" t="s">
        <v>3</v>
      </c>
      <c r="AS5" s="5" t="s">
        <v>1</v>
      </c>
      <c r="AT5" s="5" t="s">
        <v>2</v>
      </c>
      <c r="AU5" s="5" t="s">
        <v>3</v>
      </c>
      <c r="AW5" s="5" t="s">
        <v>1</v>
      </c>
      <c r="AX5" s="5" t="s">
        <v>2</v>
      </c>
      <c r="AY5" s="5" t="s">
        <v>3</v>
      </c>
      <c r="BA5" s="5" t="s">
        <v>1</v>
      </c>
      <c r="BB5" s="5" t="s">
        <v>2</v>
      </c>
      <c r="BC5" s="5" t="s">
        <v>3</v>
      </c>
      <c r="BE5" s="5" t="s">
        <v>1</v>
      </c>
      <c r="BF5" s="5" t="s">
        <v>2</v>
      </c>
      <c r="BG5" s="5" t="s">
        <v>3</v>
      </c>
      <c r="BI5" s="5" t="s">
        <v>1</v>
      </c>
      <c r="BJ5" s="5" t="s">
        <v>2</v>
      </c>
      <c r="BK5" s="5" t="s">
        <v>3</v>
      </c>
      <c r="BM5" s="5" t="s">
        <v>1</v>
      </c>
      <c r="BN5" s="5" t="s">
        <v>2</v>
      </c>
      <c r="BO5" s="5" t="s">
        <v>3</v>
      </c>
      <c r="BQ5" s="5" t="s">
        <v>1</v>
      </c>
      <c r="BR5" s="5" t="s">
        <v>2</v>
      </c>
      <c r="BS5" s="5" t="s">
        <v>3</v>
      </c>
      <c r="BU5" s="5" t="s">
        <v>1</v>
      </c>
      <c r="BV5" s="5" t="s">
        <v>2</v>
      </c>
      <c r="BW5" s="5" t="s">
        <v>3</v>
      </c>
    </row>
    <row r="6" spans="1:75" x14ac:dyDescent="0.45">
      <c r="A6" s="15" t="s">
        <v>1340</v>
      </c>
      <c r="B6" s="15" t="s">
        <v>1343</v>
      </c>
      <c r="C6" s="15">
        <v>4</v>
      </c>
      <c r="E6" t="str" cm="1">
        <f t="array" ref="E6:G8">_xlfn.LAMBDA(_xlpm.realMatrix,_xlop.imaginaryMatrix, _xlfn.LET(_xlpm.imaginaryMatrix, IF(OR(_xlfn.ISOMITTED(_xlpm.imaginaryMatrix), ISBLANK(_xlpm.imaginaryMatrix)), ZEROS(ROWS(_xlpm.realMatrix), COLUMNS(_xlpm.realMatrix)), _xlpm.imaginaryMatrix), _xlpm.result, _xlfn.MAKEARRAY(ROWS(_xlpm.realMatrix), COLUMNS(_xlpm.realMatrix), _xlfn.LAMBDA(_xlpm.x,_xlpm.y, COMPLEX(INDEX(_xlpm.realMatrix, _xlpm.x, _xlpm.y), INDEX(_xlpm.imaginaryMatrix, _xlpm.x, _xlpm.y)))), _xlpm.result))(CMREAL($A$6:$C$8), CMIMAGINARY($A$6:$C$8))</f>
        <v>1+5i</v>
      </c>
      <c r="F6" t="str">
        <v>12+3i</v>
      </c>
      <c r="G6" t="str">
        <v>4</v>
      </c>
      <c r="I6" t="str" cm="1">
        <f t="array" ref="I6:K8">_xlfn.LAMBDA(_xlpm.matrixA,_xlpm.matrixB, _xlfn.LET(_xlpm.AR, _xlfn.MAP(_xlpm.matrixA, _xlfn.LAMBDA(_xlpm.x, IMREAL(_xlpm.x))), _xlpm.BR, _xlfn.MAP(_xlpm.matrixB, _xlfn.LAMBDA(_xlpm.x, IMREAL(_xlpm.x))), _xlpm.AI, _xlfn.MAP(_xlpm.matrixA, _xlfn.LAMBDA(_xlpm.x, IMAGINARY(_xlpm.x))), _xlpm.BI, _xlfn.MAP(_xlpm.matrixB, _xlfn.LAMBDA(_xlpm.x, IMAGINARY(_xlpm.x))), COMPLEX(_xlpm.AR + _xlpm.BR, _xlpm.AI + _xlpm.BI)))($A$6:$C$8, $A$10:$C$12)</f>
        <v>2+10i</v>
      </c>
      <c r="J6" t="str">
        <v>14+9i</v>
      </c>
      <c r="K6" t="str">
        <v>7+9i</v>
      </c>
      <c r="M6" t="str" cm="1">
        <f t="array" ref="M6:O8">_xlfn.LAMBDA(_xlpm.matrixA,_xlpm.matrixB, _xlfn.LET(_xlpm.AR, _xlfn.MAP(_xlpm.matrixA, _xlfn.LAMBDA(_xlpm.x, IMREAL(_xlpm.x))), _xlpm.BR, _xlfn.MAP(_xlpm.matrixB, _xlfn.LAMBDA(_xlpm.x, IMREAL(_xlpm.x))), _xlpm.AI, _xlfn.MAP(_xlpm.matrixA, _xlfn.LAMBDA(_xlpm.x, IMAGINARY(_xlpm.x))), _xlpm.BI, _xlfn.MAP(_xlpm.matrixB, _xlfn.LAMBDA(_xlpm.x, IMAGINARY(_xlpm.x))), COMPLEX(_xlpm.AR - _xlpm.BR, _xlpm.AI - _xlpm.BI)))($A$6:$C$8, $A$10:$C$12)</f>
        <v>0</v>
      </c>
      <c r="N6" t="str">
        <v>10-3i</v>
      </c>
      <c r="O6" t="str">
        <v>1-9i</v>
      </c>
      <c r="Q6" t="str" cm="1">
        <f t="array" ref="Q6:S8">_xlfn.LAMBDA(_xlpm.matrixA,_xlpm.matrixB, _xlfn.LET(_xlpm.AR, _xlfn.MAP(_xlpm.matrixA, _xlfn.LAMBDA(_xlpm.x, IMREAL(_xlpm.x))), _xlpm.BR, _xlfn.MAP(_xlpm.matrixB, _xlfn.LAMBDA(_xlpm.x, IMREAL(_xlpm.x))), _xlpm.AI, _xlfn.MAP(_xlpm.matrixA, _xlfn.LAMBDA(_xlpm.x, IMAGINARY(_xlpm.x))), _xlpm.BI, _xlfn.MAP(_xlpm.matrixB, _xlfn.LAMBDA(_xlpm.x, IMAGINARY(_xlpm.x))), COMPLEX(_xlpm.AR * _xlpm.BR - _xlpm.AI * _xlpm.BI, _xlpm.AR * _xlpm.BI + _xlpm.AI * _xlpm.BR)))($A$6:$C$8, $A$10:$C$12)</f>
        <v>-24+10i</v>
      </c>
      <c r="R6" t="str">
        <v>6+78i</v>
      </c>
      <c r="S6" t="str">
        <v>12+36i</v>
      </c>
      <c r="U6" t="str" cm="1">
        <f t="array" ref="U6:W8">_xlfn.LAMBDA(_xlpm.matrixA,_xlpm.matrixB, _xlfn.LET(_xlpm.AR, _xlfn.MAP(_xlpm.matrixA, _xlfn.LAMBDA(_xlpm.x, IMREAL(_xlpm.x))), _xlpm.BR, _xlfn.MAP(_xlpm.matrixB, _xlfn.LAMBDA(_xlpm.x, IMREAL(_xlpm.x))), _xlpm.AI, _xlfn.MAP(_xlpm.matrixA, _xlfn.LAMBDA(_xlpm.x, IMAGINARY(_xlpm.x))), _xlpm.BI, _xlfn.MAP(_xlpm.matrixB, _xlfn.LAMBDA(_xlpm.x, IMAGINARY(_xlpm.x))), COMPLEX(MMULT(_xlpm.AR, _xlpm.BR) - MMULT(_xlpm.AI, _xlpm.BI), MMULT(_xlpm.AR, _xlpm.BI) + MMULT(_xlpm.AI, _xlpm.BR))))($A$6:$C$8, $A$10:$C$12)</f>
        <v>127+82i</v>
      </c>
      <c r="V6" t="str">
        <v>-5+106i</v>
      </c>
      <c r="W6" t="str">
        <v>18+33i</v>
      </c>
      <c r="Y6" t="str" cm="1">
        <f t="array" ref="Y6:AA8">_xlfn.LAMBDA(_xlpm.matrixA,_xlpm.matrixB, _xlfn.LET(_xlpm.AR, _xlfn.MAP(_xlpm.matrixA, _xlfn.LAMBDA(_xlpm.x, IMREAL(_xlpm.x))), _xlpm.BR, _xlfn.MAP(_xlpm.matrixB, _xlfn.LAMBDA(_xlpm.x, IMREAL(_xlpm.x))), _xlpm.AI, _xlfn.MAP(_xlpm.matrixA, _xlfn.LAMBDA(_xlpm.x, IMAGINARY(_xlpm.x))), _xlpm.BI, _xlfn.MAP(_xlpm.matrixB, _xlfn.LAMBDA(_xlpm.x, IMAGINARY(_xlpm.x))), COMPLEX((_xlpm.AR * _xlpm.BR + _xlpm.AI * _xlpm.BI) / (_xlpm.BR ^ 2 + _xlpm.BI ^ 2), (_xlpm.AI * _xlpm.BR - _xlpm.AR * _xlpm.BI) / (_xlpm.BR ^ 2 + _xlpm.BI ^ 2))))($A$6:$C$8, $A$10:$C$12)</f>
        <v>1</v>
      </c>
      <c r="Z6" t="str">
        <v>1.05-1.65i</v>
      </c>
      <c r="AA6" t="str">
        <v>0.133333333333333-0.4i</v>
      </c>
      <c r="AC6" t="str" cm="1">
        <f t="array" ref="AC6:AE8">_xlfn.LAMBDA(_xlpm.matrixA,_xlfn.LET(_xlpm.AR, _xlfn.MAP(_xlpm.matrixA, _xlfn.LAMBDA(_xlpm.x, IMREAL(_xlpm.x))), _xlpm.AI, _xlfn.MAP(_xlpm.matrixA, _xlfn.LAMBDA(_xlpm.x, IMAGINARY(_xlpm.x))), COMPLEX(_xlpm.AR, -_xlpm.AI)))($A$6:$C$8)</f>
        <v>1-5i</v>
      </c>
      <c r="AD6" t="str">
        <v>12-3i</v>
      </c>
      <c r="AE6" t="str">
        <v>4</v>
      </c>
      <c r="AG6" cm="1">
        <f t="array" ref="AG6:AI8">_xlfn.LAMBDA(_xlpm.matrixA, _xlfn.LET(_xlpm.AR, _xlfn.MAP(_xlpm.matrixA, _xlfn.LAMBDA(_xlpm.x, IMREAL(_xlpm.x))), _xlpm.AR))($A$6:$C$8)</f>
        <v>1</v>
      </c>
      <c r="AH6">
        <v>12</v>
      </c>
      <c r="AI6">
        <v>4</v>
      </c>
      <c r="AK6" cm="1">
        <f t="array" ref="AK6:AM8">_xlfn.LAMBDA(_xlpm.matrixA, _xlfn.LET(_xlpm.AI, _xlfn.MAP(_xlpm.matrixA, _xlfn.LAMBDA(_xlpm.x, IMAGINARY(_xlpm.x))), _xlpm.AI))($A$6:$C$8)</f>
        <v>5</v>
      </c>
      <c r="AL6">
        <v>3</v>
      </c>
      <c r="AM6">
        <v>0</v>
      </c>
      <c r="AO6" cm="1">
        <f t="array" ref="AO6:AQ8">_xlfn.LAMBDA(_xlpm.matrixA, _xlfn.LET(_xlpm.AABS, _xlfn.MAP(_xlpm.matrixA, _xlfn.LAMBDA(_xlpm.x, IMABS(_xlpm.x))), _xlpm.AABS))($A$6:$C$8)</f>
        <v>5.0990195135927854</v>
      </c>
      <c r="AP6">
        <v>12.369316876852981</v>
      </c>
      <c r="AQ6">
        <v>4</v>
      </c>
      <c r="AS6" cm="1">
        <f t="array" ref="AS6:AU8">_xlfn.LAMBDA(_xlpm.matrixA, _xlfn.LET(_xlpm.AABS, _xlfn.MAP(_xlpm.matrixA, _xlfn.LAMBDA(_xlpm.x, IMARGUMENT(_xlpm.x))), _xlpm.AABS))($A$6:$C$8)</f>
        <v>1.3734007669450159</v>
      </c>
      <c r="AT6">
        <v>0.24497866312686414</v>
      </c>
      <c r="AU6">
        <v>0</v>
      </c>
      <c r="AW6" t="str" cm="1">
        <f t="array" ref="AW6:AY8">_xlfn.LAMBDA(_xlpm.matrixA,_xlpm.power, _xlfn.LET(_xlpm.AABS, _xlfn.MAP(_xlpm.matrixA, _xlfn.LAMBDA(_xlpm.x, IMPOWER(_xlpm.x, _xlpm.power))), _xlpm.AABS))($A$6:$C$8, 2)</f>
        <v>-24+10i</v>
      </c>
      <c r="AX6" t="str">
        <v>135+72i</v>
      </c>
      <c r="AY6" t="str">
        <v>16</v>
      </c>
      <c r="BA6" t="str" cm="1">
        <f t="array" ref="BA6:BC8">_xlfn.LAMBDA(_xlpm.matrixA, _xlfn.LET(_xlpm.AABS, _xlfn.MAP(_xlpm.matrixA, _xlfn.LAMBDA(_xlpm.x, IMCOS(_xlpm.x))), _xlpm.AABS))($A$6:$C$8)</f>
        <v>40.0958063062988-62.4398486807996i</v>
      </c>
      <c r="BB6" t="str">
        <v>8.49563643031773+5.37532038196373i</v>
      </c>
      <c r="BC6" t="str">
        <v>-0.653643620863612</v>
      </c>
      <c r="BE6" t="str" cm="1">
        <f t="array" ref="BE6:BG8">_xlfn.LAMBDA(_xlpm.matrixA, _xlfn.LET(_xlpm.AABS, _xlfn.MAP(_xlpm.matrixA, _xlfn.LAMBDA(_xlpm.x, IMSIN(_xlpm.x))), _xlpm.AABS))($A$6:$C$8)</f>
        <v>62.4455184676965+40.0921657779984i</v>
      </c>
      <c r="BF6" t="str">
        <v>-5.40203477451656+8.45362341558182i</v>
      </c>
      <c r="BG6" t="str">
        <v>-0.756802495307928</v>
      </c>
      <c r="BI6" t="str" cm="1">
        <f t="array" ref="BI6:BK8">_xlfn.LAMBDA(_xlpm.matrixA, _xlfn.LET(_xlpm.AABS, _xlfn.MAP(_xlpm.matrixA, _xlfn.LAMBDA(_xlpm.x, IMEXP(COMPLEX(0, IMARGUMENT(_xlpm.x))))), _xlpm.AABS))($A$6:$C$8)</f>
        <v>0.19611613513818+0.980580675690921i</v>
      </c>
      <c r="BJ6" t="str">
        <v>0.970142500145332+0.242535625036333i</v>
      </c>
      <c r="BK6" t="str">
        <v>1</v>
      </c>
      <c r="BM6" t="str" cm="1">
        <f t="array" ref="BM6:BO8">_xlfn.LAMBDA(_xlpm.matrixA,_xlpm.num_digits, _xlfn.MAP(_xlpm.matrixA, _xlfn.LAMBDA(_xlpm.x, COMPLEX(ROUND(IMREAL(_xlpm.x), _xlpm.num_digits), ROUND(IMAGINARY(_xlpm.x), _xlpm.num_digits)))))($A$6:$C$8, 2)</f>
        <v>1+5i</v>
      </c>
      <c r="BN6" t="str">
        <v>12+3i</v>
      </c>
      <c r="BO6" t="str">
        <v>4</v>
      </c>
      <c r="BQ6" t="str" cm="1">
        <f t="array" ref="BQ6:BS8">_xlfn.LAMBDA(_xlpm.matrixA,_xlpm.format, _xlfn.MAP(_xlpm.matrixA, _xlfn.LAMBDA(_xlpm.x, TEXT(IMREAL(_xlpm.x), _xlpm.format) &amp; "+" &amp; TEXT(IMAGINARY(_xlpm.x), _xlpm.format) &amp; "i")))($A$6:$C$8, "#.#0")</f>
        <v>1.0+5.0i</v>
      </c>
      <c r="BR6" t="str">
        <v>12.0+3.0i</v>
      </c>
      <c r="BS6" t="str">
        <v>4.0+.0i</v>
      </c>
      <c r="BU6" t="str" cm="1">
        <f t="array" ref="BU6:BW8">_xlfn.LAMBDA(_xlpm.matrixA, _xlfn.LET(_xlpm.n, ROWS(_xlpm.matrixA), _xlpm.RE, CMREAL(_xlpm.matrixA), _xlpm.IM, CMIMAGINARY(_xlpm.matrixA), _xlpm.matrixB, _xlfn.VSTACK(_xlfn.HSTACK(_xlpm.RE, _xlpm.IM), _xlfn.HSTACK(-_xlpm.IM, _xlpm.RE)), _xlpm.invB, MINVERSE(_xlpm.matrixB), CMATRIX(SLICE(_xlpm.invB, 1, _xlpm.n, 1, _xlpm.n), SLICE(_xlpm.invB, 1, _xlpm.n, _xlpm.n + 1, ))))($A$6:$C$8)</f>
        <v>0.402439024390244+0.371951219512196i</v>
      </c>
      <c r="BV6" t="str">
        <v>-0.670731707317074+0.463414634146341i</v>
      </c>
      <c r="BW6" t="str">
        <v>0.290650406504066-0.634146341463415i</v>
      </c>
    </row>
    <row r="7" spans="1:75" x14ac:dyDescent="0.45">
      <c r="A7" s="15" t="s">
        <v>1341</v>
      </c>
      <c r="B7" s="15" t="str">
        <f>COMPLEX(2,7)</f>
        <v>2+7i</v>
      </c>
      <c r="C7" s="15">
        <v>5</v>
      </c>
      <c r="E7" t="str">
        <v>2+6i</v>
      </c>
      <c r="F7" t="str">
        <v>2+7i</v>
      </c>
      <c r="G7" t="str">
        <v>5</v>
      </c>
      <c r="I7" t="str">
        <v>14+9i</v>
      </c>
      <c r="J7" t="str">
        <v>4+14i</v>
      </c>
      <c r="K7" t="str">
        <v>8</v>
      </c>
      <c r="M7" t="str">
        <v>-10+3i</v>
      </c>
      <c r="N7" t="str">
        <v>0</v>
      </c>
      <c r="O7" t="str">
        <v>2</v>
      </c>
      <c r="Q7" t="str">
        <v>6+78i</v>
      </c>
      <c r="R7" t="str">
        <v>-45+28i</v>
      </c>
      <c r="S7" t="str">
        <v>15</v>
      </c>
      <c r="U7" t="str">
        <v>-5+106i</v>
      </c>
      <c r="V7" t="str">
        <v>-52+52i</v>
      </c>
      <c r="W7" t="str">
        <v>-12+57i</v>
      </c>
      <c r="Y7" t="str">
        <v>0.274509803921569+0.431372549019608i</v>
      </c>
      <c r="Z7" t="str">
        <v>1</v>
      </c>
      <c r="AA7" t="str">
        <v>1.66666666666667</v>
      </c>
      <c r="AC7" t="str">
        <v>2-6i</v>
      </c>
      <c r="AD7" t="str">
        <v>2-7i</v>
      </c>
      <c r="AE7" t="str">
        <v>5</v>
      </c>
      <c r="AG7">
        <v>2</v>
      </c>
      <c r="AH7">
        <v>2</v>
      </c>
      <c r="AI7">
        <v>5</v>
      </c>
      <c r="AK7">
        <v>6</v>
      </c>
      <c r="AL7">
        <v>7</v>
      </c>
      <c r="AM7">
        <v>0</v>
      </c>
      <c r="AO7">
        <v>6.324555320336759</v>
      </c>
      <c r="AP7">
        <v>7.2801098892805189</v>
      </c>
      <c r="AQ7">
        <v>5</v>
      </c>
      <c r="AS7">
        <v>1.2490457723982544</v>
      </c>
      <c r="AT7">
        <v>1.2924966677897853</v>
      </c>
      <c r="AU7">
        <v>0</v>
      </c>
      <c r="AW7" t="str">
        <v>-32+24i</v>
      </c>
      <c r="AX7" t="str">
        <v>-45+28i</v>
      </c>
      <c r="AY7" t="str">
        <v>25</v>
      </c>
      <c r="BA7" t="str">
        <v>-83.9433238544545-183.417254953679i</v>
      </c>
      <c r="BB7" t="str">
        <v>-228.18039960475-498.582439979396i</v>
      </c>
      <c r="BC7" t="str">
        <v>0.283662185463226</v>
      </c>
      <c r="BE7" t="str">
        <v>183.419508876655-83.9422923295776i</v>
      </c>
      <c r="BF7" t="str">
        <v>498.583269151321-228.180020127954i</v>
      </c>
      <c r="BG7" t="str">
        <v>-0.958924274663138</v>
      </c>
      <c r="BI7" t="str">
        <v>0.316227766016842+0.948683298050512i</v>
      </c>
      <c r="BJ7" t="str">
        <v>0.274721127897374+0.961523947640824i</v>
      </c>
      <c r="BK7" t="str">
        <v>1</v>
      </c>
      <c r="BM7" t="str">
        <v>2+6i</v>
      </c>
      <c r="BN7" t="str">
        <v>2+7i</v>
      </c>
      <c r="BO7" t="str">
        <v>5</v>
      </c>
      <c r="BQ7" t="str">
        <v>2.0+6.0i</v>
      </c>
      <c r="BR7" t="str">
        <v>2.0+7.0i</v>
      </c>
      <c r="BS7" t="str">
        <v>5.0+.0i</v>
      </c>
      <c r="BU7" t="str">
        <v>0.115853658536585+0.0426829268292684i</v>
      </c>
      <c r="BV7" t="str">
        <v>-0.109756097560976+0.0121951219512194i</v>
      </c>
      <c r="BW7" t="str">
        <v>0.0142276422764229-0.0386178861788618i</v>
      </c>
    </row>
    <row r="8" spans="1:75" x14ac:dyDescent="0.45">
      <c r="A8" s="15" t="s">
        <v>1342</v>
      </c>
      <c r="B8" s="15">
        <v>3</v>
      </c>
      <c r="C8" s="15">
        <v>6</v>
      </c>
      <c r="E8" t="str">
        <v>3+9i</v>
      </c>
      <c r="F8" t="str">
        <v>3</v>
      </c>
      <c r="G8" t="str">
        <v>6</v>
      </c>
      <c r="I8" t="str">
        <v>7+9i</v>
      </c>
      <c r="J8" t="str">
        <v>8</v>
      </c>
      <c r="K8" t="str">
        <v>12</v>
      </c>
      <c r="M8" t="str">
        <v>-1+9i</v>
      </c>
      <c r="N8" t="str">
        <v>-2</v>
      </c>
      <c r="O8" t="str">
        <v>0</v>
      </c>
      <c r="Q8" t="str">
        <v>12+36i</v>
      </c>
      <c r="R8" t="str">
        <v>15</v>
      </c>
      <c r="S8" t="str">
        <v>36</v>
      </c>
      <c r="U8" t="str">
        <v>18+33i</v>
      </c>
      <c r="V8" t="str">
        <v>-12+57i</v>
      </c>
      <c r="W8" t="str">
        <v>-27+54i</v>
      </c>
      <c r="Y8" t="str">
        <v>0.75+2.25i</v>
      </c>
      <c r="Z8" t="str">
        <v>0.6</v>
      </c>
      <c r="AA8" t="str">
        <v>1</v>
      </c>
      <c r="AC8" t="str">
        <v>3-9i</v>
      </c>
      <c r="AD8" t="str">
        <v>3</v>
      </c>
      <c r="AE8" t="str">
        <v>6</v>
      </c>
      <c r="AG8">
        <v>3</v>
      </c>
      <c r="AH8">
        <v>3</v>
      </c>
      <c r="AI8">
        <v>6</v>
      </c>
      <c r="AK8">
        <v>9</v>
      </c>
      <c r="AL8">
        <v>0</v>
      </c>
      <c r="AM8">
        <v>0</v>
      </c>
      <c r="AO8">
        <v>9.4868329805051381</v>
      </c>
      <c r="AP8">
        <v>3</v>
      </c>
      <c r="AQ8">
        <v>6</v>
      </c>
      <c r="AS8">
        <v>1.2490457723982544</v>
      </c>
      <c r="AT8">
        <v>0</v>
      </c>
      <c r="AU8">
        <v>0</v>
      </c>
      <c r="AW8" t="str">
        <v>-72+54i</v>
      </c>
      <c r="AX8" t="str">
        <v>9</v>
      </c>
      <c r="AY8" t="str">
        <v>36</v>
      </c>
      <c r="BA8" t="str">
        <v>-4010.99620489904-571.753625876813i</v>
      </c>
      <c r="BB8" t="str">
        <v>-0.989992496600445</v>
      </c>
      <c r="BC8" t="str">
        <v>0.960170286650366</v>
      </c>
      <c r="BE8" t="str">
        <v>571.753643292406-4010.99608272426i</v>
      </c>
      <c r="BF8" t="str">
        <v>0.141120008059867</v>
      </c>
      <c r="BG8" t="str">
        <v>-0.279415498198926</v>
      </c>
      <c r="BI8" t="str">
        <v>0.316227766016842+0.948683298050512i</v>
      </c>
      <c r="BJ8" t="str">
        <v>1</v>
      </c>
      <c r="BK8" t="str">
        <v>1</v>
      </c>
      <c r="BM8" t="str">
        <v>3+9i</v>
      </c>
      <c r="BN8" t="str">
        <v>3</v>
      </c>
      <c r="BO8" t="str">
        <v>6</v>
      </c>
      <c r="BQ8" t="str">
        <v>3.0+9.0i</v>
      </c>
      <c r="BR8" t="str">
        <v>3.0+.0i</v>
      </c>
      <c r="BS8" t="str">
        <v>6.0+.0i</v>
      </c>
      <c r="BU8" t="str">
        <v>0.298780487804879-0.810975609756098i</v>
      </c>
      <c r="BV8" t="str">
        <v>1.08536585365854+0.76829268292683i</v>
      </c>
      <c r="BW8" t="str">
        <v>-0.9369918699187-0.0995934959349595i</v>
      </c>
    </row>
    <row r="10" spans="1:75" x14ac:dyDescent="0.45">
      <c r="A10" s="15" t="s">
        <v>1340</v>
      </c>
      <c r="B10" s="15" t="s">
        <v>1341</v>
      </c>
      <c r="C10" s="15" t="s">
        <v>1342</v>
      </c>
    </row>
    <row r="11" spans="1:75" x14ac:dyDescent="0.45">
      <c r="A11" s="15" t="s">
        <v>1343</v>
      </c>
      <c r="B11" s="15" t="str">
        <f>COMPLEX(2,7)</f>
        <v>2+7i</v>
      </c>
      <c r="C11" s="15">
        <v>3</v>
      </c>
    </row>
    <row r="12" spans="1:75" x14ac:dyDescent="0.45">
      <c r="A12" s="15">
        <v>4</v>
      </c>
      <c r="B12" s="15">
        <v>5</v>
      </c>
      <c r="C12" s="15">
        <v>6</v>
      </c>
    </row>
    <row r="20" spans="5:75" x14ac:dyDescent="0.45">
      <c r="E20" s="7" t="s">
        <v>8</v>
      </c>
      <c r="F20" s="6"/>
      <c r="G20" s="6"/>
      <c r="I20" s="7" t="s">
        <v>8</v>
      </c>
      <c r="J20" s="6"/>
      <c r="K20" s="6"/>
      <c r="M20" s="7" t="s">
        <v>8</v>
      </c>
      <c r="N20" s="6"/>
      <c r="O20" s="6"/>
      <c r="Q20" s="7" t="s">
        <v>8</v>
      </c>
      <c r="R20" s="6"/>
      <c r="S20" s="6"/>
      <c r="U20" s="7" t="s">
        <v>8</v>
      </c>
      <c r="V20" s="6"/>
      <c r="W20" s="6"/>
      <c r="Y20" s="7" t="s">
        <v>8</v>
      </c>
      <c r="Z20" s="6"/>
      <c r="AA20" s="6"/>
      <c r="AC20" s="7" t="s">
        <v>8</v>
      </c>
      <c r="AD20" s="6"/>
      <c r="AE20" s="6"/>
      <c r="AG20" s="7" t="s">
        <v>8</v>
      </c>
      <c r="AH20" s="6"/>
      <c r="AI20" s="6"/>
      <c r="AK20" s="7" t="s">
        <v>8</v>
      </c>
      <c r="AL20" s="6"/>
      <c r="AM20" s="6"/>
      <c r="AO20" s="7" t="s">
        <v>8</v>
      </c>
      <c r="AP20" s="6"/>
      <c r="AQ20" s="6"/>
      <c r="AS20" s="7" t="s">
        <v>8</v>
      </c>
      <c r="AT20" s="6"/>
      <c r="AU20" s="6"/>
      <c r="AW20" s="7" t="s">
        <v>8</v>
      </c>
      <c r="AX20" s="6"/>
      <c r="AY20" s="6"/>
      <c r="BA20" s="7" t="s">
        <v>8</v>
      </c>
      <c r="BB20" s="6"/>
      <c r="BC20" s="6"/>
      <c r="BE20" s="7" t="s">
        <v>8</v>
      </c>
      <c r="BF20" s="6"/>
      <c r="BG20" s="6"/>
      <c r="BI20" s="7" t="s">
        <v>8</v>
      </c>
      <c r="BJ20" s="6"/>
      <c r="BK20" s="6"/>
      <c r="BM20" s="7" t="s">
        <v>8</v>
      </c>
      <c r="BN20" s="6"/>
      <c r="BO20" s="6"/>
      <c r="BQ20" s="7" t="s">
        <v>8</v>
      </c>
      <c r="BR20" s="6"/>
      <c r="BS20" s="6"/>
      <c r="BU20" s="7" t="s">
        <v>8</v>
      </c>
      <c r="BV20" s="6"/>
      <c r="BW20" s="6"/>
    </row>
    <row r="21" spans="5:75" x14ac:dyDescent="0.45">
      <c r="E21" t="str" cm="1">
        <f t="array" ref="E21:G23">CMATRIX(CMREAL($A$6:$C$8), CMIMAGINARY($A$6:$C$8))</f>
        <v>1+5i</v>
      </c>
      <c r="F21" t="str">
        <v>12+3i</v>
      </c>
      <c r="G21" t="str">
        <v>4</v>
      </c>
      <c r="I21" t="str" cm="1">
        <f t="array" ref="I21:K23">CMSUM($A$6:$C$8, $A$10:$C$12)</f>
        <v>2+10i</v>
      </c>
      <c r="J21" t="str">
        <v>14+9i</v>
      </c>
      <c r="K21" t="str">
        <v>7+9i</v>
      </c>
      <c r="M21" t="str" cm="1">
        <f t="array" ref="M21:O23">CMSUB($A$6:$C$8, $A$10:$C$12)</f>
        <v>0</v>
      </c>
      <c r="N21" t="str">
        <v>10-3i</v>
      </c>
      <c r="O21" t="str">
        <v>1-9i</v>
      </c>
      <c r="Q21" t="str" cm="1">
        <f t="array" ref="Q21:S23">CMPROD($A$6:$C$8, $A$10:$C$12)</f>
        <v>-24+10i</v>
      </c>
      <c r="R21" t="str">
        <v>6+78i</v>
      </c>
      <c r="S21" t="str">
        <v>12+36i</v>
      </c>
      <c r="U21" t="str" cm="1">
        <f t="array" ref="U21:W23">CMMULT($A$6:$C$8, $A$10:$C$12)</f>
        <v>127+82i</v>
      </c>
      <c r="V21" t="str">
        <v>-5+106i</v>
      </c>
      <c r="W21" t="str">
        <v>18+33i</v>
      </c>
      <c r="Y21" t="str" cm="1">
        <f t="array" ref="Y21:AA23">CMDIV($A$6:$C$8, $A$10:$C$12)</f>
        <v>1</v>
      </c>
      <c r="Z21" t="str">
        <v>1.05-1.65i</v>
      </c>
      <c r="AA21" t="str">
        <v>0.133333333333333-0.4i</v>
      </c>
      <c r="AC21" t="str" cm="1">
        <f t="array" ref="AC21:AE23">CMCONJ($A$6:$C$8)</f>
        <v>1-5i</v>
      </c>
      <c r="AD21" t="str">
        <v>12-3i</v>
      </c>
      <c r="AE21" t="str">
        <v>4</v>
      </c>
      <c r="AG21" cm="1">
        <f t="array" ref="AG21:AI23">CMREAL($A$6:$C$8)</f>
        <v>1</v>
      </c>
      <c r="AH21">
        <v>12</v>
      </c>
      <c r="AI21">
        <v>4</v>
      </c>
      <c r="AK21" cm="1">
        <f t="array" ref="AK21:AM23">CMIMAGINARY($A$6:$C$8)</f>
        <v>5</v>
      </c>
      <c r="AL21">
        <v>3</v>
      </c>
      <c r="AM21">
        <v>0</v>
      </c>
      <c r="AO21" cm="1">
        <f t="array" ref="AO21:AQ23">CMABS($A$6:$C$8)</f>
        <v>5.0990195135927854</v>
      </c>
      <c r="AP21">
        <v>12.369316876852981</v>
      </c>
      <c r="AQ21">
        <v>4</v>
      </c>
      <c r="AS21" cm="1">
        <f t="array" ref="AS21:AU23">CMARG($A$6:$C$8)</f>
        <v>1.3734007669450159</v>
      </c>
      <c r="AT21">
        <v>0.24497866312686414</v>
      </c>
      <c r="AU21">
        <v>0</v>
      </c>
      <c r="AW21" t="str" cm="1">
        <f t="array" ref="AW21:AY23">CMPOWER($A$6:$C$8,2)</f>
        <v>-24+10i</v>
      </c>
      <c r="AX21" t="str">
        <v>135+72i</v>
      </c>
      <c r="AY21" t="str">
        <v>16</v>
      </c>
      <c r="BA21" t="str" cm="1">
        <f t="array" ref="BA21:BC23">CMCOS($A$6:$C$8)</f>
        <v>40.0958063062988-62.4398486807996i</v>
      </c>
      <c r="BB21" t="str">
        <v>8.49563643031773+5.37532038196373i</v>
      </c>
      <c r="BC21" t="str">
        <v>-0.653643620863612</v>
      </c>
      <c r="BE21" t="str" cm="1">
        <f t="array" ref="BE21:BG23">CMSIN($A$6:$C$8)</f>
        <v>62.4455184676965+40.0921657779984i</v>
      </c>
      <c r="BF21" t="str">
        <v>-5.40203477451656+8.45362341558182i</v>
      </c>
      <c r="BG21" t="str">
        <v>-0.756802495307928</v>
      </c>
      <c r="BI21" t="str" cm="1">
        <f t="array" ref="BI21:BK23">CMSIGN($A$6:$C$8)</f>
        <v>0.19611613513818+0.980580675690921i</v>
      </c>
      <c r="BJ21" t="str">
        <v>0.970142500145332+0.242535625036333i</v>
      </c>
      <c r="BK21" t="str">
        <v>1</v>
      </c>
      <c r="BM21" t="str" cm="1">
        <f t="array" ref="BM21:BO23">CMROUND($A$6:$C$8,2)</f>
        <v>1+5i</v>
      </c>
      <c r="BN21" t="str">
        <v>12+3i</v>
      </c>
      <c r="BO21" t="str">
        <v>4</v>
      </c>
      <c r="BQ21" t="str" cm="1">
        <f t="array" ref="BQ21:BS23">CMFORMAT($A$6:$C$8,"0.00")</f>
        <v>1.00+5.00i</v>
      </c>
      <c r="BR21" t="str">
        <v>12.00+3.00i</v>
      </c>
      <c r="BS21" t="str">
        <v>4.00+0.00i</v>
      </c>
      <c r="BU21" t="str" cm="1">
        <f t="array" ref="BU21:BW23">CMINVERSE($A$6:$C$8)</f>
        <v>0.402439024390244+0.371951219512196i</v>
      </c>
      <c r="BV21" t="str">
        <v>-0.670731707317074+0.463414634146341i</v>
      </c>
      <c r="BW21" t="str">
        <v>0.290650406504066-0.634146341463415i</v>
      </c>
    </row>
    <row r="22" spans="5:75" x14ac:dyDescent="0.45">
      <c r="E22" t="str">
        <v>2+6i</v>
      </c>
      <c r="F22" t="str">
        <v>2+7i</v>
      </c>
      <c r="G22" t="str">
        <v>5</v>
      </c>
      <c r="I22" t="str">
        <v>14+9i</v>
      </c>
      <c r="J22" t="str">
        <v>4+14i</v>
      </c>
      <c r="K22" t="str">
        <v>8</v>
      </c>
      <c r="M22" t="str">
        <v>-10+3i</v>
      </c>
      <c r="N22" t="str">
        <v>0</v>
      </c>
      <c r="O22" t="str">
        <v>2</v>
      </c>
      <c r="Q22" t="str">
        <v>6+78i</v>
      </c>
      <c r="R22" t="str">
        <v>-45+28i</v>
      </c>
      <c r="S22" t="str">
        <v>15</v>
      </c>
      <c r="U22" t="str">
        <v>-5+106i</v>
      </c>
      <c r="V22" t="str">
        <v>-52+52i</v>
      </c>
      <c r="W22" t="str">
        <v>-12+57i</v>
      </c>
      <c r="Y22" t="str">
        <v>0.274509803921569+0.431372549019608i</v>
      </c>
      <c r="Z22" t="str">
        <v>1</v>
      </c>
      <c r="AA22" t="str">
        <v>1.66666666666667</v>
      </c>
      <c r="AC22" t="str">
        <v>2-6i</v>
      </c>
      <c r="AD22" t="str">
        <v>2-7i</v>
      </c>
      <c r="AE22" t="str">
        <v>5</v>
      </c>
      <c r="AG22">
        <v>2</v>
      </c>
      <c r="AH22">
        <v>2</v>
      </c>
      <c r="AI22">
        <v>5</v>
      </c>
      <c r="AK22">
        <v>6</v>
      </c>
      <c r="AL22">
        <v>7</v>
      </c>
      <c r="AM22">
        <v>0</v>
      </c>
      <c r="AO22">
        <v>6.324555320336759</v>
      </c>
      <c r="AP22">
        <v>7.2801098892805189</v>
      </c>
      <c r="AQ22">
        <v>5</v>
      </c>
      <c r="AS22">
        <v>1.2490457723982544</v>
      </c>
      <c r="AT22">
        <v>1.2924966677897853</v>
      </c>
      <c r="AU22">
        <v>0</v>
      </c>
      <c r="AW22" t="str">
        <v>-32+24i</v>
      </c>
      <c r="AX22" t="str">
        <v>-45+28i</v>
      </c>
      <c r="AY22" t="str">
        <v>25</v>
      </c>
      <c r="BA22" t="str">
        <v>-83.9433238544545-183.417254953679i</v>
      </c>
      <c r="BB22" t="str">
        <v>-228.18039960475-498.582439979396i</v>
      </c>
      <c r="BC22" t="str">
        <v>0.283662185463226</v>
      </c>
      <c r="BE22" t="str">
        <v>183.419508876655-83.9422923295776i</v>
      </c>
      <c r="BF22" t="str">
        <v>498.583269151321-228.180020127954i</v>
      </c>
      <c r="BG22" t="str">
        <v>-0.958924274663138</v>
      </c>
      <c r="BI22" t="str">
        <v>0.316227766016842+0.948683298050512i</v>
      </c>
      <c r="BJ22" t="str">
        <v>0.274721127897374+0.961523947640824i</v>
      </c>
      <c r="BK22" t="str">
        <v>1</v>
      </c>
      <c r="BM22" t="str">
        <v>2+6i</v>
      </c>
      <c r="BN22" t="str">
        <v>2+7i</v>
      </c>
      <c r="BO22" t="str">
        <v>5</v>
      </c>
      <c r="BQ22" t="str">
        <v>2.00+6.00i</v>
      </c>
      <c r="BR22" t="str">
        <v>2.00+7.00i</v>
      </c>
      <c r="BS22" t="str">
        <v>5.00+0.00i</v>
      </c>
      <c r="BU22" t="str">
        <v>0.115853658536585+0.0426829268292684i</v>
      </c>
      <c r="BV22" t="str">
        <v>-0.109756097560976+0.0121951219512194i</v>
      </c>
      <c r="BW22" t="str">
        <v>0.0142276422764229-0.0386178861788618i</v>
      </c>
    </row>
    <row r="23" spans="5:75" x14ac:dyDescent="0.45">
      <c r="E23" t="str">
        <v>3+9i</v>
      </c>
      <c r="F23" t="str">
        <v>3</v>
      </c>
      <c r="G23" t="str">
        <v>6</v>
      </c>
      <c r="I23" t="str">
        <v>7+9i</v>
      </c>
      <c r="J23" t="str">
        <v>8</v>
      </c>
      <c r="K23" t="str">
        <v>12</v>
      </c>
      <c r="M23" t="str">
        <v>-1+9i</v>
      </c>
      <c r="N23" t="str">
        <v>-2</v>
      </c>
      <c r="O23" t="str">
        <v>0</v>
      </c>
      <c r="Q23" t="str">
        <v>12+36i</v>
      </c>
      <c r="R23" t="str">
        <v>15</v>
      </c>
      <c r="S23" t="str">
        <v>36</v>
      </c>
      <c r="U23" t="str">
        <v>18+33i</v>
      </c>
      <c r="V23" t="str">
        <v>-12+57i</v>
      </c>
      <c r="W23" t="str">
        <v>-27+54i</v>
      </c>
      <c r="Y23" t="str">
        <v>0.75+2.25i</v>
      </c>
      <c r="Z23" t="str">
        <v>0.6</v>
      </c>
      <c r="AA23" t="str">
        <v>1</v>
      </c>
      <c r="AC23" t="str">
        <v>3-9i</v>
      </c>
      <c r="AD23" t="str">
        <v>3</v>
      </c>
      <c r="AE23" t="str">
        <v>6</v>
      </c>
      <c r="AG23">
        <v>3</v>
      </c>
      <c r="AH23">
        <v>3</v>
      </c>
      <c r="AI23">
        <v>6</v>
      </c>
      <c r="AK23">
        <v>9</v>
      </c>
      <c r="AL23">
        <v>0</v>
      </c>
      <c r="AM23">
        <v>0</v>
      </c>
      <c r="AO23">
        <v>9.4868329805051381</v>
      </c>
      <c r="AP23">
        <v>3</v>
      </c>
      <c r="AQ23">
        <v>6</v>
      </c>
      <c r="AS23">
        <v>1.2490457723982544</v>
      </c>
      <c r="AT23">
        <v>0</v>
      </c>
      <c r="AU23">
        <v>0</v>
      </c>
      <c r="AW23" t="str">
        <v>-72+54i</v>
      </c>
      <c r="AX23" t="str">
        <v>9</v>
      </c>
      <c r="AY23" t="str">
        <v>36</v>
      </c>
      <c r="BA23" t="str">
        <v>-4010.99620489904-571.753625876813i</v>
      </c>
      <c r="BB23" t="str">
        <v>-0.989992496600445</v>
      </c>
      <c r="BC23" t="str">
        <v>0.960170286650366</v>
      </c>
      <c r="BE23" t="str">
        <v>571.753643292406-4010.99608272426i</v>
      </c>
      <c r="BF23" t="str">
        <v>0.141120008059867</v>
      </c>
      <c r="BG23" t="str">
        <v>-0.279415498198926</v>
      </c>
      <c r="BI23" t="str">
        <v>0.316227766016842+0.948683298050512i</v>
      </c>
      <c r="BJ23" t="str">
        <v>1</v>
      </c>
      <c r="BK23" t="str">
        <v>1</v>
      </c>
      <c r="BM23" t="str">
        <v>3+9i</v>
      </c>
      <c r="BN23" t="str">
        <v>3</v>
      </c>
      <c r="BO23" t="str">
        <v>6</v>
      </c>
      <c r="BQ23" t="str">
        <v>3.00+9.00i</v>
      </c>
      <c r="BR23" t="str">
        <v>3.00+0.00i</v>
      </c>
      <c r="BS23" t="str">
        <v>6.00+0.00i</v>
      </c>
      <c r="BU23" t="str">
        <v>0.298780487804879-0.810975609756098i</v>
      </c>
      <c r="BV23" t="str">
        <v>1.08536585365854+0.76829268292683i</v>
      </c>
      <c r="BW23" t="str">
        <v>-0.9369918699187-0.0995934959349595i</v>
      </c>
    </row>
  </sheetData>
  <pageMargins left="0.511811024" right="0.511811024" top="0.78740157499999996" bottom="0.78740157499999996" header="0.31496062000000002" footer="0.31496062000000002"/>
  <pageSetup paperSize="9"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8FA3B-3932-0343-A170-6ECBA7142B27}">
  <sheetPr codeName="Planilha2">
    <tabColor theme="9" tint="0.59999389629810485"/>
  </sheetPr>
  <dimension ref="A1:AY2612"/>
  <sheetViews>
    <sheetView zoomScale="87" zoomScaleNormal="87" workbookViewId="0">
      <pane ySplit="1" topLeftCell="A2" activePane="bottomLeft" state="frozen"/>
      <selection pane="bottomLeft" activeCell="AK12" sqref="AK12"/>
    </sheetView>
  </sheetViews>
  <sheetFormatPr defaultColWidth="11.33203125" defaultRowHeight="14.25" x14ac:dyDescent="0.45"/>
  <cols>
    <col min="1" max="1" width="15" customWidth="1"/>
    <col min="7" max="7" width="12.33203125" bestFit="1" customWidth="1"/>
    <col min="8" max="8" width="25" customWidth="1"/>
    <col min="10" max="11" width="12" bestFit="1" customWidth="1"/>
    <col min="13" max="13" width="12" bestFit="1" customWidth="1"/>
    <col min="18" max="18" width="18.796875" bestFit="1" customWidth="1"/>
    <col min="19" max="19" width="11.33203125" customWidth="1"/>
    <col min="23" max="23" width="12" bestFit="1" customWidth="1"/>
    <col min="24" max="24" width="10.1328125" customWidth="1"/>
    <col min="25" max="25" width="25" customWidth="1"/>
    <col min="27" max="27" width="8.6640625" bestFit="1" customWidth="1"/>
    <col min="28" max="28" width="13" bestFit="1" customWidth="1"/>
    <col min="29" max="29" width="11.1328125" customWidth="1"/>
    <col min="30" max="30" width="5.796875" customWidth="1"/>
    <col min="31" max="31" width="12.796875" bestFit="1" customWidth="1"/>
    <col min="32" max="32" width="16.6640625" bestFit="1" customWidth="1"/>
    <col min="33" max="33" width="7.33203125" bestFit="1" customWidth="1"/>
    <col min="34" max="35" width="12.6640625" bestFit="1" customWidth="1"/>
    <col min="36" max="39" width="12.33203125" customWidth="1"/>
    <col min="40" max="40" width="4.1328125" customWidth="1"/>
    <col min="41" max="41" width="15.33203125" bestFit="1" customWidth="1"/>
    <col min="42" max="42" width="21.1328125" bestFit="1" customWidth="1"/>
    <col min="43" max="43" width="7.796875" customWidth="1"/>
    <col min="44" max="45" width="4.1328125" customWidth="1"/>
    <col min="46" max="48" width="12.33203125" customWidth="1"/>
    <col min="51" max="51" width="11.33203125" style="109"/>
  </cols>
  <sheetData>
    <row r="1" spans="1:11" ht="21" x14ac:dyDescent="0.65">
      <c r="A1" s="3" t="s">
        <v>146</v>
      </c>
    </row>
    <row r="3" spans="1:11" x14ac:dyDescent="0.45">
      <c r="A3" s="5" t="s">
        <v>144</v>
      </c>
      <c r="B3" s="5" t="s">
        <v>1</v>
      </c>
      <c r="C3" s="5" t="s">
        <v>2</v>
      </c>
      <c r="D3" s="5" t="s">
        <v>3</v>
      </c>
      <c r="E3" s="5" t="s">
        <v>13</v>
      </c>
      <c r="H3" s="40" t="s">
        <v>145</v>
      </c>
    </row>
    <row r="4" spans="1:11" x14ac:dyDescent="0.45">
      <c r="A4" s="10">
        <v>1</v>
      </c>
      <c r="B4" s="10">
        <v>1</v>
      </c>
      <c r="C4" s="10">
        <v>100</v>
      </c>
      <c r="D4" s="10">
        <v>10</v>
      </c>
      <c r="E4" s="11">
        <v>265.3</v>
      </c>
      <c r="F4" s="37"/>
      <c r="H4" s="1" t="s">
        <v>3</v>
      </c>
      <c r="I4" s="1" t="s">
        <v>2</v>
      </c>
      <c r="J4" s="1" t="s">
        <v>1</v>
      </c>
      <c r="K4" s="1" t="s">
        <v>144</v>
      </c>
    </row>
    <row r="5" spans="1:11" x14ac:dyDescent="0.45">
      <c r="A5" s="10">
        <v>1</v>
      </c>
      <c r="B5" s="10">
        <v>20</v>
      </c>
      <c r="C5" s="10">
        <v>200</v>
      </c>
      <c r="D5" s="10">
        <v>15</v>
      </c>
      <c r="E5" s="11">
        <v>475.3</v>
      </c>
      <c r="F5" s="37"/>
      <c r="H5" s="38" cm="1">
        <f t="array" ref="H5:K9">LINEST($E$4:$E$15,$B$4:$D$15,TRUE,TRUE)</f>
        <v>2.820090979262333</v>
      </c>
      <c r="I5" s="38">
        <v>2.0218596221156862</v>
      </c>
      <c r="J5" s="38">
        <v>2.1770734285392526</v>
      </c>
      <c r="K5" s="38">
        <v>77.506630385486261</v>
      </c>
    </row>
    <row r="6" spans="1:11" x14ac:dyDescent="0.45">
      <c r="A6" s="10">
        <v>1</v>
      </c>
      <c r="B6" s="10">
        <v>3</v>
      </c>
      <c r="C6" s="10">
        <v>250</v>
      </c>
      <c r="D6" s="10">
        <v>24</v>
      </c>
      <c r="E6" s="11">
        <v>754.4</v>
      </c>
      <c r="F6" s="37"/>
      <c r="H6" s="41">
        <v>1.5121761755365046</v>
      </c>
      <c r="I6" s="41">
        <v>0.17018261882389146</v>
      </c>
      <c r="J6" s="41">
        <v>1.4892549500200285</v>
      </c>
      <c r="K6" s="41">
        <v>128.65286416500052</v>
      </c>
    </row>
    <row r="7" spans="1:11" x14ac:dyDescent="0.45">
      <c r="A7" s="10">
        <v>1</v>
      </c>
      <c r="B7" s="10">
        <v>40</v>
      </c>
      <c r="C7" s="10">
        <v>300</v>
      </c>
      <c r="D7" s="10">
        <v>80</v>
      </c>
      <c r="E7" s="11">
        <v>1090.5</v>
      </c>
      <c r="F7" s="37"/>
      <c r="H7" s="98">
        <v>0.96272594438086201</v>
      </c>
      <c r="I7" s="39">
        <v>169.7408689973665</v>
      </c>
      <c r="J7" s="39" t="e">
        <v>#N/A</v>
      </c>
      <c r="K7" s="39" t="e">
        <v>#N/A</v>
      </c>
    </row>
    <row r="8" spans="1:11" x14ac:dyDescent="0.45">
      <c r="A8" s="10">
        <v>1</v>
      </c>
      <c r="B8" s="10">
        <v>5</v>
      </c>
      <c r="C8" s="10">
        <v>380</v>
      </c>
      <c r="D8" s="10">
        <v>99</v>
      </c>
      <c r="E8" s="11">
        <v>1181.4000000000001</v>
      </c>
      <c r="F8" s="37"/>
      <c r="H8" s="98">
        <v>68.875499120559766</v>
      </c>
      <c r="I8" s="39">
        <v>8</v>
      </c>
      <c r="J8" s="39" t="e">
        <v>#N/A</v>
      </c>
      <c r="K8" s="39" t="e">
        <v>#N/A</v>
      </c>
    </row>
    <row r="9" spans="1:11" x14ac:dyDescent="0.45">
      <c r="A9" s="10">
        <v>1</v>
      </c>
      <c r="B9" s="10">
        <v>6</v>
      </c>
      <c r="C9" s="10">
        <v>600</v>
      </c>
      <c r="D9" s="10">
        <v>101</v>
      </c>
      <c r="E9" s="11">
        <v>1671.8</v>
      </c>
      <c r="F9" s="37"/>
      <c r="H9" s="98">
        <v>5953314.9158028169</v>
      </c>
      <c r="I9" s="39">
        <v>230495.70086384911</v>
      </c>
      <c r="J9" s="39" t="e">
        <v>#N/A</v>
      </c>
      <c r="K9" s="39" t="e">
        <v>#N/A</v>
      </c>
    </row>
    <row r="10" spans="1:11" x14ac:dyDescent="0.45">
      <c r="A10" s="10">
        <v>1</v>
      </c>
      <c r="B10" s="10">
        <v>2</v>
      </c>
      <c r="C10" s="10">
        <v>750</v>
      </c>
      <c r="D10" s="10">
        <v>78</v>
      </c>
      <c r="E10" s="11">
        <v>1646.3</v>
      </c>
      <c r="F10" s="37"/>
    </row>
    <row r="11" spans="1:11" x14ac:dyDescent="0.45">
      <c r="A11" s="10">
        <v>1</v>
      </c>
      <c r="B11" s="10">
        <v>8</v>
      </c>
      <c r="C11" s="10">
        <v>800</v>
      </c>
      <c r="D11" s="10">
        <v>50</v>
      </c>
      <c r="E11" s="11">
        <v>1768.1</v>
      </c>
      <c r="F11" s="37"/>
    </row>
    <row r="12" spans="1:11" x14ac:dyDescent="0.45">
      <c r="A12" s="10">
        <v>1</v>
      </c>
      <c r="B12" s="10">
        <v>9</v>
      </c>
      <c r="C12" s="10">
        <v>870</v>
      </c>
      <c r="D12" s="10">
        <v>27</v>
      </c>
      <c r="E12" s="11">
        <v>1710.2</v>
      </c>
      <c r="F12" s="37"/>
      <c r="H12" s="7" t="s">
        <v>99</v>
      </c>
      <c r="I12" s="6"/>
    </row>
    <row r="13" spans="1:11" x14ac:dyDescent="0.45">
      <c r="A13" s="10">
        <v>1</v>
      </c>
      <c r="B13" s="10">
        <v>100</v>
      </c>
      <c r="C13" s="10">
        <v>900</v>
      </c>
      <c r="D13" s="10">
        <v>30</v>
      </c>
      <c r="E13" s="11">
        <v>2200.6999999999998</v>
      </c>
      <c r="F13" s="37"/>
      <c r="G13" s="7" t="s">
        <v>144</v>
      </c>
      <c r="H13" s="36" cm="1">
        <f t="array" ref="H13:H16">_xlfn.LAMBDA(_xlpm.y,_xlpm.x,MMULT(MINVERSE(MMULT(TRANSPOSE(_xlpm.x),_xlpm.x)),MMULT(TRANSPOSE(_xlpm.x),_xlpm.y)))($E$4:$E$15,$A$4:$D$15)</f>
        <v>77.506630385482822</v>
      </c>
      <c r="I13" s="37" cm="1">
        <f t="array" ref="I13:I16">OLS_COEFF($E$4:$E$15,$A$4:$D$15)</f>
        <v>77.506630385482822</v>
      </c>
    </row>
    <row r="14" spans="1:11" x14ac:dyDescent="0.45">
      <c r="A14" s="10">
        <v>1</v>
      </c>
      <c r="B14" s="10">
        <v>11</v>
      </c>
      <c r="C14" s="10">
        <v>1000</v>
      </c>
      <c r="D14" s="10">
        <v>10</v>
      </c>
      <c r="E14" s="11">
        <v>2476.6</v>
      </c>
      <c r="F14" s="37"/>
      <c r="G14" s="7" t="s">
        <v>1</v>
      </c>
      <c r="H14" s="36">
        <v>2.1770734285392486</v>
      </c>
      <c r="I14" s="37">
        <v>2.1770734285392486</v>
      </c>
    </row>
    <row r="15" spans="1:11" x14ac:dyDescent="0.45">
      <c r="A15" s="10">
        <v>1</v>
      </c>
      <c r="B15" s="10">
        <v>120</v>
      </c>
      <c r="C15" s="10">
        <v>1100</v>
      </c>
      <c r="D15" s="10">
        <v>18</v>
      </c>
      <c r="E15" s="11">
        <v>2584</v>
      </c>
      <c r="F15" s="37"/>
      <c r="G15" s="7" t="s">
        <v>2</v>
      </c>
      <c r="H15" s="36">
        <v>2.0218596221156897</v>
      </c>
      <c r="I15" s="37">
        <v>2.0218596221156897</v>
      </c>
    </row>
    <row r="16" spans="1:11" x14ac:dyDescent="0.45">
      <c r="G16" s="7" t="s">
        <v>3</v>
      </c>
      <c r="H16" s="36">
        <v>2.8200909792623605</v>
      </c>
      <c r="I16" s="37">
        <v>2.8200909792623605</v>
      </c>
    </row>
    <row r="18" spans="1:48" x14ac:dyDescent="0.45">
      <c r="A18" s="7" t="s">
        <v>100</v>
      </c>
      <c r="B18" s="6"/>
      <c r="D18" s="7" t="s">
        <v>101</v>
      </c>
      <c r="E18" s="6"/>
      <c r="H18" s="7" t="s">
        <v>141</v>
      </c>
      <c r="I18" s="6"/>
      <c r="J18" s="6"/>
      <c r="K18" s="6"/>
      <c r="L18" s="6"/>
      <c r="M18" s="6"/>
      <c r="N18" s="6"/>
      <c r="O18" s="6"/>
      <c r="R18" s="7" t="s">
        <v>140</v>
      </c>
      <c r="S18" s="6"/>
      <c r="V18" s="7" t="s">
        <v>265</v>
      </c>
      <c r="W18" s="6"/>
      <c r="Y18" s="7" t="s">
        <v>403</v>
      </c>
      <c r="Z18" s="6"/>
      <c r="AF18" s="7" t="s">
        <v>414</v>
      </c>
      <c r="AG18" s="6"/>
      <c r="AH18" s="6"/>
      <c r="AI18" s="6"/>
      <c r="AJ18" s="6"/>
      <c r="AK18" s="6"/>
      <c r="AL18" s="6"/>
      <c r="AM18" s="6"/>
      <c r="AO18" s="7" t="s">
        <v>976</v>
      </c>
      <c r="AP18" s="6"/>
      <c r="AQ18" s="6"/>
      <c r="AR18" s="6"/>
      <c r="AS18" s="6"/>
      <c r="AT18" s="6"/>
      <c r="AU18" s="6"/>
      <c r="AV18" s="6"/>
    </row>
    <row r="19" spans="1:48" x14ac:dyDescent="0.45">
      <c r="A19" s="34" cm="1">
        <f t="array" ref="A19:A30">_xlfn.LAMBDA(_xlpm.y,_xlpm.x,_xlop.coeff,_xlfn.LET(_xlpm.bbeta, IF(_xlfn.ISOMITTED(_xlpm.coeff), OLS_COEFF(_xlpm.y,_xlpm.x), VEC(_xlpm.coeff)), MMULT(_xlpm.x,_xlpm.bbeta)))($E$4:$E$15,$A$4:$D$15)</f>
        <v>310.07057581821471</v>
      </c>
      <c r="B19" cm="1">
        <f t="array" ref="B19:B30">OLS_FITTED($E$4:$E$15,$A$4:$D$15)</f>
        <v>310.07057581821471</v>
      </c>
      <c r="D19" s="34" cm="1">
        <f t="array" ref="D19:D30">_xlfn.LAMBDA(_xlpm.y,_xlpm.x,_xlop.coeff,_xlfn.LET(_xlpm.bbeta, IF(_xlfn.ISOMITTED(_xlpm.coeff), OLS_COEFF(_xlpm.y,_xlpm.x), VEC(_xlpm.coeff)), _xlpm.y - MMULT(_xlpm.x,_xlpm.bbeta)))($E$4:$E$15,$B$4:$B$15)</f>
        <v>240.55095920122659</v>
      </c>
      <c r="E19" cm="1">
        <f t="array" ref="E19:E30">OLS_RESIDUALS($E$4:$E$15,$A$4:$D$15)</f>
        <v>-44.770575818214695</v>
      </c>
      <c r="G19" s="108" t="s">
        <v>144</v>
      </c>
      <c r="H19" s="34" cm="1">
        <f t="array" ref="H19:K22">_xlfn.LAMBDA(_xlpm.y,_xlpm.x,_xlop.coeff,_xlfn.LET(_xlpm.bbeta, IF(_xlfn.ISOMITTED(_xlpm.coeff), OLS_COEFF(_xlpm.y,_xlpm.x), VEC(_xlpm.coeff)),_xlpm.XX,MINVERSE(MMULT(TRANSPOSE(_xlpm.x),_xlpm.x)), ( SUM(OLS_RESIDUALS(_xlpm.y,_xlpm.x,_xlpm.bbeta)^2) / (ROWS(_xlpm.x) - COLUMNS(_xlpm.x) ) ) *_xlpm.XX))($E$4:$E$15,$A$4:$D$15)</f>
        <v>16551.559457858086</v>
      </c>
      <c r="I19" s="34">
        <v>-9.7774288290804314</v>
      </c>
      <c r="J19" s="34">
        <v>-14.241018600395551</v>
      </c>
      <c r="K19" s="34">
        <v>-116.94040897416426</v>
      </c>
      <c r="L19" cm="1">
        <f t="array" ref="L19:O22">OLS_VARCOV($E$4:$E$15,$A$4:$D$15)</f>
        <v>16551.559457858086</v>
      </c>
      <c r="M19">
        <v>-9.7774288290804314</v>
      </c>
      <c r="N19">
        <v>-14.241018600395551</v>
      </c>
      <c r="O19">
        <v>-116.94040897416426</v>
      </c>
      <c r="Q19" s="7" t="s">
        <v>144</v>
      </c>
      <c r="R19" s="35" cm="1">
        <f t="array" ref="R19:R22">_xlfn.LAMBDA(_xlpm.y,_xlpm.x,_xlop.coeff,_xlfn.LET(_xlpm.bbeta, IF(_xlfn.ISOMITTED(_xlpm.coeff), OLS_COEFF(_xlpm.y,_xlpm.x), VEC(_xlpm.coeff)), DIAG(SQRT(OLS_VARCOV(_xlpm.y,_xlpm.x,_xlpm.coeff))) ))($E$4:$E$15,$A$4:$D$15)</f>
        <v>128.65286416500055</v>
      </c>
      <c r="S19" s="42" cm="1">
        <f t="array" ref="S19:S22">OLS_COEFF_STDEV($E$4:$E$15,$A$4:$D$15)</f>
        <v>128.65286416500055</v>
      </c>
      <c r="U19" s="7" t="s">
        <v>144</v>
      </c>
      <c r="V19" s="35" cm="1">
        <f t="array" ref="V19:V22">_xlfn.LAMBDA(_xlpm.y,_xlpm.x,_xlop.coeff,_xlfn.LET(_xlpm.bbeta, IF(_xlfn.ISOMITTED(_xlpm.coeff), OLS_COEFF(_xlpm.y,_xlpm.x), VEC(_xlpm.coeff)), _xlpm.bbeta / DIAG(SQRT(OLS_VARCOV(_xlpm.y,_xlpm.x,_xlpm.coeff))) ))($E$4:$E$15,$A$4:$D$15)</f>
        <v>0.60244776428823699</v>
      </c>
      <c r="W19" s="42" cm="1">
        <f t="array" ref="W19:W22">OLS_COEFF_TSTAT($E$4:$E$15,$A$4:$D$15)</f>
        <v>0.60244776428823699</v>
      </c>
      <c r="Y19" s="35" cm="1">
        <f t="array" ref="Y19">_xlfn.LAMBDA(_xlpm.y,_xlpm.x,_xlop.coeff,_xlfn.LET(_xlpm.bbeta, IF(_xlfn.ISOMITTED(_xlpm.coeff), OLS_COEFF(_xlpm.y,_xlpm.x), VEC(_xlpm.coeff)), SQRT(SUMSQ(OLS_RESIDUALS(_xlpm.y,_xlpm.x,_xlpm.bbeta))/(LENGTH(_xlpm.y)-DIM(_xlpm.x,2)))  ))($E$4:$E$15,$A$4:$D$15)</f>
        <v>169.74086899736662</v>
      </c>
      <c r="Z19" s="42" cm="1">
        <f t="array" ref="Z19">OLS_STDEV($E$4:$E$15,$A$4:$D$15)</f>
        <v>169.74086899736662</v>
      </c>
      <c r="AF19" s="34" cm="1">
        <f t="array" ref="AF19:AI22">_xlfn.LAMBDA(_xlpm.y,_xlpm.x,_xlop.coeff,_xlop.type,_xlop.lags,
_xlfn.LET(
_xlpm.bbeta, IF(OR(_xlfn.ISOMITTED(_xlpm.coeff), ISBLANK(_xlpm.coeff)), OLS_COEFF(_xlpm.y,_xlpm.x), VEC(_xlpm.coeff)),
_xlpm.N, LENGTH(_xlpm.y), _xlpm.k, COLUMNS(_xlpm.x),
_xlpm.type, IF(OR(_xlfn.ISOMITTED(_xlpm.type), ISBLANK(_xlpm.type)), "Bartlett", _xlpm.type),
_xlpm.lags, IF(OR(_xlfn.ISOMITTED(_xlpm.lags), ISBLANK(_xlpm.lags)), ROUNDDOWN(4*(_xlpm.N/100)^(2/9),0), _xlpm.lags),
_xlpm.XX, MINVERSE(MMULT(TRANSPOSE(_xlpm.x),_xlpm.x)),
_xlpm.resMatrix, MMULT(OLS_RESIDUALS(_xlpm.y,_xlpm.x,_xlpm.bbeta),TRANSPOSE(OLS_RESIDUALS(_xlpm.y,_xlpm.x,_xlpm.bbeta))),
_xlpm.weightMatrix, _xlfn.SWITCH( _xlpm.type,
"Bartlett", _xlfn.MAKEARRAY(_xlpm.N,_xlpm.N, _xlfn.LAMBDA(_xlpm.lin,_xlpm.col, IF(ABS(_xlpm.col-_xlpm.lin)&gt;_xlpm.lags, 0, (1-ABS(_xlpm.col-_xlpm.lin)/(_xlpm.lags+1)) * INDEX(_xlpm.resMatrix,_xlpm.lin,_xlpm.col)) ) ),
"Parzen", _xlfn.MAKEARRAY(_xlpm.N,_xlpm.N, _xlfn.LAMBDA(_xlpm.lin,_xlpm.col, _xlfn.LET(_xlpm.a, ABS(_xlpm.col-_xlpm.lin)/(_xlpm.lags+1), IF(_xlpm.a &gt; 1, 0, IF(_xlpm.a &gt; 0.5, 2*(1-_xlpm.a)^3,  1-6*_xlpm.a^2+6*_xlpm.a^3)) * INDEX(_xlpm.resMatrix,_xlpm.lin,_xlpm.col)) ) )
),
_xlpm.covMatrix, MMULT( MMULT(_xlpm.XX, MMULT(MMULT(TRANSPOSE(_xlpm.x),_xlpm.weightMatrix),_xlpm.x)),_xlpm.XX),
_xlpm.covMatrix
))($E$4:$E$15,$A$4:$D$15)</f>
        <v>2413.1495503478491</v>
      </c>
      <c r="AG19" s="34">
        <v>-1.8688095305802888</v>
      </c>
      <c r="AH19" s="34">
        <v>-1.6574035117361907</v>
      </c>
      <c r="AI19" s="34">
        <v>-17.439926829797677</v>
      </c>
      <c r="AJ19" cm="1">
        <f t="array" ref="AJ19:AM22">OLS_VARCOV_HAC($E$4:$E$15,$A$4:$D$15)</f>
        <v>2413.1495503478491</v>
      </c>
      <c r="AK19">
        <v>-1.8688095305802888</v>
      </c>
      <c r="AL19">
        <v>-1.6574035117361907</v>
      </c>
      <c r="AM19">
        <v>-17.439926829797677</v>
      </c>
      <c r="AO19" s="34" cm="1">
        <f t="array" ref="AO19:AR22">_xlfn.LAMBDA(_xlpm.y,_xlpm.x,_xlop.coeff,_xlop.type,
_xlfn.LET(
_xlpm.bbeta, IF(OR(_xlfn.ISOMITTED(_xlpm.coeff), ISBLANK(_xlpm.coeff)), OLS_COEFF(_xlpm.y,_xlpm.x), VEC(_xlpm.coeff)),
_xlpm.N, LENGTH(_xlpm.y), _xlpm.k, COLUMNS(_xlpm.x),
_xlpm.type, IF(OR(_xlfn.ISOMITTED(_xlpm.type), ISBLANK(_xlpm.type)), "HC0", _xlpm.type),
_xlpm.XX, MINVERSE(MMULT(TRANSPOSE(_xlpm.x),_xlpm.x)),
_xlpm.resMatrix, OLS_RESIDUALS(_xlpm.y,_xlpm.x,_xlpm.bbeta),
_xlpm.leverage, OLS_LEVERAGE(_xlpm.y,_xlpm.x,_xlpm.bbeta),
_xlpm.weightMatrix, _xlfn.SWITCH(_xlpm.type,
"HC0", _xlfn.MAKEARRAY(_xlpm.N,_xlpm.N, _xlfn.LAMBDA(_xlpm.lin,_xlpm.col, IF(_xlpm.col&lt;&gt;_xlpm.lin,0, INDEX(_xlpm.resMatrix,_xlpm.lin)^2) ) ),
"HC1", _xlfn.MAKEARRAY(_xlpm.N,_xlpm.N, _xlfn.LAMBDA(_xlpm.lin,_xlpm.col, IF(_xlpm.col&lt;&gt;_xlpm.lin,0, _xlpm.N/(_xlpm.N-_xlpm.k) * INDEX(_xlpm.resMatrix,_xlpm.lin)^2) ) ),
"HC2", _xlfn.MAKEARRAY(_xlpm.N,_xlpm.N, _xlfn.LAMBDA(_xlpm.lin,_xlpm.col, IF(_xlpm.col&lt;&gt;_xlpm.lin,0, 1/(1 - INDEX(_xlpm.leverage,_xlpm.lin))*INDEX(_xlpm.resMatrix,_xlpm.lin)^2) ) ),
"HC3", _xlfn.MAKEARRAY(_xlpm.N,_xlpm.N, _xlfn.LAMBDA(_xlpm.lin,_xlpm.col, IF(_xlpm.col&lt;&gt;_xlpm.lin,0, 1/((1 - INDEX(_xlpm.leverage,_xlpm.lin))^2)*INDEX(_xlpm.resMatrix,_xlpm.lin)^2) ) ),
"HC4", _xlfn.MAKEARRAY(_xlpm.N,_xlpm.N, _xlfn.LAMBDA(_xlpm.lin,_xlpm.col, IF(_xlpm.col&lt;&gt;_xlpm.lin,0, 1/((1 - INDEX(_xlpm.leverage,_xlpm.lin))^MIN(4,INDEX(_xlpm.leverage,_xlpm.lin)/AVERAGE(_xlpm.leverage)))*INDEX(_xlpm.resMatrix,_xlpm.lin)^2) ) ),
),
_xlpm.covMatrix, MMULT( MMULT(_xlpm.XX, MMULT(MMULT(TRANSPOSE(_xlpm.x),_xlpm.weightMatrix),_xlpm.x)),_xlpm.XX),
_xlpm.covMatrix
))($E$4:$E$15,$A$4:$D$15)</f>
        <v>3836.4080591729648</v>
      </c>
      <c r="AP19" s="34">
        <v>-8.9789728550393466</v>
      </c>
      <c r="AQ19" s="34">
        <v>-1.5074299276776597</v>
      </c>
      <c r="AR19" s="34">
        <v>-42.172349218903321</v>
      </c>
      <c r="AS19" cm="1">
        <f t="array" ref="AS19:AV22">OLS_VARCOV_HC($E$4:$E$15,$A$4:$D$15)</f>
        <v>3836.4080591729648</v>
      </c>
      <c r="AT19">
        <v>-8.9789728550393466</v>
      </c>
      <c r="AU19">
        <v>-1.5074299276776597</v>
      </c>
      <c r="AV19">
        <v>-42.172349218903321</v>
      </c>
    </row>
    <row r="20" spans="1:48" x14ac:dyDescent="0.45">
      <c r="A20" s="34">
        <v>567.72138806834118</v>
      </c>
      <c r="B20">
        <v>567.72138806834118</v>
      </c>
      <c r="D20" s="34">
        <v>-19.680815975468363</v>
      </c>
      <c r="E20">
        <v>-92.421388068341173</v>
      </c>
      <c r="G20" s="108" t="s">
        <v>1</v>
      </c>
      <c r="H20" s="34">
        <v>-9.777428829080467</v>
      </c>
      <c r="I20" s="34">
        <v>2.2178803061591599</v>
      </c>
      <c r="J20" s="34">
        <v>-0.12059877918587016</v>
      </c>
      <c r="K20" s="34">
        <v>0.49974021318228257</v>
      </c>
      <c r="L20">
        <v>-9.777428829080467</v>
      </c>
      <c r="M20">
        <v>2.2178803061591599</v>
      </c>
      <c r="N20">
        <v>-0.12059877918587016</v>
      </c>
      <c r="O20">
        <v>0.49974021318228257</v>
      </c>
      <c r="Q20" s="7" t="s">
        <v>1</v>
      </c>
      <c r="R20" s="35">
        <v>1.4892549500200292</v>
      </c>
      <c r="S20" s="42">
        <v>1.4892549500200292</v>
      </c>
      <c r="U20" s="7" t="s">
        <v>1</v>
      </c>
      <c r="V20" s="35">
        <v>1.4618540824792752</v>
      </c>
      <c r="W20" s="42">
        <v>1.4618540824792752</v>
      </c>
      <c r="AF20" s="34">
        <v>-1.8688095305805987</v>
      </c>
      <c r="AG20" s="34">
        <v>1.9851245378306608</v>
      </c>
      <c r="AH20" s="34">
        <v>-0.24335225994830126</v>
      </c>
      <c r="AI20" s="34">
        <v>1.1336025965495957</v>
      </c>
      <c r="AJ20">
        <v>-1.8688095305805987</v>
      </c>
      <c r="AK20">
        <v>1.9851245378306608</v>
      </c>
      <c r="AL20">
        <v>-0.24335225994830126</v>
      </c>
      <c r="AM20">
        <v>1.1336025965495957</v>
      </c>
      <c r="AO20" s="34">
        <v>-8.9789728550395438</v>
      </c>
      <c r="AP20" s="34">
        <v>1.9434790785287763</v>
      </c>
      <c r="AQ20" s="34">
        <v>-0.24787576433450936</v>
      </c>
      <c r="AR20" s="34">
        <v>1.3136068801258869</v>
      </c>
      <c r="AS20">
        <v>-8.9789728550395438</v>
      </c>
      <c r="AT20">
        <v>1.9434790785287763</v>
      </c>
      <c r="AU20">
        <v>-0.24787576433450936</v>
      </c>
      <c r="AV20">
        <v>1.3136068801258869</v>
      </c>
    </row>
    <row r="21" spans="1:48" x14ac:dyDescent="0.45">
      <c r="A21" s="34">
        <v>657.18493970231964</v>
      </c>
      <c r="B21">
        <v>657.18493970231964</v>
      </c>
      <c r="D21" s="34">
        <v>680.15287760367971</v>
      </c>
      <c r="E21">
        <v>97.215060297680338</v>
      </c>
      <c r="G21" s="108" t="s">
        <v>2</v>
      </c>
      <c r="H21" s="34">
        <v>-14.24101860039554</v>
      </c>
      <c r="I21" s="34">
        <v>-0.12059877918587017</v>
      </c>
      <c r="J21" s="34">
        <v>2.8962123749757963E-2</v>
      </c>
      <c r="K21" s="34">
        <v>2.0558903027506482E-4</v>
      </c>
      <c r="L21">
        <v>-14.24101860039554</v>
      </c>
      <c r="M21">
        <v>-0.12059877918587017</v>
      </c>
      <c r="N21">
        <v>2.8962123749757963E-2</v>
      </c>
      <c r="O21">
        <v>2.0558903027506482E-4</v>
      </c>
      <c r="Q21" s="7" t="s">
        <v>2</v>
      </c>
      <c r="R21" s="35">
        <v>0.17018261882389155</v>
      </c>
      <c r="S21" s="42">
        <v>0.17018261882389155</v>
      </c>
      <c r="U21" s="7" t="s">
        <v>2</v>
      </c>
      <c r="V21" s="35">
        <v>11.880529492896988</v>
      </c>
      <c r="W21" s="42">
        <v>11.880529492896988</v>
      </c>
      <c r="Y21" s="7" t="s">
        <v>405</v>
      </c>
      <c r="Z21" s="6"/>
      <c r="AF21" s="34">
        <v>-1.6574035117361596</v>
      </c>
      <c r="AG21" s="34">
        <v>-0.24335225994830159</v>
      </c>
      <c r="AH21" s="34">
        <v>3.1612494610058731E-2</v>
      </c>
      <c r="AI21" s="34">
        <v>-0.13394984095399232</v>
      </c>
      <c r="AJ21">
        <v>-1.6574035117361596</v>
      </c>
      <c r="AK21">
        <v>-0.24335225994830159</v>
      </c>
      <c r="AL21">
        <v>3.1612494610058731E-2</v>
      </c>
      <c r="AM21">
        <v>-0.13394984095399232</v>
      </c>
      <c r="AO21" s="34">
        <v>-1.5074299276776415</v>
      </c>
      <c r="AP21" s="34">
        <v>-0.24787576433450956</v>
      </c>
      <c r="AQ21" s="34">
        <v>3.4452251768102085E-2</v>
      </c>
      <c r="AR21" s="34">
        <v>-0.15648453217488759</v>
      </c>
      <c r="AS21">
        <v>-1.5074299276776415</v>
      </c>
      <c r="AT21">
        <v>-0.24787576433450956</v>
      </c>
      <c r="AU21">
        <v>3.4452251768102085E-2</v>
      </c>
      <c r="AV21">
        <v>-0.15648453217488759</v>
      </c>
    </row>
    <row r="22" spans="1:48" x14ac:dyDescent="0.45">
      <c r="A22" s="34">
        <v>996.75473250274854</v>
      </c>
      <c r="B22">
        <v>996.75473250274854</v>
      </c>
      <c r="D22" s="34">
        <v>100.53836804906325</v>
      </c>
      <c r="E22">
        <v>93.745267497251461</v>
      </c>
      <c r="G22" s="108" t="s">
        <v>3</v>
      </c>
      <c r="H22" s="34">
        <v>-116.94040897416434</v>
      </c>
      <c r="I22" s="34">
        <v>0.49974021318228229</v>
      </c>
      <c r="J22" s="34">
        <v>2.055890302751985E-4</v>
      </c>
      <c r="K22" s="34">
        <v>2.2866767858602124</v>
      </c>
      <c r="L22">
        <v>-116.94040897416434</v>
      </c>
      <c r="M22">
        <v>0.49974021318228229</v>
      </c>
      <c r="N22">
        <v>2.055890302751985E-4</v>
      </c>
      <c r="O22">
        <v>2.2866767858602124</v>
      </c>
      <c r="Q22" s="7" t="s">
        <v>3</v>
      </c>
      <c r="R22" s="35">
        <v>1.5121761755365055</v>
      </c>
      <c r="S22" s="42">
        <v>1.5121761755365055</v>
      </c>
      <c r="U22" s="7" t="s">
        <v>3</v>
      </c>
      <c r="V22" s="35">
        <v>1.8649222391444036</v>
      </c>
      <c r="W22" s="42">
        <v>1.8649222391444036</v>
      </c>
      <c r="Y22" s="35" cm="1">
        <f t="array" ref="Y22">_xlfn.LAMBDA(_xlpm.y,_xlpm.x,_xlop.coeff,
_xlfn.LET(
_xlpm.bbeta, IF(_xlfn.ISOMITTED(_xlpm.coeff), OLS_COEFF(_xlpm.y,_xlpm.x), VEC(_xlpm.coeff)),
_xlpm.hasConst, HASCONST(_xlpm.x,1,FALSE),
IF(_xlpm.hasConst, _xlfn.VAR.P(OLS_FITTED(_xlpm.y,_xlpm.x,_xlpm.bbeta))*LENGTH(_xlpm.y), SUM(OLS_FITTED(_xlpm.y,_xlpm.x,_xlpm.bbeta)^2))
))($E$4:$E$15,$A$4:$D$15)</f>
        <v>5953314.9158028364</v>
      </c>
      <c r="Z22" s="42" cm="1">
        <f t="array" ref="Z22">OLS_ESS($E$4:$E$15,$A$4:$D$15)</f>
        <v>5953314.9158028364</v>
      </c>
      <c r="AF22" s="34">
        <v>-17.43992682979799</v>
      </c>
      <c r="AG22" s="34">
        <v>1.1336025965495928</v>
      </c>
      <c r="AH22" s="34">
        <v>-0.13394984095399179</v>
      </c>
      <c r="AI22" s="34">
        <v>1.1503190158534669</v>
      </c>
      <c r="AJ22">
        <v>-17.43992682979799</v>
      </c>
      <c r="AK22">
        <v>1.1336025965495928</v>
      </c>
      <c r="AL22">
        <v>-0.13394984095399179</v>
      </c>
      <c r="AM22">
        <v>1.1503190158534669</v>
      </c>
      <c r="AO22" s="34">
        <v>-42.172349218903577</v>
      </c>
      <c r="AP22" s="34">
        <v>1.3136068801258858</v>
      </c>
      <c r="AQ22" s="34">
        <v>-0.15648453217488725</v>
      </c>
      <c r="AR22" s="34">
        <v>1.6269044789615321</v>
      </c>
      <c r="AS22">
        <v>-42.172349218903577</v>
      </c>
      <c r="AT22">
        <v>1.3136068801258858</v>
      </c>
      <c r="AU22">
        <v>-0.15648453217488725</v>
      </c>
      <c r="AV22">
        <v>1.6269044789615321</v>
      </c>
    </row>
    <row r="23" spans="1:48" x14ac:dyDescent="0.45">
      <c r="A23" s="34">
        <v>1135.8876608791147</v>
      </c>
      <c r="B23">
        <v>1135.8876608791147</v>
      </c>
      <c r="D23" s="34">
        <v>1057.654796006133</v>
      </c>
      <c r="E23">
        <v>45.512339120885372</v>
      </c>
    </row>
    <row r="24" spans="1:48" x14ac:dyDescent="0.45">
      <c r="A24" s="34">
        <v>1588.5140331316306</v>
      </c>
      <c r="B24">
        <v>1588.5140331316306</v>
      </c>
      <c r="D24" s="34">
        <v>1523.3057552073594</v>
      </c>
      <c r="E24">
        <v>83.285966868369314</v>
      </c>
      <c r="Y24" s="7" t="s">
        <v>406</v>
      </c>
      <c r="Z24" s="6"/>
    </row>
    <row r="25" spans="1:48" x14ac:dyDescent="0.45">
      <c r="A25" s="34">
        <v>1818.222590211793</v>
      </c>
      <c r="B25">
        <v>1818.222590211793</v>
      </c>
      <c r="D25" s="34">
        <v>1596.8019184024531</v>
      </c>
      <c r="E25">
        <v>-171.92259021179302</v>
      </c>
      <c r="H25" s="7" t="s">
        <v>482</v>
      </c>
      <c r="I25" s="6"/>
      <c r="R25" s="7" t="s">
        <v>297</v>
      </c>
      <c r="S25" s="6"/>
      <c r="V25" s="7" t="s">
        <v>299</v>
      </c>
      <c r="W25" s="6"/>
      <c r="Y25" s="35" cm="1">
        <f t="array" ref="Y25">_xlfn.LAMBDA(_xlpm.y,_xlpm.x,_xlop.coeff,
_xlfn.LET(
_xlpm.bbeta, IF(_xlfn.ISOMITTED(_xlpm.coeff), OLS_COEFF(_xlpm.y,_xlpm.x), VEC(_xlpm.coeff)),
SUM(OLS_RESIDUALS(_xlpm.y,_xlpm.x,_xlpm.bbeta)^2)
))($E$4:$E$15,$A$4:$D$15)</f>
        <v>230495.70086384937</v>
      </c>
      <c r="Z25" s="42" cm="1">
        <f t="array" ref="Z25">OLS_RSS($E$4:$E$15,$A$4:$D$15)</f>
        <v>230495.70086384937</v>
      </c>
      <c r="AG25" s="7" t="s">
        <v>415</v>
      </c>
      <c r="AH25" s="6"/>
      <c r="AP25" s="7" t="s">
        <v>977</v>
      </c>
      <c r="AQ25" s="6"/>
    </row>
    <row r="26" spans="1:48" x14ac:dyDescent="0.45">
      <c r="A26" s="34">
        <v>1853.4154644694665</v>
      </c>
      <c r="B26">
        <v>1853.4154644694665</v>
      </c>
      <c r="D26" s="34">
        <v>1570.1076736098125</v>
      </c>
      <c r="E26">
        <v>-85.315464469466633</v>
      </c>
      <c r="H26" s="34" cm="1">
        <f t="array" ref="H26:H37">_xlfn.LAMBDA(_xlpm.y,_xlpm.x,_xlop.coeff,_xlop.standardized,
_xlfn.LET(
_xlpm.bbeta, IF(_xlfn.ISOMITTED(_xlpm.coeff), OLS_COEFF(_xlpm.y,_xlpm.x), VEC(_xlpm.coeff)),
_xlpm.standardized, IF(_xlfn.ISOMITTED(_xlpm.standardized), TRUE, _xlpm.standardized),
_xlpm.res, _xlpm.y - MMULT(_xlpm.x,_xlpm.bbeta),
_xlpm.N, LENGTH(_xlpm.y),
_xlpm.df, _xlpm.N - DIM(_xlpm.x,2),
_xlpm.MSres, SUM(_xlpm.res^2)/_xlpm.df,
_xlfn.SWITCH(_xlpm.standardized,
FALSE, _xlpm.res,
TRUE, _xlpm.res / SQRT(_xlpm.MSres),
"N", _xlpm.res / SQRT(_xlpm.MSres),
"T", _xlpm.res / SQRT(_xlpm.MSres*(1-OLS_LEVERAGE(_xlpm.y,_xlpm.x,_xlpm.bbeta))),
"TOUT", _xlfn.LET(_xlpm.lev, OLS_LEVERAGE(_xlpm.y,_xlpm.x,_xlpm.bbeta), _xlpm.MSresi, ( (_xlpm.N-_xlpm.df+1)*_xlpm.MSres - _xlpm.res^2 / (1-_xlpm.lev) ) / (_xlpm.N - _xlpm.df), _xlpm.res / SQRT(_xlpm.MSresi * (1 - _xlpm.lev)) ),
"# param standardized must be FALSE (default), TRUE (or ""N""), ""T"" or ""TOUT"""
)
))($E$4:$E$15,$A$4:$D$15)</f>
        <v>-0.26375837523790024</v>
      </c>
      <c r="I26" cm="1">
        <f t="array" ref="I26:I37">OLS_RESIDUALS_STD($E$4:$E$15,$A$4:$D$15)</f>
        <v>-0.26375837523790024</v>
      </c>
      <c r="Q26" s="7" t="s">
        <v>144</v>
      </c>
      <c r="R26" s="35" cm="1">
        <f t="array" ref="R26:R29">_xlfn.LAMBDA(_xlpm.y,_xlpm.x,_xlop.coeff,_xlfn.LET(_xlpm.bbeta, IF(_xlfn.ISOMITTED(_xlpm.coeff), OLS_COEFF(_xlpm.y,_xlpm.x), VEC(_xlpm.coeff)), _xlpm.tstat, _xlpm.bbeta / DIAG(SQRT(OLS_VARCOV(_xlpm.y,_xlpm.x,_xlpm.coeff))), _xlfn.T.DIST.2T(ABS(_xlpm.tstat), LENGTH(_xlpm.y) - DIM(_xlpm.x,2) )))($E$4:$E$15,$A$4:$D$15)</f>
        <v>0.56355836543262661</v>
      </c>
      <c r="S26" s="42" cm="1">
        <f t="array" ref="S26:S29">OLS_COEFF_PVALUE($E$4:$E$15,$A$4:$D$15)</f>
        <v>0.56355836543262661</v>
      </c>
      <c r="V26" s="35" cm="1">
        <f t="array" ref="V26">_xlfn.LAMBDA(_xlpm.y,_xlpm.x,_xlop.coeff,
_xlfn.LET(
_xlpm.bbeta, IF(_xlfn.ISOMITTED(_xlpm.coeff), OLS_COEFF(_xlpm.y,_xlpm.x), VEC(_xlpm.coeff)),
_xlpm.resid, OLS_RESIDUALS(_xlpm.y,_xlpm.x,_xlpm.bbeta),
-LENGTH(_xlpm.y)/2*(1 + LN(2*PI()) - LN(LENGTH(_xlpm.y))) -LENGTH(_xlpm.y)/2*LN(SUMSQ(_xlpm.resid))
))($E$4:$E$15,$A$4:$D$15)</f>
        <v>-76.205747439098118</v>
      </c>
      <c r="W26" s="42" cm="1">
        <f t="array" ref="W26">OLS_LOGLIKELIHOOD($E$4:$E$15,$A$4:$D$15)</f>
        <v>-76.205747439098118</v>
      </c>
      <c r="AF26" s="7" t="s">
        <v>144</v>
      </c>
      <c r="AG26" s="35" cm="1">
        <f t="array" ref="AG26:AG29">_xlfn.LAMBDA(_xlpm.y,_xlpm.x,_xlop.coeff,_xlop.type,_xlop.lags,
_xlfn.LET(
_xlpm.bbeta, IF(OR(_xlfn.ISOMITTED(_xlpm.coeff),ISBLANK(_xlpm.coeff)), OLS_COEFF(_xlpm.y,_xlpm.x), VEC(_xlpm.coeff)),
DIAG(SQRT(OLS_VARCOV_HAC(_xlpm.y,_xlpm.x,_xlpm.coeff,_xlpm.type,_xlpm.lags)))
))($E$4:$E$15,$A$4:$D$15)</f>
        <v>49.123818564397546</v>
      </c>
      <c r="AH26" s="42" cm="1">
        <f t="array" ref="AH26:AH29">OLS_COEFF_STDEV_HAC($E$4:$E$15,$A$4:$D$15)</f>
        <v>49.123818564397546</v>
      </c>
      <c r="AO26" s="7" t="s">
        <v>144</v>
      </c>
      <c r="AP26" s="35" cm="1">
        <f t="array" ref="AP26:AP29">_xlfn.LAMBDA(_xlpm.y,_xlpm.x,_xlop.coeff,_xlop.type,
_xlfn.LET(
_xlpm.bbeta, IF(OR(_xlfn.ISOMITTED(_xlpm.coeff),ISBLANK(_xlpm.coeff)), OLS_COEFF(_xlpm.y,_xlpm.x), VEC(_xlpm.coeff)),
DIAG(SQRT(OLS_VARCOV_HAC(_xlpm.y,_xlpm.x,_xlpm.coeff,_xlpm.type)))
))($E$4:$E$15,$A$4:$D$15)</f>
        <v>49.123818564397546</v>
      </c>
      <c r="AQ26" s="42" cm="1">
        <f t="array" ref="AQ26:AQ29">OLS_COEFF_STDEV_HC($E$4:$E$15,$A$4:$D$15)</f>
        <v>49.123818564397546</v>
      </c>
    </row>
    <row r="27" spans="1:48" x14ac:dyDescent="0.45">
      <c r="A27" s="34">
        <v>1932.2606189230698</v>
      </c>
      <c r="B27">
        <v>1932.2606189230698</v>
      </c>
      <c r="D27" s="34">
        <v>1487.4586328110393</v>
      </c>
      <c r="E27">
        <v>-222.0606189230698</v>
      </c>
      <c r="H27" s="34">
        <v>-0.54448518270384849</v>
      </c>
      <c r="I27">
        <v>-0.54448518270384849</v>
      </c>
      <c r="Q27" s="7" t="s">
        <v>1</v>
      </c>
      <c r="R27" s="35">
        <v>0.18192076333892523</v>
      </c>
      <c r="S27" s="42">
        <v>0.18192076333892523</v>
      </c>
      <c r="W27" s="42"/>
      <c r="Y27" s="7" t="s">
        <v>410</v>
      </c>
      <c r="Z27" s="6"/>
      <c r="AF27" s="7" t="s">
        <v>1</v>
      </c>
      <c r="AG27" s="35">
        <v>1.4089444764896382</v>
      </c>
      <c r="AH27" s="42">
        <v>1.4089444764896382</v>
      </c>
      <c r="AO27" s="7" t="s">
        <v>1</v>
      </c>
      <c r="AP27" s="35">
        <v>1.4089444764896382</v>
      </c>
      <c r="AQ27" s="42">
        <v>1.4089444764896382</v>
      </c>
    </row>
    <row r="28" spans="1:48" x14ac:dyDescent="0.45">
      <c r="A28" s="34">
        <v>2199.4903625213992</v>
      </c>
      <c r="B28">
        <v>2199.4903625213992</v>
      </c>
      <c r="D28" s="34">
        <v>-274.20407987734188</v>
      </c>
      <c r="E28">
        <v>1.2096374786005981</v>
      </c>
      <c r="H28" s="34">
        <v>0.57272630258060331</v>
      </c>
      <c r="I28">
        <v>0.57272630258060331</v>
      </c>
      <c r="Q28" s="7" t="s">
        <v>2</v>
      </c>
      <c r="R28" s="35">
        <v>2.3136489083180648E-6</v>
      </c>
      <c r="S28" s="42">
        <v>2.3136489083180648E-6</v>
      </c>
      <c r="V28" s="7" t="s">
        <v>300</v>
      </c>
      <c r="W28" s="6"/>
      <c r="Y28" s="35" cm="1">
        <f t="array" ref="Y28">_xlfn.LAMBDA(_xlpm.y,_xlpm.x,_xlop.coeff,_xlfn.LET(_xlpm.bbeta, IF(_xlfn.ISOMITTED(_xlpm.coeff), OLS_COEFF(_xlpm.y,_xlpm.x), VEC(_xlpm.coeff)), OLS_ESS(_xlpm.y,_xlpm.x,_xlpm.bbeta) + OLS_RSS(_xlpm.y,_xlpm.x,_xlpm.bbeta)  ))($E$4:$E$15,$A$4:$D$15)</f>
        <v>6183810.6166666858</v>
      </c>
      <c r="Z28" s="42" cm="1">
        <f t="array" ref="Z28">OLS_TSS($E$4:$E$15,$A$4:$D$15)</f>
        <v>6183810.6166666858</v>
      </c>
      <c r="AF28" s="7" t="s">
        <v>2</v>
      </c>
      <c r="AG28" s="35">
        <v>0.17779902870954817</v>
      </c>
      <c r="AH28" s="42">
        <v>0.17779902870954817</v>
      </c>
      <c r="AO28" s="7" t="s">
        <v>2</v>
      </c>
      <c r="AP28" s="35">
        <v>0.17779902870954817</v>
      </c>
      <c r="AQ28" s="42">
        <v>0.17779902870954817</v>
      </c>
    </row>
    <row r="29" spans="1:48" x14ac:dyDescent="0.45">
      <c r="A29" s="34">
        <v>2151.5149700077277</v>
      </c>
      <c r="B29">
        <v>2151.5149700077277</v>
      </c>
      <c r="D29" s="34">
        <v>2204.3605512134923</v>
      </c>
      <c r="E29">
        <v>325.08502999227221</v>
      </c>
      <c r="H29" s="34">
        <v>0.55228459740421054</v>
      </c>
      <c r="I29">
        <v>0.55228459740421054</v>
      </c>
      <c r="Q29" s="7" t="s">
        <v>3</v>
      </c>
      <c r="R29" s="35">
        <v>9.9177867111032852E-2</v>
      </c>
      <c r="S29" s="42">
        <v>9.9177867111032852E-2</v>
      </c>
      <c r="V29" s="35" cm="1">
        <f t="array" ref="V29">_xlfn.LAMBDA(_xlpm.y,_xlpm.x,_xlop.coeff,_xlfn.LET(_xlpm.bbeta, IF(_xlfn.ISOMITTED(_xlpm.coeff), OLS_COEFF(_xlpm.y,_xlpm.x), VEC(_xlpm.coeff)), 2*DIM(_xlpm.x,2) - 2*OLS_LOGLIKELIHOOD(_xlpm.y,_xlpm.x,_xlpm.coeff)  ))($E$4:$E$15,$A$4:$D$15)</f>
        <v>160.41149487819624</v>
      </c>
      <c r="W29" s="42" cm="1">
        <f t="array" ref="W29">OLS_AIC($E$4:$E$15,$A$4:$D$15)</f>
        <v>160.41149487819624</v>
      </c>
      <c r="AF29" s="7" t="s">
        <v>3</v>
      </c>
      <c r="AG29" s="35">
        <v>1.072529261070982</v>
      </c>
      <c r="AH29" s="42">
        <v>1.072529261070982</v>
      </c>
      <c r="AO29" s="7" t="s">
        <v>3</v>
      </c>
      <c r="AP29" s="35">
        <v>1.072529261070982</v>
      </c>
      <c r="AQ29" s="42">
        <v>1.072529261070982</v>
      </c>
    </row>
    <row r="30" spans="1:48" x14ac:dyDescent="0.45">
      <c r="A30" s="34">
        <v>2613.562663764174</v>
      </c>
      <c r="B30">
        <v>2613.562663764174</v>
      </c>
      <c r="D30" s="34">
        <v>-385.88489585281013</v>
      </c>
      <c r="E30">
        <v>-29.562663764173976</v>
      </c>
      <c r="H30" s="34">
        <v>0.26812834993552115</v>
      </c>
      <c r="I30">
        <v>0.26812834993552115</v>
      </c>
      <c r="Y30" s="7" t="s">
        <v>402</v>
      </c>
      <c r="Z30" s="6"/>
    </row>
    <row r="31" spans="1:48" x14ac:dyDescent="0.45">
      <c r="H31" s="34">
        <v>0.49066537340315741</v>
      </c>
      <c r="I31">
        <v>0.49066537340315741</v>
      </c>
      <c r="R31" s="7" t="s">
        <v>305</v>
      </c>
      <c r="S31" s="6"/>
      <c r="V31" s="7" t="s">
        <v>301</v>
      </c>
      <c r="W31" s="6"/>
      <c r="Y31" s="35" cm="1">
        <f t="array" ref="Y31">_xlfn.LAMBDA(_xlpm.y,_xlpm.x,_xlop.coeff,_xlfn.LET(_xlpm.bbeta, IF(_xlfn.ISOMITTED(_xlpm.coeff), OLS_COEFF(_xlpm.y,_xlpm.x), VEC(_xlpm.coeff)), OLS_ESS(_xlpm.y,_xlpm.x,_xlpm.bbeta)/(OLS_ESS(_xlpm.y,_xlpm.x,_xlpm.bbeta) + OLS_RSS(_xlpm.y,_xlpm.x,_xlpm.bbeta))  ))($E$4:$E$15,$A$4:$D$15)</f>
        <v>0.96272594438086212</v>
      </c>
      <c r="Z31" s="42" cm="1">
        <f t="array" ref="Z31">OLS_R2($E$4:$E$15,$A$4:$D$15)</f>
        <v>0.96272594438086212</v>
      </c>
    </row>
    <row r="32" spans="1:48" x14ac:dyDescent="0.45">
      <c r="H32" s="34">
        <v>-1.0128532464062043</v>
      </c>
      <c r="I32">
        <v>-1.0128532464062043</v>
      </c>
      <c r="Q32" s="6">
        <v>0</v>
      </c>
      <c r="R32" s="35" cm="1">
        <f t="array" ref="R32:R35">_xlfn.LAMBDA(_xlpm.y,_xlpm.x,_xlpm.nLags,_xlop.addConstant,_xlop.criterion,_xlop.returnCriterionValues,_xlop.includeZeroLag,
_xlfn.LET(
_xlpm.criterion, IF(_xlfn.ISOMITTED(_xlpm.criterion), "BIC", UPPER(_xlpm.criterion)),
_xlpm.returnCriterionValues, IF(_xlfn.ISOMITTED(_xlpm.returnCriterionValues), FALSE, _xlpm.returnCriterionValues),
_xlpm.includeZeroLag, IF(_xlfn.ISOMITTED(_xlpm.includeZeroLag), FALSE, _xlpm.includeZeroLag),
_xlpm.X_1, IF( OR( _xlfn.ISOMITTED(_xlpm.addConstant), _xlpm.addConstant), ADDCONST(_xlpm.x), _xlpm.x),
_xlpm.X_2, RMMISSING( _xlfn.HSTACK(_xlpm.y, _xlpm.X_1, LAG(_xlpm.y,_xlpm.nLags,TRUE,TRUE,FALSE) ) ),
_xlpm.y, SLICE(_xlpm.X_2,0,0,1,1),
IF( AND(_xlpm.criterion &lt;&gt; "AIC", _xlpm.criterion &lt;&gt; "BIC"), "# Criterion must be AIC or BIC",
IF( DIM(_xlpm.X_2,1) &lt;= DIM(_xlpm.X_2,2), "# Number of parameters must be smaller than the non-missing sample size (after adding lags)",
_xlfn.LET(
_xlpm.critFunc, _xlfn.SWITCH(_xlpm.criterion,"AIC",_xlfn.LAMBDA(_xlpm.funcY,_xlpm.funcX,OLS_AIC(_xlpm.funcY,_xlpm.funcX)), "BIC",_xlfn.LAMBDA(_xlpm.funcY,_xlpm.funcX,OLS_BIC(_xlpm.funcY,_xlpm.funcX))),
_xlpm.critValues, _xlfn.MAP(_xlfn.SEQUENCE(_xlpm.nLags + _xlpm.includeZeroLag), _xlfn.LAMBDA(_xlpm.row, _xlpm.critFunc(_xlpm.y, SLICE(_xlpm.X_2,0,0,2,DIM(_xlpm.X_2,2) - (_xlpm.nLags - _xlpm.row + _xlpm.includeZeroLag))) ) ),
IF(_xlpm.returnCriterionValues, _xlpm.critValues, MATCH( MIN(_xlpm.critValues), _xlpm.critValues, 0) - _xlpm.includeZeroLag )
)))))($E$4:$E$15,$A$4:$D$15,3,FALSE,"BIC",TRUE,TRUE)</f>
        <v>124.12964918396943</v>
      </c>
      <c r="S32" s="42" cm="1">
        <f t="array" ref="S32:S35">OLS_OPTIMAL_LAG($E$4:$E$15,$A$4:$D$15,3,FALSE,"BIC",TRUE,TRUE)</f>
        <v>124.12964918396943</v>
      </c>
      <c r="V32" s="35" cm="1">
        <f t="array" ref="V32">_xlfn.LAMBDA(_xlpm.y,_xlpm.x,_xlop.coeff,_xlfn.LET(_xlpm.bbeta, IF(_xlfn.ISOMITTED(_xlpm.coeff), OLS_COEFF(_xlpm.y,_xlpm.x), VEC(_xlpm.coeff)), DIM(_xlpm.x,2)*LN(LENGTH(_xlpm.y)) - 2*OLS_LOGLIKELIHOOD(_xlpm.y,_xlpm.x,_xlpm.coeff)  ))($E$4:$E$15,$A$4:$D$15)</f>
        <v>162.35112147734824</v>
      </c>
      <c r="W32" s="42" cm="1">
        <f t="array" ref="W32">OLS_BIC($E$4:$E$15,$A$4:$D$15)</f>
        <v>162.35112147734824</v>
      </c>
    </row>
    <row r="33" spans="8:43" x14ac:dyDescent="0.45">
      <c r="H33" s="34">
        <v>-0.50262181979750686</v>
      </c>
      <c r="I33">
        <v>-0.50262181979750686</v>
      </c>
      <c r="Q33" s="6">
        <v>1</v>
      </c>
      <c r="R33" s="35">
        <v>125.94233979462327</v>
      </c>
      <c r="S33" s="42">
        <v>125.94233979462327</v>
      </c>
      <c r="Y33" s="7" t="s">
        <v>412</v>
      </c>
      <c r="Z33" s="6"/>
      <c r="AG33" s="7" t="s">
        <v>418</v>
      </c>
      <c r="AH33" s="6"/>
      <c r="AP33" s="7" t="s">
        <v>978</v>
      </c>
      <c r="AQ33" s="6"/>
    </row>
    <row r="34" spans="8:43" x14ac:dyDescent="0.45">
      <c r="H34" s="34">
        <v>-1.3082330745373696</v>
      </c>
      <c r="I34">
        <v>-1.3082330745373696</v>
      </c>
      <c r="Q34" s="6">
        <v>2</v>
      </c>
      <c r="R34" s="35">
        <v>127.38172081981627</v>
      </c>
      <c r="S34" s="42">
        <v>127.38172081981627</v>
      </c>
      <c r="V34" s="7" t="s">
        <v>859</v>
      </c>
      <c r="W34" s="6"/>
      <c r="Y34" s="35" cm="1">
        <f t="array" ref="Y34">_xlfn.LAMBDA(_xlpm.y,_xlpm.x,_xlop.coeff,_xlfn.LET(_xlpm.bbeta, IF(_xlfn.ISOMITTED(_xlpm.coeff), OLS_COEFF(_xlpm.y,_xlpm.x), VEC(_xlpm.coeff)), 1 - (1-OLS_R2(_xlpm.y,_xlpm.x,_xlpm.coeff))*(LENGTH(_xlpm.y)-1)/(LENGTH(_xlpm.y)-DIM(_xlpm.x,2)) ))($E$4:$E$15,$A$4:$D$15)</f>
        <v>0.94874817352368546</v>
      </c>
      <c r="Z34" s="42" cm="1">
        <f t="array" ref="Z34">OLS_R2_ADJUSTED($E$4:$E$15,$A$4:$D$15)</f>
        <v>0.94874817352368546</v>
      </c>
      <c r="AF34" s="7" t="s">
        <v>144</v>
      </c>
      <c r="AG34" s="35" cm="1">
        <f t="array" ref="AG34:AG37">_xlfn.LAMBDA(_xlpm.y,_xlpm.x,_xlop.coeff,_xlop.type,_xlop.lags,
_xlfn.LET(
_xlpm.bbeta, IF(OR(_xlfn.ISOMITTED(_xlpm.coeff), ISBLANK(_xlpm.coeff)), OLS_COEFF(_xlpm.y,_xlpm.x), VEC(_xlpm.coeff)),
_xlpm.bbeta / DIAG(SQRT(OLS_VARCOV_HAC(_xlpm.y,_xlpm.x,_xlpm.coeff,_xlpm.type,_xlpm.lags)))
))($E$4:$E$15,$A$4:$D$15)</f>
        <v>1.5777810571439514</v>
      </c>
      <c r="AH34" s="42" cm="1">
        <f t="array" ref="AH34:AH37">OLS_COEFF_TSTAT_HAC($E$4:$E$15,$A$4:$D$15)</f>
        <v>1.5777810571439514</v>
      </c>
      <c r="AO34" s="7" t="s">
        <v>144</v>
      </c>
      <c r="AP34" s="35" cm="1">
        <f t="array" ref="AP34:AP37">_xlfn.LAMBDA(_xlpm.y,_xlpm.x,_xlop.coeff,_xlop.type,
_xlfn.LET(
_xlpm.bbeta, IF(OR(_xlfn.ISOMITTED(_xlpm.coeff), ISBLANK(_xlpm.coeff)), OLS_COEFF(_xlpm.y,_xlpm.x), VEC(_xlpm.coeff)),
_xlpm.bbeta / DIAG(SQRT(OLS_VARCOV_HAC(_xlpm.y,_xlpm.x,_xlpm.coeff,_xlpm.type)))
))($E$4:$E$15,$A$4:$D$15)</f>
        <v>1.5777810571439514</v>
      </c>
      <c r="AQ34" s="42" cm="1">
        <f t="array" ref="AQ34:AQ37">OLS_COEFF_TSTAT_HC($E$4:$E$15,$A$4:$D$15)</f>
        <v>1.5777810571439514</v>
      </c>
    </row>
    <row r="35" spans="8:43" x14ac:dyDescent="0.45">
      <c r="H35" s="34">
        <v>7.1263773170583012E-3</v>
      </c>
      <c r="I35">
        <v>7.1263773170583012E-3</v>
      </c>
      <c r="Q35" s="6">
        <v>3</v>
      </c>
      <c r="R35" s="35">
        <v>128.97020083550788</v>
      </c>
      <c r="S35" s="42">
        <v>128.97020083550788</v>
      </c>
      <c r="V35" s="35" cm="1">
        <f t="array" ref="V35">_xlfn.LAMBDA(_xlpm.y,_xlpm.x,_xlop.coeff,_xlfn.LET(_xlpm.bbeta, IF(_xlfn.ISOMITTED(_xlpm.coeff), OLS_COEFF(_xlpm.y,_xlpm.x), VEC(_xlpm.coeff)), 2*DIM(_xlpm.x,2)*LN(LN(LENGTH(_xlpm.y))) - 2*OLS_LOGLIKELIHOOD(_xlpm.y,_xlpm.x,_xlpm.coeff)  ))($E$4:$E$15,$A$4:$D$15)</f>
        <v>159.69337562511885</v>
      </c>
      <c r="W35" s="42" cm="1">
        <f t="array" ref="W35">OLS_HQC($E$4:$E$15,$A$4:$D$15)</f>
        <v>159.69337562511885</v>
      </c>
      <c r="AF35" s="7" t="s">
        <v>1</v>
      </c>
      <c r="AG35" s="35">
        <v>1.5451804275235821</v>
      </c>
      <c r="AH35" s="42">
        <v>1.5451804275235821</v>
      </c>
      <c r="AO35" s="7" t="s">
        <v>1</v>
      </c>
      <c r="AP35" s="35">
        <v>1.5451804275235821</v>
      </c>
      <c r="AQ35" s="42">
        <v>1.5451804275235821</v>
      </c>
    </row>
    <row r="36" spans="8:43" x14ac:dyDescent="0.45">
      <c r="H36" s="34">
        <v>1.9151841976095669</v>
      </c>
      <c r="I36">
        <v>1.9151841976095669</v>
      </c>
      <c r="Y36" s="7" t="s">
        <v>481</v>
      </c>
      <c r="Z36" s="6"/>
      <c r="AA36" s="6"/>
      <c r="AB36" s="6"/>
      <c r="AC36" s="6"/>
      <c r="AD36" s="6"/>
      <c r="AF36" s="7" t="s">
        <v>2</v>
      </c>
      <c r="AG36" s="35">
        <v>11.371601053111444</v>
      </c>
      <c r="AH36" s="42">
        <v>11.371601053111444</v>
      </c>
      <c r="AO36" s="7" t="s">
        <v>2</v>
      </c>
      <c r="AP36" s="35">
        <v>11.371601053111444</v>
      </c>
      <c r="AQ36" s="42">
        <v>11.371601053111444</v>
      </c>
    </row>
    <row r="37" spans="8:43" x14ac:dyDescent="0.45">
      <c r="H37" s="34">
        <v>-0.17416349956728816</v>
      </c>
      <c r="I37">
        <v>-0.17416349956728816</v>
      </c>
      <c r="V37" s="7" t="s">
        <v>436</v>
      </c>
      <c r="W37" s="6"/>
      <c r="Y37" s="35" cm="1">
        <f t="array" ref="Y37:AA48">_xlfn.LAMBDA(_xlpm.Xtarget,_xlpm.significance,_xlpm.y,_xlpm.x,_xlop.coeff,_xlfn.LET(_xlpm.Xtarget, TRANSPOSE(_xlpm.Xtarget), _xlpm.bbeta, IF(_xlfn.ISOMITTED(_xlpm.coeff), OLS_COEFF(_xlpm.y,_xlpm.x), VEC(_xlpm.coeff)),
_xlpm.df, LENGTH(_xlpm.y)-DIM(_xlpm.x,2),
_xlpm.MSres, SUM(OLS_RESIDUALS(_xlpm.y,_xlpm.x,_xlpm.bbeta)^2)/_xlpm.df,
_xlpm.seFIT, SQRT( _xlpm.MSres * MMULT(MMULT(TRANSPOSE(_xlpm.Xtarget), MINVERSE(MMULT(TRANSPOSE(_xlpm.x),_xlpm.x))),_xlpm.Xtarget) ),
_xlpm.fcst, TRANSPOSE(_xlfn.BYCOL(_xlpm.Xtarget, _xlfn.LAMBDA(_xlpm.col, SUM(_xlpm.col*_xlpm.bbeta)))),
_xlpm.tcrit, _xlfn.T.DIST.2T(_xlpm.significance, _xlpm.df),
_xlfn.HSTACK(_xlpm.fcst-_xlpm.tcrit*DIAG(_xlpm.seFIT), _xlpm.fcst,_xlpm.fcst+_xlpm.tcrit*DIAG(_xlpm.seFIT))
))($A$4:$D$15,5%,$E$4:$E$15,$A$4:$D$15)</f>
        <v>205.41253036764979</v>
      </c>
      <c r="Z37">
        <v>310.07057581821471</v>
      </c>
      <c r="AA37">
        <v>414.72862126877965</v>
      </c>
      <c r="AB37" s="42" cm="1">
        <f t="array" ref="AB37:AD48">OLS_CONF_INTERVAL($A$4:$D$15,5%,$E$4:$E$15,$A$4:$D$15)</f>
        <v>205.41253036764979</v>
      </c>
      <c r="AC37">
        <v>310.07057581821471</v>
      </c>
      <c r="AD37">
        <v>414.72862126877965</v>
      </c>
      <c r="AF37" s="7" t="s">
        <v>3</v>
      </c>
      <c r="AG37" s="35">
        <v>2.6293837209125073</v>
      </c>
      <c r="AH37" s="42">
        <v>2.6293837209125073</v>
      </c>
      <c r="AO37" s="7" t="s">
        <v>3</v>
      </c>
      <c r="AP37" s="35">
        <v>2.6293837209125073</v>
      </c>
      <c r="AQ37" s="42">
        <v>2.6293837209125073</v>
      </c>
    </row>
    <row r="38" spans="8:43" x14ac:dyDescent="0.45">
      <c r="V38" s="35" cm="1">
        <f t="array" ref="V38">_xlfn.LAMBDA(_xlpm.y,_xlpm.x,_xlop.coeff,
_xlfn.LET(
_xlpm.bbeta, IF(_xlfn.ISOMITTED(_xlpm.coeff), OLS_COEFF(_xlpm.y,_xlpm.x), VEC(_xlpm.coeff)),
_xlpm.kRestricted, IF(HASCONST(_xlpm.x,1,FALSE), 1, 0),
(OLS_R2(_xlpm.y,_xlpm.x,_xlpm.coeff)/(DIM(_xlpm.x,2)-_xlpm.kRestricted))/((1-OLS_R2(_xlpm.y,_xlpm.x,_xlpm.coeff))/(LENGTH(_xlpm.y)-DIM(_xlpm.x,2)))
))($E$4:$E$15,$A$4:$D$15)</f>
        <v>68.875499120559908</v>
      </c>
      <c r="W38" s="42" cm="1">
        <f t="array" ref="W38">OLS_FSTAT($E$4:$E$15,$A$4:$D$15)</f>
        <v>68.875499120559908</v>
      </c>
      <c r="Y38" s="35">
        <v>477.27149978753789</v>
      </c>
      <c r="Z38">
        <v>567.72138806834118</v>
      </c>
      <c r="AA38">
        <v>658.17127634914448</v>
      </c>
      <c r="AB38" s="42">
        <v>477.27149978753789</v>
      </c>
      <c r="AC38">
        <v>567.72138806834118</v>
      </c>
      <c r="AD38">
        <v>658.17127634914448</v>
      </c>
    </row>
    <row r="39" spans="8:43" x14ac:dyDescent="0.45">
      <c r="Y39" s="35">
        <v>577.91015292220936</v>
      </c>
      <c r="Z39">
        <v>657.18493970231964</v>
      </c>
      <c r="AA39">
        <v>736.45972648242991</v>
      </c>
      <c r="AB39" s="42">
        <v>577.91015292220936</v>
      </c>
      <c r="AC39">
        <v>657.18493970231964</v>
      </c>
      <c r="AD39">
        <v>736.45972648242991</v>
      </c>
    </row>
    <row r="40" spans="8:43" x14ac:dyDescent="0.45">
      <c r="H40" s="7" t="s">
        <v>484</v>
      </c>
      <c r="I40" s="6"/>
      <c r="J40" s="6"/>
      <c r="K40" s="6"/>
      <c r="L40" s="6"/>
      <c r="M40" s="6"/>
      <c r="N40" s="6"/>
      <c r="O40" s="6"/>
      <c r="R40" s="7" t="s">
        <v>477</v>
      </c>
      <c r="S40" s="6"/>
      <c r="V40" s="7" t="s">
        <v>438</v>
      </c>
      <c r="W40" s="6"/>
      <c r="Y40" s="35">
        <v>902.47369733997994</v>
      </c>
      <c r="Z40">
        <v>996.75473250274854</v>
      </c>
      <c r="AA40">
        <v>1091.0357676655171</v>
      </c>
      <c r="AB40" s="42">
        <v>902.47369733997994</v>
      </c>
      <c r="AC40">
        <v>996.75473250274854</v>
      </c>
      <c r="AD40">
        <v>1091.0357676655171</v>
      </c>
      <c r="AG40" s="7" t="s">
        <v>419</v>
      </c>
      <c r="AH40" s="6"/>
      <c r="AP40" s="7" t="s">
        <v>979</v>
      </c>
      <c r="AQ40" s="6"/>
    </row>
    <row r="41" spans="8:43" x14ac:dyDescent="0.45">
      <c r="H41" s="34" cm="1">
        <f t="array" ref="H41:K52">_xlfn.LAMBDA(_xlpm.y,_xlpm.x,_xlop.coeff,_xlfn.LET(_xlpm.bbeta, IF(_xlfn.ISOMITTED(_xlpm.coeff), OLS_COEFF(_xlpm.y,_xlpm.x), VEC(_xlpm.coeff)), _xlpm.res, _xlpm.y - MMULT(_xlpm.x,_xlpm.bbeta), _xlpm.resMat, REPMAT(_xlpm.res, 1, DIM(_xlpm.x,2)), _xlfn.MAKEARRAY(LENGTH(_xlpm.y), DIM(_xlpm.x,2), _xlfn.LAMBDA(_xlpm.row,_xlpm.col, INDEX(_xlpm.resMat,_xlpm.row,_xlpm.col) + INDEX(_xlpm.bbeta,_xlpm.col,1)*INDEX(_xlpm.x,_xlpm.row,_xlpm.col) ))))($E$4:$E$15,$A$4:$D$15)</f>
        <v>32.736054567268127</v>
      </c>
      <c r="I41" s="34">
        <v>-42.59350238967545</v>
      </c>
      <c r="J41" s="34">
        <v>157.41538639335428</v>
      </c>
      <c r="K41" s="34">
        <v>-16.56966602559109</v>
      </c>
      <c r="L41" cm="1">
        <f t="array" ref="L41:O52">OLS_RESIDUALS_PARTIAL($E$4:$E$15,$A$4:$D$15)</f>
        <v>32.736054567268127</v>
      </c>
      <c r="M41">
        <v>-42.59350238967545</v>
      </c>
      <c r="N41">
        <v>157.41538639335428</v>
      </c>
      <c r="O41">
        <v>-16.56966602559109</v>
      </c>
      <c r="R41" s="35" cm="1">
        <f t="array" ref="R41:R52">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3*DIM(_xlpm.x,2)/LENGTH(_xlpm.y), _xlpm.criticalThreshold),
_xlpm.levValues, DIAG(MMULT(MMULT(_xlpm.x,MINVERSE(MMULT(TRANSPOSE(_xlpm.x),_xlpm.x))),TRANSPOSE(_xlpm.x))),
IF( _xlpm.returnCriticalStatus=FALSE, _xlpm.levValues, _xlpm.levValues&gt;=_xlpm.criticalThreshold )
))($E$4:$E$15,$A$4:$D$15)</f>
        <v>0.41134947607599853</v>
      </c>
      <c r="S41" s="42" cm="1">
        <f t="array" ref="S41:S52">OLS_LEVERAGE($E$4:$E$15,$A$4:$D$15)</f>
        <v>0.41134947607599853</v>
      </c>
      <c r="V41" s="99" cm="1">
        <f t="array" ref="V41">_xlfn.LAMBDA(_xlpm.y,_xlpm.x,_xlop.coeff,
_xlfn.LET(
_xlpm.bbeta, IF(_xlfn.ISOMITTED(_xlpm.coeff), OLS_COEFF(_xlpm.y,_xlpm.x), VEC(_xlpm.coeff)),
_xlpm.kRestricted, IF(HASCONST(_xlpm.x,1,FALSE), 1, 0),
_xlfn.F.DIST.RT(OLS_FSTAT(_xlpm.y,_xlpm.x,_xlpm.bbeta),DIM(_xlpm.x,2)-_xlpm.kRestricted,LENGTH(_xlpm.y)-DIM(_xlpm.x,2))
))($E$4:$E$15,$A$4:$D$15)</f>
        <v>4.6789820355237948E-6</v>
      </c>
      <c r="W41" s="105" cm="1">
        <f t="array" ref="W41">OLS_FSTAT_PVALUE($E$4:$E$15,$A$4:$D$15)</f>
        <v>4.6789820355237948E-6</v>
      </c>
      <c r="Y41" s="35">
        <v>1043.7904874217629</v>
      </c>
      <c r="Z41">
        <v>1135.8876608791147</v>
      </c>
      <c r="AA41">
        <v>1227.9848343364665</v>
      </c>
      <c r="AB41" s="42">
        <v>1043.7904874217629</v>
      </c>
      <c r="AC41">
        <v>1135.8876608791147</v>
      </c>
      <c r="AD41">
        <v>1227.9848343364665</v>
      </c>
      <c r="AF41" s="7" t="s">
        <v>144</v>
      </c>
      <c r="AG41" s="35" cm="1">
        <f t="array" ref="AG41:AG44">_xlfn.LAMBDA(_xlpm.y,_xlpm.x,_xlop.coeff,_xlop.type,_xlop.lags,
_xlfn.LET(
_xlpm.bbeta, IF(OR(_xlfn.ISOMITTED(_xlpm.coeff), ISBLANK(_xlpm.coeff)), OLS_COEFF(_xlpm.y,_xlpm.x), VEC(_xlpm.coeff)),
_xlpm.tstat, _xlpm.bbeta / DIAG(SQRT(OLS_VARCOV_HAC(_xlpm.y,_xlpm.x,_xlpm.coeff,_xlpm.type,_xlpm.lags))),
_xlfn.T.DIST.2T(ABS(_xlpm.tstat), LENGTH(_xlpm.y) - DIM(_xlpm.x,2))
))($E$4:$E$15,$A$4:$D$15)</f>
        <v>0.15326787416397541</v>
      </c>
      <c r="AH41" s="42" cm="1">
        <f t="array" ref="AH41:AH44">OLS_COEFF_PVALUE_HAC($E$4:$E$15,$A$4:$D$15)</f>
        <v>0.15326787416397541</v>
      </c>
      <c r="AO41" s="7" t="s">
        <v>144</v>
      </c>
      <c r="AP41" s="35" cm="1">
        <f t="array" ref="AP41:AP44">_xlfn.LAMBDA(_xlpm.y,_xlpm.x,_xlop.coeff,_xlop.type,
_xlfn.LET(
_xlpm.bbeta, IF(OR(_xlfn.ISOMITTED(_xlpm.coeff), ISBLANK(_xlpm.coeff)), OLS_COEFF(_xlpm.y,_xlpm.x), VEC(_xlpm.coeff)),
_xlpm.tstat, _xlpm.bbeta / DIAG(SQRT(OLS_VARCOV_HAC(_xlpm.y,_xlpm.x,_xlpm.coeff,_xlpm.type))),
_xlfn.T.DIST.2T(ABS(_xlpm.tstat), LENGTH(_xlpm.y) - DIM(_xlpm.x,2))
))($E$4:$E$15,$A$4:$D$15)</f>
        <v>0.15326787416397541</v>
      </c>
      <c r="AQ41" s="42" cm="1">
        <f t="array" ref="AQ41:AQ44">OLS_COEFF_PVALUE_HC($E$4:$E$15,$A$4:$D$15)</f>
        <v>0.15326787416397541</v>
      </c>
    </row>
    <row r="42" spans="8:43" x14ac:dyDescent="0.45">
      <c r="H42" s="34">
        <v>-14.914757682858351</v>
      </c>
      <c r="I42" s="34">
        <v>-48.879919497556202</v>
      </c>
      <c r="J42" s="34">
        <v>311.95053635479678</v>
      </c>
      <c r="K42" s="34">
        <v>-50.120023379405765</v>
      </c>
      <c r="L42">
        <v>-14.914757682858351</v>
      </c>
      <c r="M42">
        <v>-48.879919497556202</v>
      </c>
      <c r="N42">
        <v>311.95053635479678</v>
      </c>
      <c r="O42">
        <v>-50.120023379405765</v>
      </c>
      <c r="R42" s="35">
        <v>0.30724284539839547</v>
      </c>
      <c r="S42" s="42">
        <v>0.30724284539839547</v>
      </c>
      <c r="Y42" s="35">
        <v>1495.7156181061753</v>
      </c>
      <c r="Z42">
        <v>1588.5140331316306</v>
      </c>
      <c r="AA42">
        <v>1681.312448157086</v>
      </c>
      <c r="AB42" s="42">
        <v>1495.7156181061753</v>
      </c>
      <c r="AC42">
        <v>1588.5140331316306</v>
      </c>
      <c r="AD42">
        <v>1681.312448157086</v>
      </c>
      <c r="AF42" s="7" t="s">
        <v>1</v>
      </c>
      <c r="AG42" s="35">
        <v>0.16088411412437523</v>
      </c>
      <c r="AH42" s="42">
        <v>0.16088411412437523</v>
      </c>
      <c r="AO42" s="7" t="s">
        <v>1</v>
      </c>
      <c r="AP42" s="35">
        <v>0.16088411412437523</v>
      </c>
      <c r="AQ42" s="42">
        <v>0.16088411412437523</v>
      </c>
    </row>
    <row r="43" spans="8:43" x14ac:dyDescent="0.45">
      <c r="H43" s="34">
        <v>174.72169068316316</v>
      </c>
      <c r="I43" s="34">
        <v>103.74628058329809</v>
      </c>
      <c r="J43" s="34">
        <v>602.67996582660271</v>
      </c>
      <c r="K43" s="34">
        <v>164.89724379997699</v>
      </c>
      <c r="L43">
        <v>174.72169068316316</v>
      </c>
      <c r="M43">
        <v>103.74628058329809</v>
      </c>
      <c r="N43">
        <v>602.67996582660271</v>
      </c>
      <c r="O43">
        <v>164.89724379997699</v>
      </c>
      <c r="R43" s="35">
        <v>0.2360129721984236</v>
      </c>
      <c r="S43" s="42">
        <v>0.2360129721984236</v>
      </c>
      <c r="V43" s="7" t="s">
        <v>478</v>
      </c>
      <c r="W43" s="6"/>
      <c r="Y43" s="35">
        <v>1738.143944269164</v>
      </c>
      <c r="Z43">
        <v>1818.222590211793</v>
      </c>
      <c r="AA43">
        <v>1898.301236154422</v>
      </c>
      <c r="AB43" s="42">
        <v>1738.143944269164</v>
      </c>
      <c r="AC43">
        <v>1818.222590211793</v>
      </c>
      <c r="AD43">
        <v>1898.301236154422</v>
      </c>
      <c r="AF43" s="7" t="s">
        <v>2</v>
      </c>
      <c r="AG43" s="35">
        <v>3.2266210905125987E-6</v>
      </c>
      <c r="AH43" s="42">
        <v>3.2266210905125987E-6</v>
      </c>
      <c r="AO43" s="7" t="s">
        <v>2</v>
      </c>
      <c r="AP43" s="35">
        <v>3.2266210905125987E-6</v>
      </c>
      <c r="AQ43" s="42">
        <v>3.2266210905125987E-6</v>
      </c>
    </row>
    <row r="44" spans="8:43" x14ac:dyDescent="0.45">
      <c r="H44" s="34">
        <v>171.25189788273428</v>
      </c>
      <c r="I44" s="34">
        <v>180.8282046388214</v>
      </c>
      <c r="J44" s="34">
        <v>700.30315413195842</v>
      </c>
      <c r="K44" s="34">
        <v>319.3525458382403</v>
      </c>
      <c r="L44">
        <v>171.25189788273428</v>
      </c>
      <c r="M44">
        <v>180.8282046388214</v>
      </c>
      <c r="N44">
        <v>700.30315413195842</v>
      </c>
      <c r="O44">
        <v>319.3525458382403</v>
      </c>
      <c r="R44" s="35">
        <v>0.33382156850921751</v>
      </c>
      <c r="S44" s="42">
        <v>0.33382156850921751</v>
      </c>
      <c r="V44" s="35" cm="1">
        <f t="array" ref="V44:V55">_xlfn.LAMBDA(_xlpm.y,_xlpm.x,_xlop.coeff,_xlop.returnCriticalStatus,_xlop.criticalThreshold,
_xlfn.LET(
_xlpm.bbeta, IF(_xlfn.ISOMITTED(_xlpm.coeff), OLS_COEFF(_xlpm.y,_xlpm.x), VEC(_xlpm.coeff)),
_xlpm.returnCriticalStatus, IF(_xlfn.ISOMITTED(_xlpm.returnCriticalStatus),FALSE,_xlpm.returnCriticalStatus),
_xlpm.criticalThreshold, IF(_xlfn.ISOMITTED(_xlpm.criticalThreshold), 1, _xlpm.criticalThreshold),
_xlpm.levValues, OLS_LEVERAGE(_xlpm.y,_xlpm.x,_xlpm.bbeta),
_xlpm.mse, MMULT(TRANSPOSE(OLS_RESIDUALS(_xlpm.y,_xlpm.x,_xlpm.bbeta)),OLS_RESIDUALS(_xlpm.y,_xlpm.x,_xlpm.bbeta)) / (LENGTH(_xlpm.y)-DIM(_xlpm.x,2)),
_xlpm.cooksDist, OLS_RESIDUALS(_xlpm.y,_xlpm.x,_xlpm.bbeta)^2/(DIM(_xlpm.x,2)*_xlpm.mse) * (_xlpm.levValues/((1-_xlpm.levValues)^2)),
IF( _xlpm.returnCriticalStatus=FALSE, _xlpm.cooksDist, _xlpm.cooksDist&gt;=_xlpm.criticalThreshold )
))($E$4:$E$15,$A$4:$D$15)</f>
        <v>2.064659339794209E-2</v>
      </c>
      <c r="W44" s="42" cm="1">
        <f t="array" ref="W44:W55">OLS_COOKS_DISTANCE($E$4:$E$15,$A$4:$D$15)</f>
        <v>2.064659339794209E-2</v>
      </c>
      <c r="Y44" s="35">
        <v>1784.2089394966727</v>
      </c>
      <c r="Z44">
        <v>1853.4154644694665</v>
      </c>
      <c r="AA44">
        <v>1922.6219894422604</v>
      </c>
      <c r="AB44" s="42">
        <v>1784.2089394966727</v>
      </c>
      <c r="AC44">
        <v>1853.4154644694665</v>
      </c>
      <c r="AD44">
        <v>1922.6219894422604</v>
      </c>
      <c r="AF44" s="7" t="s">
        <v>3</v>
      </c>
      <c r="AG44" s="35">
        <v>3.0207072045678691E-2</v>
      </c>
      <c r="AH44" s="42">
        <v>3.0207072045678691E-2</v>
      </c>
      <c r="AO44" s="7" t="s">
        <v>3</v>
      </c>
      <c r="AP44" s="35">
        <v>3.0207072045678691E-2</v>
      </c>
      <c r="AQ44" s="42">
        <v>3.0207072045678691E-2</v>
      </c>
    </row>
    <row r="45" spans="8:43" x14ac:dyDescent="0.45">
      <c r="H45" s="34">
        <v>123.01896950636819</v>
      </c>
      <c r="I45" s="34">
        <v>56.397706263581611</v>
      </c>
      <c r="J45" s="34">
        <v>813.81899552484742</v>
      </c>
      <c r="K45" s="34">
        <v>324.70134606785905</v>
      </c>
      <c r="L45">
        <v>123.01896950636819</v>
      </c>
      <c r="M45">
        <v>56.397706263581611</v>
      </c>
      <c r="N45">
        <v>813.81899552484742</v>
      </c>
      <c r="O45">
        <v>324.70134606785905</v>
      </c>
      <c r="R45" s="35">
        <v>0.31853584586968986</v>
      </c>
      <c r="S45" s="42">
        <v>0.31853584586968986</v>
      </c>
      <c r="V45" s="35">
        <v>4.7449526058186933E-2</v>
      </c>
      <c r="W45" s="42">
        <v>4.7449526058186933E-2</v>
      </c>
      <c r="Y45" s="35">
        <v>1849.4872877961234</v>
      </c>
      <c r="Z45">
        <v>1932.2606189230698</v>
      </c>
      <c r="AA45">
        <v>2015.0339500500163</v>
      </c>
      <c r="AB45" s="42">
        <v>1849.4872877961234</v>
      </c>
      <c r="AC45">
        <v>1932.2606189230698</v>
      </c>
      <c r="AD45">
        <v>2015.0339500500163</v>
      </c>
    </row>
    <row r="46" spans="8:43" x14ac:dyDescent="0.45">
      <c r="H46" s="34">
        <v>160.79259725385214</v>
      </c>
      <c r="I46" s="34">
        <v>96.348407439604813</v>
      </c>
      <c r="J46" s="34">
        <v>1296.4017401377832</v>
      </c>
      <c r="K46" s="34">
        <v>368.11515577386774</v>
      </c>
      <c r="L46">
        <v>160.79259725385214</v>
      </c>
      <c r="M46">
        <v>96.348407439604813</v>
      </c>
      <c r="N46">
        <v>1296.4017401377832</v>
      </c>
      <c r="O46">
        <v>368.11515577386774</v>
      </c>
      <c r="R46" s="35">
        <v>0.32340507162378296</v>
      </c>
      <c r="S46" s="42">
        <v>0.32340507162378296</v>
      </c>
      <c r="V46" s="35">
        <v>3.3158751582867192E-2</v>
      </c>
      <c r="W46" s="42">
        <v>3.3158751582867192E-2</v>
      </c>
      <c r="Y46" s="35">
        <v>2098.9216175602978</v>
      </c>
      <c r="Z46">
        <v>2199.4903625213992</v>
      </c>
      <c r="AA46">
        <v>2300.0591074825006</v>
      </c>
      <c r="AB46" s="42">
        <v>2098.9216175602978</v>
      </c>
      <c r="AC46">
        <v>2199.4903625213992</v>
      </c>
      <c r="AD46">
        <v>2300.0591074825006</v>
      </c>
    </row>
    <row r="47" spans="8:43" x14ac:dyDescent="0.45">
      <c r="H47" s="34">
        <v>-94.4159598263102</v>
      </c>
      <c r="I47" s="34">
        <v>-167.56844335471453</v>
      </c>
      <c r="J47" s="34">
        <v>1344.4721263749743</v>
      </c>
      <c r="K47" s="34">
        <v>48.044506170671099</v>
      </c>
      <c r="L47">
        <v>-94.4159598263102</v>
      </c>
      <c r="M47">
        <v>-167.56844335471453</v>
      </c>
      <c r="N47">
        <v>1344.4721263749743</v>
      </c>
      <c r="O47">
        <v>48.044506170671099</v>
      </c>
      <c r="R47" s="35">
        <v>0.24082365916965465</v>
      </c>
      <c r="S47" s="42">
        <v>0.24082365916965465</v>
      </c>
      <c r="V47" s="35">
        <v>5.7358677524292717E-2</v>
      </c>
      <c r="W47" s="42">
        <v>5.7358677524292717E-2</v>
      </c>
      <c r="Y47" s="35">
        <v>2044.3100003129759</v>
      </c>
      <c r="Z47">
        <v>2151.5149700077277</v>
      </c>
      <c r="AA47">
        <v>2258.7199397024792</v>
      </c>
      <c r="AB47" s="42">
        <v>2044.3100003129759</v>
      </c>
      <c r="AC47">
        <v>2151.5149700077277</v>
      </c>
      <c r="AD47">
        <v>2258.7199397024792</v>
      </c>
    </row>
    <row r="48" spans="8:43" x14ac:dyDescent="0.45">
      <c r="H48" s="34">
        <v>-7.8088340839838111</v>
      </c>
      <c r="I48" s="34">
        <v>-67.898877041152645</v>
      </c>
      <c r="J48" s="34">
        <v>1532.1722332230852</v>
      </c>
      <c r="K48" s="34">
        <v>55.689084493651393</v>
      </c>
      <c r="L48">
        <v>-7.8088340839838111</v>
      </c>
      <c r="M48">
        <v>-67.898877041152645</v>
      </c>
      <c r="N48">
        <v>1532.1722332230852</v>
      </c>
      <c r="O48">
        <v>55.689084493651393</v>
      </c>
      <c r="R48" s="35">
        <v>0.17987043897476235</v>
      </c>
      <c r="S48" s="42">
        <v>0.17987043897476235</v>
      </c>
      <c r="V48" s="35">
        <v>1.2328145717645581E-2</v>
      </c>
      <c r="W48" s="42">
        <v>1.2328145717645581E-2</v>
      </c>
      <c r="Y48" s="35">
        <v>2489.2682891066561</v>
      </c>
      <c r="Z48">
        <v>2613.562663764174</v>
      </c>
      <c r="AA48">
        <v>2737.8570384216919</v>
      </c>
      <c r="AB48" s="42">
        <v>2489.2682891066561</v>
      </c>
      <c r="AC48">
        <v>2613.562663764174</v>
      </c>
      <c r="AD48">
        <v>2737.8570384216919</v>
      </c>
    </row>
    <row r="49" spans="8:30" x14ac:dyDescent="0.45">
      <c r="H49" s="34">
        <v>-144.55398853758697</v>
      </c>
      <c r="I49" s="34">
        <v>-202.46695806621656</v>
      </c>
      <c r="J49" s="34">
        <v>1536.9572523175802</v>
      </c>
      <c r="K49" s="34">
        <v>-145.91816248298608</v>
      </c>
      <c r="L49">
        <v>-144.55398853758697</v>
      </c>
      <c r="M49">
        <v>-202.46695806621656</v>
      </c>
      <c r="N49">
        <v>1536.9572523175802</v>
      </c>
      <c r="O49">
        <v>-145.91816248298608</v>
      </c>
      <c r="R49" s="35">
        <v>0.25730402238092975</v>
      </c>
      <c r="S49" s="42">
        <v>0.25730402238092975</v>
      </c>
      <c r="V49" s="35">
        <v>4.2520677913171961E-2</v>
      </c>
      <c r="W49" s="42">
        <v>4.2520677913171961E-2</v>
      </c>
    </row>
    <row r="50" spans="8:30" x14ac:dyDescent="0.45">
      <c r="H50" s="34">
        <v>78.71626786408342</v>
      </c>
      <c r="I50" s="34">
        <v>218.91698033252544</v>
      </c>
      <c r="J50" s="34">
        <v>1820.8832973827214</v>
      </c>
      <c r="K50" s="34">
        <v>85.812366856471414</v>
      </c>
      <c r="L50">
        <v>78.71626786408342</v>
      </c>
      <c r="M50">
        <v>218.91698033252544</v>
      </c>
      <c r="N50">
        <v>1820.8832973827214</v>
      </c>
      <c r="O50">
        <v>85.812366856471414</v>
      </c>
      <c r="R50" s="35">
        <v>0.37983219196912038</v>
      </c>
      <c r="S50" s="42">
        <v>0.37983219196912038</v>
      </c>
      <c r="V50" s="35">
        <v>0.1071634972327387</v>
      </c>
      <c r="W50" s="42">
        <v>0.1071634972327387</v>
      </c>
    </row>
    <row r="51" spans="8:30" x14ac:dyDescent="0.45">
      <c r="H51" s="34">
        <v>402.59166037775503</v>
      </c>
      <c r="I51" s="34">
        <v>349.03283770620396</v>
      </c>
      <c r="J51" s="34">
        <v>2346.9446521079617</v>
      </c>
      <c r="K51" s="34">
        <v>353.28593978489585</v>
      </c>
      <c r="L51">
        <v>402.59166037775503</v>
      </c>
      <c r="M51">
        <v>349.03283770620396</v>
      </c>
      <c r="N51">
        <v>2346.9446521079617</v>
      </c>
      <c r="O51">
        <v>353.28593978489585</v>
      </c>
      <c r="R51" s="35">
        <v>0.43161402238891083</v>
      </c>
      <c r="S51" s="42">
        <v>0.43161402238891083</v>
      </c>
      <c r="V51" s="35">
        <v>1.6889529354436859E-2</v>
      </c>
      <c r="W51" s="42">
        <v>1.6889529354436859E-2</v>
      </c>
      <c r="Y51" s="7" t="s">
        <v>483</v>
      </c>
      <c r="Z51" s="6"/>
      <c r="AA51" s="6"/>
      <c r="AB51" s="6"/>
      <c r="AC51" s="6"/>
      <c r="AD51" s="6"/>
    </row>
    <row r="52" spans="8:30" x14ac:dyDescent="0.45">
      <c r="H52" s="34">
        <v>47.943966621308846</v>
      </c>
      <c r="I52" s="34">
        <v>231.68614766053588</v>
      </c>
      <c r="J52" s="34">
        <v>2194.4829205630849</v>
      </c>
      <c r="K52" s="34">
        <v>21.198973862548513</v>
      </c>
      <c r="L52">
        <v>47.943966621308846</v>
      </c>
      <c r="M52">
        <v>231.68614766053588</v>
      </c>
      <c r="N52">
        <v>2194.4829205630849</v>
      </c>
      <c r="O52">
        <v>21.198973862548513</v>
      </c>
      <c r="R52" s="35">
        <v>0.58018788544111433</v>
      </c>
      <c r="S52" s="42">
        <v>0.58018788544111433</v>
      </c>
      <c r="V52" s="35">
        <v>0.19958812116647645</v>
      </c>
      <c r="W52" s="42">
        <v>0.19958812116647645</v>
      </c>
      <c r="Y52" s="35" cm="1">
        <f t="array" ref="Y52:AA63">_xlfn.LAMBDA(_xlpm.Xtarget,_xlpm.significance,_xlpm.y,_xlpm.x,_xlop.coeff,_xlfn.LET(_xlpm.Xtarget, TRANSPOSE(_xlpm.Xtarget), _xlpm.bbeta, IF(_xlfn.ISOMITTED(_xlpm.coeff), OLS_COEFF(_xlpm.y,_xlpm.x), VEC(_xlpm.coeff)),
_xlpm.df, LENGTH(_xlpm.y)-DIM(_xlpm.x,2),
_xlpm.MSres, SUM(OLS_RESIDUALS(_xlpm.y,_xlpm.x,_xlpm.bbeta)^2)/_xlpm.df,
_xlpm.sePRED, SQRT( _xlpm.MSres * (1 + MMULT(MMULT(TRANSPOSE(_xlpm.Xtarget), MINVERSE(MMULT(TRANSPOSE(_xlpm.x),_xlpm.x))),_xlpm.Xtarget)) ),
_xlpm.fcst, TRANSPOSE(_xlfn.BYCOL(_xlpm.Xtarget, _xlfn.LAMBDA(_xlpm.col, SUM(_xlpm.col*_xlpm.bbeta)))),
_xlpm.tcrit, _xlfn.T.DIST.2T(_xlpm.significance, _xlpm.df),
_xlfn.HSTACK(_xlpm.fcst-_xlpm.tcrit*DIAG(_xlpm.sePRED), _xlpm.fcst,_xlpm.fcst+_xlpm.tcrit*DIAG(_xlpm.sePRED))
))($A$4:$D$15,5%,$E$4:$E$15,$A$4:$D$15)</f>
        <v>116.21226298342108</v>
      </c>
      <c r="Z52">
        <v>310.07057581821471</v>
      </c>
      <c r="AA52">
        <v>503.92888865300836</v>
      </c>
      <c r="AB52" s="42" cm="1">
        <f t="array" ref="AB52:AD63">OLS_PRED_INTERVAL($A$4:$D$15,5%,$E$4:$E$15,$A$4:$D$15)</f>
        <v>116.21226298342108</v>
      </c>
      <c r="AC52">
        <v>310.07057581821471</v>
      </c>
      <c r="AD52">
        <v>503.92888865300836</v>
      </c>
    </row>
    <row r="53" spans="8:30" x14ac:dyDescent="0.45">
      <c r="V53" s="35">
        <v>1.2538655394842553E-5</v>
      </c>
      <c r="W53" s="42">
        <v>1.2538655394842553E-5</v>
      </c>
      <c r="Y53" s="35">
        <v>381.14989703171472</v>
      </c>
      <c r="Z53">
        <v>567.72138806834118</v>
      </c>
      <c r="AA53">
        <v>754.2928791049676</v>
      </c>
      <c r="AB53" s="42">
        <v>381.14989703171472</v>
      </c>
      <c r="AC53">
        <v>567.72138806834118</v>
      </c>
      <c r="AD53">
        <v>754.2928791049676</v>
      </c>
    </row>
    <row r="54" spans="8:30" x14ac:dyDescent="0.45">
      <c r="V54" s="35">
        <v>1.225095496832795</v>
      </c>
      <c r="W54" s="42">
        <v>1.225095496832795</v>
      </c>
      <c r="Y54" s="35">
        <v>475.76765608068627</v>
      </c>
      <c r="Z54">
        <v>657.18493970231964</v>
      </c>
      <c r="AA54">
        <v>838.60222332395301</v>
      </c>
      <c r="AB54" s="42">
        <v>475.76765608068627</v>
      </c>
      <c r="AC54">
        <v>657.18493970231964</v>
      </c>
      <c r="AD54">
        <v>838.60222332395301</v>
      </c>
    </row>
    <row r="55" spans="8:30" x14ac:dyDescent="0.45">
      <c r="H55" s="7" t="s">
        <v>858</v>
      </c>
      <c r="I55" s="6"/>
      <c r="J55" s="6"/>
      <c r="K55" s="6"/>
      <c r="L55" s="6"/>
      <c r="M55" s="6"/>
      <c r="N55" s="6"/>
      <c r="O55" s="6"/>
      <c r="P55" s="6"/>
      <c r="Q55" s="6"/>
      <c r="R55" s="6"/>
      <c r="S55" s="6"/>
      <c r="V55" s="35">
        <v>2.4963933468861051E-2</v>
      </c>
      <c r="W55" s="42">
        <v>2.4963933468861051E-2</v>
      </c>
      <c r="Y55" s="35">
        <v>808.2961095400849</v>
      </c>
      <c r="Z55">
        <v>996.75473250274854</v>
      </c>
      <c r="AA55">
        <v>1185.2133554654122</v>
      </c>
      <c r="AB55" s="42">
        <v>808.2961095400849</v>
      </c>
      <c r="AC55">
        <v>996.75473250274854</v>
      </c>
      <c r="AD55">
        <v>1185.2133554654122</v>
      </c>
    </row>
    <row r="56" spans="8:30" x14ac:dyDescent="0.45">
      <c r="H56" s="34" t="str" cm="1">
        <f t="array" ref="H56:M70">_xlfn.LAMBDA(_xlpm.y,_xlpm.x,_xlop.hasLabels,_xlop.addConstToX,_xlop.addTrendToX,_xlop.robustStd,_xlop.robustType,_xlop.lagsHAC,
_xlfn.LET(
_xlpm.hasLabels, IF(OR(_xlfn.ISOMITTED(_xlpm.hasLabels),ISBLANK(_xlpm.hasLabels)),FALSE,_xlpm.hasLabels),
_xlpm.addConstToX, IF(OR(_xlfn.ISOMITTED(_xlpm.addConstToX),ISBLANK(_xlpm.addConstToX)),FALSE,_xlpm.addConstToX),
_xlpm.addTrendToX, IF(OR(_xlfn.ISOMITTED(_xlpm.addTrendToX),ISBLANK(_xlpm.addTrendToX)),FALSE,_xlpm.addTrendToX),
_xlpm.robustStd, IF(OR(_xlfn.ISOMITTED(_xlpm.robustStd),ISBLANK(_xlpm.robustStd)),FALSE,_xlpm.robustStd),
_xlpm.robustType, IF(OR(_xlfn.ISOMITTED(_xlpm.robustType),ISBLANK(_xlpm.robustType)), _xlfn.SWITCH(_xlpm.robustStd, FALSE, "", "HAC", "Bartlett", "HC", "HC0"), _xlpm.robustType),
_xlpm.lagsHAC, IF(OR(_xlfn.ISOMITTED(_xlpm.lagsHAC),ISBLANK(_xlpm.lagsHAC)), ROUNDDOWN(4*(LENGTH(_xlpm.y)/100)^(2/9),0), _xlpm.lagsHAC),
_xlpm.Xtrend, IF(1*_xlpm.addTrendToX&gt;0, ADDTREND(_xlpm.x,1,1,IF(_xlpm.hasLabels,"trend",FALSE)), _xlpm.x),
_xlpm.Xconst, IF(_xlpm.addConstToX, ADDCONST(_xlpm.Xtrend,1,IF(_xlpm.hasLabels,"const",FALSE)), _xlpm.Xtrend),
_xlpm.yLabel, IF(_xlpm.hasLabels, _xlfn.TAKE(_xlpm.y,1), "Y"), _xlpm.xLabels, IF(_xlpm.hasLabels, VEC(_xlfn.TAKE(_xlpm.Xconst,1)), VERTCAT_EX(VERTCAT_EX(IF(_xlpm.addConstToX=TRUE,"const","ex"), IF(_xlpm.addTrendToX*1&gt;0,"trend","ex"),"ex"), "X" &amp; _xlfn.SEQUENCE(COLUMNS(_xlpm.x)), "ex")),
_xlpm.y, IF(_xlpm.hasLabels, _xlfn.DROP(_xlpm.y,1), _xlpm.y), _xlpm.x, IF(_xlpm.hasLabels, _xlfn.DROP(_xlpm.Xconst,1), _xlpm.Xconst),
_xlpm.bbeta, OLS_COEFF(_xlpm.y,_xlpm.x),
_xlpm.std, IF(_xlpm.robustStd = FALSE, OLS_COEFF_STDEV(_xlpm.y,_xlpm.x,_xlpm.bbeta), _xlfn.SWITCH(_xlpm.robustStd, "HAC", OLS_COEFF_STDEV_HAC(_xlpm.y,_xlpm.x,_xlpm.bbeta,_xlpm.robustType,_xlpm.lagsHAC), "HC", OLS_COEFF_STDEV_HC(_xlpm.y,_xlpm.x,_xlpm.bbeta,_xlpm.robustType))),
_xlpm.tstat, IF(_xlpm.robustStd = FALSE, OLS_COEFF_TSTAT(_xlpm.y,_xlpm.x,_xlpm.bbeta), _xlfn.SWITCH(_xlpm.robustStd, "HAC", OLS_COEFF_TSTAT_HAC(_xlpm.y,_xlpm.x,_xlpm.bbeta,_xlpm.robustType,_xlpm.lagsHAC), "HC", OLS_COEFF_TSTAT_HC(_xlpm.y,_xlpm.x,_xlpm.bbeta,_xlpm.robustType))),
_xlpm.pValue, IF(_xlpm.robustStd = FALSE, OLS_COEFF_PVALUE(_xlpm.y,_xlpm.x,_xlpm.bbeta), _xlfn.SWITCH(_xlpm.robustStd, "HAC", OLS_COEFF_PVALUE_HAC(_xlpm.y,_xlpm.x,_xlpm.bbeta,_xlpm.robustType,_xlpm.lagsHAC), "HC", OLS_COEFF_PVALUE_HC(_xlpm.y,_xlpm.x,_xlpm.bbeta,_xlpm.robustType))),
_xlpm.stars, _xlfn.MAKEARRAY(ROWS(_xlpm.pValue),1, _xlfn.LAMBDA(_xlpm.row,_xlpm.col, _xlfn.LET(_xlpm.val, INDEX(_xlpm.pValue,_xlpm.row), _xlfn.IFS(_xlpm.val&lt;=0.01, "***", _xlpm.val&lt;=0.05, "**", _xlpm.val&lt;=0.1, "*", _xlpm.val&gt;0.1, "")))),
_xlpm.meanDepVar, AVERAGE(_xlpm.y), _xlpm.stdevDepVar, _xlfn.STDEV.S(_xlpm.y), _xlpm.sumSqRes, OLS_RSS(_xlpm.y,_xlpm.x,_xlpm.bbeta), _xlpm.stdevReg, OLS_STDEV(_xlpm.y,_xlpm.x,_xlpm.bbeta),
_xlpm.rSquared, OLS_R2(_xlpm.y,_xlpm.x,_xlpm.bbeta), _xlpm.rSquaredAdj, OLS_R2_ADJUSTED(_xlpm.y,_xlpm.x,_xlpm.bbeta), _xlpm.Fstat, OLS_FSTAT(_xlpm.y,_xlpm.x,_xlpm.bbeta), _xlpm.fStatPvalue, OLS_FSTAT_PVALUE(_xlpm.y,_xlpm.x,_xlpm.bbeta),
_xlpm.logLik, OLS_LOGLIKELIHOOD(_xlpm.y,_xlpm.x,_xlpm.bbeta), _xlpm.infoCritAkaike, OLS_AIC(_xlpm.y,_xlpm.x,_xlpm.bbeta), _xlpm.infoCritSchwarz, OLS_BIC(_xlpm.y,_xlpm.x,_xlpm.bbeta), _xlpm.infoCritHQ, OLS_HQC(_xlpm.y,_xlpm.x,_xlpm.bbeta),
_xlpm.resAR, OLS_RESIDUALS_AR(_xlpm.y,_xlpm.x,_xlpm.bbeta,1), _xlpm.durbinWatson, OLS_DURBINWATSON(_xlpm.y,_xlpm.x,_xlpm.bbeta),
_xlpm.titleLabel, _xlfn.EXPAND("Regression summary: " &amp; _xlpm.yLabel,1,6,""),
_xlpm.stdLabel, _xlfn.EXPAND("Standard errors: " &amp; _xlfn.SWITCH(_xlpm.robustStd, FALSE, "Ordinary", "HAC", "HAC; bandwith " &amp; _xlpm.lagsHAC &amp; ", Kernel " &amp; _xlpm.robustType, "HC", "HC of type " &amp; _xlpm.robustType),1,6,""),
_xlpm.colLabel, _xlfn.HSTACK("", "coefficient", "standard error", "t-stat", "p-value", ""),
_xlpm.rowLabel, _xlpm.xLabels,
_xlpm.emptyLabel, _xlfn.EXPAND("",1,6,""),
_xlpm.mainTable, _xlfn.VSTACK(_xlpm.titleLabel, _xlpm.stdLabel, _xlpm.colLabel, _xlfn.HSTACK(_xlpm.rowLabel, _xlpm.bbeta, _xlpm.std, _xlpm.tstat, _xlpm.pValue, _xlpm.stars)),
_xlpm.otherStats, _xlfn.HSTACK(_xlfn.VSTACK("Mean of dependent var.", "Sum of squared res.", "R-squared", "F", "Loglikelihood", "Schwarz criterion", "AR coeff. of residuals"), _xlfn.VSTACK(_xlpm.meanDepVar, _xlpm.sumSqRes, _xlpm.rSquared, _xlpm.Fstat, _xlpm.logLik, _xlpm.infoCritSchwarz, _xlpm.resAR), _xlfn.EXPAND("",7,1,""), _xlfn.VSTACK("Std of dependent var.", "Std of regression", "R-squared adjusted", "P-value(F)", "Akaike criterion", "Hannan-quinn criterion", "Durbin-Watson"), _xlfn.VSTACK(_xlpm.stdevDepVar, _xlpm.stdevReg, _xlpm.rSquaredAdj, _xlpm.fStatPvalue, _xlpm.infoCritAkaike, _xlpm.infoCritHQ, _xlpm.durbinWatson), _xlfn.EXPAND("",7,1,"") ),
IFERROR(_xlfn.VSTACK(_xlpm.mainTable, _xlpm.emptyLabel, _xlpm.otherStats), "# Error: check inputs")
))($E$3:$E$15,$A$3:$D$15,TRUE,FALSE,FALSE)</f>
        <v>Regression summary: w</v>
      </c>
      <c r="I56" s="34" t="str">
        <v/>
      </c>
      <c r="J56" s="34" t="str">
        <v/>
      </c>
      <c r="K56" s="34" t="str">
        <v/>
      </c>
      <c r="L56" s="34" t="str">
        <v/>
      </c>
      <c r="M56" s="34" t="str">
        <v/>
      </c>
      <c r="N56" t="str" cm="1">
        <f t="array" ref="N56:S70">OLS_SUMMARY($E$3:$E$15,$A$3:$D$15,TRUE)</f>
        <v>Regression summary: w</v>
      </c>
      <c r="O56" t="str">
        <v/>
      </c>
      <c r="P56" t="str">
        <v/>
      </c>
      <c r="Q56" t="str">
        <v/>
      </c>
      <c r="R56" t="str">
        <v/>
      </c>
      <c r="S56" t="str">
        <v/>
      </c>
      <c r="Y56" s="35">
        <v>948.51202656009832</v>
      </c>
      <c r="Z56">
        <v>1135.8876608791147</v>
      </c>
      <c r="AA56">
        <v>1323.2632951981311</v>
      </c>
      <c r="AB56" s="42">
        <v>948.51202656009832</v>
      </c>
      <c r="AC56">
        <v>1135.8876608791147</v>
      </c>
      <c r="AD56">
        <v>1323.2632951981311</v>
      </c>
    </row>
    <row r="57" spans="8:30" x14ac:dyDescent="0.45">
      <c r="H57" s="34" t="str">
        <v>Standard errors: Ordinary</v>
      </c>
      <c r="I57" s="34" t="str">
        <v/>
      </c>
      <c r="J57" s="34" t="str">
        <v/>
      </c>
      <c r="K57" s="34" t="str">
        <v/>
      </c>
      <c r="L57" s="34" t="str">
        <v/>
      </c>
      <c r="M57" s="34" t="str">
        <v/>
      </c>
      <c r="N57" t="str">
        <v>Standard errors: Ordinary</v>
      </c>
      <c r="O57" t="str">
        <v/>
      </c>
      <c r="P57" t="str">
        <v/>
      </c>
      <c r="Q57" t="str">
        <v/>
      </c>
      <c r="R57" t="str">
        <v/>
      </c>
      <c r="S57" t="str">
        <v/>
      </c>
      <c r="V57" s="7" t="s">
        <v>861</v>
      </c>
      <c r="W57" s="6"/>
      <c r="Y57" s="35">
        <v>1400.7927375659519</v>
      </c>
      <c r="Z57">
        <v>1588.5140331316306</v>
      </c>
      <c r="AA57">
        <v>1776.2353286973093</v>
      </c>
      <c r="AB57" s="42">
        <v>1400.7927375659519</v>
      </c>
      <c r="AC57">
        <v>1588.5140331316306</v>
      </c>
      <c r="AD57">
        <v>1776.2353286973093</v>
      </c>
    </row>
    <row r="58" spans="8:30" x14ac:dyDescent="0.45">
      <c r="H58" s="34" t="str">
        <v/>
      </c>
      <c r="I58" s="34" t="str">
        <v>coefficient</v>
      </c>
      <c r="J58" s="34" t="str">
        <v>standard error</v>
      </c>
      <c r="K58" s="34" t="str">
        <v>t-stat</v>
      </c>
      <c r="L58" s="34" t="str">
        <v>p-value</v>
      </c>
      <c r="M58" s="34" t="str">
        <v/>
      </c>
      <c r="N58" t="str">
        <v/>
      </c>
      <c r="O58" t="str">
        <v>coefficient</v>
      </c>
      <c r="P58" t="str">
        <v>standard error</v>
      </c>
      <c r="Q58" t="str">
        <v>t-stat</v>
      </c>
      <c r="R58" t="str">
        <v>p-value</v>
      </c>
      <c r="S58" t="str">
        <v/>
      </c>
      <c r="V58" s="35" cm="1">
        <f t="array" ref="V58">_xlfn.LAMBDA(_xlpm.y,_xlpm.x,_xlop.coeff,_xlop.order,
_xlfn.LET(
_xlpm.bbeta, IF(_xlfn.ISOMITTED(_xlpm.coeff), OLS_COEFF(_xlpm.y,_xlpm.x), VEC(_xlpm.coeff)),
_xlpm.order, IF(_xlfn.ISOMITTED(_xlpm.order), 1, _xlpm.order),
_xlpm.rho, OLS_COEFF(_xlfn.DROP(OLS_RESIDUALS(_xlpm.y,_xlpm.x,_xlpm.bbeta),_xlpm.order), _xlfn.DROP(OLS_RESIDUALS(_xlpm.y,_xlpm.x,_xlpm.bbeta),-_xlpm.order)),
_xlpm.rho
))($E$4:$E$15,$A$4:$D$15,,1)</f>
        <v>9.6384290495081598E-2</v>
      </c>
      <c r="W58" s="42" cm="1">
        <f t="array" ref="W58">OLS_RESIDUALS_AR($E$4:$E$15,$A$4:$D$15,,1)</f>
        <v>9.6384290495081598E-2</v>
      </c>
      <c r="Y58" s="35">
        <v>1636.4526022775217</v>
      </c>
      <c r="Z58">
        <v>1818.222590211793</v>
      </c>
      <c r="AA58">
        <v>1999.9925781460643</v>
      </c>
      <c r="AB58" s="42">
        <v>1636.4526022775217</v>
      </c>
      <c r="AC58">
        <v>1818.222590211793</v>
      </c>
      <c r="AD58">
        <v>1999.9925781460643</v>
      </c>
    </row>
    <row r="59" spans="8:30" x14ac:dyDescent="0.45">
      <c r="H59" s="34" t="str">
        <v>const</v>
      </c>
      <c r="I59" s="34">
        <v>77.506630385482822</v>
      </c>
      <c r="J59" s="34">
        <v>128.65286416500055</v>
      </c>
      <c r="K59" s="34">
        <v>0.60244776428823699</v>
      </c>
      <c r="L59" s="34">
        <v>0.56355836543262661</v>
      </c>
      <c r="M59" s="34" t="str">
        <v/>
      </c>
      <c r="N59" t="str">
        <v>const</v>
      </c>
      <c r="O59">
        <v>77.506630385482822</v>
      </c>
      <c r="P59">
        <v>128.65286416500055</v>
      </c>
      <c r="Q59">
        <v>0.60244776428823699</v>
      </c>
      <c r="R59">
        <v>0.56355836543262661</v>
      </c>
      <c r="S59" t="str">
        <v/>
      </c>
      <c r="Y59" s="35">
        <v>1676.166255510921</v>
      </c>
      <c r="Z59">
        <v>1853.4154644694665</v>
      </c>
      <c r="AA59">
        <v>2030.6646734280121</v>
      </c>
      <c r="AB59" s="42">
        <v>1676.166255510921</v>
      </c>
      <c r="AC59">
        <v>1853.4154644694665</v>
      </c>
      <c r="AD59">
        <v>2030.6646734280121</v>
      </c>
    </row>
    <row r="60" spans="8:30" x14ac:dyDescent="0.45">
      <c r="H60" s="34" t="str">
        <v>x</v>
      </c>
      <c r="I60" s="34">
        <v>2.1770734285392486</v>
      </c>
      <c r="J60" s="34">
        <v>1.4892549500200292</v>
      </c>
      <c r="K60" s="34">
        <v>1.4618540824792752</v>
      </c>
      <c r="L60" s="34">
        <v>0.18192076333892523</v>
      </c>
      <c r="M60" s="34" t="str">
        <v/>
      </c>
      <c r="N60" t="str">
        <v>x</v>
      </c>
      <c r="O60">
        <v>2.1770734285392486</v>
      </c>
      <c r="P60">
        <v>1.4892549500200292</v>
      </c>
      <c r="Q60">
        <v>1.4618540824792752</v>
      </c>
      <c r="R60">
        <v>0.18192076333892523</v>
      </c>
      <c r="S60" t="str">
        <v/>
      </c>
      <c r="V60" s="7" t="s">
        <v>864</v>
      </c>
      <c r="W60" s="6"/>
      <c r="Y60" s="35">
        <v>1749.2874970623132</v>
      </c>
      <c r="Z60">
        <v>1932.2606189230698</v>
      </c>
      <c r="AA60">
        <v>2115.2337407838268</v>
      </c>
      <c r="AB60" s="42">
        <v>1749.2874970623132</v>
      </c>
      <c r="AC60">
        <v>1932.2606189230698</v>
      </c>
      <c r="AD60">
        <v>2115.2337407838268</v>
      </c>
    </row>
    <row r="61" spans="8:30" x14ac:dyDescent="0.45">
      <c r="H61" s="34" t="str">
        <v>y</v>
      </c>
      <c r="I61" s="34">
        <v>2.0218596221156897</v>
      </c>
      <c r="J61" s="34">
        <v>0.17018261882389155</v>
      </c>
      <c r="K61" s="34">
        <v>11.880529492896988</v>
      </c>
      <c r="L61" s="34">
        <v>2.3136489083180648E-6</v>
      </c>
      <c r="M61" s="34" t="str">
        <v>***</v>
      </c>
      <c r="N61" t="str">
        <v>y</v>
      </c>
      <c r="O61">
        <v>2.0218596221156897</v>
      </c>
      <c r="P61">
        <v>0.17018261882389155</v>
      </c>
      <c r="Q61">
        <v>11.880529492896988</v>
      </c>
      <c r="R61">
        <v>2.3136489083180648E-6</v>
      </c>
      <c r="S61" t="str">
        <v>***</v>
      </c>
      <c r="V61" s="35" cm="1">
        <f t="array" ref="V61">_xlfn.LAMBDA(_xlpm.y,_xlpm.x,_xlop.coeff,
_xlfn.LET(
_xlpm.bbeta, IF(_xlfn.ISOMITTED(_xlpm.coeff), OLS_COEFF(_xlpm.y,_xlpm.x), VEC(_xlpm.coeff)),
_xlpm.res, OLS_RESIDUALS(_xlpm.y,_xlpm.x,_xlpm.bbeta),
_xlpm.dw, SUM((_xlfn.DROP(_xlpm.res,1) - _xlfn.DROP(_xlpm.res,-1))^2) / SUM(_xlpm.res^2),
_xlpm.dw
))($E$4:$E$15,$A$4:$D$15)</f>
        <v>1.795474647727237</v>
      </c>
      <c r="W61" s="42" cm="1">
        <f t="array" ref="W61">OLS_DURBINWATSON($E$4:$E$15,$A$4:$D$15)</f>
        <v>1.795474647727237</v>
      </c>
      <c r="Y61" s="35">
        <v>2007.8088260066079</v>
      </c>
      <c r="Z61">
        <v>2199.4903625213992</v>
      </c>
      <c r="AA61">
        <v>2391.1718990361906</v>
      </c>
      <c r="AB61" s="42">
        <v>2007.8088260066079</v>
      </c>
      <c r="AC61">
        <v>2199.4903625213992</v>
      </c>
      <c r="AD61">
        <v>2391.1718990361906</v>
      </c>
    </row>
    <row r="62" spans="8:30" x14ac:dyDescent="0.45">
      <c r="H62" s="34" t="str">
        <v>z</v>
      </c>
      <c r="I62" s="34">
        <v>2.8200909792623605</v>
      </c>
      <c r="J62" s="34">
        <v>1.5121761755365055</v>
      </c>
      <c r="K62" s="34">
        <v>1.8649222391444036</v>
      </c>
      <c r="L62" s="34">
        <v>9.9177867111032852E-2</v>
      </c>
      <c r="M62" s="34" t="str">
        <v>*</v>
      </c>
      <c r="N62" t="str">
        <v>z</v>
      </c>
      <c r="O62">
        <v>2.8200909792623605</v>
      </c>
      <c r="P62">
        <v>1.5121761755365055</v>
      </c>
      <c r="Q62">
        <v>1.8649222391444036</v>
      </c>
      <c r="R62">
        <v>9.9177867111032852E-2</v>
      </c>
      <c r="S62" t="str">
        <v>*</v>
      </c>
      <c r="Y62" s="35">
        <v>1956.2698817087571</v>
      </c>
      <c r="Z62">
        <v>2151.5149700077277</v>
      </c>
      <c r="AA62">
        <v>2346.7600583066983</v>
      </c>
      <c r="AB62" s="42">
        <v>1956.2698817087571</v>
      </c>
      <c r="AC62">
        <v>2151.5149700077277</v>
      </c>
      <c r="AD62">
        <v>2346.7600583066983</v>
      </c>
    </row>
    <row r="63" spans="8:30" x14ac:dyDescent="0.45">
      <c r="H63" s="34" t="str">
        <v/>
      </c>
      <c r="I63" s="34" t="str">
        <v/>
      </c>
      <c r="J63" s="34" t="str">
        <v/>
      </c>
      <c r="K63" s="34" t="str">
        <v/>
      </c>
      <c r="L63" s="34" t="str">
        <v/>
      </c>
      <c r="M63" s="34" t="str">
        <v/>
      </c>
      <c r="N63" t="str">
        <v/>
      </c>
      <c r="O63" t="str">
        <v/>
      </c>
      <c r="P63" t="str">
        <v/>
      </c>
      <c r="Q63" t="str">
        <v/>
      </c>
      <c r="R63" t="str">
        <v/>
      </c>
      <c r="S63" t="str">
        <v/>
      </c>
      <c r="Y63" s="35">
        <v>2408.4362867447289</v>
      </c>
      <c r="Z63">
        <v>2613.562663764174</v>
      </c>
      <c r="AA63">
        <v>2818.689040783619</v>
      </c>
      <c r="AB63" s="42">
        <v>2408.4362867447289</v>
      </c>
      <c r="AC63">
        <v>2613.562663764174</v>
      </c>
      <c r="AD63">
        <v>2818.689040783619</v>
      </c>
    </row>
    <row r="64" spans="8:30" x14ac:dyDescent="0.45">
      <c r="H64" s="34" t="str">
        <v>Mean of dependent var.</v>
      </c>
      <c r="I64" s="34">
        <v>1485.3833333333332</v>
      </c>
      <c r="J64" s="34" t="str">
        <v/>
      </c>
      <c r="K64" s="34" t="str">
        <v>Std of dependent var.</v>
      </c>
      <c r="L64" s="34">
        <v>749.77636766915452</v>
      </c>
      <c r="M64" s="34" t="str">
        <v/>
      </c>
      <c r="N64" t="str">
        <v>Mean of dependent var.</v>
      </c>
      <c r="O64">
        <v>1485.3833333333332</v>
      </c>
      <c r="P64" t="str">
        <v/>
      </c>
      <c r="Q64" t="str">
        <v>Std of dependent var.</v>
      </c>
      <c r="R64">
        <v>749.77636766915452</v>
      </c>
      <c r="S64" t="str">
        <v/>
      </c>
    </row>
    <row r="65" spans="8:35" x14ac:dyDescent="0.45">
      <c r="H65" s="34" t="str">
        <v>Sum of squared res.</v>
      </c>
      <c r="I65" s="34">
        <v>230495.70086384937</v>
      </c>
      <c r="J65" s="34" t="str">
        <v/>
      </c>
      <c r="K65" s="34" t="str">
        <v>Std of regression</v>
      </c>
      <c r="L65" s="34">
        <v>169.74086899736662</v>
      </c>
      <c r="M65" s="34" t="str">
        <v/>
      </c>
      <c r="N65" t="str">
        <v>Sum of squared res.</v>
      </c>
      <c r="O65">
        <v>230495.70086384937</v>
      </c>
      <c r="P65" t="str">
        <v/>
      </c>
      <c r="Q65" t="str">
        <v>Std of regression</v>
      </c>
      <c r="R65">
        <v>169.74086899736662</v>
      </c>
      <c r="S65" t="str">
        <v/>
      </c>
      <c r="Y65" s="7" t="s">
        <v>1099</v>
      </c>
      <c r="Z65" s="6"/>
      <c r="AB65" s="7" t="s">
        <v>1098</v>
      </c>
      <c r="AC65" s="6"/>
      <c r="AE65" s="7" t="s">
        <v>1312</v>
      </c>
      <c r="AF65" s="6"/>
      <c r="AH65" s="7" t="s">
        <v>1310</v>
      </c>
      <c r="AI65" s="6"/>
    </row>
    <row r="66" spans="8:35" x14ac:dyDescent="0.45">
      <c r="H66" s="34" t="str">
        <v>R-squared</v>
      </c>
      <c r="I66" s="34">
        <v>0.96272594438086212</v>
      </c>
      <c r="J66" s="34" t="str">
        <v/>
      </c>
      <c r="K66" s="34" t="str">
        <v>R-squared adjusted</v>
      </c>
      <c r="L66" s="34">
        <v>0.94874817352368546</v>
      </c>
      <c r="M66" s="34" t="str">
        <v/>
      </c>
      <c r="N66" t="str">
        <v>R-squared</v>
      </c>
      <c r="O66">
        <v>0.96272594438086212</v>
      </c>
      <c r="P66" t="str">
        <v/>
      </c>
      <c r="Q66" t="str">
        <v>R-squared adjusted</v>
      </c>
      <c r="R66">
        <v>0.94874817352368546</v>
      </c>
      <c r="S66" t="str">
        <v/>
      </c>
      <c r="Y66" s="35" cm="1">
        <f t="array" ref="Y66:Y67">_xlfn.LAMBDA(_xlpm.y,_xlop.nLags,_xlop.nLeads,_xlop.includeConstant,_xlfn.LET(
_xlpm.y, VEC(_xlpm.y),
_xlpm.N, ROWS(_xlpm.y),
_xlpm.nLags, IF(OR(_xlfn.ISOMITTED(_xlpm.nLags), ISBLANK(_xlpm.nLags)), 1, _xlpm.nLags),
_xlpm.nLeads, IF(OR(_xlfn.ISOMITTED(_xlpm.nLeads), ISBLANK(_xlpm.nLeads)), 0, _xlpm.nLeads),
_xlpm.includeConstant, IF(OR(_xlfn.ISOMITTED(_xlpm.includeConstant), ISBLANK(_xlpm.includeConstant)), TRUE, _xlpm.includeConstant),
_xlpm.XLags, IF(_xlpm.nLags=0, FALSE, LAG(_xlpm.y,_xlpm.nLags,TRUE,TRUE,FALSE,FALSE,TRUE)),
_xlpm.XLeads, IF(_xlpm.nLeads=0, FALSE, LEAD(_xlpm.y,_xlpm.nLeads,TRUE,TRUE,FALSE,FALSE,TRUE)),
_xlpm.x, IF(_xlpm.nLeads=0, _xlpm.XLags, IF(_xlpm.nLags=0, _xlpm.XLeads, _xlfn.HSTACK(_xlpm.XLags,_xlpm.XLeads))), _xlpm.Xconst, IF(_xlpm.includeConstant, ADDCONST(_xlpm.x), _xlpm.x),
_xlpm.data, RMMISSING(_xlfn.HSTACK(_xlpm.y,_xlpm.Xconst),1),
OLS_COEFF(_xlfn.TAKE(_xlpm.data,,1),_xlfn.DROP(_xlpm.data,,1))
))($E$4:$E$15,1)</f>
        <v>303.20603251943794</v>
      </c>
      <c r="Z66" s="42" cm="1">
        <f t="array" ref="Z66:Z67">AR_COEFF($E$4:$E$15,1)</f>
        <v>303.20603251943794</v>
      </c>
      <c r="AB66" s="146" cm="1">
        <f t="array" ref="AB66:AB75">_xlfn.LAMBDA(_xlpm.y,_xlop.nPeriods,_xlop.nLags,_xlop.includeConstant,_xlfn.LET(
_xlpm.y, VEC(_xlpm.y),
_xlpm.nPeriods, IF(OR(_xlfn.ISOMITTED(_xlpm.nPeriods), ISBLANK(_xlpm.nPeriods)), 1, _xlpm.nPeriods),
_xlpm.nLags, IF(OR(_xlfn.ISOMITTED(_xlpm.nLags), ISBLANK(_xlpm.nLags)), 1, _xlpm.nLags),
_xlpm.includeConstant, IF(OR(_xlfn.ISOMITTED(_xlpm.includeConstant), ISBLANK(_xlpm.includeConstant)), TRUE, _xlpm.includeConstant),
_xlpm.arCoeff, AR_COEFF(_xlpm.y,_xlpm.nLags,0,_xlpm.includeConstant),
_xlpm.yLast, _xlfn.TAKE(_xlpm.y,-_xlpm.nLags),
_xlpm.yForecast, _xlfn.REDUCE(_xlpm.yLast, _xlfn.SEQUENCE(_xlpm.nPeriods), _xlfn.LAMBDA(_xlpm.accum,_xlpm.period,
_xlfn.VSTACK(_xlpm.accum, _xlfn.LET(
_xlpm.newX, TRANSPOSE(_xlfn.TAKE(_xlpm.accum,-_xlpm.nLags)),
OLS_FITTED(1, IF(_xlpm.includeConstant, ADDCONST(_xlpm.newX), _xlpm.newX), _xlpm.arCoeff)
))
)),
_xlfn.DROP(_xlpm.yForecast,_xlpm.nLags)
))($E$4:$E$15,10,2)</f>
        <v>2722.4618565408127</v>
      </c>
      <c r="AC66" s="95" cm="1">
        <f t="array" ref="AC66:AC75">AR_FORECAST($E$4:$E$15,10,2)</f>
        <v>2722.4618565408127</v>
      </c>
      <c r="AE66" s="146" cm="1">
        <f t="array" ref="AE66:AE75">_xlfn.LAMBDA(_xlpm.y,_xlop.nPeriods,_xlop.nLags,_xlop.includeConstant,_xlfn.LET(
_xlpm.y, REVERSEROWS(VEC(_xlpm.y)),
AR_FORECAST(_xlpm.y,_xlpm.nPeriods,_xlpm.nLags,_xlpm.includeConstant)
))($E$4:$E$15,10,2)</f>
        <v>105.40592645581698</v>
      </c>
      <c r="AF66" s="95" cm="1">
        <f t="array" ref="AF66:AF75">AR_BACKCAST($E$4:$E$15,10,2)</f>
        <v>105.40592645581698</v>
      </c>
      <c r="AH66" s="35" cm="1">
        <f t="array" ref="AH66:AH75">_xlfn.LAMBDA(_xlpm.y,_xlop.nLags,_xlop.nLeads,_xlop.includeConstant,_xlfn.LET(
_xlpm.y, VEC(_xlpm.y),
_xlpm.N, ROWS(_xlpm.y),
_xlpm.nLags, IF(OR(_xlfn.ISOMITTED(_xlpm.nLags), ISBLANK(_xlpm.nLags)), 1, _xlpm.nLags),
_xlpm.nLeads, IF(OR(_xlfn.ISOMITTED(_xlpm.nLeads), ISBLANK(_xlpm.nLeads)), 0, _xlpm.nLeads),
_xlpm.includeConstant, IF(OR(_xlfn.ISOMITTED(_xlpm.includeConstant), ISBLANK(_xlpm.includeConstant)), TRUE, _xlpm.includeConstant),
_xlpm.XLags, IF(_xlpm.nLags=0, FALSE, LAG(_xlpm.y,_xlpm.nLags,TRUE,TRUE,FALSE,FALSE,TRUE)),
_xlpm.XLeads, IF(_xlpm.nLeads=0, FALSE, LEAD(_xlpm.y,_xlpm.nLeads,TRUE,TRUE,FALSE,FALSE,TRUE)),
_xlpm.x, IF(_xlpm.nLeads=0, _xlpm.XLags, IF(_xlpm.nLags=0, _xlpm.XLeads, _xlfn.HSTACK(_xlpm.XLags,_xlpm.XLeads))), _xlpm.Xconst, IF(_xlpm.includeConstant, ADDCONST(_xlpm.x), _xlpm.x),
_xlpm.data, RMMISSING(_xlfn.HSTACK(_xlpm.y,_xlpm.Xconst),1),
OLS_FITTED(_xlfn.TAKE(_xlpm.data,,1),_xlfn.DROP(_xlpm.data,,1))
))($E$4:$E$15,2)</f>
        <v>772.31346763763804</v>
      </c>
      <c r="AI66" s="42" cm="1">
        <f t="array" ref="AI66:AI75">AR_FITTED($E$4:$E$15,2)</f>
        <v>772.31346763763804</v>
      </c>
    </row>
    <row r="67" spans="8:35" x14ac:dyDescent="0.45">
      <c r="H67" s="34" t="str">
        <v>F</v>
      </c>
      <c r="I67" s="34">
        <v>68.875499120559908</v>
      </c>
      <c r="J67" s="34" t="str">
        <v/>
      </c>
      <c r="K67" s="34" t="str">
        <v>P-value(F)</v>
      </c>
      <c r="L67" s="34">
        <v>4.6789820355237948E-6</v>
      </c>
      <c r="M67" s="34" t="str">
        <v/>
      </c>
      <c r="N67" t="str">
        <v>F</v>
      </c>
      <c r="O67">
        <v>68.875499120559908</v>
      </c>
      <c r="P67" t="str">
        <v/>
      </c>
      <c r="Q67" t="str">
        <v>P-value(F)</v>
      </c>
      <c r="R67">
        <v>4.6789820355237948E-6</v>
      </c>
      <c r="S67" t="str">
        <v/>
      </c>
      <c r="Y67" s="35">
        <v>0.93329879678530947</v>
      </c>
      <c r="Z67" s="42">
        <v>0.93329879678530947</v>
      </c>
      <c r="AB67" s="146">
        <v>2831.9764034926188</v>
      </c>
      <c r="AC67" s="95">
        <v>2831.9764034926188</v>
      </c>
      <c r="AE67" s="146">
        <v>-85.74877665439945</v>
      </c>
      <c r="AF67" s="95">
        <v>-85.74877665439945</v>
      </c>
      <c r="AH67" s="35">
        <v>1005.009539597707</v>
      </c>
      <c r="AI67" s="42">
        <v>1005.009539597707</v>
      </c>
    </row>
    <row r="68" spans="8:35" x14ac:dyDescent="0.45">
      <c r="H68" s="34" t="str">
        <v>Loglikelihood</v>
      </c>
      <c r="I68" s="34">
        <v>-76.205747439098118</v>
      </c>
      <c r="J68" s="34" t="str">
        <v/>
      </c>
      <c r="K68" s="34" t="str">
        <v>Akaike criterion</v>
      </c>
      <c r="L68" s="34">
        <v>160.41149487819624</v>
      </c>
      <c r="M68" s="34" t="str">
        <v/>
      </c>
      <c r="N68" t="str">
        <v>Loglikelihood</v>
      </c>
      <c r="O68">
        <v>-76.205747439098118</v>
      </c>
      <c r="P68" t="str">
        <v/>
      </c>
      <c r="Q68" t="str">
        <v>Akaike criterion</v>
      </c>
      <c r="R68">
        <v>160.41149487819624</v>
      </c>
      <c r="S68" t="str">
        <v/>
      </c>
      <c r="Y68" s="35"/>
      <c r="Z68" s="42"/>
      <c r="AB68" s="146">
        <v>2949.264707811566</v>
      </c>
      <c r="AC68" s="95">
        <v>2949.264707811566</v>
      </c>
      <c r="AE68" s="146">
        <v>-256.40530526556836</v>
      </c>
      <c r="AF68" s="95">
        <v>-256.40530526556836</v>
      </c>
      <c r="AH68" s="35">
        <v>1294.3087384047399</v>
      </c>
      <c r="AI68" s="42">
        <v>1294.3087384047399</v>
      </c>
    </row>
    <row r="69" spans="8:35" x14ac:dyDescent="0.45">
      <c r="H69" s="34" t="str">
        <v>Schwarz criterion</v>
      </c>
      <c r="I69" s="34">
        <v>162.35112147734824</v>
      </c>
      <c r="J69" s="34" t="str">
        <v/>
      </c>
      <c r="K69" s="34" t="str">
        <v>Hannan-quinn criterion</v>
      </c>
      <c r="L69" s="34">
        <v>159.69337562511885</v>
      </c>
      <c r="M69" s="34" t="str">
        <v/>
      </c>
      <c r="N69" t="str">
        <v>Schwarz criterion</v>
      </c>
      <c r="O69">
        <v>162.35112147734824</v>
      </c>
      <c r="P69" t="str">
        <v/>
      </c>
      <c r="Q69" t="str">
        <v>Hannan-quinn criterion</v>
      </c>
      <c r="R69">
        <v>159.69337562511885</v>
      </c>
      <c r="S69" t="str">
        <v/>
      </c>
      <c r="Y69" s="35"/>
      <c r="Z69" s="42"/>
      <c r="AB69" s="146">
        <v>3052.6563953304885</v>
      </c>
      <c r="AC69" s="95">
        <v>3052.6563953304885</v>
      </c>
      <c r="AE69" s="146">
        <v>-439.4905083571598</v>
      </c>
      <c r="AF69" s="95">
        <v>-439.4905083571598</v>
      </c>
      <c r="AH69" s="35">
        <v>1462.8307196396115</v>
      </c>
      <c r="AI69" s="42">
        <v>1462.8307196396115</v>
      </c>
    </row>
    <row r="70" spans="8:35" x14ac:dyDescent="0.45">
      <c r="H70" s="34" t="str">
        <v>AR coeff. of residuals</v>
      </c>
      <c r="I70" s="34">
        <v>9.6384290495081598E-2</v>
      </c>
      <c r="J70" s="34" t="str">
        <v/>
      </c>
      <c r="K70" s="34" t="str">
        <v>Durbin-Watson</v>
      </c>
      <c r="L70" s="34">
        <v>1.795474647727237</v>
      </c>
      <c r="M70" s="34" t="str">
        <v/>
      </c>
      <c r="N70" t="str">
        <v>AR coeff. of residuals</v>
      </c>
      <c r="O70">
        <v>9.6384290495081598E-2</v>
      </c>
      <c r="P70" t="str">
        <v/>
      </c>
      <c r="Q70" t="str">
        <v>Durbin-Watson</v>
      </c>
      <c r="R70">
        <v>1.795474647727237</v>
      </c>
      <c r="S70" t="str">
        <v/>
      </c>
      <c r="Y70" s="35"/>
      <c r="Z70" s="42"/>
      <c r="AB70" s="146">
        <v>3155.6892693025884</v>
      </c>
      <c r="AC70" s="95">
        <v>3155.6892693025884</v>
      </c>
      <c r="AE70" s="146">
        <v>-614.05975309598239</v>
      </c>
      <c r="AF70" s="95">
        <v>-614.05975309598239</v>
      </c>
      <c r="AH70" s="35">
        <v>1775.3641957375562</v>
      </c>
      <c r="AI70" s="42">
        <v>1775.3641957375562</v>
      </c>
    </row>
    <row r="71" spans="8:35" x14ac:dyDescent="0.45">
      <c r="AB71" s="146">
        <v>3250.6337888827329</v>
      </c>
      <c r="AC71" s="95">
        <v>3250.6337888827329</v>
      </c>
      <c r="AE71" s="146">
        <v>-793.437920765738</v>
      </c>
      <c r="AF71" s="95">
        <v>-793.437920765738</v>
      </c>
      <c r="AH71" s="35">
        <v>1930.6288988842948</v>
      </c>
      <c r="AI71">
        <v>1930.6288988842948</v>
      </c>
    </row>
    <row r="72" spans="8:35" x14ac:dyDescent="0.45">
      <c r="AB72" s="146">
        <v>3342.57080249508</v>
      </c>
      <c r="AC72" s="95">
        <v>3342.57080249508</v>
      </c>
      <c r="AE72" s="146">
        <v>-969.14986426245332</v>
      </c>
      <c r="AF72" s="95">
        <v>-969.14986426245332</v>
      </c>
      <c r="AH72" s="35">
        <v>1991.5982576155116</v>
      </c>
      <c r="AI72">
        <v>1991.5982576155116</v>
      </c>
    </row>
    <row r="73" spans="8:35" x14ac:dyDescent="0.45">
      <c r="AB73" s="146">
        <v>3428.8306093924248</v>
      </c>
      <c r="AC73" s="95">
        <v>3428.8306093924248</v>
      </c>
      <c r="AE73" s="146">
        <v>-1146.588187478184</v>
      </c>
      <c r="AF73" s="95">
        <v>-1146.588187478184</v>
      </c>
      <c r="AH73" s="35">
        <v>2000.6086728698476</v>
      </c>
      <c r="AI73">
        <v>2000.6086728698476</v>
      </c>
    </row>
    <row r="74" spans="8:35" x14ac:dyDescent="0.45">
      <c r="AB74" s="146">
        <v>3511.4002036908487</v>
      </c>
      <c r="AC74" s="95">
        <v>3511.4002036908487</v>
      </c>
      <c r="AE74" s="146">
        <v>-1322.3237345822363</v>
      </c>
      <c r="AF74" s="95">
        <v>-1322.3237345822363</v>
      </c>
      <c r="AH74" s="35">
        <v>2261.6539175792554</v>
      </c>
      <c r="AI74">
        <v>2261.6539175792554</v>
      </c>
    </row>
    <row r="75" spans="8:35" x14ac:dyDescent="0.45">
      <c r="AB75" s="146">
        <v>3589.4379087543866</v>
      </c>
      <c r="AC75" s="95">
        <v>3589.4379087543866</v>
      </c>
      <c r="AE75" s="146">
        <v>-1498.53917422172</v>
      </c>
      <c r="AF75" s="95">
        <v>-1498.53917422172</v>
      </c>
      <c r="AH75" s="35">
        <v>2589.6835920336212</v>
      </c>
      <c r="AI75">
        <v>2589.6835920336212</v>
      </c>
    </row>
    <row r="96" spans="23:24" x14ac:dyDescent="0.45">
      <c r="W96" s="158"/>
      <c r="X96" s="157"/>
    </row>
    <row r="97" spans="23:23" x14ac:dyDescent="0.45">
      <c r="W97" s="158"/>
    </row>
    <row r="98" spans="23:23" x14ac:dyDescent="0.45">
      <c r="W98" s="158"/>
    </row>
    <row r="99" spans="23:23" x14ac:dyDescent="0.45">
      <c r="W99" s="158"/>
    </row>
    <row r="100" spans="23:23" x14ac:dyDescent="0.45">
      <c r="W100" s="158"/>
    </row>
    <row r="101" spans="23:23" x14ac:dyDescent="0.45">
      <c r="W101" s="158"/>
    </row>
    <row r="102" spans="23:23" x14ac:dyDescent="0.45">
      <c r="W102" s="158"/>
    </row>
    <row r="103" spans="23:23" x14ac:dyDescent="0.45">
      <c r="W103" s="158"/>
    </row>
    <row r="104" spans="23:23" x14ac:dyDescent="0.45">
      <c r="W104" s="158"/>
    </row>
    <row r="105" spans="23:23" x14ac:dyDescent="0.45">
      <c r="W105" s="158"/>
    </row>
    <row r="106" spans="23:23" x14ac:dyDescent="0.45">
      <c r="W106" s="158"/>
    </row>
    <row r="107" spans="23:23" x14ac:dyDescent="0.45">
      <c r="W107" s="158"/>
    </row>
    <row r="108" spans="23:23" x14ac:dyDescent="0.45">
      <c r="W108" s="158"/>
    </row>
    <row r="109" spans="23:23" x14ac:dyDescent="0.45">
      <c r="W109" s="158"/>
    </row>
    <row r="110" spans="23:23" x14ac:dyDescent="0.45">
      <c r="W110" s="158"/>
    </row>
    <row r="111" spans="23:23" x14ac:dyDescent="0.45">
      <c r="W111" s="158"/>
    </row>
    <row r="112" spans="23:23" x14ac:dyDescent="0.45">
      <c r="W112" s="158"/>
    </row>
    <row r="113" spans="23:23" x14ac:dyDescent="0.45">
      <c r="W113" s="158"/>
    </row>
    <row r="114" spans="23:23" x14ac:dyDescent="0.45">
      <c r="W114" s="158"/>
    </row>
    <row r="115" spans="23:23" x14ac:dyDescent="0.45">
      <c r="W115" s="158"/>
    </row>
    <row r="116" spans="23:23" x14ac:dyDescent="0.45">
      <c r="W116" s="158"/>
    </row>
    <row r="117" spans="23:23" x14ac:dyDescent="0.45">
      <c r="W117" s="158"/>
    </row>
    <row r="118" spans="23:23" x14ac:dyDescent="0.45">
      <c r="W118" s="158"/>
    </row>
    <row r="119" spans="23:23" x14ac:dyDescent="0.45">
      <c r="W119" s="158"/>
    </row>
    <row r="120" spans="23:23" x14ac:dyDescent="0.45">
      <c r="W120" s="158"/>
    </row>
    <row r="121" spans="23:23" x14ac:dyDescent="0.45">
      <c r="W121" s="158"/>
    </row>
    <row r="122" spans="23:23" x14ac:dyDescent="0.45">
      <c r="W122" s="158"/>
    </row>
    <row r="123" spans="23:23" x14ac:dyDescent="0.45">
      <c r="W123" s="158"/>
    </row>
    <row r="124" spans="23:23" x14ac:dyDescent="0.45">
      <c r="W124" s="158"/>
    </row>
    <row r="125" spans="23:23" x14ac:dyDescent="0.45">
      <c r="W125" s="158"/>
    </row>
    <row r="126" spans="23:23" x14ac:dyDescent="0.45">
      <c r="W126" s="158"/>
    </row>
    <row r="127" spans="23:23" x14ac:dyDescent="0.45">
      <c r="W127" s="158"/>
    </row>
    <row r="128" spans="23:23" x14ac:dyDescent="0.45">
      <c r="W128" s="158"/>
    </row>
    <row r="129" spans="23:23" x14ac:dyDescent="0.45">
      <c r="W129" s="158"/>
    </row>
    <row r="130" spans="23:23" x14ac:dyDescent="0.45">
      <c r="W130" s="158"/>
    </row>
    <row r="131" spans="23:23" x14ac:dyDescent="0.45">
      <c r="W131" s="158"/>
    </row>
    <row r="132" spans="23:23" x14ac:dyDescent="0.45">
      <c r="W132" s="158"/>
    </row>
    <row r="133" spans="23:23" x14ac:dyDescent="0.45">
      <c r="W133" s="158"/>
    </row>
    <row r="134" spans="23:23" x14ac:dyDescent="0.45">
      <c r="W134" s="158"/>
    </row>
    <row r="135" spans="23:23" x14ac:dyDescent="0.45">
      <c r="W135" s="158"/>
    </row>
    <row r="136" spans="23:23" x14ac:dyDescent="0.45">
      <c r="W136" s="158"/>
    </row>
    <row r="137" spans="23:23" x14ac:dyDescent="0.45">
      <c r="W137" s="158"/>
    </row>
    <row r="138" spans="23:23" x14ac:dyDescent="0.45">
      <c r="W138" s="158"/>
    </row>
    <row r="139" spans="23:23" x14ac:dyDescent="0.45">
      <c r="W139" s="158"/>
    </row>
    <row r="140" spans="23:23" x14ac:dyDescent="0.45">
      <c r="W140" s="158"/>
    </row>
    <row r="141" spans="23:23" x14ac:dyDescent="0.45">
      <c r="W141" s="158"/>
    </row>
    <row r="142" spans="23:23" x14ac:dyDescent="0.45">
      <c r="W142" s="158"/>
    </row>
    <row r="143" spans="23:23" x14ac:dyDescent="0.45">
      <c r="W143" s="158"/>
    </row>
    <row r="144" spans="23:23" x14ac:dyDescent="0.45">
      <c r="W144" s="158"/>
    </row>
    <row r="145" spans="23:23" x14ac:dyDescent="0.45">
      <c r="W145" s="158"/>
    </row>
    <row r="146" spans="23:23" x14ac:dyDescent="0.45">
      <c r="W146" s="158"/>
    </row>
    <row r="147" spans="23:23" x14ac:dyDescent="0.45">
      <c r="W147" s="158"/>
    </row>
    <row r="148" spans="23:23" x14ac:dyDescent="0.45">
      <c r="W148" s="158"/>
    </row>
    <row r="149" spans="23:23" x14ac:dyDescent="0.45">
      <c r="W149" s="158"/>
    </row>
    <row r="150" spans="23:23" x14ac:dyDescent="0.45">
      <c r="W150" s="158"/>
    </row>
    <row r="151" spans="23:23" x14ac:dyDescent="0.45">
      <c r="W151" s="158"/>
    </row>
    <row r="152" spans="23:23" x14ac:dyDescent="0.45">
      <c r="W152" s="158"/>
    </row>
    <row r="153" spans="23:23" x14ac:dyDescent="0.45">
      <c r="W153" s="158"/>
    </row>
    <row r="154" spans="23:23" x14ac:dyDescent="0.45">
      <c r="W154" s="158"/>
    </row>
    <row r="155" spans="23:23" x14ac:dyDescent="0.45">
      <c r="W155" s="158"/>
    </row>
    <row r="156" spans="23:23" x14ac:dyDescent="0.45">
      <c r="W156" s="158"/>
    </row>
    <row r="157" spans="23:23" x14ac:dyDescent="0.45">
      <c r="W157" s="158"/>
    </row>
    <row r="158" spans="23:23" x14ac:dyDescent="0.45">
      <c r="W158" s="158"/>
    </row>
    <row r="159" spans="23:23" x14ac:dyDescent="0.45">
      <c r="W159" s="158"/>
    </row>
    <row r="160" spans="23:23" x14ac:dyDescent="0.45">
      <c r="W160" s="158"/>
    </row>
    <row r="161" spans="23:23" x14ac:dyDescent="0.45">
      <c r="W161" s="158"/>
    </row>
    <row r="162" spans="23:23" x14ac:dyDescent="0.45">
      <c r="W162" s="158"/>
    </row>
    <row r="163" spans="23:23" x14ac:dyDescent="0.45">
      <c r="W163" s="158"/>
    </row>
    <row r="164" spans="23:23" x14ac:dyDescent="0.45">
      <c r="W164" s="158"/>
    </row>
    <row r="165" spans="23:23" x14ac:dyDescent="0.45">
      <c r="W165" s="158"/>
    </row>
    <row r="166" spans="23:23" x14ac:dyDescent="0.45">
      <c r="W166" s="158"/>
    </row>
    <row r="167" spans="23:23" x14ac:dyDescent="0.45">
      <c r="W167" s="158"/>
    </row>
    <row r="168" spans="23:23" x14ac:dyDescent="0.45">
      <c r="W168" s="158"/>
    </row>
    <row r="169" spans="23:23" x14ac:dyDescent="0.45">
      <c r="W169" s="158"/>
    </row>
    <row r="170" spans="23:23" x14ac:dyDescent="0.45">
      <c r="W170" s="158"/>
    </row>
    <row r="171" spans="23:23" x14ac:dyDescent="0.45">
      <c r="W171" s="158"/>
    </row>
    <row r="172" spans="23:23" x14ac:dyDescent="0.45">
      <c r="W172" s="158"/>
    </row>
    <row r="173" spans="23:23" x14ac:dyDescent="0.45">
      <c r="W173" s="158"/>
    </row>
    <row r="174" spans="23:23" x14ac:dyDescent="0.45">
      <c r="W174" s="158"/>
    </row>
    <row r="175" spans="23:23" x14ac:dyDescent="0.45">
      <c r="W175" s="158"/>
    </row>
    <row r="176" spans="23:23" x14ac:dyDescent="0.45">
      <c r="W176" s="158"/>
    </row>
    <row r="177" spans="23:23" x14ac:dyDescent="0.45">
      <c r="W177" s="158"/>
    </row>
    <row r="178" spans="23:23" x14ac:dyDescent="0.45">
      <c r="W178" s="158"/>
    </row>
    <row r="179" spans="23:23" x14ac:dyDescent="0.45">
      <c r="W179" s="158"/>
    </row>
    <row r="180" spans="23:23" x14ac:dyDescent="0.45">
      <c r="W180" s="158"/>
    </row>
    <row r="181" spans="23:23" x14ac:dyDescent="0.45">
      <c r="W181" s="158"/>
    </row>
    <row r="182" spans="23:23" x14ac:dyDescent="0.45">
      <c r="W182" s="158"/>
    </row>
    <row r="183" spans="23:23" x14ac:dyDescent="0.45">
      <c r="W183" s="158"/>
    </row>
    <row r="184" spans="23:23" x14ac:dyDescent="0.45">
      <c r="W184" s="158"/>
    </row>
    <row r="185" spans="23:23" x14ac:dyDescent="0.45">
      <c r="W185" s="158"/>
    </row>
    <row r="186" spans="23:23" x14ac:dyDescent="0.45">
      <c r="W186" s="158"/>
    </row>
    <row r="187" spans="23:23" x14ac:dyDescent="0.45">
      <c r="W187" s="158"/>
    </row>
    <row r="188" spans="23:23" x14ac:dyDescent="0.45">
      <c r="W188" s="158"/>
    </row>
    <row r="189" spans="23:23" x14ac:dyDescent="0.45">
      <c r="W189" s="158"/>
    </row>
    <row r="190" spans="23:23" x14ac:dyDescent="0.45">
      <c r="W190" s="158"/>
    </row>
    <row r="191" spans="23:23" x14ac:dyDescent="0.45">
      <c r="W191" s="158"/>
    </row>
    <row r="192" spans="23:23" x14ac:dyDescent="0.45">
      <c r="W192" s="158"/>
    </row>
    <row r="193" spans="23:23" x14ac:dyDescent="0.45">
      <c r="W193" s="158"/>
    </row>
    <row r="194" spans="23:23" x14ac:dyDescent="0.45">
      <c r="W194" s="158"/>
    </row>
    <row r="195" spans="23:23" x14ac:dyDescent="0.45">
      <c r="W195" s="158"/>
    </row>
    <row r="196" spans="23:23" x14ac:dyDescent="0.45">
      <c r="W196" s="158"/>
    </row>
    <row r="197" spans="23:23" x14ac:dyDescent="0.45">
      <c r="W197" s="158"/>
    </row>
    <row r="198" spans="23:23" x14ac:dyDescent="0.45">
      <c r="W198" s="158"/>
    </row>
    <row r="199" spans="23:23" x14ac:dyDescent="0.45">
      <c r="W199" s="158"/>
    </row>
    <row r="200" spans="23:23" x14ac:dyDescent="0.45">
      <c r="W200" s="158"/>
    </row>
    <row r="201" spans="23:23" x14ac:dyDescent="0.45">
      <c r="W201" s="158"/>
    </row>
    <row r="202" spans="23:23" x14ac:dyDescent="0.45">
      <c r="W202" s="158"/>
    </row>
    <row r="203" spans="23:23" x14ac:dyDescent="0.45">
      <c r="W203" s="158"/>
    </row>
    <row r="204" spans="23:23" x14ac:dyDescent="0.45">
      <c r="W204" s="158"/>
    </row>
    <row r="205" spans="23:23" x14ac:dyDescent="0.45">
      <c r="W205" s="158"/>
    </row>
    <row r="206" spans="23:23" x14ac:dyDescent="0.45">
      <c r="W206" s="158"/>
    </row>
    <row r="207" spans="23:23" x14ac:dyDescent="0.45">
      <c r="W207" s="158"/>
    </row>
    <row r="208" spans="23:23" x14ac:dyDescent="0.45">
      <c r="W208" s="158"/>
    </row>
    <row r="209" spans="23:23" x14ac:dyDescent="0.45">
      <c r="W209" s="158"/>
    </row>
    <row r="210" spans="23:23" x14ac:dyDescent="0.45">
      <c r="W210" s="158"/>
    </row>
    <row r="211" spans="23:23" x14ac:dyDescent="0.45">
      <c r="W211" s="158"/>
    </row>
    <row r="212" spans="23:23" x14ac:dyDescent="0.45">
      <c r="W212" s="158"/>
    </row>
    <row r="213" spans="23:23" x14ac:dyDescent="0.45">
      <c r="W213" s="158"/>
    </row>
    <row r="214" spans="23:23" x14ac:dyDescent="0.45">
      <c r="W214" s="158"/>
    </row>
    <row r="215" spans="23:23" x14ac:dyDescent="0.45">
      <c r="W215" s="158"/>
    </row>
    <row r="216" spans="23:23" x14ac:dyDescent="0.45">
      <c r="W216" s="158"/>
    </row>
    <row r="217" spans="23:23" x14ac:dyDescent="0.45">
      <c r="W217" s="158"/>
    </row>
    <row r="218" spans="23:23" x14ac:dyDescent="0.45">
      <c r="W218" s="158"/>
    </row>
    <row r="219" spans="23:23" x14ac:dyDescent="0.45">
      <c r="W219" s="158"/>
    </row>
    <row r="220" spans="23:23" x14ac:dyDescent="0.45">
      <c r="W220" s="158"/>
    </row>
    <row r="221" spans="23:23" x14ac:dyDescent="0.45">
      <c r="W221" s="158"/>
    </row>
    <row r="222" spans="23:23" x14ac:dyDescent="0.45">
      <c r="W222" s="158"/>
    </row>
    <row r="223" spans="23:23" x14ac:dyDescent="0.45">
      <c r="W223" s="158"/>
    </row>
    <row r="224" spans="23:23" x14ac:dyDescent="0.45">
      <c r="W224" s="158"/>
    </row>
    <row r="225" spans="23:23" x14ac:dyDescent="0.45">
      <c r="W225" s="158"/>
    </row>
    <row r="226" spans="23:23" x14ac:dyDescent="0.45">
      <c r="W226" s="158"/>
    </row>
    <row r="227" spans="23:23" x14ac:dyDescent="0.45">
      <c r="W227" s="158"/>
    </row>
    <row r="228" spans="23:23" x14ac:dyDescent="0.45">
      <c r="W228" s="158"/>
    </row>
    <row r="229" spans="23:23" x14ac:dyDescent="0.45">
      <c r="W229" s="158"/>
    </row>
    <row r="230" spans="23:23" x14ac:dyDescent="0.45">
      <c r="W230" s="158"/>
    </row>
    <row r="231" spans="23:23" x14ac:dyDescent="0.45">
      <c r="W231" s="158"/>
    </row>
    <row r="232" spans="23:23" x14ac:dyDescent="0.45">
      <c r="W232" s="158"/>
    </row>
    <row r="233" spans="23:23" x14ac:dyDescent="0.45">
      <c r="W233" s="158"/>
    </row>
    <row r="234" spans="23:23" x14ac:dyDescent="0.45">
      <c r="W234" s="158"/>
    </row>
    <row r="235" spans="23:23" x14ac:dyDescent="0.45">
      <c r="W235" s="158"/>
    </row>
    <row r="236" spans="23:23" x14ac:dyDescent="0.45">
      <c r="W236" s="158"/>
    </row>
    <row r="237" spans="23:23" x14ac:dyDescent="0.45">
      <c r="W237" s="158"/>
    </row>
    <row r="238" spans="23:23" x14ac:dyDescent="0.45">
      <c r="W238" s="158"/>
    </row>
    <row r="239" spans="23:23" x14ac:dyDescent="0.45">
      <c r="W239" s="158"/>
    </row>
    <row r="240" spans="23:23" x14ac:dyDescent="0.45">
      <c r="W240" s="158"/>
    </row>
    <row r="241" spans="23:23" x14ac:dyDescent="0.45">
      <c r="W241" s="158"/>
    </row>
    <row r="242" spans="23:23" x14ac:dyDescent="0.45">
      <c r="W242" s="158"/>
    </row>
    <row r="243" spans="23:23" x14ac:dyDescent="0.45">
      <c r="W243" s="158"/>
    </row>
    <row r="244" spans="23:23" x14ac:dyDescent="0.45">
      <c r="W244" s="158"/>
    </row>
    <row r="245" spans="23:23" x14ac:dyDescent="0.45">
      <c r="W245" s="158"/>
    </row>
    <row r="246" spans="23:23" x14ac:dyDescent="0.45">
      <c r="W246" s="158"/>
    </row>
    <row r="247" spans="23:23" x14ac:dyDescent="0.45">
      <c r="W247" s="158"/>
    </row>
    <row r="248" spans="23:23" x14ac:dyDescent="0.45">
      <c r="W248" s="158"/>
    </row>
    <row r="249" spans="23:23" x14ac:dyDescent="0.45">
      <c r="W249" s="158"/>
    </row>
    <row r="250" spans="23:23" x14ac:dyDescent="0.45">
      <c r="W250" s="158"/>
    </row>
    <row r="251" spans="23:23" x14ac:dyDescent="0.45">
      <c r="W251" s="158"/>
    </row>
    <row r="252" spans="23:23" x14ac:dyDescent="0.45">
      <c r="W252" s="158"/>
    </row>
    <row r="253" spans="23:23" x14ac:dyDescent="0.45">
      <c r="W253" s="158"/>
    </row>
    <row r="254" spans="23:23" x14ac:dyDescent="0.45">
      <c r="W254" s="158"/>
    </row>
    <row r="255" spans="23:23" x14ac:dyDescent="0.45">
      <c r="W255" s="158"/>
    </row>
    <row r="256" spans="23:23" x14ac:dyDescent="0.45">
      <c r="W256" s="158"/>
    </row>
    <row r="257" spans="23:23" x14ac:dyDescent="0.45">
      <c r="W257" s="158"/>
    </row>
    <row r="258" spans="23:23" x14ac:dyDescent="0.45">
      <c r="W258" s="158"/>
    </row>
    <row r="259" spans="23:23" x14ac:dyDescent="0.45">
      <c r="W259" s="158"/>
    </row>
    <row r="260" spans="23:23" x14ac:dyDescent="0.45">
      <c r="W260" s="158"/>
    </row>
    <row r="261" spans="23:23" x14ac:dyDescent="0.45">
      <c r="W261" s="158"/>
    </row>
    <row r="262" spans="23:23" x14ac:dyDescent="0.45">
      <c r="W262" s="158"/>
    </row>
    <row r="263" spans="23:23" x14ac:dyDescent="0.45">
      <c r="W263" s="158"/>
    </row>
    <row r="264" spans="23:23" x14ac:dyDescent="0.45">
      <c r="W264" s="158"/>
    </row>
    <row r="265" spans="23:23" x14ac:dyDescent="0.45">
      <c r="W265" s="158"/>
    </row>
    <row r="266" spans="23:23" x14ac:dyDescent="0.45">
      <c r="W266" s="158"/>
    </row>
    <row r="267" spans="23:23" x14ac:dyDescent="0.45">
      <c r="W267" s="158"/>
    </row>
    <row r="268" spans="23:23" x14ac:dyDescent="0.45">
      <c r="W268" s="158"/>
    </row>
    <row r="269" spans="23:23" x14ac:dyDescent="0.45">
      <c r="W269" s="158"/>
    </row>
    <row r="270" spans="23:23" x14ac:dyDescent="0.45">
      <c r="W270" s="158"/>
    </row>
    <row r="271" spans="23:23" x14ac:dyDescent="0.45">
      <c r="W271" s="158"/>
    </row>
    <row r="272" spans="23:23" x14ac:dyDescent="0.45">
      <c r="W272" s="158"/>
    </row>
    <row r="273" spans="23:23" x14ac:dyDescent="0.45">
      <c r="W273" s="158"/>
    </row>
    <row r="274" spans="23:23" x14ac:dyDescent="0.45">
      <c r="W274" s="158"/>
    </row>
    <row r="275" spans="23:23" x14ac:dyDescent="0.45">
      <c r="W275" s="158"/>
    </row>
    <row r="276" spans="23:23" x14ac:dyDescent="0.45">
      <c r="W276" s="158"/>
    </row>
    <row r="277" spans="23:23" x14ac:dyDescent="0.45">
      <c r="W277" s="158"/>
    </row>
    <row r="278" spans="23:23" x14ac:dyDescent="0.45">
      <c r="W278" s="158"/>
    </row>
    <row r="279" spans="23:23" x14ac:dyDescent="0.45">
      <c r="W279" s="158"/>
    </row>
    <row r="280" spans="23:23" x14ac:dyDescent="0.45">
      <c r="W280" s="158"/>
    </row>
    <row r="281" spans="23:23" x14ac:dyDescent="0.45">
      <c r="W281" s="158"/>
    </row>
    <row r="282" spans="23:23" x14ac:dyDescent="0.45">
      <c r="W282" s="158"/>
    </row>
    <row r="283" spans="23:23" x14ac:dyDescent="0.45">
      <c r="W283" s="158"/>
    </row>
    <row r="284" spans="23:23" x14ac:dyDescent="0.45">
      <c r="W284" s="158"/>
    </row>
    <row r="285" spans="23:23" x14ac:dyDescent="0.45">
      <c r="W285" s="158"/>
    </row>
    <row r="286" spans="23:23" x14ac:dyDescent="0.45">
      <c r="W286" s="158"/>
    </row>
    <row r="287" spans="23:23" x14ac:dyDescent="0.45">
      <c r="W287" s="158"/>
    </row>
    <row r="288" spans="23:23" x14ac:dyDescent="0.45">
      <c r="W288" s="158"/>
    </row>
    <row r="289" spans="23:23" x14ac:dyDescent="0.45">
      <c r="W289" s="158"/>
    </row>
    <row r="290" spans="23:23" x14ac:dyDescent="0.45">
      <c r="W290" s="158"/>
    </row>
    <row r="291" spans="23:23" x14ac:dyDescent="0.45">
      <c r="W291" s="158"/>
    </row>
    <row r="292" spans="23:23" x14ac:dyDescent="0.45">
      <c r="W292" s="158"/>
    </row>
    <row r="293" spans="23:23" x14ac:dyDescent="0.45">
      <c r="W293" s="158"/>
    </row>
    <row r="294" spans="23:23" x14ac:dyDescent="0.45">
      <c r="W294" s="158"/>
    </row>
    <row r="295" spans="23:23" x14ac:dyDescent="0.45">
      <c r="W295" s="158"/>
    </row>
    <row r="296" spans="23:23" x14ac:dyDescent="0.45">
      <c r="W296" s="158"/>
    </row>
    <row r="297" spans="23:23" x14ac:dyDescent="0.45">
      <c r="W297" s="158"/>
    </row>
    <row r="298" spans="23:23" x14ac:dyDescent="0.45">
      <c r="W298" s="158"/>
    </row>
    <row r="299" spans="23:23" x14ac:dyDescent="0.45">
      <c r="W299" s="158"/>
    </row>
    <row r="300" spans="23:23" x14ac:dyDescent="0.45">
      <c r="W300" s="158"/>
    </row>
    <row r="301" spans="23:23" x14ac:dyDescent="0.45">
      <c r="W301" s="158"/>
    </row>
    <row r="302" spans="23:23" x14ac:dyDescent="0.45">
      <c r="W302" s="158"/>
    </row>
    <row r="303" spans="23:23" x14ac:dyDescent="0.45">
      <c r="W303" s="158"/>
    </row>
    <row r="304" spans="23:23" x14ac:dyDescent="0.45">
      <c r="W304" s="158"/>
    </row>
    <row r="305" spans="23:23" x14ac:dyDescent="0.45">
      <c r="W305" s="158"/>
    </row>
    <row r="306" spans="23:23" x14ac:dyDescent="0.45">
      <c r="W306" s="158"/>
    </row>
    <row r="307" spans="23:23" x14ac:dyDescent="0.45">
      <c r="W307" s="158"/>
    </row>
    <row r="308" spans="23:23" x14ac:dyDescent="0.45">
      <c r="W308" s="158"/>
    </row>
    <row r="309" spans="23:23" x14ac:dyDescent="0.45">
      <c r="W309" s="158"/>
    </row>
    <row r="310" spans="23:23" x14ac:dyDescent="0.45">
      <c r="W310" s="158"/>
    </row>
    <row r="311" spans="23:23" x14ac:dyDescent="0.45">
      <c r="W311" s="158"/>
    </row>
    <row r="312" spans="23:23" x14ac:dyDescent="0.45">
      <c r="W312" s="158"/>
    </row>
    <row r="313" spans="23:23" x14ac:dyDescent="0.45">
      <c r="W313" s="158"/>
    </row>
    <row r="314" spans="23:23" x14ac:dyDescent="0.45">
      <c r="W314" s="158"/>
    </row>
    <row r="315" spans="23:23" x14ac:dyDescent="0.45">
      <c r="W315" s="158"/>
    </row>
    <row r="316" spans="23:23" x14ac:dyDescent="0.45">
      <c r="W316" s="158"/>
    </row>
    <row r="317" spans="23:23" x14ac:dyDescent="0.45">
      <c r="W317" s="158"/>
    </row>
    <row r="318" spans="23:23" x14ac:dyDescent="0.45">
      <c r="W318" s="158"/>
    </row>
    <row r="319" spans="23:23" x14ac:dyDescent="0.45">
      <c r="W319" s="158"/>
    </row>
    <row r="320" spans="23:23" x14ac:dyDescent="0.45">
      <c r="W320" s="158"/>
    </row>
    <row r="321" spans="23:23" x14ac:dyDescent="0.45">
      <c r="W321" s="158"/>
    </row>
    <row r="322" spans="23:23" x14ac:dyDescent="0.45">
      <c r="W322" s="158"/>
    </row>
    <row r="323" spans="23:23" x14ac:dyDescent="0.45">
      <c r="W323" s="158"/>
    </row>
    <row r="324" spans="23:23" x14ac:dyDescent="0.45">
      <c r="W324" s="158"/>
    </row>
    <row r="325" spans="23:23" x14ac:dyDescent="0.45">
      <c r="W325" s="158"/>
    </row>
    <row r="326" spans="23:23" x14ac:dyDescent="0.45">
      <c r="W326" s="158"/>
    </row>
    <row r="327" spans="23:23" x14ac:dyDescent="0.45">
      <c r="W327" s="158"/>
    </row>
    <row r="328" spans="23:23" x14ac:dyDescent="0.45">
      <c r="W328" s="158"/>
    </row>
    <row r="329" spans="23:23" x14ac:dyDescent="0.45">
      <c r="W329" s="158"/>
    </row>
    <row r="330" spans="23:23" x14ac:dyDescent="0.45">
      <c r="W330" s="158"/>
    </row>
    <row r="331" spans="23:23" x14ac:dyDescent="0.45">
      <c r="W331" s="158"/>
    </row>
    <row r="332" spans="23:23" x14ac:dyDescent="0.45">
      <c r="W332" s="158"/>
    </row>
    <row r="333" spans="23:23" x14ac:dyDescent="0.45">
      <c r="W333" s="158"/>
    </row>
    <row r="334" spans="23:23" x14ac:dyDescent="0.45">
      <c r="W334" s="158"/>
    </row>
    <row r="335" spans="23:23" x14ac:dyDescent="0.45">
      <c r="W335" s="158"/>
    </row>
    <row r="336" spans="23:23" x14ac:dyDescent="0.45">
      <c r="W336" s="158"/>
    </row>
    <row r="337" spans="23:23" x14ac:dyDescent="0.45">
      <c r="W337" s="158"/>
    </row>
    <row r="338" spans="23:23" x14ac:dyDescent="0.45">
      <c r="W338" s="158"/>
    </row>
    <row r="339" spans="23:23" x14ac:dyDescent="0.45">
      <c r="W339" s="158"/>
    </row>
    <row r="340" spans="23:23" x14ac:dyDescent="0.45">
      <c r="W340" s="158"/>
    </row>
    <row r="341" spans="23:23" x14ac:dyDescent="0.45">
      <c r="W341" s="158"/>
    </row>
    <row r="342" spans="23:23" x14ac:dyDescent="0.45">
      <c r="W342" s="158"/>
    </row>
    <row r="343" spans="23:23" x14ac:dyDescent="0.45">
      <c r="W343" s="158"/>
    </row>
    <row r="344" spans="23:23" x14ac:dyDescent="0.45">
      <c r="W344" s="158"/>
    </row>
    <row r="345" spans="23:23" x14ac:dyDescent="0.45">
      <c r="W345" s="158"/>
    </row>
    <row r="346" spans="23:23" x14ac:dyDescent="0.45">
      <c r="W346" s="158"/>
    </row>
    <row r="347" spans="23:23" x14ac:dyDescent="0.45">
      <c r="W347" s="158"/>
    </row>
    <row r="348" spans="23:23" x14ac:dyDescent="0.45">
      <c r="W348" s="158"/>
    </row>
    <row r="349" spans="23:23" x14ac:dyDescent="0.45">
      <c r="W349" s="158"/>
    </row>
    <row r="350" spans="23:23" x14ac:dyDescent="0.45">
      <c r="W350" s="158"/>
    </row>
    <row r="351" spans="23:23" x14ac:dyDescent="0.45">
      <c r="W351" s="158"/>
    </row>
    <row r="352" spans="23:23" x14ac:dyDescent="0.45">
      <c r="W352" s="158"/>
    </row>
    <row r="353" spans="23:23" x14ac:dyDescent="0.45">
      <c r="W353" s="158"/>
    </row>
    <row r="354" spans="23:23" x14ac:dyDescent="0.45">
      <c r="W354" s="158"/>
    </row>
    <row r="355" spans="23:23" x14ac:dyDescent="0.45">
      <c r="W355" s="158"/>
    </row>
    <row r="356" spans="23:23" x14ac:dyDescent="0.45">
      <c r="W356" s="158"/>
    </row>
    <row r="357" spans="23:23" x14ac:dyDescent="0.45">
      <c r="W357" s="158"/>
    </row>
    <row r="358" spans="23:23" x14ac:dyDescent="0.45">
      <c r="W358" s="158"/>
    </row>
    <row r="359" spans="23:23" x14ac:dyDescent="0.45">
      <c r="W359" s="158"/>
    </row>
    <row r="360" spans="23:23" x14ac:dyDescent="0.45">
      <c r="W360" s="158"/>
    </row>
    <row r="361" spans="23:23" x14ac:dyDescent="0.45">
      <c r="W361" s="158"/>
    </row>
    <row r="362" spans="23:23" x14ac:dyDescent="0.45">
      <c r="W362" s="158"/>
    </row>
    <row r="363" spans="23:23" x14ac:dyDescent="0.45">
      <c r="W363" s="158"/>
    </row>
    <row r="364" spans="23:23" x14ac:dyDescent="0.45">
      <c r="W364" s="158"/>
    </row>
    <row r="365" spans="23:23" x14ac:dyDescent="0.45">
      <c r="W365" s="158"/>
    </row>
    <row r="366" spans="23:23" x14ac:dyDescent="0.45">
      <c r="W366" s="158"/>
    </row>
    <row r="367" spans="23:23" x14ac:dyDescent="0.45">
      <c r="W367" s="158"/>
    </row>
    <row r="368" spans="23:23" x14ac:dyDescent="0.45">
      <c r="W368" s="158"/>
    </row>
    <row r="369" spans="23:23" x14ac:dyDescent="0.45">
      <c r="W369" s="158"/>
    </row>
    <row r="370" spans="23:23" x14ac:dyDescent="0.45">
      <c r="W370" s="158"/>
    </row>
    <row r="371" spans="23:23" x14ac:dyDescent="0.45">
      <c r="W371" s="158"/>
    </row>
    <row r="372" spans="23:23" x14ac:dyDescent="0.45">
      <c r="W372" s="158"/>
    </row>
    <row r="373" spans="23:23" x14ac:dyDescent="0.45">
      <c r="W373" s="158"/>
    </row>
    <row r="374" spans="23:23" x14ac:dyDescent="0.45">
      <c r="W374" s="158"/>
    </row>
    <row r="375" spans="23:23" x14ac:dyDescent="0.45">
      <c r="W375" s="158"/>
    </row>
    <row r="376" spans="23:23" x14ac:dyDescent="0.45">
      <c r="W376" s="158"/>
    </row>
    <row r="377" spans="23:23" x14ac:dyDescent="0.45">
      <c r="W377" s="158"/>
    </row>
    <row r="378" spans="23:23" x14ac:dyDescent="0.45">
      <c r="W378" s="158"/>
    </row>
    <row r="379" spans="23:23" x14ac:dyDescent="0.45">
      <c r="W379" s="158"/>
    </row>
    <row r="380" spans="23:23" x14ac:dyDescent="0.45">
      <c r="W380" s="158"/>
    </row>
    <row r="381" spans="23:23" x14ac:dyDescent="0.45">
      <c r="W381" s="158"/>
    </row>
    <row r="382" spans="23:23" x14ac:dyDescent="0.45">
      <c r="W382" s="158"/>
    </row>
    <row r="383" spans="23:23" x14ac:dyDescent="0.45">
      <c r="W383" s="158"/>
    </row>
    <row r="384" spans="23:23" x14ac:dyDescent="0.45">
      <c r="W384" s="158"/>
    </row>
    <row r="385" spans="23:23" x14ac:dyDescent="0.45">
      <c r="W385" s="158"/>
    </row>
    <row r="386" spans="23:23" x14ac:dyDescent="0.45">
      <c r="W386" s="158"/>
    </row>
    <row r="387" spans="23:23" x14ac:dyDescent="0.45">
      <c r="W387" s="158"/>
    </row>
    <row r="388" spans="23:23" x14ac:dyDescent="0.45">
      <c r="W388" s="158"/>
    </row>
    <row r="389" spans="23:23" x14ac:dyDescent="0.45">
      <c r="W389" s="158"/>
    </row>
    <row r="390" spans="23:23" x14ac:dyDescent="0.45">
      <c r="W390" s="158"/>
    </row>
    <row r="391" spans="23:23" x14ac:dyDescent="0.45">
      <c r="W391" s="158"/>
    </row>
    <row r="392" spans="23:23" x14ac:dyDescent="0.45">
      <c r="W392" s="158"/>
    </row>
    <row r="393" spans="23:23" x14ac:dyDescent="0.45">
      <c r="W393" s="158"/>
    </row>
    <row r="394" spans="23:23" x14ac:dyDescent="0.45">
      <c r="W394" s="158"/>
    </row>
    <row r="395" spans="23:23" x14ac:dyDescent="0.45">
      <c r="W395" s="158"/>
    </row>
    <row r="396" spans="23:23" x14ac:dyDescent="0.45">
      <c r="W396" s="158"/>
    </row>
    <row r="397" spans="23:23" x14ac:dyDescent="0.45">
      <c r="W397" s="158"/>
    </row>
    <row r="398" spans="23:23" x14ac:dyDescent="0.45">
      <c r="W398" s="158"/>
    </row>
    <row r="399" spans="23:23" x14ac:dyDescent="0.45">
      <c r="W399" s="158"/>
    </row>
    <row r="400" spans="23:23" x14ac:dyDescent="0.45">
      <c r="W400" s="158"/>
    </row>
    <row r="401" spans="23:23" x14ac:dyDescent="0.45">
      <c r="W401" s="158"/>
    </row>
    <row r="402" spans="23:23" x14ac:dyDescent="0.45">
      <c r="W402" s="158"/>
    </row>
    <row r="403" spans="23:23" x14ac:dyDescent="0.45">
      <c r="W403" s="158"/>
    </row>
    <row r="404" spans="23:23" x14ac:dyDescent="0.45">
      <c r="W404" s="158"/>
    </row>
    <row r="405" spans="23:23" x14ac:dyDescent="0.45">
      <c r="W405" s="158"/>
    </row>
    <row r="406" spans="23:23" x14ac:dyDescent="0.45">
      <c r="W406" s="158"/>
    </row>
    <row r="407" spans="23:23" x14ac:dyDescent="0.45">
      <c r="W407" s="158"/>
    </row>
    <row r="408" spans="23:23" x14ac:dyDescent="0.45">
      <c r="W408" s="158"/>
    </row>
    <row r="409" spans="23:23" x14ac:dyDescent="0.45">
      <c r="W409" s="158"/>
    </row>
    <row r="410" spans="23:23" x14ac:dyDescent="0.45">
      <c r="W410" s="158"/>
    </row>
    <row r="411" spans="23:23" x14ac:dyDescent="0.45">
      <c r="W411" s="158"/>
    </row>
    <row r="412" spans="23:23" x14ac:dyDescent="0.45">
      <c r="W412" s="158"/>
    </row>
    <row r="413" spans="23:23" x14ac:dyDescent="0.45">
      <c r="W413" s="158"/>
    </row>
    <row r="414" spans="23:23" x14ac:dyDescent="0.45">
      <c r="W414" s="158"/>
    </row>
    <row r="415" spans="23:23" x14ac:dyDescent="0.45">
      <c r="W415" s="158"/>
    </row>
    <row r="416" spans="23:23" x14ac:dyDescent="0.45">
      <c r="W416" s="158"/>
    </row>
    <row r="417" spans="23:23" x14ac:dyDescent="0.45">
      <c r="W417" s="158"/>
    </row>
    <row r="418" spans="23:23" x14ac:dyDescent="0.45">
      <c r="W418" s="158"/>
    </row>
    <row r="419" spans="23:23" x14ac:dyDescent="0.45">
      <c r="W419" s="158"/>
    </row>
    <row r="420" spans="23:23" x14ac:dyDescent="0.45">
      <c r="W420" s="158"/>
    </row>
    <row r="421" spans="23:23" x14ac:dyDescent="0.45">
      <c r="W421" s="158"/>
    </row>
    <row r="422" spans="23:23" x14ac:dyDescent="0.45">
      <c r="W422" s="158"/>
    </row>
    <row r="423" spans="23:23" x14ac:dyDescent="0.45">
      <c r="W423" s="158"/>
    </row>
    <row r="424" spans="23:23" x14ac:dyDescent="0.45">
      <c r="W424" s="158"/>
    </row>
    <row r="425" spans="23:23" x14ac:dyDescent="0.45">
      <c r="W425" s="158"/>
    </row>
    <row r="426" spans="23:23" x14ac:dyDescent="0.45">
      <c r="W426" s="158"/>
    </row>
    <row r="427" spans="23:23" x14ac:dyDescent="0.45">
      <c r="W427" s="158"/>
    </row>
    <row r="428" spans="23:23" x14ac:dyDescent="0.45">
      <c r="W428" s="158"/>
    </row>
    <row r="429" spans="23:23" x14ac:dyDescent="0.45">
      <c r="W429" s="158"/>
    </row>
    <row r="430" spans="23:23" x14ac:dyDescent="0.45">
      <c r="W430" s="158"/>
    </row>
    <row r="431" spans="23:23" x14ac:dyDescent="0.45">
      <c r="W431" s="158"/>
    </row>
    <row r="432" spans="23:23" x14ac:dyDescent="0.45">
      <c r="W432" s="158"/>
    </row>
    <row r="433" spans="23:23" x14ac:dyDescent="0.45">
      <c r="W433" s="158"/>
    </row>
    <row r="434" spans="23:23" x14ac:dyDescent="0.45">
      <c r="W434" s="158"/>
    </row>
    <row r="435" spans="23:23" x14ac:dyDescent="0.45">
      <c r="W435" s="158"/>
    </row>
    <row r="436" spans="23:23" x14ac:dyDescent="0.45">
      <c r="W436" s="158"/>
    </row>
    <row r="437" spans="23:23" x14ac:dyDescent="0.45">
      <c r="W437" s="158"/>
    </row>
    <row r="438" spans="23:23" x14ac:dyDescent="0.45">
      <c r="W438" s="158"/>
    </row>
    <row r="439" spans="23:23" x14ac:dyDescent="0.45">
      <c r="W439" s="158"/>
    </row>
    <row r="440" spans="23:23" x14ac:dyDescent="0.45">
      <c r="W440" s="158"/>
    </row>
    <row r="441" spans="23:23" x14ac:dyDescent="0.45">
      <c r="W441" s="158"/>
    </row>
    <row r="442" spans="23:23" x14ac:dyDescent="0.45">
      <c r="W442" s="158"/>
    </row>
    <row r="443" spans="23:23" x14ac:dyDescent="0.45">
      <c r="W443" s="158"/>
    </row>
    <row r="444" spans="23:23" x14ac:dyDescent="0.45">
      <c r="W444" s="158"/>
    </row>
    <row r="445" spans="23:23" x14ac:dyDescent="0.45">
      <c r="W445" s="158"/>
    </row>
    <row r="446" spans="23:23" x14ac:dyDescent="0.45">
      <c r="W446" s="158"/>
    </row>
    <row r="447" spans="23:23" x14ac:dyDescent="0.45">
      <c r="W447" s="158"/>
    </row>
    <row r="448" spans="23:23" x14ac:dyDescent="0.45">
      <c r="W448" s="158"/>
    </row>
    <row r="449" spans="23:23" x14ac:dyDescent="0.45">
      <c r="W449" s="158"/>
    </row>
    <row r="450" spans="23:23" x14ac:dyDescent="0.45">
      <c r="W450" s="158"/>
    </row>
    <row r="451" spans="23:23" x14ac:dyDescent="0.45">
      <c r="W451" s="158"/>
    </row>
    <row r="452" spans="23:23" x14ac:dyDescent="0.45">
      <c r="W452" s="158"/>
    </row>
    <row r="453" spans="23:23" x14ac:dyDescent="0.45">
      <c r="W453" s="158"/>
    </row>
    <row r="454" spans="23:23" x14ac:dyDescent="0.45">
      <c r="W454" s="158"/>
    </row>
    <row r="455" spans="23:23" x14ac:dyDescent="0.45">
      <c r="W455" s="158"/>
    </row>
    <row r="456" spans="23:23" x14ac:dyDescent="0.45">
      <c r="W456" s="158"/>
    </row>
    <row r="457" spans="23:23" x14ac:dyDescent="0.45">
      <c r="W457" s="158"/>
    </row>
    <row r="458" spans="23:23" x14ac:dyDescent="0.45">
      <c r="W458" s="158"/>
    </row>
    <row r="459" spans="23:23" x14ac:dyDescent="0.45">
      <c r="W459" s="158"/>
    </row>
    <row r="460" spans="23:23" x14ac:dyDescent="0.45">
      <c r="W460" s="158"/>
    </row>
    <row r="461" spans="23:23" x14ac:dyDescent="0.45">
      <c r="W461" s="158"/>
    </row>
    <row r="462" spans="23:23" x14ac:dyDescent="0.45">
      <c r="W462" s="158"/>
    </row>
    <row r="463" spans="23:23" x14ac:dyDescent="0.45">
      <c r="W463" s="158"/>
    </row>
    <row r="464" spans="23:23" x14ac:dyDescent="0.45">
      <c r="W464" s="158"/>
    </row>
    <row r="465" spans="23:23" x14ac:dyDescent="0.45">
      <c r="W465" s="158"/>
    </row>
    <row r="466" spans="23:23" x14ac:dyDescent="0.45">
      <c r="W466" s="158"/>
    </row>
    <row r="467" spans="23:23" x14ac:dyDescent="0.45">
      <c r="W467" s="158"/>
    </row>
    <row r="468" spans="23:23" x14ac:dyDescent="0.45">
      <c r="W468" s="158"/>
    </row>
    <row r="469" spans="23:23" x14ac:dyDescent="0.45">
      <c r="W469" s="158"/>
    </row>
    <row r="470" spans="23:23" x14ac:dyDescent="0.45">
      <c r="W470" s="158"/>
    </row>
    <row r="471" spans="23:23" x14ac:dyDescent="0.45">
      <c r="W471" s="158"/>
    </row>
    <row r="472" spans="23:23" x14ac:dyDescent="0.45">
      <c r="W472" s="158"/>
    </row>
    <row r="473" spans="23:23" x14ac:dyDescent="0.45">
      <c r="W473" s="158"/>
    </row>
    <row r="474" spans="23:23" x14ac:dyDescent="0.45">
      <c r="W474" s="158"/>
    </row>
    <row r="475" spans="23:23" x14ac:dyDescent="0.45">
      <c r="W475" s="158"/>
    </row>
    <row r="476" spans="23:23" x14ac:dyDescent="0.45">
      <c r="W476" s="158"/>
    </row>
    <row r="477" spans="23:23" x14ac:dyDescent="0.45">
      <c r="W477" s="158"/>
    </row>
    <row r="478" spans="23:23" x14ac:dyDescent="0.45">
      <c r="W478" s="158"/>
    </row>
    <row r="479" spans="23:23" x14ac:dyDescent="0.45">
      <c r="W479" s="158"/>
    </row>
    <row r="480" spans="23:23" x14ac:dyDescent="0.45">
      <c r="W480" s="158"/>
    </row>
    <row r="481" spans="23:23" x14ac:dyDescent="0.45">
      <c r="W481" s="158"/>
    </row>
    <row r="482" spans="23:23" x14ac:dyDescent="0.45">
      <c r="W482" s="158"/>
    </row>
    <row r="483" spans="23:23" x14ac:dyDescent="0.45">
      <c r="W483" s="158"/>
    </row>
    <row r="484" spans="23:23" x14ac:dyDescent="0.45">
      <c r="W484" s="158"/>
    </row>
    <row r="485" spans="23:23" x14ac:dyDescent="0.45">
      <c r="W485" s="158"/>
    </row>
    <row r="486" spans="23:23" x14ac:dyDescent="0.45">
      <c r="W486" s="158"/>
    </row>
    <row r="487" spans="23:23" x14ac:dyDescent="0.45">
      <c r="W487" s="158"/>
    </row>
    <row r="488" spans="23:23" x14ac:dyDescent="0.45">
      <c r="W488" s="158"/>
    </row>
    <row r="489" spans="23:23" x14ac:dyDescent="0.45">
      <c r="W489" s="158"/>
    </row>
    <row r="490" spans="23:23" x14ac:dyDescent="0.45">
      <c r="W490" s="158"/>
    </row>
    <row r="491" spans="23:23" x14ac:dyDescent="0.45">
      <c r="W491" s="158"/>
    </row>
    <row r="492" spans="23:23" x14ac:dyDescent="0.45">
      <c r="W492" s="158"/>
    </row>
    <row r="493" spans="23:23" x14ac:dyDescent="0.45">
      <c r="W493" s="158"/>
    </row>
    <row r="494" spans="23:23" x14ac:dyDescent="0.45">
      <c r="W494" s="158"/>
    </row>
    <row r="495" spans="23:23" x14ac:dyDescent="0.45">
      <c r="W495" s="158"/>
    </row>
    <row r="496" spans="23:23" x14ac:dyDescent="0.45">
      <c r="W496" s="158"/>
    </row>
    <row r="497" spans="23:23" x14ac:dyDescent="0.45">
      <c r="W497" s="158"/>
    </row>
    <row r="498" spans="23:23" x14ac:dyDescent="0.45">
      <c r="W498" s="158"/>
    </row>
    <row r="499" spans="23:23" x14ac:dyDescent="0.45">
      <c r="W499" s="158"/>
    </row>
    <row r="500" spans="23:23" x14ac:dyDescent="0.45">
      <c r="W500" s="158"/>
    </row>
    <row r="501" spans="23:23" x14ac:dyDescent="0.45">
      <c r="W501" s="158"/>
    </row>
    <row r="502" spans="23:23" x14ac:dyDescent="0.45">
      <c r="W502" s="158"/>
    </row>
    <row r="503" spans="23:23" x14ac:dyDescent="0.45">
      <c r="W503" s="158"/>
    </row>
    <row r="504" spans="23:23" x14ac:dyDescent="0.45">
      <c r="W504" s="158"/>
    </row>
    <row r="505" spans="23:23" x14ac:dyDescent="0.45">
      <c r="W505" s="158"/>
    </row>
    <row r="506" spans="23:23" x14ac:dyDescent="0.45">
      <c r="W506" s="158"/>
    </row>
    <row r="507" spans="23:23" x14ac:dyDescent="0.45">
      <c r="W507" s="158"/>
    </row>
    <row r="508" spans="23:23" x14ac:dyDescent="0.45">
      <c r="W508" s="158"/>
    </row>
    <row r="509" spans="23:23" x14ac:dyDescent="0.45">
      <c r="W509" s="158"/>
    </row>
    <row r="510" spans="23:23" x14ac:dyDescent="0.45">
      <c r="W510" s="158"/>
    </row>
    <row r="511" spans="23:23" x14ac:dyDescent="0.45">
      <c r="W511" s="158"/>
    </row>
    <row r="512" spans="23:23" x14ac:dyDescent="0.45">
      <c r="W512" s="158"/>
    </row>
    <row r="513" spans="23:23" x14ac:dyDescent="0.45">
      <c r="W513" s="158"/>
    </row>
    <row r="514" spans="23:23" x14ac:dyDescent="0.45">
      <c r="W514" s="158"/>
    </row>
    <row r="515" spans="23:23" x14ac:dyDescent="0.45">
      <c r="W515" s="158"/>
    </row>
    <row r="516" spans="23:23" x14ac:dyDescent="0.45">
      <c r="W516" s="158"/>
    </row>
    <row r="517" spans="23:23" x14ac:dyDescent="0.45">
      <c r="W517" s="158"/>
    </row>
    <row r="518" spans="23:23" x14ac:dyDescent="0.45">
      <c r="W518" s="158"/>
    </row>
    <row r="519" spans="23:23" x14ac:dyDescent="0.45">
      <c r="W519" s="158"/>
    </row>
    <row r="520" spans="23:23" x14ac:dyDescent="0.45">
      <c r="W520" s="158"/>
    </row>
    <row r="521" spans="23:23" x14ac:dyDescent="0.45">
      <c r="W521" s="158"/>
    </row>
    <row r="522" spans="23:23" x14ac:dyDescent="0.45">
      <c r="W522" s="158"/>
    </row>
    <row r="523" spans="23:23" x14ac:dyDescent="0.45">
      <c r="W523" s="158"/>
    </row>
    <row r="524" spans="23:23" x14ac:dyDescent="0.45">
      <c r="W524" s="158"/>
    </row>
    <row r="525" spans="23:23" x14ac:dyDescent="0.45">
      <c r="W525" s="158"/>
    </row>
    <row r="526" spans="23:23" x14ac:dyDescent="0.45">
      <c r="W526" s="158"/>
    </row>
    <row r="527" spans="23:23" x14ac:dyDescent="0.45">
      <c r="W527" s="158"/>
    </row>
    <row r="528" spans="23:23" x14ac:dyDescent="0.45">
      <c r="W528" s="158"/>
    </row>
    <row r="529" spans="23:23" x14ac:dyDescent="0.45">
      <c r="W529" s="158"/>
    </row>
    <row r="530" spans="23:23" x14ac:dyDescent="0.45">
      <c r="W530" s="158"/>
    </row>
    <row r="531" spans="23:23" x14ac:dyDescent="0.45">
      <c r="W531" s="158"/>
    </row>
    <row r="532" spans="23:23" x14ac:dyDescent="0.45">
      <c r="W532" s="158"/>
    </row>
    <row r="533" spans="23:23" x14ac:dyDescent="0.45">
      <c r="W533" s="158"/>
    </row>
    <row r="534" spans="23:23" x14ac:dyDescent="0.45">
      <c r="W534" s="158"/>
    </row>
    <row r="535" spans="23:23" x14ac:dyDescent="0.45">
      <c r="W535" s="158"/>
    </row>
    <row r="536" spans="23:23" x14ac:dyDescent="0.45">
      <c r="W536" s="158"/>
    </row>
    <row r="537" spans="23:23" x14ac:dyDescent="0.45">
      <c r="W537" s="158"/>
    </row>
    <row r="538" spans="23:23" x14ac:dyDescent="0.45">
      <c r="W538" s="158"/>
    </row>
    <row r="539" spans="23:23" x14ac:dyDescent="0.45">
      <c r="W539" s="158"/>
    </row>
    <row r="540" spans="23:23" x14ac:dyDescent="0.45">
      <c r="W540" s="158"/>
    </row>
    <row r="541" spans="23:23" x14ac:dyDescent="0.45">
      <c r="W541" s="158"/>
    </row>
    <row r="542" spans="23:23" x14ac:dyDescent="0.45">
      <c r="W542" s="158"/>
    </row>
    <row r="543" spans="23:23" x14ac:dyDescent="0.45">
      <c r="W543" s="158"/>
    </row>
    <row r="544" spans="23:23" x14ac:dyDescent="0.45">
      <c r="W544" s="158"/>
    </row>
    <row r="545" spans="23:23" x14ac:dyDescent="0.45">
      <c r="W545" s="158"/>
    </row>
    <row r="546" spans="23:23" x14ac:dyDescent="0.45">
      <c r="W546" s="158"/>
    </row>
    <row r="547" spans="23:23" x14ac:dyDescent="0.45">
      <c r="W547" s="158"/>
    </row>
    <row r="548" spans="23:23" x14ac:dyDescent="0.45">
      <c r="W548" s="158"/>
    </row>
    <row r="549" spans="23:23" x14ac:dyDescent="0.45">
      <c r="W549" s="158"/>
    </row>
    <row r="550" spans="23:23" x14ac:dyDescent="0.45">
      <c r="W550" s="158"/>
    </row>
    <row r="551" spans="23:23" x14ac:dyDescent="0.45">
      <c r="W551" s="158"/>
    </row>
    <row r="552" spans="23:23" x14ac:dyDescent="0.45">
      <c r="W552" s="158"/>
    </row>
    <row r="553" spans="23:23" x14ac:dyDescent="0.45">
      <c r="W553" s="158"/>
    </row>
    <row r="554" spans="23:23" x14ac:dyDescent="0.45">
      <c r="W554" s="158"/>
    </row>
    <row r="555" spans="23:23" x14ac:dyDescent="0.45">
      <c r="W555" s="158"/>
    </row>
    <row r="556" spans="23:23" x14ac:dyDescent="0.45">
      <c r="W556" s="158"/>
    </row>
    <row r="557" spans="23:23" x14ac:dyDescent="0.45">
      <c r="W557" s="158"/>
    </row>
    <row r="558" spans="23:23" x14ac:dyDescent="0.45">
      <c r="W558" s="158"/>
    </row>
    <row r="559" spans="23:23" x14ac:dyDescent="0.45">
      <c r="W559" s="158"/>
    </row>
    <row r="560" spans="23:23" x14ac:dyDescent="0.45">
      <c r="W560" s="158"/>
    </row>
    <row r="561" spans="23:23" x14ac:dyDescent="0.45">
      <c r="W561" s="158"/>
    </row>
    <row r="562" spans="23:23" x14ac:dyDescent="0.45">
      <c r="W562" s="158"/>
    </row>
    <row r="563" spans="23:23" x14ac:dyDescent="0.45">
      <c r="W563" s="158"/>
    </row>
    <row r="564" spans="23:23" x14ac:dyDescent="0.45">
      <c r="W564" s="158"/>
    </row>
    <row r="565" spans="23:23" x14ac:dyDescent="0.45">
      <c r="W565" s="158"/>
    </row>
    <row r="566" spans="23:23" x14ac:dyDescent="0.45">
      <c r="W566" s="158"/>
    </row>
    <row r="567" spans="23:23" x14ac:dyDescent="0.45">
      <c r="W567" s="158"/>
    </row>
    <row r="568" spans="23:23" x14ac:dyDescent="0.45">
      <c r="W568" s="158"/>
    </row>
    <row r="569" spans="23:23" x14ac:dyDescent="0.45">
      <c r="W569" s="158"/>
    </row>
    <row r="570" spans="23:23" x14ac:dyDescent="0.45">
      <c r="W570" s="158"/>
    </row>
    <row r="571" spans="23:23" x14ac:dyDescent="0.45">
      <c r="W571" s="158"/>
    </row>
    <row r="572" spans="23:23" x14ac:dyDescent="0.45">
      <c r="W572" s="158"/>
    </row>
    <row r="573" spans="23:23" x14ac:dyDescent="0.45">
      <c r="W573" s="158"/>
    </row>
    <row r="574" spans="23:23" x14ac:dyDescent="0.45">
      <c r="W574" s="158"/>
    </row>
    <row r="575" spans="23:23" x14ac:dyDescent="0.45">
      <c r="W575" s="158"/>
    </row>
    <row r="576" spans="23:23" x14ac:dyDescent="0.45">
      <c r="W576" s="158"/>
    </row>
    <row r="577" spans="23:23" x14ac:dyDescent="0.45">
      <c r="W577" s="158"/>
    </row>
    <row r="578" spans="23:23" x14ac:dyDescent="0.45">
      <c r="W578" s="158"/>
    </row>
    <row r="579" spans="23:23" x14ac:dyDescent="0.45">
      <c r="W579" s="158"/>
    </row>
    <row r="580" spans="23:23" x14ac:dyDescent="0.45">
      <c r="W580" s="158"/>
    </row>
    <row r="581" spans="23:23" x14ac:dyDescent="0.45">
      <c r="W581" s="158"/>
    </row>
    <row r="582" spans="23:23" x14ac:dyDescent="0.45">
      <c r="W582" s="158"/>
    </row>
    <row r="583" spans="23:23" x14ac:dyDescent="0.45">
      <c r="W583" s="158"/>
    </row>
    <row r="584" spans="23:23" x14ac:dyDescent="0.45">
      <c r="W584" s="158"/>
    </row>
    <row r="585" spans="23:23" x14ac:dyDescent="0.45">
      <c r="W585" s="158"/>
    </row>
    <row r="586" spans="23:23" x14ac:dyDescent="0.45">
      <c r="W586" s="158"/>
    </row>
    <row r="587" spans="23:23" x14ac:dyDescent="0.45">
      <c r="W587" s="158"/>
    </row>
    <row r="588" spans="23:23" x14ac:dyDescent="0.45">
      <c r="W588" s="158"/>
    </row>
    <row r="589" spans="23:23" x14ac:dyDescent="0.45">
      <c r="W589" s="158"/>
    </row>
    <row r="590" spans="23:23" x14ac:dyDescent="0.45">
      <c r="W590" s="158"/>
    </row>
    <row r="591" spans="23:23" x14ac:dyDescent="0.45">
      <c r="W591" s="158"/>
    </row>
    <row r="592" spans="23:23" x14ac:dyDescent="0.45">
      <c r="W592" s="158"/>
    </row>
    <row r="593" spans="23:23" x14ac:dyDescent="0.45">
      <c r="W593" s="158"/>
    </row>
    <row r="594" spans="23:23" x14ac:dyDescent="0.45">
      <c r="W594" s="158"/>
    </row>
    <row r="595" spans="23:23" x14ac:dyDescent="0.45">
      <c r="W595" s="158"/>
    </row>
    <row r="596" spans="23:23" x14ac:dyDescent="0.45">
      <c r="W596" s="158"/>
    </row>
    <row r="597" spans="23:23" x14ac:dyDescent="0.45">
      <c r="W597" s="158"/>
    </row>
    <row r="598" spans="23:23" x14ac:dyDescent="0.45">
      <c r="W598" s="158"/>
    </row>
    <row r="599" spans="23:23" x14ac:dyDescent="0.45">
      <c r="W599" s="158"/>
    </row>
    <row r="600" spans="23:23" x14ac:dyDescent="0.45">
      <c r="W600" s="158"/>
    </row>
    <row r="601" spans="23:23" x14ac:dyDescent="0.45">
      <c r="W601" s="158"/>
    </row>
    <row r="602" spans="23:23" x14ac:dyDescent="0.45">
      <c r="W602" s="158"/>
    </row>
    <row r="603" spans="23:23" x14ac:dyDescent="0.45">
      <c r="W603" s="158"/>
    </row>
    <row r="604" spans="23:23" x14ac:dyDescent="0.45">
      <c r="W604" s="158"/>
    </row>
    <row r="605" spans="23:23" x14ac:dyDescent="0.45">
      <c r="W605" s="158"/>
    </row>
    <row r="606" spans="23:23" x14ac:dyDescent="0.45">
      <c r="W606" s="158"/>
    </row>
    <row r="607" spans="23:23" x14ac:dyDescent="0.45">
      <c r="W607" s="158"/>
    </row>
    <row r="608" spans="23:23" x14ac:dyDescent="0.45">
      <c r="W608" s="158"/>
    </row>
    <row r="609" spans="23:23" x14ac:dyDescent="0.45">
      <c r="W609" s="158"/>
    </row>
    <row r="610" spans="23:23" x14ac:dyDescent="0.45">
      <c r="W610" s="158"/>
    </row>
    <row r="611" spans="23:23" x14ac:dyDescent="0.45">
      <c r="W611" s="158"/>
    </row>
    <row r="612" spans="23:23" x14ac:dyDescent="0.45">
      <c r="W612" s="158"/>
    </row>
    <row r="613" spans="23:23" x14ac:dyDescent="0.45">
      <c r="W613" s="158"/>
    </row>
    <row r="614" spans="23:23" x14ac:dyDescent="0.45">
      <c r="W614" s="158"/>
    </row>
    <row r="615" spans="23:23" x14ac:dyDescent="0.45">
      <c r="W615" s="158"/>
    </row>
    <row r="616" spans="23:23" x14ac:dyDescent="0.45">
      <c r="W616" s="158"/>
    </row>
    <row r="617" spans="23:23" x14ac:dyDescent="0.45">
      <c r="W617" s="158"/>
    </row>
    <row r="618" spans="23:23" x14ac:dyDescent="0.45">
      <c r="W618" s="158"/>
    </row>
    <row r="619" spans="23:23" x14ac:dyDescent="0.45">
      <c r="W619" s="158"/>
    </row>
    <row r="620" spans="23:23" x14ac:dyDescent="0.45">
      <c r="W620" s="158"/>
    </row>
    <row r="621" spans="23:23" x14ac:dyDescent="0.45">
      <c r="W621" s="158"/>
    </row>
    <row r="622" spans="23:23" x14ac:dyDescent="0.45">
      <c r="W622" s="158"/>
    </row>
    <row r="623" spans="23:23" x14ac:dyDescent="0.45">
      <c r="W623" s="158"/>
    </row>
    <row r="624" spans="23:23" x14ac:dyDescent="0.45">
      <c r="W624" s="158"/>
    </row>
    <row r="625" spans="23:23" x14ac:dyDescent="0.45">
      <c r="W625" s="158"/>
    </row>
    <row r="626" spans="23:23" x14ac:dyDescent="0.45">
      <c r="W626" s="158"/>
    </row>
    <row r="627" spans="23:23" x14ac:dyDescent="0.45">
      <c r="W627" s="158"/>
    </row>
    <row r="628" spans="23:23" x14ac:dyDescent="0.45">
      <c r="W628" s="158"/>
    </row>
    <row r="629" spans="23:23" x14ac:dyDescent="0.45">
      <c r="W629" s="158"/>
    </row>
    <row r="630" spans="23:23" x14ac:dyDescent="0.45">
      <c r="W630" s="158"/>
    </row>
    <row r="631" spans="23:23" x14ac:dyDescent="0.45">
      <c r="W631" s="158"/>
    </row>
    <row r="632" spans="23:23" x14ac:dyDescent="0.45">
      <c r="W632" s="158"/>
    </row>
    <row r="633" spans="23:23" x14ac:dyDescent="0.45">
      <c r="W633" s="158"/>
    </row>
    <row r="634" spans="23:23" x14ac:dyDescent="0.45">
      <c r="W634" s="158"/>
    </row>
    <row r="635" spans="23:23" x14ac:dyDescent="0.45">
      <c r="W635" s="158"/>
    </row>
    <row r="636" spans="23:23" x14ac:dyDescent="0.45">
      <c r="W636" s="158"/>
    </row>
    <row r="637" spans="23:23" x14ac:dyDescent="0.45">
      <c r="W637" s="158"/>
    </row>
    <row r="638" spans="23:23" x14ac:dyDescent="0.45">
      <c r="W638" s="158"/>
    </row>
    <row r="639" spans="23:23" x14ac:dyDescent="0.45">
      <c r="W639" s="158"/>
    </row>
    <row r="640" spans="23:23" x14ac:dyDescent="0.45">
      <c r="W640" s="158"/>
    </row>
    <row r="641" spans="23:23" x14ac:dyDescent="0.45">
      <c r="W641" s="158"/>
    </row>
    <row r="642" spans="23:23" x14ac:dyDescent="0.45">
      <c r="W642" s="158"/>
    </row>
    <row r="643" spans="23:23" x14ac:dyDescent="0.45">
      <c r="W643" s="158"/>
    </row>
    <row r="644" spans="23:23" x14ac:dyDescent="0.45">
      <c r="W644" s="158"/>
    </row>
    <row r="645" spans="23:23" x14ac:dyDescent="0.45">
      <c r="W645" s="158"/>
    </row>
    <row r="646" spans="23:23" x14ac:dyDescent="0.45">
      <c r="W646" s="158"/>
    </row>
    <row r="647" spans="23:23" x14ac:dyDescent="0.45">
      <c r="W647" s="158"/>
    </row>
    <row r="648" spans="23:23" x14ac:dyDescent="0.45">
      <c r="W648" s="158"/>
    </row>
    <row r="649" spans="23:23" x14ac:dyDescent="0.45">
      <c r="W649" s="158"/>
    </row>
    <row r="650" spans="23:23" x14ac:dyDescent="0.45">
      <c r="W650" s="158"/>
    </row>
    <row r="651" spans="23:23" x14ac:dyDescent="0.45">
      <c r="W651" s="158"/>
    </row>
    <row r="652" spans="23:23" x14ac:dyDescent="0.45">
      <c r="W652" s="158"/>
    </row>
    <row r="653" spans="23:23" x14ac:dyDescent="0.45">
      <c r="W653" s="158"/>
    </row>
    <row r="654" spans="23:23" x14ac:dyDescent="0.45">
      <c r="W654" s="158"/>
    </row>
    <row r="655" spans="23:23" x14ac:dyDescent="0.45">
      <c r="W655" s="158"/>
    </row>
    <row r="656" spans="23:23" x14ac:dyDescent="0.45">
      <c r="W656" s="158"/>
    </row>
    <row r="657" spans="23:23" x14ac:dyDescent="0.45">
      <c r="W657" s="158"/>
    </row>
    <row r="658" spans="23:23" x14ac:dyDescent="0.45">
      <c r="W658" s="158"/>
    </row>
    <row r="659" spans="23:23" x14ac:dyDescent="0.45">
      <c r="W659" s="158"/>
    </row>
    <row r="660" spans="23:23" x14ac:dyDescent="0.45">
      <c r="W660" s="158"/>
    </row>
    <row r="661" spans="23:23" x14ac:dyDescent="0.45">
      <c r="W661" s="158"/>
    </row>
    <row r="662" spans="23:23" x14ac:dyDescent="0.45">
      <c r="W662" s="158"/>
    </row>
    <row r="663" spans="23:23" x14ac:dyDescent="0.45">
      <c r="W663" s="158"/>
    </row>
    <row r="664" spans="23:23" x14ac:dyDescent="0.45">
      <c r="W664" s="158"/>
    </row>
    <row r="665" spans="23:23" x14ac:dyDescent="0.45">
      <c r="W665" s="158"/>
    </row>
    <row r="666" spans="23:23" x14ac:dyDescent="0.45">
      <c r="W666" s="158"/>
    </row>
    <row r="667" spans="23:23" x14ac:dyDescent="0.45">
      <c r="W667" s="158"/>
    </row>
    <row r="668" spans="23:23" x14ac:dyDescent="0.45">
      <c r="W668" s="158"/>
    </row>
    <row r="669" spans="23:23" x14ac:dyDescent="0.45">
      <c r="W669" s="158"/>
    </row>
    <row r="670" spans="23:23" x14ac:dyDescent="0.45">
      <c r="W670" s="158"/>
    </row>
    <row r="671" spans="23:23" x14ac:dyDescent="0.45">
      <c r="W671" s="158"/>
    </row>
    <row r="672" spans="23:23" x14ac:dyDescent="0.45">
      <c r="W672" s="158"/>
    </row>
    <row r="673" spans="23:23" x14ac:dyDescent="0.45">
      <c r="W673" s="158"/>
    </row>
    <row r="674" spans="23:23" x14ac:dyDescent="0.45">
      <c r="W674" s="158"/>
    </row>
    <row r="675" spans="23:23" x14ac:dyDescent="0.45">
      <c r="W675" s="158"/>
    </row>
    <row r="676" spans="23:23" x14ac:dyDescent="0.45">
      <c r="W676" s="158"/>
    </row>
    <row r="677" spans="23:23" x14ac:dyDescent="0.45">
      <c r="W677" s="158"/>
    </row>
    <row r="678" spans="23:23" x14ac:dyDescent="0.45">
      <c r="W678" s="158"/>
    </row>
    <row r="679" spans="23:23" x14ac:dyDescent="0.45">
      <c r="W679" s="158"/>
    </row>
    <row r="680" spans="23:23" x14ac:dyDescent="0.45">
      <c r="W680" s="158"/>
    </row>
    <row r="681" spans="23:23" x14ac:dyDescent="0.45">
      <c r="W681" s="158"/>
    </row>
    <row r="682" spans="23:23" x14ac:dyDescent="0.45">
      <c r="W682" s="158"/>
    </row>
    <row r="683" spans="23:23" x14ac:dyDescent="0.45">
      <c r="W683" s="158"/>
    </row>
    <row r="684" spans="23:23" x14ac:dyDescent="0.45">
      <c r="W684" s="158"/>
    </row>
    <row r="685" spans="23:23" x14ac:dyDescent="0.45">
      <c r="W685" s="158"/>
    </row>
    <row r="686" spans="23:23" x14ac:dyDescent="0.45">
      <c r="W686" s="158"/>
    </row>
    <row r="687" spans="23:23" x14ac:dyDescent="0.45">
      <c r="W687" s="158"/>
    </row>
    <row r="688" spans="23:23" x14ac:dyDescent="0.45">
      <c r="W688" s="158"/>
    </row>
    <row r="689" spans="23:23" x14ac:dyDescent="0.45">
      <c r="W689" s="158"/>
    </row>
    <row r="690" spans="23:23" x14ac:dyDescent="0.45">
      <c r="W690" s="158"/>
    </row>
    <row r="691" spans="23:23" x14ac:dyDescent="0.45">
      <c r="W691" s="158"/>
    </row>
    <row r="692" spans="23:23" x14ac:dyDescent="0.45">
      <c r="W692" s="158"/>
    </row>
    <row r="693" spans="23:23" x14ac:dyDescent="0.45">
      <c r="W693" s="158"/>
    </row>
    <row r="694" spans="23:23" x14ac:dyDescent="0.45">
      <c r="W694" s="158"/>
    </row>
    <row r="695" spans="23:23" x14ac:dyDescent="0.45">
      <c r="W695" s="158"/>
    </row>
    <row r="696" spans="23:23" x14ac:dyDescent="0.45">
      <c r="W696" s="158"/>
    </row>
    <row r="697" spans="23:23" x14ac:dyDescent="0.45">
      <c r="W697" s="158"/>
    </row>
    <row r="698" spans="23:23" x14ac:dyDescent="0.45">
      <c r="W698" s="158"/>
    </row>
    <row r="699" spans="23:23" x14ac:dyDescent="0.45">
      <c r="W699" s="158"/>
    </row>
    <row r="700" spans="23:23" x14ac:dyDescent="0.45">
      <c r="W700" s="158"/>
    </row>
    <row r="701" spans="23:23" x14ac:dyDescent="0.45">
      <c r="W701" s="158"/>
    </row>
    <row r="702" spans="23:23" x14ac:dyDescent="0.45">
      <c r="W702" s="158"/>
    </row>
    <row r="703" spans="23:23" x14ac:dyDescent="0.45">
      <c r="W703" s="158"/>
    </row>
    <row r="704" spans="23:23" x14ac:dyDescent="0.45">
      <c r="W704" s="158"/>
    </row>
    <row r="705" spans="23:23" x14ac:dyDescent="0.45">
      <c r="W705" s="158"/>
    </row>
    <row r="706" spans="23:23" x14ac:dyDescent="0.45">
      <c r="W706" s="158"/>
    </row>
    <row r="707" spans="23:23" x14ac:dyDescent="0.45">
      <c r="W707" s="158"/>
    </row>
    <row r="708" spans="23:23" x14ac:dyDescent="0.45">
      <c r="W708" s="158"/>
    </row>
    <row r="709" spans="23:23" x14ac:dyDescent="0.45">
      <c r="W709" s="158"/>
    </row>
    <row r="710" spans="23:23" x14ac:dyDescent="0.45">
      <c r="W710" s="158"/>
    </row>
    <row r="711" spans="23:23" x14ac:dyDescent="0.45">
      <c r="W711" s="158"/>
    </row>
    <row r="712" spans="23:23" x14ac:dyDescent="0.45">
      <c r="W712" s="158"/>
    </row>
    <row r="713" spans="23:23" x14ac:dyDescent="0.45">
      <c r="W713" s="158"/>
    </row>
    <row r="714" spans="23:23" x14ac:dyDescent="0.45">
      <c r="W714" s="158"/>
    </row>
    <row r="715" spans="23:23" x14ac:dyDescent="0.45">
      <c r="W715" s="158"/>
    </row>
    <row r="716" spans="23:23" x14ac:dyDescent="0.45">
      <c r="W716" s="158"/>
    </row>
    <row r="717" spans="23:23" x14ac:dyDescent="0.45">
      <c r="W717" s="158"/>
    </row>
    <row r="718" spans="23:23" x14ac:dyDescent="0.45">
      <c r="W718" s="158"/>
    </row>
    <row r="719" spans="23:23" x14ac:dyDescent="0.45">
      <c r="W719" s="158"/>
    </row>
    <row r="720" spans="23:23" x14ac:dyDescent="0.45">
      <c r="W720" s="158"/>
    </row>
    <row r="721" spans="23:23" x14ac:dyDescent="0.45">
      <c r="W721" s="158"/>
    </row>
    <row r="722" spans="23:23" x14ac:dyDescent="0.45">
      <c r="W722" s="158"/>
    </row>
    <row r="723" spans="23:23" x14ac:dyDescent="0.45">
      <c r="W723" s="158"/>
    </row>
    <row r="724" spans="23:23" x14ac:dyDescent="0.45">
      <c r="W724" s="158"/>
    </row>
    <row r="725" spans="23:23" x14ac:dyDescent="0.45">
      <c r="W725" s="158"/>
    </row>
    <row r="726" spans="23:23" x14ac:dyDescent="0.45">
      <c r="W726" s="158"/>
    </row>
    <row r="727" spans="23:23" x14ac:dyDescent="0.45">
      <c r="W727" s="158"/>
    </row>
    <row r="728" spans="23:23" x14ac:dyDescent="0.45">
      <c r="W728" s="158"/>
    </row>
    <row r="729" spans="23:23" x14ac:dyDescent="0.45">
      <c r="W729" s="158"/>
    </row>
    <row r="730" spans="23:23" x14ac:dyDescent="0.45">
      <c r="W730" s="158"/>
    </row>
    <row r="731" spans="23:23" x14ac:dyDescent="0.45">
      <c r="W731" s="158"/>
    </row>
    <row r="732" spans="23:23" x14ac:dyDescent="0.45">
      <c r="W732" s="158"/>
    </row>
    <row r="733" spans="23:23" x14ac:dyDescent="0.45">
      <c r="W733" s="158"/>
    </row>
    <row r="734" spans="23:23" x14ac:dyDescent="0.45">
      <c r="W734" s="158"/>
    </row>
    <row r="735" spans="23:23" x14ac:dyDescent="0.45">
      <c r="W735" s="158"/>
    </row>
    <row r="736" spans="23:23" x14ac:dyDescent="0.45">
      <c r="W736" s="158"/>
    </row>
    <row r="737" spans="23:23" x14ac:dyDescent="0.45">
      <c r="W737" s="158"/>
    </row>
    <row r="738" spans="23:23" x14ac:dyDescent="0.45">
      <c r="W738" s="158"/>
    </row>
    <row r="739" spans="23:23" x14ac:dyDescent="0.45">
      <c r="W739" s="158"/>
    </row>
    <row r="740" spans="23:23" x14ac:dyDescent="0.45">
      <c r="W740" s="158"/>
    </row>
    <row r="741" spans="23:23" x14ac:dyDescent="0.45">
      <c r="W741" s="158"/>
    </row>
    <row r="742" spans="23:23" x14ac:dyDescent="0.45">
      <c r="W742" s="158"/>
    </row>
    <row r="743" spans="23:23" x14ac:dyDescent="0.45">
      <c r="W743" s="158"/>
    </row>
    <row r="744" spans="23:23" x14ac:dyDescent="0.45">
      <c r="W744" s="158"/>
    </row>
    <row r="745" spans="23:23" x14ac:dyDescent="0.45">
      <c r="W745" s="158"/>
    </row>
    <row r="746" spans="23:23" x14ac:dyDescent="0.45">
      <c r="W746" s="158"/>
    </row>
    <row r="747" spans="23:23" x14ac:dyDescent="0.45">
      <c r="W747" s="158"/>
    </row>
    <row r="748" spans="23:23" x14ac:dyDescent="0.45">
      <c r="W748" s="158"/>
    </row>
    <row r="749" spans="23:23" x14ac:dyDescent="0.45">
      <c r="W749" s="158"/>
    </row>
    <row r="750" spans="23:23" x14ac:dyDescent="0.45">
      <c r="W750" s="158"/>
    </row>
    <row r="751" spans="23:23" x14ac:dyDescent="0.45">
      <c r="W751" s="158"/>
    </row>
    <row r="752" spans="23:23" x14ac:dyDescent="0.45">
      <c r="W752" s="158"/>
    </row>
    <row r="753" spans="23:23" x14ac:dyDescent="0.45">
      <c r="W753" s="158"/>
    </row>
    <row r="754" spans="23:23" x14ac:dyDescent="0.45">
      <c r="W754" s="158"/>
    </row>
    <row r="755" spans="23:23" x14ac:dyDescent="0.45">
      <c r="W755" s="158"/>
    </row>
    <row r="756" spans="23:23" x14ac:dyDescent="0.45">
      <c r="W756" s="158"/>
    </row>
    <row r="757" spans="23:23" x14ac:dyDescent="0.45">
      <c r="W757" s="158"/>
    </row>
    <row r="758" spans="23:23" x14ac:dyDescent="0.45">
      <c r="W758" s="158"/>
    </row>
    <row r="759" spans="23:23" x14ac:dyDescent="0.45">
      <c r="W759" s="158"/>
    </row>
    <row r="760" spans="23:23" x14ac:dyDescent="0.45">
      <c r="W760" s="158"/>
    </row>
    <row r="761" spans="23:23" x14ac:dyDescent="0.45">
      <c r="W761" s="158"/>
    </row>
    <row r="762" spans="23:23" x14ac:dyDescent="0.45">
      <c r="W762" s="158"/>
    </row>
    <row r="763" spans="23:23" x14ac:dyDescent="0.45">
      <c r="W763" s="158"/>
    </row>
    <row r="764" spans="23:23" x14ac:dyDescent="0.45">
      <c r="W764" s="158"/>
    </row>
    <row r="765" spans="23:23" x14ac:dyDescent="0.45">
      <c r="W765" s="158"/>
    </row>
    <row r="766" spans="23:23" x14ac:dyDescent="0.45">
      <c r="W766" s="158"/>
    </row>
    <row r="767" spans="23:23" x14ac:dyDescent="0.45">
      <c r="W767" s="158"/>
    </row>
    <row r="768" spans="23:23" x14ac:dyDescent="0.45">
      <c r="W768" s="158"/>
    </row>
    <row r="769" spans="23:23" x14ac:dyDescent="0.45">
      <c r="W769" s="158"/>
    </row>
    <row r="770" spans="23:23" x14ac:dyDescent="0.45">
      <c r="W770" s="158"/>
    </row>
    <row r="771" spans="23:23" x14ac:dyDescent="0.45">
      <c r="W771" s="158"/>
    </row>
    <row r="772" spans="23:23" x14ac:dyDescent="0.45">
      <c r="W772" s="158"/>
    </row>
    <row r="773" spans="23:23" x14ac:dyDescent="0.45">
      <c r="W773" s="158"/>
    </row>
    <row r="774" spans="23:23" x14ac:dyDescent="0.45">
      <c r="W774" s="158"/>
    </row>
    <row r="775" spans="23:23" x14ac:dyDescent="0.45">
      <c r="W775" s="158"/>
    </row>
    <row r="776" spans="23:23" x14ac:dyDescent="0.45">
      <c r="W776" s="158"/>
    </row>
    <row r="777" spans="23:23" x14ac:dyDescent="0.45">
      <c r="W777" s="158"/>
    </row>
    <row r="778" spans="23:23" x14ac:dyDescent="0.45">
      <c r="W778" s="158"/>
    </row>
    <row r="779" spans="23:23" x14ac:dyDescent="0.45">
      <c r="W779" s="158"/>
    </row>
    <row r="780" spans="23:23" x14ac:dyDescent="0.45">
      <c r="W780" s="158"/>
    </row>
    <row r="781" spans="23:23" x14ac:dyDescent="0.45">
      <c r="W781" s="158"/>
    </row>
    <row r="782" spans="23:23" x14ac:dyDescent="0.45">
      <c r="W782" s="158"/>
    </row>
    <row r="783" spans="23:23" x14ac:dyDescent="0.45">
      <c r="W783" s="158"/>
    </row>
    <row r="784" spans="23:23" x14ac:dyDescent="0.45">
      <c r="W784" s="158"/>
    </row>
    <row r="785" spans="23:23" x14ac:dyDescent="0.45">
      <c r="W785" s="158"/>
    </row>
    <row r="786" spans="23:23" x14ac:dyDescent="0.45">
      <c r="W786" s="158"/>
    </row>
    <row r="787" spans="23:23" x14ac:dyDescent="0.45">
      <c r="W787" s="158"/>
    </row>
    <row r="788" spans="23:23" x14ac:dyDescent="0.45">
      <c r="W788" s="158"/>
    </row>
    <row r="789" spans="23:23" x14ac:dyDescent="0.45">
      <c r="W789" s="158"/>
    </row>
    <row r="790" spans="23:23" x14ac:dyDescent="0.45">
      <c r="W790" s="158"/>
    </row>
    <row r="791" spans="23:23" x14ac:dyDescent="0.45">
      <c r="W791" s="158"/>
    </row>
    <row r="792" spans="23:23" x14ac:dyDescent="0.45">
      <c r="W792" s="158"/>
    </row>
    <row r="793" spans="23:23" x14ac:dyDescent="0.45">
      <c r="W793" s="158"/>
    </row>
    <row r="794" spans="23:23" x14ac:dyDescent="0.45">
      <c r="W794" s="158"/>
    </row>
    <row r="795" spans="23:23" x14ac:dyDescent="0.45">
      <c r="W795" s="158"/>
    </row>
    <row r="796" spans="23:23" x14ac:dyDescent="0.45">
      <c r="W796" s="158"/>
    </row>
    <row r="797" spans="23:23" x14ac:dyDescent="0.45">
      <c r="W797" s="158"/>
    </row>
    <row r="798" spans="23:23" x14ac:dyDescent="0.45">
      <c r="W798" s="158"/>
    </row>
    <row r="799" spans="23:23" x14ac:dyDescent="0.45">
      <c r="W799" s="158"/>
    </row>
    <row r="800" spans="23:23" x14ac:dyDescent="0.45">
      <c r="W800" s="158"/>
    </row>
    <row r="801" spans="23:23" x14ac:dyDescent="0.45">
      <c r="W801" s="158"/>
    </row>
    <row r="802" spans="23:23" x14ac:dyDescent="0.45">
      <c r="W802" s="158"/>
    </row>
    <row r="803" spans="23:23" x14ac:dyDescent="0.45">
      <c r="W803" s="158"/>
    </row>
    <row r="804" spans="23:23" x14ac:dyDescent="0.45">
      <c r="W804" s="158"/>
    </row>
    <row r="805" spans="23:23" x14ac:dyDescent="0.45">
      <c r="W805" s="158"/>
    </row>
    <row r="806" spans="23:23" x14ac:dyDescent="0.45">
      <c r="W806" s="158"/>
    </row>
    <row r="807" spans="23:23" x14ac:dyDescent="0.45">
      <c r="W807" s="158"/>
    </row>
    <row r="808" spans="23:23" x14ac:dyDescent="0.45">
      <c r="W808" s="158"/>
    </row>
    <row r="809" spans="23:23" x14ac:dyDescent="0.45">
      <c r="W809" s="158"/>
    </row>
    <row r="810" spans="23:23" x14ac:dyDescent="0.45">
      <c r="W810" s="158"/>
    </row>
    <row r="811" spans="23:23" x14ac:dyDescent="0.45">
      <c r="W811" s="158"/>
    </row>
    <row r="812" spans="23:23" x14ac:dyDescent="0.45">
      <c r="W812" s="158"/>
    </row>
    <row r="813" spans="23:23" x14ac:dyDescent="0.45">
      <c r="W813" s="158"/>
    </row>
    <row r="814" spans="23:23" x14ac:dyDescent="0.45">
      <c r="W814" s="158"/>
    </row>
    <row r="815" spans="23:23" x14ac:dyDescent="0.45">
      <c r="W815" s="158"/>
    </row>
    <row r="816" spans="23:23" x14ac:dyDescent="0.45">
      <c r="W816" s="158"/>
    </row>
    <row r="817" spans="23:23" x14ac:dyDescent="0.45">
      <c r="W817" s="158"/>
    </row>
    <row r="818" spans="23:23" x14ac:dyDescent="0.45">
      <c r="W818" s="158"/>
    </row>
    <row r="819" spans="23:23" x14ac:dyDescent="0.45">
      <c r="W819" s="158"/>
    </row>
    <row r="820" spans="23:23" x14ac:dyDescent="0.45">
      <c r="W820" s="158"/>
    </row>
    <row r="821" spans="23:23" x14ac:dyDescent="0.45">
      <c r="W821" s="158"/>
    </row>
    <row r="822" spans="23:23" x14ac:dyDescent="0.45">
      <c r="W822" s="158"/>
    </row>
    <row r="823" spans="23:23" x14ac:dyDescent="0.45">
      <c r="W823" s="158"/>
    </row>
    <row r="824" spans="23:23" x14ac:dyDescent="0.45">
      <c r="W824" s="158"/>
    </row>
    <row r="825" spans="23:23" x14ac:dyDescent="0.45">
      <c r="W825" s="158"/>
    </row>
    <row r="826" spans="23:23" x14ac:dyDescent="0.45">
      <c r="W826" s="158"/>
    </row>
    <row r="827" spans="23:23" x14ac:dyDescent="0.45">
      <c r="W827" s="158"/>
    </row>
    <row r="828" spans="23:23" x14ac:dyDescent="0.45">
      <c r="W828" s="158"/>
    </row>
    <row r="829" spans="23:23" x14ac:dyDescent="0.45">
      <c r="W829" s="158"/>
    </row>
    <row r="830" spans="23:23" x14ac:dyDescent="0.45">
      <c r="W830" s="158"/>
    </row>
    <row r="831" spans="23:23" x14ac:dyDescent="0.45">
      <c r="W831" s="158"/>
    </row>
    <row r="832" spans="23:23" x14ac:dyDescent="0.45">
      <c r="W832" s="158"/>
    </row>
    <row r="833" spans="23:23" x14ac:dyDescent="0.45">
      <c r="W833" s="158"/>
    </row>
    <row r="834" spans="23:23" x14ac:dyDescent="0.45">
      <c r="W834" s="158"/>
    </row>
    <row r="835" spans="23:23" x14ac:dyDescent="0.45">
      <c r="W835" s="158"/>
    </row>
    <row r="836" spans="23:23" x14ac:dyDescent="0.45">
      <c r="W836" s="158"/>
    </row>
    <row r="837" spans="23:23" x14ac:dyDescent="0.45">
      <c r="W837" s="158"/>
    </row>
    <row r="838" spans="23:23" x14ac:dyDescent="0.45">
      <c r="W838" s="158"/>
    </row>
    <row r="839" spans="23:23" x14ac:dyDescent="0.45">
      <c r="W839" s="158"/>
    </row>
    <row r="840" spans="23:23" x14ac:dyDescent="0.45">
      <c r="W840" s="158"/>
    </row>
    <row r="841" spans="23:23" x14ac:dyDescent="0.45">
      <c r="W841" s="158"/>
    </row>
    <row r="842" spans="23:23" x14ac:dyDescent="0.45">
      <c r="W842" s="158"/>
    </row>
    <row r="843" spans="23:23" x14ac:dyDescent="0.45">
      <c r="W843" s="158"/>
    </row>
    <row r="844" spans="23:23" x14ac:dyDescent="0.45">
      <c r="W844" s="158"/>
    </row>
    <row r="845" spans="23:23" x14ac:dyDescent="0.45">
      <c r="W845" s="158"/>
    </row>
    <row r="846" spans="23:23" x14ac:dyDescent="0.45">
      <c r="W846" s="158"/>
    </row>
    <row r="847" spans="23:23" x14ac:dyDescent="0.45">
      <c r="W847" s="158"/>
    </row>
    <row r="848" spans="23:23" x14ac:dyDescent="0.45">
      <c r="W848" s="158"/>
    </row>
    <row r="849" spans="23:23" x14ac:dyDescent="0.45">
      <c r="W849" s="158"/>
    </row>
    <row r="850" spans="23:23" x14ac:dyDescent="0.45">
      <c r="W850" s="158"/>
    </row>
    <row r="851" spans="23:23" x14ac:dyDescent="0.45">
      <c r="W851" s="158"/>
    </row>
    <row r="852" spans="23:23" x14ac:dyDescent="0.45">
      <c r="W852" s="158"/>
    </row>
    <row r="853" spans="23:23" x14ac:dyDescent="0.45">
      <c r="W853" s="158"/>
    </row>
    <row r="854" spans="23:23" x14ac:dyDescent="0.45">
      <c r="W854" s="158"/>
    </row>
    <row r="855" spans="23:23" x14ac:dyDescent="0.45">
      <c r="W855" s="158"/>
    </row>
    <row r="856" spans="23:23" x14ac:dyDescent="0.45">
      <c r="W856" s="158"/>
    </row>
    <row r="857" spans="23:23" x14ac:dyDescent="0.45">
      <c r="W857" s="158"/>
    </row>
    <row r="858" spans="23:23" x14ac:dyDescent="0.45">
      <c r="W858" s="158"/>
    </row>
    <row r="859" spans="23:23" x14ac:dyDescent="0.45">
      <c r="W859" s="158"/>
    </row>
    <row r="860" spans="23:23" x14ac:dyDescent="0.45">
      <c r="W860" s="158"/>
    </row>
    <row r="861" spans="23:23" x14ac:dyDescent="0.45">
      <c r="W861" s="158"/>
    </row>
    <row r="862" spans="23:23" x14ac:dyDescent="0.45">
      <c r="W862" s="158"/>
    </row>
    <row r="863" spans="23:23" x14ac:dyDescent="0.45">
      <c r="W863" s="158"/>
    </row>
    <row r="864" spans="23:23" x14ac:dyDescent="0.45">
      <c r="W864" s="158"/>
    </row>
    <row r="865" spans="23:23" x14ac:dyDescent="0.45">
      <c r="W865" s="158"/>
    </row>
    <row r="866" spans="23:23" x14ac:dyDescent="0.45">
      <c r="W866" s="158"/>
    </row>
    <row r="867" spans="23:23" x14ac:dyDescent="0.45">
      <c r="W867" s="158"/>
    </row>
    <row r="868" spans="23:23" x14ac:dyDescent="0.45">
      <c r="W868" s="158"/>
    </row>
    <row r="869" spans="23:23" x14ac:dyDescent="0.45">
      <c r="W869" s="158"/>
    </row>
    <row r="870" spans="23:23" x14ac:dyDescent="0.45">
      <c r="W870" s="158"/>
    </row>
    <row r="871" spans="23:23" x14ac:dyDescent="0.45">
      <c r="W871" s="158"/>
    </row>
    <row r="872" spans="23:23" x14ac:dyDescent="0.45">
      <c r="W872" s="158"/>
    </row>
    <row r="873" spans="23:23" x14ac:dyDescent="0.45">
      <c r="W873" s="158"/>
    </row>
    <row r="874" spans="23:23" x14ac:dyDescent="0.45">
      <c r="W874" s="158"/>
    </row>
    <row r="875" spans="23:23" x14ac:dyDescent="0.45">
      <c r="W875" s="158"/>
    </row>
    <row r="876" spans="23:23" x14ac:dyDescent="0.45">
      <c r="W876" s="158"/>
    </row>
    <row r="877" spans="23:23" x14ac:dyDescent="0.45">
      <c r="W877" s="158"/>
    </row>
    <row r="878" spans="23:23" x14ac:dyDescent="0.45">
      <c r="W878" s="158"/>
    </row>
    <row r="879" spans="23:23" x14ac:dyDescent="0.45">
      <c r="W879" s="158"/>
    </row>
    <row r="880" spans="23:23" x14ac:dyDescent="0.45">
      <c r="W880" s="158"/>
    </row>
    <row r="881" spans="23:23" x14ac:dyDescent="0.45">
      <c r="W881" s="158"/>
    </row>
    <row r="882" spans="23:23" x14ac:dyDescent="0.45">
      <c r="W882" s="158"/>
    </row>
    <row r="883" spans="23:23" x14ac:dyDescent="0.45">
      <c r="W883" s="158"/>
    </row>
    <row r="884" spans="23:23" x14ac:dyDescent="0.45">
      <c r="W884" s="158"/>
    </row>
    <row r="885" spans="23:23" x14ac:dyDescent="0.45">
      <c r="W885" s="158"/>
    </row>
    <row r="886" spans="23:23" x14ac:dyDescent="0.45">
      <c r="W886" s="158"/>
    </row>
    <row r="887" spans="23:23" x14ac:dyDescent="0.45">
      <c r="W887" s="158"/>
    </row>
    <row r="888" spans="23:23" x14ac:dyDescent="0.45">
      <c r="W888" s="158"/>
    </row>
    <row r="889" spans="23:23" x14ac:dyDescent="0.45">
      <c r="W889" s="158"/>
    </row>
    <row r="890" spans="23:23" x14ac:dyDescent="0.45">
      <c r="W890" s="158"/>
    </row>
    <row r="891" spans="23:23" x14ac:dyDescent="0.45">
      <c r="W891" s="158"/>
    </row>
    <row r="892" spans="23:23" x14ac:dyDescent="0.45">
      <c r="W892" s="158"/>
    </row>
    <row r="893" spans="23:23" x14ac:dyDescent="0.45">
      <c r="W893" s="158"/>
    </row>
    <row r="894" spans="23:23" x14ac:dyDescent="0.45">
      <c r="W894" s="158"/>
    </row>
    <row r="895" spans="23:23" x14ac:dyDescent="0.45">
      <c r="W895" s="158"/>
    </row>
    <row r="896" spans="23:23" x14ac:dyDescent="0.45">
      <c r="W896" s="158"/>
    </row>
    <row r="897" spans="23:23" x14ac:dyDescent="0.45">
      <c r="W897" s="158"/>
    </row>
    <row r="898" spans="23:23" x14ac:dyDescent="0.45">
      <c r="W898" s="158"/>
    </row>
    <row r="899" spans="23:23" x14ac:dyDescent="0.45">
      <c r="W899" s="158"/>
    </row>
    <row r="900" spans="23:23" x14ac:dyDescent="0.45">
      <c r="W900" s="158"/>
    </row>
    <row r="901" spans="23:23" x14ac:dyDescent="0.45">
      <c r="W901" s="158"/>
    </row>
    <row r="902" spans="23:23" x14ac:dyDescent="0.45">
      <c r="W902" s="158"/>
    </row>
    <row r="903" spans="23:23" x14ac:dyDescent="0.45">
      <c r="W903" s="158"/>
    </row>
    <row r="904" spans="23:23" x14ac:dyDescent="0.45">
      <c r="W904" s="158"/>
    </row>
    <row r="905" spans="23:23" x14ac:dyDescent="0.45">
      <c r="W905" s="158"/>
    </row>
    <row r="906" spans="23:23" x14ac:dyDescent="0.45">
      <c r="W906" s="158"/>
    </row>
    <row r="907" spans="23:23" x14ac:dyDescent="0.45">
      <c r="W907" s="158"/>
    </row>
    <row r="908" spans="23:23" x14ac:dyDescent="0.45">
      <c r="W908" s="158"/>
    </row>
    <row r="909" spans="23:23" x14ac:dyDescent="0.45">
      <c r="W909" s="158"/>
    </row>
    <row r="910" spans="23:23" x14ac:dyDescent="0.45">
      <c r="W910" s="158"/>
    </row>
    <row r="911" spans="23:23" x14ac:dyDescent="0.45">
      <c r="W911" s="158"/>
    </row>
    <row r="912" spans="23:23" x14ac:dyDescent="0.45">
      <c r="W912" s="158"/>
    </row>
    <row r="913" spans="23:23" x14ac:dyDescent="0.45">
      <c r="W913" s="158"/>
    </row>
    <row r="914" spans="23:23" x14ac:dyDescent="0.45">
      <c r="W914" s="158"/>
    </row>
    <row r="915" spans="23:23" x14ac:dyDescent="0.45">
      <c r="W915" s="158"/>
    </row>
    <row r="916" spans="23:23" x14ac:dyDescent="0.45">
      <c r="W916" s="158"/>
    </row>
    <row r="917" spans="23:23" x14ac:dyDescent="0.45">
      <c r="W917" s="158"/>
    </row>
    <row r="918" spans="23:23" x14ac:dyDescent="0.45">
      <c r="W918" s="158"/>
    </row>
    <row r="919" spans="23:23" x14ac:dyDescent="0.45">
      <c r="W919" s="158"/>
    </row>
    <row r="920" spans="23:23" x14ac:dyDescent="0.45">
      <c r="W920" s="158"/>
    </row>
    <row r="921" spans="23:23" x14ac:dyDescent="0.45">
      <c r="W921" s="158"/>
    </row>
    <row r="922" spans="23:23" x14ac:dyDescent="0.45">
      <c r="W922" s="158"/>
    </row>
    <row r="923" spans="23:23" x14ac:dyDescent="0.45">
      <c r="W923" s="158"/>
    </row>
    <row r="924" spans="23:23" x14ac:dyDescent="0.45">
      <c r="W924" s="158"/>
    </row>
    <row r="925" spans="23:23" x14ac:dyDescent="0.45">
      <c r="W925" s="158"/>
    </row>
    <row r="926" spans="23:23" x14ac:dyDescent="0.45">
      <c r="W926" s="158"/>
    </row>
    <row r="927" spans="23:23" x14ac:dyDescent="0.45">
      <c r="W927" s="158"/>
    </row>
    <row r="928" spans="23:23" x14ac:dyDescent="0.45">
      <c r="W928" s="158"/>
    </row>
    <row r="929" spans="23:23" x14ac:dyDescent="0.45">
      <c r="W929" s="158"/>
    </row>
    <row r="930" spans="23:23" x14ac:dyDescent="0.45">
      <c r="W930" s="158"/>
    </row>
    <row r="931" spans="23:23" x14ac:dyDescent="0.45">
      <c r="W931" s="158"/>
    </row>
    <row r="932" spans="23:23" x14ac:dyDescent="0.45">
      <c r="W932" s="158"/>
    </row>
    <row r="933" spans="23:23" x14ac:dyDescent="0.45">
      <c r="W933" s="158"/>
    </row>
    <row r="934" spans="23:23" x14ac:dyDescent="0.45">
      <c r="W934" s="158"/>
    </row>
    <row r="935" spans="23:23" x14ac:dyDescent="0.45">
      <c r="W935" s="158"/>
    </row>
    <row r="936" spans="23:23" x14ac:dyDescent="0.45">
      <c r="W936" s="158"/>
    </row>
    <row r="937" spans="23:23" x14ac:dyDescent="0.45">
      <c r="W937" s="158"/>
    </row>
    <row r="938" spans="23:23" x14ac:dyDescent="0.45">
      <c r="W938" s="158"/>
    </row>
    <row r="939" spans="23:23" x14ac:dyDescent="0.45">
      <c r="W939" s="158"/>
    </row>
    <row r="940" spans="23:23" x14ac:dyDescent="0.45">
      <c r="W940" s="158"/>
    </row>
    <row r="941" spans="23:23" x14ac:dyDescent="0.45">
      <c r="W941" s="158"/>
    </row>
    <row r="942" spans="23:23" x14ac:dyDescent="0.45">
      <c r="W942" s="158"/>
    </row>
    <row r="943" spans="23:23" x14ac:dyDescent="0.45">
      <c r="W943" s="158"/>
    </row>
    <row r="944" spans="23:23" x14ac:dyDescent="0.45">
      <c r="W944" s="158"/>
    </row>
    <row r="945" spans="23:23" x14ac:dyDescent="0.45">
      <c r="W945" s="158"/>
    </row>
    <row r="946" spans="23:23" x14ac:dyDescent="0.45">
      <c r="W946" s="158"/>
    </row>
    <row r="947" spans="23:23" x14ac:dyDescent="0.45">
      <c r="W947" s="158"/>
    </row>
    <row r="948" spans="23:23" x14ac:dyDescent="0.45">
      <c r="W948" s="158"/>
    </row>
    <row r="949" spans="23:23" x14ac:dyDescent="0.45">
      <c r="W949" s="158"/>
    </row>
    <row r="950" spans="23:23" x14ac:dyDescent="0.45">
      <c r="W950" s="158"/>
    </row>
    <row r="951" spans="23:23" x14ac:dyDescent="0.45">
      <c r="W951" s="158"/>
    </row>
    <row r="952" spans="23:23" x14ac:dyDescent="0.45">
      <c r="W952" s="158"/>
    </row>
    <row r="953" spans="23:23" x14ac:dyDescent="0.45">
      <c r="W953" s="158"/>
    </row>
    <row r="954" spans="23:23" x14ac:dyDescent="0.45">
      <c r="W954" s="158"/>
    </row>
    <row r="955" spans="23:23" x14ac:dyDescent="0.45">
      <c r="W955" s="158"/>
    </row>
    <row r="956" spans="23:23" x14ac:dyDescent="0.45">
      <c r="W956" s="158"/>
    </row>
    <row r="957" spans="23:23" x14ac:dyDescent="0.45">
      <c r="W957" s="158"/>
    </row>
    <row r="958" spans="23:23" x14ac:dyDescent="0.45">
      <c r="W958" s="158"/>
    </row>
    <row r="959" spans="23:23" x14ac:dyDescent="0.45">
      <c r="W959" s="158"/>
    </row>
    <row r="960" spans="23:23" x14ac:dyDescent="0.45">
      <c r="W960" s="158"/>
    </row>
    <row r="961" spans="23:23" x14ac:dyDescent="0.45">
      <c r="W961" s="158"/>
    </row>
    <row r="962" spans="23:23" x14ac:dyDescent="0.45">
      <c r="W962" s="158"/>
    </row>
    <row r="963" spans="23:23" x14ac:dyDescent="0.45">
      <c r="W963" s="158"/>
    </row>
    <row r="964" spans="23:23" x14ac:dyDescent="0.45">
      <c r="W964" s="158"/>
    </row>
    <row r="965" spans="23:23" x14ac:dyDescent="0.45">
      <c r="W965" s="158"/>
    </row>
    <row r="966" spans="23:23" x14ac:dyDescent="0.45">
      <c r="W966" s="158"/>
    </row>
    <row r="967" spans="23:23" x14ac:dyDescent="0.45">
      <c r="W967" s="158"/>
    </row>
    <row r="968" spans="23:23" x14ac:dyDescent="0.45">
      <c r="W968" s="158"/>
    </row>
    <row r="969" spans="23:23" x14ac:dyDescent="0.45">
      <c r="W969" s="158"/>
    </row>
    <row r="970" spans="23:23" x14ac:dyDescent="0.45">
      <c r="W970" s="158"/>
    </row>
    <row r="971" spans="23:23" x14ac:dyDescent="0.45">
      <c r="W971" s="158"/>
    </row>
    <row r="972" spans="23:23" x14ac:dyDescent="0.45">
      <c r="W972" s="158"/>
    </row>
    <row r="973" spans="23:23" x14ac:dyDescent="0.45">
      <c r="W973" s="158"/>
    </row>
    <row r="974" spans="23:23" x14ac:dyDescent="0.45">
      <c r="W974" s="158"/>
    </row>
    <row r="975" spans="23:23" x14ac:dyDescent="0.45">
      <c r="W975" s="158"/>
    </row>
    <row r="976" spans="23:23" x14ac:dyDescent="0.45">
      <c r="W976" s="158"/>
    </row>
    <row r="977" spans="23:23" x14ac:dyDescent="0.45">
      <c r="W977" s="158"/>
    </row>
    <row r="978" spans="23:23" x14ac:dyDescent="0.45">
      <c r="W978" s="158"/>
    </row>
    <row r="979" spans="23:23" x14ac:dyDescent="0.45">
      <c r="W979" s="158"/>
    </row>
    <row r="980" spans="23:23" x14ac:dyDescent="0.45">
      <c r="W980" s="158"/>
    </row>
    <row r="981" spans="23:23" x14ac:dyDescent="0.45">
      <c r="W981" s="158"/>
    </row>
    <row r="982" spans="23:23" x14ac:dyDescent="0.45">
      <c r="W982" s="158"/>
    </row>
    <row r="983" spans="23:23" x14ac:dyDescent="0.45">
      <c r="W983" s="158"/>
    </row>
    <row r="984" spans="23:23" x14ac:dyDescent="0.45">
      <c r="W984" s="158"/>
    </row>
    <row r="985" spans="23:23" x14ac:dyDescent="0.45">
      <c r="W985" s="158"/>
    </row>
    <row r="986" spans="23:23" x14ac:dyDescent="0.45">
      <c r="W986" s="158"/>
    </row>
    <row r="987" spans="23:23" x14ac:dyDescent="0.45">
      <c r="W987" s="158"/>
    </row>
    <row r="988" spans="23:23" x14ac:dyDescent="0.45">
      <c r="W988" s="158"/>
    </row>
    <row r="989" spans="23:23" x14ac:dyDescent="0.45">
      <c r="W989" s="158"/>
    </row>
    <row r="990" spans="23:23" x14ac:dyDescent="0.45">
      <c r="W990" s="158"/>
    </row>
    <row r="991" spans="23:23" x14ac:dyDescent="0.45">
      <c r="W991" s="158"/>
    </row>
    <row r="992" spans="23:23" x14ac:dyDescent="0.45">
      <c r="W992" s="158"/>
    </row>
    <row r="993" spans="23:23" x14ac:dyDescent="0.45">
      <c r="W993" s="158"/>
    </row>
    <row r="994" spans="23:23" x14ac:dyDescent="0.45">
      <c r="W994" s="158"/>
    </row>
    <row r="995" spans="23:23" x14ac:dyDescent="0.45">
      <c r="W995" s="158"/>
    </row>
    <row r="996" spans="23:23" x14ac:dyDescent="0.45">
      <c r="W996" s="158"/>
    </row>
    <row r="997" spans="23:23" x14ac:dyDescent="0.45">
      <c r="W997" s="158"/>
    </row>
    <row r="998" spans="23:23" x14ac:dyDescent="0.45">
      <c r="W998" s="158"/>
    </row>
    <row r="999" spans="23:23" x14ac:dyDescent="0.45">
      <c r="W999" s="158"/>
    </row>
    <row r="1000" spans="23:23" x14ac:dyDescent="0.45">
      <c r="W1000" s="158"/>
    </row>
    <row r="1001" spans="23:23" x14ac:dyDescent="0.45">
      <c r="W1001" s="158"/>
    </row>
    <row r="1002" spans="23:23" x14ac:dyDescent="0.45">
      <c r="W1002" s="158"/>
    </row>
    <row r="1003" spans="23:23" x14ac:dyDescent="0.45">
      <c r="W1003" s="158"/>
    </row>
    <row r="1004" spans="23:23" x14ac:dyDescent="0.45">
      <c r="W1004" s="158"/>
    </row>
    <row r="1005" spans="23:23" x14ac:dyDescent="0.45">
      <c r="W1005" s="158"/>
    </row>
    <row r="1006" spans="23:23" x14ac:dyDescent="0.45">
      <c r="W1006" s="158"/>
    </row>
    <row r="1007" spans="23:23" x14ac:dyDescent="0.45">
      <c r="W1007" s="158"/>
    </row>
    <row r="1008" spans="23:23" x14ac:dyDescent="0.45">
      <c r="W1008" s="158"/>
    </row>
    <row r="1009" spans="23:23" x14ac:dyDescent="0.45">
      <c r="W1009" s="158"/>
    </row>
    <row r="1010" spans="23:23" x14ac:dyDescent="0.45">
      <c r="W1010" s="158"/>
    </row>
    <row r="1011" spans="23:23" x14ac:dyDescent="0.45">
      <c r="W1011" s="158"/>
    </row>
    <row r="1012" spans="23:23" x14ac:dyDescent="0.45">
      <c r="W1012" s="158"/>
    </row>
    <row r="1013" spans="23:23" x14ac:dyDescent="0.45">
      <c r="W1013" s="158"/>
    </row>
    <row r="1014" spans="23:23" x14ac:dyDescent="0.45">
      <c r="W1014" s="158"/>
    </row>
    <row r="1015" spans="23:23" x14ac:dyDescent="0.45">
      <c r="W1015" s="158"/>
    </row>
    <row r="1016" spans="23:23" x14ac:dyDescent="0.45">
      <c r="W1016" s="158"/>
    </row>
    <row r="1017" spans="23:23" x14ac:dyDescent="0.45">
      <c r="W1017" s="158"/>
    </row>
    <row r="1018" spans="23:23" x14ac:dyDescent="0.45">
      <c r="W1018" s="158"/>
    </row>
    <row r="1019" spans="23:23" x14ac:dyDescent="0.45">
      <c r="W1019" s="158"/>
    </row>
    <row r="1020" spans="23:23" x14ac:dyDescent="0.45">
      <c r="W1020" s="158"/>
    </row>
    <row r="1021" spans="23:23" x14ac:dyDescent="0.45">
      <c r="W1021" s="158"/>
    </row>
    <row r="1022" spans="23:23" x14ac:dyDescent="0.45">
      <c r="W1022" s="158"/>
    </row>
    <row r="1023" spans="23:23" x14ac:dyDescent="0.45">
      <c r="W1023" s="158"/>
    </row>
    <row r="1024" spans="23:23" x14ac:dyDescent="0.45">
      <c r="W1024" s="158"/>
    </row>
    <row r="1025" spans="23:23" x14ac:dyDescent="0.45">
      <c r="W1025" s="158"/>
    </row>
    <row r="1026" spans="23:23" x14ac:dyDescent="0.45">
      <c r="W1026" s="158"/>
    </row>
    <row r="1027" spans="23:23" x14ac:dyDescent="0.45">
      <c r="W1027" s="158"/>
    </row>
    <row r="1028" spans="23:23" x14ac:dyDescent="0.45">
      <c r="W1028" s="158"/>
    </row>
    <row r="1029" spans="23:23" x14ac:dyDescent="0.45">
      <c r="W1029" s="158"/>
    </row>
    <row r="1030" spans="23:23" x14ac:dyDescent="0.45">
      <c r="W1030" s="158"/>
    </row>
    <row r="1031" spans="23:23" x14ac:dyDescent="0.45">
      <c r="W1031" s="158"/>
    </row>
    <row r="1032" spans="23:23" x14ac:dyDescent="0.45">
      <c r="W1032" s="158"/>
    </row>
    <row r="1033" spans="23:23" x14ac:dyDescent="0.45">
      <c r="W1033" s="158"/>
    </row>
    <row r="1034" spans="23:23" x14ac:dyDescent="0.45">
      <c r="W1034" s="158"/>
    </row>
    <row r="1035" spans="23:23" x14ac:dyDescent="0.45">
      <c r="W1035" s="158"/>
    </row>
    <row r="1036" spans="23:23" x14ac:dyDescent="0.45">
      <c r="W1036" s="158"/>
    </row>
    <row r="1037" spans="23:23" x14ac:dyDescent="0.45">
      <c r="W1037" s="158"/>
    </row>
    <row r="1038" spans="23:23" x14ac:dyDescent="0.45">
      <c r="W1038" s="158"/>
    </row>
    <row r="1039" spans="23:23" x14ac:dyDescent="0.45">
      <c r="W1039" s="158"/>
    </row>
    <row r="1040" spans="23:23" x14ac:dyDescent="0.45">
      <c r="W1040" s="158"/>
    </row>
    <row r="1041" spans="23:23" x14ac:dyDescent="0.45">
      <c r="W1041" s="158"/>
    </row>
    <row r="1042" spans="23:23" x14ac:dyDescent="0.45">
      <c r="W1042" s="158"/>
    </row>
    <row r="1043" spans="23:23" x14ac:dyDescent="0.45">
      <c r="W1043" s="158"/>
    </row>
    <row r="1044" spans="23:23" x14ac:dyDescent="0.45">
      <c r="W1044" s="158"/>
    </row>
    <row r="1045" spans="23:23" x14ac:dyDescent="0.45">
      <c r="W1045" s="158"/>
    </row>
    <row r="1046" spans="23:23" x14ac:dyDescent="0.45">
      <c r="W1046" s="158"/>
    </row>
    <row r="1047" spans="23:23" x14ac:dyDescent="0.45">
      <c r="W1047" s="158"/>
    </row>
    <row r="1048" spans="23:23" x14ac:dyDescent="0.45">
      <c r="W1048" s="158"/>
    </row>
    <row r="1049" spans="23:23" x14ac:dyDescent="0.45">
      <c r="W1049" s="158"/>
    </row>
    <row r="1050" spans="23:23" x14ac:dyDescent="0.45">
      <c r="W1050" s="158"/>
    </row>
    <row r="1051" spans="23:23" x14ac:dyDescent="0.45">
      <c r="W1051" s="158"/>
    </row>
    <row r="1052" spans="23:23" x14ac:dyDescent="0.45">
      <c r="W1052" s="158"/>
    </row>
    <row r="1053" spans="23:23" x14ac:dyDescent="0.45">
      <c r="W1053" s="158"/>
    </row>
    <row r="1054" spans="23:23" x14ac:dyDescent="0.45">
      <c r="W1054" s="158"/>
    </row>
    <row r="1055" spans="23:23" x14ac:dyDescent="0.45">
      <c r="W1055" s="158"/>
    </row>
    <row r="1056" spans="23:23" x14ac:dyDescent="0.45">
      <c r="W1056" s="158"/>
    </row>
    <row r="1057" spans="23:23" x14ac:dyDescent="0.45">
      <c r="W1057" s="158"/>
    </row>
    <row r="1058" spans="23:23" x14ac:dyDescent="0.45">
      <c r="W1058" s="158"/>
    </row>
    <row r="1059" spans="23:23" x14ac:dyDescent="0.45">
      <c r="W1059" s="158"/>
    </row>
    <row r="1060" spans="23:23" x14ac:dyDescent="0.45">
      <c r="W1060" s="158"/>
    </row>
    <row r="1061" spans="23:23" x14ac:dyDescent="0.45">
      <c r="W1061" s="158"/>
    </row>
    <row r="1062" spans="23:23" x14ac:dyDescent="0.45">
      <c r="W1062" s="158"/>
    </row>
    <row r="1063" spans="23:23" x14ac:dyDescent="0.45">
      <c r="W1063" s="158"/>
    </row>
    <row r="1064" spans="23:23" x14ac:dyDescent="0.45">
      <c r="W1064" s="158"/>
    </row>
    <row r="1065" spans="23:23" x14ac:dyDescent="0.45">
      <c r="W1065" s="158"/>
    </row>
    <row r="1066" spans="23:23" x14ac:dyDescent="0.45">
      <c r="W1066" s="158"/>
    </row>
    <row r="1067" spans="23:23" x14ac:dyDescent="0.45">
      <c r="W1067" s="158"/>
    </row>
    <row r="1068" spans="23:23" x14ac:dyDescent="0.45">
      <c r="W1068" s="158"/>
    </row>
    <row r="1069" spans="23:23" x14ac:dyDescent="0.45">
      <c r="W1069" s="158"/>
    </row>
    <row r="1070" spans="23:23" x14ac:dyDescent="0.45">
      <c r="W1070" s="158"/>
    </row>
    <row r="1071" spans="23:23" x14ac:dyDescent="0.45">
      <c r="W1071" s="158"/>
    </row>
    <row r="1072" spans="23:23" x14ac:dyDescent="0.45">
      <c r="W1072" s="158"/>
    </row>
    <row r="1073" spans="23:23" x14ac:dyDescent="0.45">
      <c r="W1073" s="158"/>
    </row>
    <row r="1074" spans="23:23" x14ac:dyDescent="0.45">
      <c r="W1074" s="158"/>
    </row>
    <row r="1075" spans="23:23" x14ac:dyDescent="0.45">
      <c r="W1075" s="158"/>
    </row>
    <row r="1076" spans="23:23" x14ac:dyDescent="0.45">
      <c r="W1076" s="158"/>
    </row>
    <row r="1077" spans="23:23" x14ac:dyDescent="0.45">
      <c r="W1077" s="158"/>
    </row>
    <row r="1078" spans="23:23" x14ac:dyDescent="0.45">
      <c r="W1078" s="158"/>
    </row>
    <row r="1079" spans="23:23" x14ac:dyDescent="0.45">
      <c r="W1079" s="158"/>
    </row>
    <row r="1080" spans="23:23" x14ac:dyDescent="0.45">
      <c r="W1080" s="158"/>
    </row>
    <row r="1081" spans="23:23" x14ac:dyDescent="0.45">
      <c r="W1081" s="158"/>
    </row>
    <row r="1082" spans="23:23" x14ac:dyDescent="0.45">
      <c r="W1082" s="158"/>
    </row>
    <row r="1083" spans="23:23" x14ac:dyDescent="0.45">
      <c r="W1083" s="158"/>
    </row>
    <row r="1084" spans="23:23" x14ac:dyDescent="0.45">
      <c r="W1084" s="158"/>
    </row>
    <row r="1085" spans="23:23" x14ac:dyDescent="0.45">
      <c r="W1085" s="158"/>
    </row>
    <row r="1086" spans="23:23" x14ac:dyDescent="0.45">
      <c r="W1086" s="158"/>
    </row>
    <row r="1087" spans="23:23" x14ac:dyDescent="0.45">
      <c r="W1087" s="158"/>
    </row>
    <row r="1088" spans="23:23" x14ac:dyDescent="0.45">
      <c r="W1088" s="158"/>
    </row>
    <row r="1089" spans="23:23" x14ac:dyDescent="0.45">
      <c r="W1089" s="158"/>
    </row>
    <row r="1090" spans="23:23" x14ac:dyDescent="0.45">
      <c r="W1090" s="158"/>
    </row>
    <row r="1091" spans="23:23" x14ac:dyDescent="0.45">
      <c r="W1091" s="158"/>
    </row>
    <row r="1092" spans="23:23" x14ac:dyDescent="0.45">
      <c r="W1092" s="158"/>
    </row>
    <row r="1093" spans="23:23" x14ac:dyDescent="0.45">
      <c r="W1093" s="158"/>
    </row>
    <row r="1094" spans="23:23" x14ac:dyDescent="0.45">
      <c r="W1094" s="158"/>
    </row>
    <row r="1095" spans="23:23" x14ac:dyDescent="0.45">
      <c r="W1095" s="158"/>
    </row>
    <row r="1096" spans="23:23" x14ac:dyDescent="0.45">
      <c r="W1096" s="158"/>
    </row>
    <row r="1097" spans="23:23" x14ac:dyDescent="0.45">
      <c r="W1097" s="158"/>
    </row>
    <row r="1098" spans="23:23" x14ac:dyDescent="0.45">
      <c r="W1098" s="158"/>
    </row>
    <row r="1099" spans="23:23" x14ac:dyDescent="0.45">
      <c r="W1099" s="158"/>
    </row>
    <row r="1100" spans="23:23" x14ac:dyDescent="0.45">
      <c r="W1100" s="158"/>
    </row>
    <row r="1101" spans="23:23" x14ac:dyDescent="0.45">
      <c r="W1101" s="158"/>
    </row>
    <row r="1102" spans="23:23" x14ac:dyDescent="0.45">
      <c r="W1102" s="158"/>
    </row>
    <row r="1103" spans="23:23" x14ac:dyDescent="0.45">
      <c r="W1103" s="158"/>
    </row>
    <row r="1104" spans="23:23" x14ac:dyDescent="0.45">
      <c r="W1104" s="158"/>
    </row>
    <row r="1105" spans="23:23" x14ac:dyDescent="0.45">
      <c r="W1105" s="158"/>
    </row>
    <row r="1106" spans="23:23" x14ac:dyDescent="0.45">
      <c r="W1106" s="158"/>
    </row>
    <row r="1107" spans="23:23" x14ac:dyDescent="0.45">
      <c r="W1107" s="158"/>
    </row>
    <row r="1108" spans="23:23" x14ac:dyDescent="0.45">
      <c r="W1108" s="158"/>
    </row>
    <row r="1109" spans="23:23" x14ac:dyDescent="0.45">
      <c r="W1109" s="158"/>
    </row>
    <row r="1110" spans="23:23" x14ac:dyDescent="0.45">
      <c r="W1110" s="158"/>
    </row>
    <row r="1111" spans="23:23" x14ac:dyDescent="0.45">
      <c r="W1111" s="158"/>
    </row>
    <row r="1112" spans="23:23" x14ac:dyDescent="0.45">
      <c r="W1112" s="158"/>
    </row>
    <row r="1113" spans="23:23" x14ac:dyDescent="0.45">
      <c r="W1113" s="158"/>
    </row>
    <row r="1114" spans="23:23" x14ac:dyDescent="0.45">
      <c r="W1114" s="158"/>
    </row>
    <row r="1115" spans="23:23" x14ac:dyDescent="0.45">
      <c r="W1115" s="158"/>
    </row>
    <row r="1116" spans="23:23" x14ac:dyDescent="0.45">
      <c r="W1116" s="158"/>
    </row>
    <row r="1117" spans="23:23" x14ac:dyDescent="0.45">
      <c r="W1117" s="158"/>
    </row>
    <row r="1118" spans="23:23" x14ac:dyDescent="0.45">
      <c r="W1118" s="158"/>
    </row>
    <row r="1119" spans="23:23" x14ac:dyDescent="0.45">
      <c r="W1119" s="158"/>
    </row>
    <row r="1120" spans="23:23" x14ac:dyDescent="0.45">
      <c r="W1120" s="158"/>
    </row>
    <row r="1121" spans="23:23" x14ac:dyDescent="0.45">
      <c r="W1121" s="158"/>
    </row>
    <row r="1122" spans="23:23" x14ac:dyDescent="0.45">
      <c r="W1122" s="158"/>
    </row>
    <row r="1123" spans="23:23" x14ac:dyDescent="0.45">
      <c r="W1123" s="158"/>
    </row>
    <row r="1124" spans="23:23" x14ac:dyDescent="0.45">
      <c r="W1124" s="158"/>
    </row>
    <row r="1125" spans="23:23" x14ac:dyDescent="0.45">
      <c r="W1125" s="158"/>
    </row>
    <row r="1126" spans="23:23" x14ac:dyDescent="0.45">
      <c r="W1126" s="158"/>
    </row>
    <row r="1127" spans="23:23" x14ac:dyDescent="0.45">
      <c r="W1127" s="158"/>
    </row>
    <row r="1128" spans="23:23" x14ac:dyDescent="0.45">
      <c r="W1128" s="158"/>
    </row>
    <row r="1129" spans="23:23" x14ac:dyDescent="0.45">
      <c r="W1129" s="158"/>
    </row>
    <row r="1130" spans="23:23" x14ac:dyDescent="0.45">
      <c r="W1130" s="158"/>
    </row>
    <row r="1131" spans="23:23" x14ac:dyDescent="0.45">
      <c r="W1131" s="158"/>
    </row>
    <row r="1132" spans="23:23" x14ac:dyDescent="0.45">
      <c r="W1132" s="158"/>
    </row>
    <row r="1133" spans="23:23" x14ac:dyDescent="0.45">
      <c r="W1133" s="158"/>
    </row>
    <row r="1134" spans="23:23" x14ac:dyDescent="0.45">
      <c r="W1134" s="158"/>
    </row>
    <row r="1135" spans="23:23" x14ac:dyDescent="0.45">
      <c r="W1135" s="158"/>
    </row>
    <row r="1136" spans="23:23" x14ac:dyDescent="0.45">
      <c r="W1136" s="158"/>
    </row>
    <row r="1137" spans="23:23" x14ac:dyDescent="0.45">
      <c r="W1137" s="158"/>
    </row>
    <row r="1138" spans="23:23" x14ac:dyDescent="0.45">
      <c r="W1138" s="158"/>
    </row>
    <row r="1139" spans="23:23" x14ac:dyDescent="0.45">
      <c r="W1139" s="158"/>
    </row>
    <row r="1140" spans="23:23" x14ac:dyDescent="0.45">
      <c r="W1140" s="158"/>
    </row>
    <row r="1141" spans="23:23" x14ac:dyDescent="0.45">
      <c r="W1141" s="158"/>
    </row>
    <row r="1142" spans="23:23" x14ac:dyDescent="0.45">
      <c r="W1142" s="158"/>
    </row>
    <row r="1143" spans="23:23" x14ac:dyDescent="0.45">
      <c r="W1143" s="158"/>
    </row>
    <row r="1144" spans="23:23" x14ac:dyDescent="0.45">
      <c r="W1144" s="158"/>
    </row>
    <row r="1145" spans="23:23" x14ac:dyDescent="0.45">
      <c r="W1145" s="158"/>
    </row>
    <row r="1146" spans="23:23" x14ac:dyDescent="0.45">
      <c r="W1146" s="158"/>
    </row>
    <row r="1147" spans="23:23" x14ac:dyDescent="0.45">
      <c r="W1147" s="158"/>
    </row>
    <row r="1148" spans="23:23" x14ac:dyDescent="0.45">
      <c r="W1148" s="158"/>
    </row>
    <row r="1149" spans="23:23" x14ac:dyDescent="0.45">
      <c r="W1149" s="158"/>
    </row>
    <row r="1150" spans="23:23" x14ac:dyDescent="0.45">
      <c r="W1150" s="158"/>
    </row>
    <row r="1151" spans="23:23" x14ac:dyDescent="0.45">
      <c r="W1151" s="158"/>
    </row>
    <row r="1152" spans="23:23" x14ac:dyDescent="0.45">
      <c r="W1152" s="158"/>
    </row>
    <row r="1153" spans="23:23" x14ac:dyDescent="0.45">
      <c r="W1153" s="158"/>
    </row>
    <row r="1154" spans="23:23" x14ac:dyDescent="0.45">
      <c r="W1154" s="158"/>
    </row>
    <row r="1155" spans="23:23" x14ac:dyDescent="0.45">
      <c r="W1155" s="158"/>
    </row>
    <row r="1156" spans="23:23" x14ac:dyDescent="0.45">
      <c r="W1156" s="158"/>
    </row>
    <row r="1157" spans="23:23" x14ac:dyDescent="0.45">
      <c r="W1157" s="158"/>
    </row>
    <row r="1158" spans="23:23" x14ac:dyDescent="0.45">
      <c r="W1158" s="158"/>
    </row>
    <row r="1159" spans="23:23" x14ac:dyDescent="0.45">
      <c r="W1159" s="158"/>
    </row>
    <row r="1160" spans="23:23" x14ac:dyDescent="0.45">
      <c r="W1160" s="158"/>
    </row>
    <row r="1161" spans="23:23" x14ac:dyDescent="0.45">
      <c r="W1161" s="158"/>
    </row>
    <row r="1162" spans="23:23" x14ac:dyDescent="0.45">
      <c r="W1162" s="158"/>
    </row>
    <row r="1163" spans="23:23" x14ac:dyDescent="0.45">
      <c r="W1163" s="158"/>
    </row>
    <row r="1164" spans="23:23" x14ac:dyDescent="0.45">
      <c r="W1164" s="158"/>
    </row>
    <row r="1165" spans="23:23" x14ac:dyDescent="0.45">
      <c r="W1165" s="158"/>
    </row>
    <row r="1166" spans="23:23" x14ac:dyDescent="0.45">
      <c r="W1166" s="158"/>
    </row>
    <row r="1167" spans="23:23" x14ac:dyDescent="0.45">
      <c r="W1167" s="158"/>
    </row>
    <row r="1168" spans="23:23" x14ac:dyDescent="0.45">
      <c r="W1168" s="158"/>
    </row>
    <row r="1169" spans="23:23" x14ac:dyDescent="0.45">
      <c r="W1169" s="158"/>
    </row>
    <row r="1170" spans="23:23" x14ac:dyDescent="0.45">
      <c r="W1170" s="158"/>
    </row>
    <row r="1171" spans="23:23" x14ac:dyDescent="0.45">
      <c r="W1171" s="158"/>
    </row>
    <row r="1172" spans="23:23" x14ac:dyDescent="0.45">
      <c r="W1172" s="158"/>
    </row>
    <row r="1173" spans="23:23" x14ac:dyDescent="0.45">
      <c r="W1173" s="158"/>
    </row>
    <row r="1174" spans="23:23" x14ac:dyDescent="0.45">
      <c r="W1174" s="158"/>
    </row>
    <row r="1175" spans="23:23" x14ac:dyDescent="0.45">
      <c r="W1175" s="158"/>
    </row>
    <row r="1176" spans="23:23" x14ac:dyDescent="0.45">
      <c r="W1176" s="158"/>
    </row>
    <row r="1177" spans="23:23" x14ac:dyDescent="0.45">
      <c r="W1177" s="158"/>
    </row>
    <row r="1178" spans="23:23" x14ac:dyDescent="0.45">
      <c r="W1178" s="158"/>
    </row>
    <row r="1179" spans="23:23" x14ac:dyDescent="0.45">
      <c r="W1179" s="158"/>
    </row>
    <row r="1180" spans="23:23" x14ac:dyDescent="0.45">
      <c r="W1180" s="158"/>
    </row>
    <row r="1181" spans="23:23" x14ac:dyDescent="0.45">
      <c r="W1181" s="158"/>
    </row>
    <row r="1182" spans="23:23" x14ac:dyDescent="0.45">
      <c r="W1182" s="158"/>
    </row>
    <row r="1183" spans="23:23" x14ac:dyDescent="0.45">
      <c r="W1183" s="158"/>
    </row>
    <row r="1184" spans="23:23" x14ac:dyDescent="0.45">
      <c r="W1184" s="158"/>
    </row>
    <row r="1185" spans="23:23" x14ac:dyDescent="0.45">
      <c r="W1185" s="158"/>
    </row>
    <row r="1186" spans="23:23" x14ac:dyDescent="0.45">
      <c r="W1186" s="158"/>
    </row>
    <row r="1187" spans="23:23" x14ac:dyDescent="0.45">
      <c r="W1187" s="158"/>
    </row>
    <row r="1188" spans="23:23" x14ac:dyDescent="0.45">
      <c r="W1188" s="158"/>
    </row>
    <row r="1189" spans="23:23" x14ac:dyDescent="0.45">
      <c r="W1189" s="158"/>
    </row>
    <row r="1190" spans="23:23" x14ac:dyDescent="0.45">
      <c r="W1190" s="158"/>
    </row>
    <row r="1191" spans="23:23" x14ac:dyDescent="0.45">
      <c r="W1191" s="158"/>
    </row>
    <row r="1192" spans="23:23" x14ac:dyDescent="0.45">
      <c r="W1192" s="158"/>
    </row>
    <row r="1193" spans="23:23" x14ac:dyDescent="0.45">
      <c r="W1193" s="158"/>
    </row>
    <row r="1194" spans="23:23" x14ac:dyDescent="0.45">
      <c r="W1194" s="158"/>
    </row>
    <row r="1195" spans="23:23" x14ac:dyDescent="0.45">
      <c r="W1195" s="158"/>
    </row>
    <row r="1196" spans="23:23" x14ac:dyDescent="0.45">
      <c r="W1196" s="158"/>
    </row>
    <row r="1197" spans="23:23" x14ac:dyDescent="0.45">
      <c r="W1197" s="158"/>
    </row>
    <row r="1198" spans="23:23" x14ac:dyDescent="0.45">
      <c r="W1198" s="158"/>
    </row>
    <row r="1199" spans="23:23" x14ac:dyDescent="0.45">
      <c r="W1199" s="158"/>
    </row>
    <row r="1200" spans="23:23" x14ac:dyDescent="0.45">
      <c r="W1200" s="158"/>
    </row>
    <row r="1201" spans="23:23" x14ac:dyDescent="0.45">
      <c r="W1201" s="158"/>
    </row>
    <row r="1202" spans="23:23" x14ac:dyDescent="0.45">
      <c r="W1202" s="158"/>
    </row>
    <row r="1203" spans="23:23" x14ac:dyDescent="0.45">
      <c r="W1203" s="158"/>
    </row>
    <row r="1204" spans="23:23" x14ac:dyDescent="0.45">
      <c r="W1204" s="158"/>
    </row>
    <row r="1205" spans="23:23" x14ac:dyDescent="0.45">
      <c r="W1205" s="158"/>
    </row>
    <row r="1206" spans="23:23" x14ac:dyDescent="0.45">
      <c r="W1206" s="158"/>
    </row>
    <row r="1207" spans="23:23" x14ac:dyDescent="0.45">
      <c r="W1207" s="158"/>
    </row>
    <row r="1208" spans="23:23" x14ac:dyDescent="0.45">
      <c r="W1208" s="158"/>
    </row>
    <row r="1209" spans="23:23" x14ac:dyDescent="0.45">
      <c r="W1209" s="158"/>
    </row>
    <row r="1210" spans="23:23" x14ac:dyDescent="0.45">
      <c r="W1210" s="158"/>
    </row>
    <row r="1211" spans="23:23" x14ac:dyDescent="0.45">
      <c r="W1211" s="158"/>
    </row>
    <row r="1212" spans="23:23" x14ac:dyDescent="0.45">
      <c r="W1212" s="158"/>
    </row>
    <row r="1213" spans="23:23" x14ac:dyDescent="0.45">
      <c r="W1213" s="158"/>
    </row>
    <row r="1214" spans="23:23" x14ac:dyDescent="0.45">
      <c r="W1214" s="158"/>
    </row>
    <row r="1215" spans="23:23" x14ac:dyDescent="0.45">
      <c r="W1215" s="158"/>
    </row>
    <row r="1216" spans="23:23" x14ac:dyDescent="0.45">
      <c r="W1216" s="158"/>
    </row>
    <row r="1217" spans="23:23" x14ac:dyDescent="0.45">
      <c r="W1217" s="158"/>
    </row>
    <row r="1218" spans="23:23" x14ac:dyDescent="0.45">
      <c r="W1218" s="158"/>
    </row>
    <row r="1219" spans="23:23" x14ac:dyDescent="0.45">
      <c r="W1219" s="158"/>
    </row>
    <row r="1220" spans="23:23" x14ac:dyDescent="0.45">
      <c r="W1220" s="158"/>
    </row>
    <row r="1221" spans="23:23" x14ac:dyDescent="0.45">
      <c r="W1221" s="158"/>
    </row>
    <row r="1222" spans="23:23" x14ac:dyDescent="0.45">
      <c r="W1222" s="158"/>
    </row>
    <row r="1223" spans="23:23" x14ac:dyDescent="0.45">
      <c r="W1223" s="158"/>
    </row>
    <row r="1224" spans="23:23" x14ac:dyDescent="0.45">
      <c r="W1224" s="158"/>
    </row>
    <row r="1225" spans="23:23" x14ac:dyDescent="0.45">
      <c r="W1225" s="158"/>
    </row>
    <row r="1226" spans="23:23" x14ac:dyDescent="0.45">
      <c r="W1226" s="158"/>
    </row>
    <row r="1227" spans="23:23" x14ac:dyDescent="0.45">
      <c r="W1227" s="158"/>
    </row>
    <row r="1228" spans="23:23" x14ac:dyDescent="0.45">
      <c r="W1228" s="158"/>
    </row>
    <row r="1229" spans="23:23" x14ac:dyDescent="0.45">
      <c r="W1229" s="158"/>
    </row>
    <row r="1230" spans="23:23" x14ac:dyDescent="0.45">
      <c r="W1230" s="158"/>
    </row>
    <row r="1231" spans="23:23" x14ac:dyDescent="0.45">
      <c r="W1231" s="158"/>
    </row>
    <row r="1232" spans="23:23" x14ac:dyDescent="0.45">
      <c r="W1232" s="158"/>
    </row>
    <row r="1233" spans="23:23" x14ac:dyDescent="0.45">
      <c r="W1233" s="158"/>
    </row>
    <row r="1234" spans="23:23" x14ac:dyDescent="0.45">
      <c r="W1234" s="158"/>
    </row>
    <row r="1235" spans="23:23" x14ac:dyDescent="0.45">
      <c r="W1235" s="158"/>
    </row>
    <row r="1236" spans="23:23" x14ac:dyDescent="0.45">
      <c r="W1236" s="158"/>
    </row>
    <row r="1237" spans="23:23" x14ac:dyDescent="0.45">
      <c r="W1237" s="158"/>
    </row>
    <row r="1238" spans="23:23" x14ac:dyDescent="0.45">
      <c r="W1238" s="158"/>
    </row>
    <row r="1239" spans="23:23" x14ac:dyDescent="0.45">
      <c r="W1239" s="158"/>
    </row>
    <row r="1240" spans="23:23" x14ac:dyDescent="0.45">
      <c r="W1240" s="158"/>
    </row>
    <row r="1241" spans="23:23" x14ac:dyDescent="0.45">
      <c r="W1241" s="158"/>
    </row>
    <row r="1242" spans="23:23" x14ac:dyDescent="0.45">
      <c r="W1242" s="158"/>
    </row>
    <row r="1243" spans="23:23" x14ac:dyDescent="0.45">
      <c r="W1243" s="158"/>
    </row>
    <row r="1244" spans="23:23" x14ac:dyDescent="0.45">
      <c r="W1244" s="158"/>
    </row>
    <row r="1245" spans="23:23" x14ac:dyDescent="0.45">
      <c r="W1245" s="158"/>
    </row>
    <row r="1246" spans="23:23" x14ac:dyDescent="0.45">
      <c r="W1246" s="158"/>
    </row>
    <row r="1247" spans="23:23" x14ac:dyDescent="0.45">
      <c r="W1247" s="158"/>
    </row>
    <row r="1248" spans="23:23" x14ac:dyDescent="0.45">
      <c r="W1248" s="158"/>
    </row>
    <row r="1249" spans="23:23" x14ac:dyDescent="0.45">
      <c r="W1249" s="158"/>
    </row>
    <row r="1250" spans="23:23" x14ac:dyDescent="0.45">
      <c r="W1250" s="158"/>
    </row>
    <row r="1251" spans="23:23" x14ac:dyDescent="0.45">
      <c r="W1251" s="158"/>
    </row>
    <row r="1252" spans="23:23" x14ac:dyDescent="0.45">
      <c r="W1252" s="158"/>
    </row>
    <row r="1253" spans="23:23" x14ac:dyDescent="0.45">
      <c r="W1253" s="158"/>
    </row>
    <row r="1254" spans="23:23" x14ac:dyDescent="0.45">
      <c r="W1254" s="158"/>
    </row>
    <row r="1255" spans="23:23" x14ac:dyDescent="0.45">
      <c r="W1255" s="158"/>
    </row>
    <row r="1256" spans="23:23" x14ac:dyDescent="0.45">
      <c r="W1256" s="158"/>
    </row>
    <row r="1257" spans="23:23" x14ac:dyDescent="0.45">
      <c r="W1257" s="158"/>
    </row>
    <row r="1258" spans="23:23" x14ac:dyDescent="0.45">
      <c r="W1258" s="158"/>
    </row>
    <row r="1259" spans="23:23" x14ac:dyDescent="0.45">
      <c r="W1259" s="158"/>
    </row>
    <row r="1260" spans="23:23" x14ac:dyDescent="0.45">
      <c r="W1260" s="158"/>
    </row>
    <row r="1261" spans="23:23" x14ac:dyDescent="0.45">
      <c r="W1261" s="158"/>
    </row>
    <row r="1262" spans="23:23" x14ac:dyDescent="0.45">
      <c r="W1262" s="158"/>
    </row>
    <row r="1263" spans="23:23" x14ac:dyDescent="0.45">
      <c r="W1263" s="158"/>
    </row>
    <row r="1264" spans="23:23" x14ac:dyDescent="0.45">
      <c r="W1264" s="158"/>
    </row>
    <row r="1265" spans="23:23" x14ac:dyDescent="0.45">
      <c r="W1265" s="158"/>
    </row>
    <row r="1266" spans="23:23" x14ac:dyDescent="0.45">
      <c r="W1266" s="158"/>
    </row>
    <row r="1267" spans="23:23" x14ac:dyDescent="0.45">
      <c r="W1267" s="158"/>
    </row>
    <row r="1268" spans="23:23" x14ac:dyDescent="0.45">
      <c r="W1268" s="158"/>
    </row>
    <row r="1269" spans="23:23" x14ac:dyDescent="0.45">
      <c r="W1269" s="158"/>
    </row>
    <row r="1270" spans="23:23" x14ac:dyDescent="0.45">
      <c r="W1270" s="158"/>
    </row>
    <row r="1271" spans="23:23" x14ac:dyDescent="0.45">
      <c r="W1271" s="158"/>
    </row>
    <row r="1272" spans="23:23" x14ac:dyDescent="0.45">
      <c r="W1272" s="158"/>
    </row>
    <row r="1273" spans="23:23" x14ac:dyDescent="0.45">
      <c r="W1273" s="158"/>
    </row>
    <row r="1274" spans="23:23" x14ac:dyDescent="0.45">
      <c r="W1274" s="158"/>
    </row>
    <row r="1275" spans="23:23" x14ac:dyDescent="0.45">
      <c r="W1275" s="158"/>
    </row>
    <row r="1276" spans="23:23" x14ac:dyDescent="0.45">
      <c r="W1276" s="158"/>
    </row>
    <row r="1277" spans="23:23" x14ac:dyDescent="0.45">
      <c r="W1277" s="158"/>
    </row>
    <row r="1278" spans="23:23" x14ac:dyDescent="0.45">
      <c r="W1278" s="158"/>
    </row>
    <row r="1279" spans="23:23" x14ac:dyDescent="0.45">
      <c r="W1279" s="158"/>
    </row>
    <row r="1280" spans="23:23" x14ac:dyDescent="0.45">
      <c r="W1280" s="158"/>
    </row>
    <row r="1281" spans="23:23" x14ac:dyDescent="0.45">
      <c r="W1281" s="158"/>
    </row>
    <row r="1282" spans="23:23" x14ac:dyDescent="0.45">
      <c r="W1282" s="158"/>
    </row>
    <row r="1283" spans="23:23" x14ac:dyDescent="0.45">
      <c r="W1283" s="158"/>
    </row>
    <row r="1284" spans="23:23" x14ac:dyDescent="0.45">
      <c r="W1284" s="158"/>
    </row>
    <row r="1285" spans="23:23" x14ac:dyDescent="0.45">
      <c r="W1285" s="158"/>
    </row>
    <row r="1286" spans="23:23" x14ac:dyDescent="0.45">
      <c r="W1286" s="158"/>
    </row>
    <row r="1287" spans="23:23" x14ac:dyDescent="0.45">
      <c r="W1287" s="158"/>
    </row>
    <row r="1288" spans="23:23" x14ac:dyDescent="0.45">
      <c r="W1288" s="158"/>
    </row>
    <row r="1289" spans="23:23" x14ac:dyDescent="0.45">
      <c r="W1289" s="158"/>
    </row>
    <row r="1290" spans="23:23" x14ac:dyDescent="0.45">
      <c r="W1290" s="158"/>
    </row>
    <row r="1291" spans="23:23" x14ac:dyDescent="0.45">
      <c r="W1291" s="158"/>
    </row>
    <row r="1292" spans="23:23" x14ac:dyDescent="0.45">
      <c r="W1292" s="158"/>
    </row>
    <row r="1293" spans="23:23" x14ac:dyDescent="0.45">
      <c r="W1293" s="158"/>
    </row>
    <row r="1294" spans="23:23" x14ac:dyDescent="0.45">
      <c r="W1294" s="158"/>
    </row>
    <row r="1295" spans="23:23" x14ac:dyDescent="0.45">
      <c r="W1295" s="158"/>
    </row>
    <row r="1296" spans="23:23" x14ac:dyDescent="0.45">
      <c r="W1296" s="158"/>
    </row>
    <row r="1297" spans="23:23" x14ac:dyDescent="0.45">
      <c r="W1297" s="158"/>
    </row>
    <row r="1298" spans="23:23" x14ac:dyDescent="0.45">
      <c r="W1298" s="158"/>
    </row>
    <row r="1299" spans="23:23" x14ac:dyDescent="0.45">
      <c r="W1299" s="158"/>
    </row>
    <row r="1300" spans="23:23" x14ac:dyDescent="0.45">
      <c r="W1300" s="158"/>
    </row>
    <row r="1301" spans="23:23" x14ac:dyDescent="0.45">
      <c r="W1301" s="158"/>
    </row>
    <row r="1302" spans="23:23" x14ac:dyDescent="0.45">
      <c r="W1302" s="158"/>
    </row>
    <row r="1303" spans="23:23" x14ac:dyDescent="0.45">
      <c r="W1303" s="158"/>
    </row>
    <row r="1304" spans="23:23" x14ac:dyDescent="0.45">
      <c r="W1304" s="158"/>
    </row>
    <row r="1305" spans="23:23" x14ac:dyDescent="0.45">
      <c r="W1305" s="158"/>
    </row>
    <row r="1306" spans="23:23" x14ac:dyDescent="0.45">
      <c r="W1306" s="158"/>
    </row>
    <row r="1307" spans="23:23" x14ac:dyDescent="0.45">
      <c r="W1307" s="158"/>
    </row>
    <row r="1308" spans="23:23" x14ac:dyDescent="0.45">
      <c r="W1308" s="158"/>
    </row>
    <row r="1309" spans="23:23" x14ac:dyDescent="0.45">
      <c r="W1309" s="158"/>
    </row>
    <row r="1310" spans="23:23" x14ac:dyDescent="0.45">
      <c r="W1310" s="158"/>
    </row>
    <row r="1311" spans="23:23" x14ac:dyDescent="0.45">
      <c r="W1311" s="158"/>
    </row>
    <row r="1312" spans="23:23" x14ac:dyDescent="0.45">
      <c r="W1312" s="158"/>
    </row>
    <row r="1313" spans="23:23" x14ac:dyDescent="0.45">
      <c r="W1313" s="158"/>
    </row>
    <row r="1314" spans="23:23" x14ac:dyDescent="0.45">
      <c r="W1314" s="158"/>
    </row>
    <row r="1315" spans="23:23" x14ac:dyDescent="0.45">
      <c r="W1315" s="158"/>
    </row>
    <row r="1316" spans="23:23" x14ac:dyDescent="0.45">
      <c r="W1316" s="158"/>
    </row>
    <row r="1317" spans="23:23" x14ac:dyDescent="0.45">
      <c r="W1317" s="158"/>
    </row>
    <row r="1318" spans="23:23" x14ac:dyDescent="0.45">
      <c r="W1318" s="158"/>
    </row>
    <row r="1319" spans="23:23" x14ac:dyDescent="0.45">
      <c r="W1319" s="158"/>
    </row>
    <row r="1320" spans="23:23" x14ac:dyDescent="0.45">
      <c r="W1320" s="158"/>
    </row>
    <row r="1321" spans="23:23" x14ac:dyDescent="0.45">
      <c r="W1321" s="158"/>
    </row>
    <row r="1322" spans="23:23" x14ac:dyDescent="0.45">
      <c r="W1322" s="158"/>
    </row>
    <row r="1323" spans="23:23" x14ac:dyDescent="0.45">
      <c r="W1323" s="158"/>
    </row>
    <row r="1324" spans="23:23" x14ac:dyDescent="0.45">
      <c r="W1324" s="158"/>
    </row>
    <row r="1325" spans="23:23" x14ac:dyDescent="0.45">
      <c r="W1325" s="158"/>
    </row>
    <row r="1326" spans="23:23" x14ac:dyDescent="0.45">
      <c r="W1326" s="158"/>
    </row>
    <row r="1327" spans="23:23" x14ac:dyDescent="0.45">
      <c r="W1327" s="158"/>
    </row>
    <row r="1328" spans="23:23" x14ac:dyDescent="0.45">
      <c r="W1328" s="158"/>
    </row>
    <row r="1329" spans="23:23" x14ac:dyDescent="0.45">
      <c r="W1329" s="158"/>
    </row>
    <row r="1330" spans="23:23" x14ac:dyDescent="0.45">
      <c r="W1330" s="158"/>
    </row>
    <row r="1331" spans="23:23" x14ac:dyDescent="0.45">
      <c r="W1331" s="158"/>
    </row>
    <row r="1332" spans="23:23" x14ac:dyDescent="0.45">
      <c r="W1332" s="158"/>
    </row>
    <row r="1333" spans="23:23" x14ac:dyDescent="0.45">
      <c r="W1333" s="158"/>
    </row>
    <row r="1334" spans="23:23" x14ac:dyDescent="0.45">
      <c r="W1334" s="158"/>
    </row>
    <row r="1335" spans="23:23" x14ac:dyDescent="0.45">
      <c r="W1335" s="158"/>
    </row>
    <row r="1336" spans="23:23" x14ac:dyDescent="0.45">
      <c r="W1336" s="158"/>
    </row>
    <row r="1337" spans="23:23" x14ac:dyDescent="0.45">
      <c r="W1337" s="158"/>
    </row>
    <row r="1338" spans="23:23" x14ac:dyDescent="0.45">
      <c r="W1338" s="158"/>
    </row>
    <row r="1339" spans="23:23" x14ac:dyDescent="0.45">
      <c r="W1339" s="158"/>
    </row>
    <row r="1340" spans="23:23" x14ac:dyDescent="0.45">
      <c r="W1340" s="158"/>
    </row>
    <row r="1341" spans="23:23" x14ac:dyDescent="0.45">
      <c r="W1341" s="158"/>
    </row>
    <row r="1342" spans="23:23" x14ac:dyDescent="0.45">
      <c r="W1342" s="158"/>
    </row>
    <row r="1343" spans="23:23" x14ac:dyDescent="0.45">
      <c r="W1343" s="158"/>
    </row>
    <row r="1344" spans="23:23" x14ac:dyDescent="0.45">
      <c r="W1344" s="158"/>
    </row>
    <row r="1345" spans="23:23" x14ac:dyDescent="0.45">
      <c r="W1345" s="158"/>
    </row>
    <row r="1346" spans="23:23" x14ac:dyDescent="0.45">
      <c r="W1346" s="158"/>
    </row>
    <row r="1347" spans="23:23" x14ac:dyDescent="0.45">
      <c r="W1347" s="158"/>
    </row>
    <row r="1348" spans="23:23" x14ac:dyDescent="0.45">
      <c r="W1348" s="158"/>
    </row>
    <row r="1349" spans="23:23" x14ac:dyDescent="0.45">
      <c r="W1349" s="158"/>
    </row>
    <row r="1350" spans="23:23" x14ac:dyDescent="0.45">
      <c r="W1350" s="158"/>
    </row>
    <row r="1351" spans="23:23" x14ac:dyDescent="0.45">
      <c r="W1351" s="158"/>
    </row>
    <row r="1352" spans="23:23" x14ac:dyDescent="0.45">
      <c r="W1352" s="158"/>
    </row>
    <row r="1353" spans="23:23" x14ac:dyDescent="0.45">
      <c r="W1353" s="158"/>
    </row>
    <row r="1354" spans="23:23" x14ac:dyDescent="0.45">
      <c r="W1354" s="158"/>
    </row>
    <row r="1355" spans="23:23" x14ac:dyDescent="0.45">
      <c r="W1355" s="158"/>
    </row>
    <row r="1356" spans="23:23" x14ac:dyDescent="0.45">
      <c r="W1356" s="158"/>
    </row>
    <row r="1357" spans="23:23" x14ac:dyDescent="0.45">
      <c r="W1357" s="158"/>
    </row>
    <row r="1358" spans="23:23" x14ac:dyDescent="0.45">
      <c r="W1358" s="158"/>
    </row>
    <row r="1359" spans="23:23" x14ac:dyDescent="0.45">
      <c r="W1359" s="158"/>
    </row>
    <row r="1360" spans="23:23" x14ac:dyDescent="0.45">
      <c r="W1360" s="158"/>
    </row>
    <row r="1361" spans="23:23" x14ac:dyDescent="0.45">
      <c r="W1361" s="158"/>
    </row>
    <row r="1362" spans="23:23" x14ac:dyDescent="0.45">
      <c r="W1362" s="158"/>
    </row>
    <row r="1363" spans="23:23" x14ac:dyDescent="0.45">
      <c r="W1363" s="158"/>
    </row>
    <row r="1364" spans="23:23" x14ac:dyDescent="0.45">
      <c r="W1364" s="158"/>
    </row>
    <row r="1365" spans="23:23" x14ac:dyDescent="0.45">
      <c r="W1365" s="158"/>
    </row>
    <row r="1366" spans="23:23" x14ac:dyDescent="0.45">
      <c r="W1366" s="158"/>
    </row>
    <row r="1367" spans="23:23" x14ac:dyDescent="0.45">
      <c r="W1367" s="158"/>
    </row>
    <row r="1368" spans="23:23" x14ac:dyDescent="0.45">
      <c r="W1368" s="158"/>
    </row>
    <row r="1369" spans="23:23" x14ac:dyDescent="0.45">
      <c r="W1369" s="158"/>
    </row>
    <row r="1370" spans="23:23" x14ac:dyDescent="0.45">
      <c r="W1370" s="158"/>
    </row>
    <row r="1371" spans="23:23" x14ac:dyDescent="0.45">
      <c r="W1371" s="158"/>
    </row>
    <row r="1372" spans="23:23" x14ac:dyDescent="0.45">
      <c r="W1372" s="158"/>
    </row>
    <row r="1373" spans="23:23" x14ac:dyDescent="0.45">
      <c r="W1373" s="158"/>
    </row>
    <row r="1374" spans="23:23" x14ac:dyDescent="0.45">
      <c r="W1374" s="158"/>
    </row>
    <row r="1375" spans="23:23" x14ac:dyDescent="0.45">
      <c r="W1375" s="158"/>
    </row>
    <row r="1376" spans="23:23" x14ac:dyDescent="0.45">
      <c r="W1376" s="158"/>
    </row>
    <row r="1377" spans="23:23" x14ac:dyDescent="0.45">
      <c r="W1377" s="158"/>
    </row>
    <row r="1378" spans="23:23" x14ac:dyDescent="0.45">
      <c r="W1378" s="158"/>
    </row>
    <row r="1379" spans="23:23" x14ac:dyDescent="0.45">
      <c r="W1379" s="158"/>
    </row>
    <row r="1380" spans="23:23" x14ac:dyDescent="0.45">
      <c r="W1380" s="158"/>
    </row>
    <row r="1381" spans="23:23" x14ac:dyDescent="0.45">
      <c r="W1381" s="158"/>
    </row>
    <row r="1382" spans="23:23" x14ac:dyDescent="0.45">
      <c r="W1382" s="158"/>
    </row>
    <row r="1383" spans="23:23" x14ac:dyDescent="0.45">
      <c r="W1383" s="158"/>
    </row>
    <row r="1384" spans="23:23" x14ac:dyDescent="0.45">
      <c r="W1384" s="158"/>
    </row>
    <row r="1385" spans="23:23" x14ac:dyDescent="0.45">
      <c r="W1385" s="158"/>
    </row>
    <row r="1386" spans="23:23" x14ac:dyDescent="0.45">
      <c r="W1386" s="158"/>
    </row>
    <row r="1387" spans="23:23" x14ac:dyDescent="0.45">
      <c r="W1387" s="158"/>
    </row>
    <row r="1388" spans="23:23" x14ac:dyDescent="0.45">
      <c r="W1388" s="158"/>
    </row>
    <row r="1389" spans="23:23" x14ac:dyDescent="0.45">
      <c r="W1389" s="158"/>
    </row>
    <row r="1390" spans="23:23" x14ac:dyDescent="0.45">
      <c r="W1390" s="158"/>
    </row>
    <row r="1391" spans="23:23" x14ac:dyDescent="0.45">
      <c r="W1391" s="158"/>
    </row>
    <row r="1392" spans="23:23" x14ac:dyDescent="0.45">
      <c r="W1392" s="158"/>
    </row>
    <row r="1393" spans="23:23" x14ac:dyDescent="0.45">
      <c r="W1393" s="158"/>
    </row>
    <row r="1394" spans="23:23" x14ac:dyDescent="0.45">
      <c r="W1394" s="158"/>
    </row>
    <row r="1395" spans="23:23" x14ac:dyDescent="0.45">
      <c r="W1395" s="158"/>
    </row>
    <row r="1396" spans="23:23" x14ac:dyDescent="0.45">
      <c r="W1396" s="158"/>
    </row>
    <row r="1397" spans="23:23" x14ac:dyDescent="0.45">
      <c r="W1397" s="158"/>
    </row>
    <row r="1398" spans="23:23" x14ac:dyDescent="0.45">
      <c r="W1398" s="158"/>
    </row>
    <row r="1399" spans="23:23" x14ac:dyDescent="0.45">
      <c r="W1399" s="158"/>
    </row>
    <row r="1400" spans="23:23" x14ac:dyDescent="0.45">
      <c r="W1400" s="158"/>
    </row>
    <row r="1401" spans="23:23" x14ac:dyDescent="0.45">
      <c r="W1401" s="158"/>
    </row>
    <row r="1402" spans="23:23" x14ac:dyDescent="0.45">
      <c r="W1402" s="158"/>
    </row>
    <row r="1403" spans="23:23" x14ac:dyDescent="0.45">
      <c r="W1403" s="158"/>
    </row>
    <row r="1404" spans="23:23" x14ac:dyDescent="0.45">
      <c r="W1404" s="158"/>
    </row>
    <row r="1405" spans="23:23" x14ac:dyDescent="0.45">
      <c r="W1405" s="158"/>
    </row>
    <row r="1406" spans="23:23" x14ac:dyDescent="0.45">
      <c r="W1406" s="158"/>
    </row>
    <row r="1407" spans="23:23" x14ac:dyDescent="0.45">
      <c r="W1407" s="158"/>
    </row>
    <row r="1408" spans="23:23" x14ac:dyDescent="0.45">
      <c r="W1408" s="158"/>
    </row>
    <row r="1409" spans="23:23" x14ac:dyDescent="0.45">
      <c r="W1409" s="158"/>
    </row>
    <row r="1410" spans="23:23" x14ac:dyDescent="0.45">
      <c r="W1410" s="158"/>
    </row>
    <row r="1411" spans="23:23" x14ac:dyDescent="0.45">
      <c r="W1411" s="158"/>
    </row>
    <row r="1412" spans="23:23" x14ac:dyDescent="0.45">
      <c r="W1412" s="158"/>
    </row>
    <row r="1413" spans="23:23" x14ac:dyDescent="0.45">
      <c r="W1413" s="158"/>
    </row>
    <row r="1414" spans="23:23" x14ac:dyDescent="0.45">
      <c r="W1414" s="158"/>
    </row>
    <row r="1415" spans="23:23" x14ac:dyDescent="0.45">
      <c r="W1415" s="158"/>
    </row>
    <row r="1416" spans="23:23" x14ac:dyDescent="0.45">
      <c r="W1416" s="158"/>
    </row>
    <row r="1417" spans="23:23" x14ac:dyDescent="0.45">
      <c r="W1417" s="158"/>
    </row>
    <row r="1418" spans="23:23" x14ac:dyDescent="0.45">
      <c r="W1418" s="158"/>
    </row>
    <row r="1419" spans="23:23" x14ac:dyDescent="0.45">
      <c r="W1419" s="158"/>
    </row>
    <row r="1420" spans="23:23" x14ac:dyDescent="0.45">
      <c r="W1420" s="158"/>
    </row>
    <row r="1421" spans="23:23" x14ac:dyDescent="0.45">
      <c r="W1421" s="158"/>
    </row>
    <row r="1422" spans="23:23" x14ac:dyDescent="0.45">
      <c r="W1422" s="158"/>
    </row>
    <row r="1423" spans="23:23" x14ac:dyDescent="0.45">
      <c r="W1423" s="158"/>
    </row>
    <row r="1424" spans="23:23" x14ac:dyDescent="0.45">
      <c r="W1424" s="158"/>
    </row>
    <row r="1425" spans="23:23" x14ac:dyDescent="0.45">
      <c r="W1425" s="158"/>
    </row>
    <row r="1426" spans="23:23" x14ac:dyDescent="0.45">
      <c r="W1426" s="158"/>
    </row>
    <row r="1427" spans="23:23" x14ac:dyDescent="0.45">
      <c r="W1427" s="158"/>
    </row>
    <row r="1428" spans="23:23" x14ac:dyDescent="0.45">
      <c r="W1428" s="158"/>
    </row>
    <row r="1429" spans="23:23" x14ac:dyDescent="0.45">
      <c r="W1429" s="158"/>
    </row>
    <row r="1430" spans="23:23" x14ac:dyDescent="0.45">
      <c r="W1430" s="158"/>
    </row>
    <row r="1431" spans="23:23" x14ac:dyDescent="0.45">
      <c r="W1431" s="158"/>
    </row>
    <row r="1432" spans="23:23" x14ac:dyDescent="0.45">
      <c r="W1432" s="158"/>
    </row>
    <row r="1433" spans="23:23" x14ac:dyDescent="0.45">
      <c r="W1433" s="158"/>
    </row>
    <row r="1434" spans="23:23" x14ac:dyDescent="0.45">
      <c r="W1434" s="158"/>
    </row>
    <row r="1435" spans="23:23" x14ac:dyDescent="0.45">
      <c r="W1435" s="158"/>
    </row>
    <row r="1436" spans="23:23" x14ac:dyDescent="0.45">
      <c r="W1436" s="158"/>
    </row>
    <row r="1437" spans="23:23" x14ac:dyDescent="0.45">
      <c r="W1437" s="158"/>
    </row>
    <row r="1438" spans="23:23" x14ac:dyDescent="0.45">
      <c r="W1438" s="158"/>
    </row>
    <row r="1439" spans="23:23" x14ac:dyDescent="0.45">
      <c r="W1439" s="158"/>
    </row>
    <row r="1440" spans="23:23" x14ac:dyDescent="0.45">
      <c r="W1440" s="158"/>
    </row>
    <row r="1441" spans="23:23" x14ac:dyDescent="0.45">
      <c r="W1441" s="158"/>
    </row>
    <row r="1442" spans="23:23" x14ac:dyDescent="0.45">
      <c r="W1442" s="158"/>
    </row>
    <row r="1443" spans="23:23" x14ac:dyDescent="0.45">
      <c r="W1443" s="158"/>
    </row>
    <row r="1444" spans="23:23" x14ac:dyDescent="0.45">
      <c r="W1444" s="158"/>
    </row>
    <row r="1445" spans="23:23" x14ac:dyDescent="0.45">
      <c r="W1445" s="158"/>
    </row>
    <row r="1446" spans="23:23" x14ac:dyDescent="0.45">
      <c r="W1446" s="158"/>
    </row>
    <row r="1447" spans="23:23" x14ac:dyDescent="0.45">
      <c r="W1447" s="158"/>
    </row>
    <row r="1448" spans="23:23" x14ac:dyDescent="0.45">
      <c r="W1448" s="158"/>
    </row>
    <row r="1449" spans="23:23" x14ac:dyDescent="0.45">
      <c r="W1449" s="158"/>
    </row>
    <row r="1450" spans="23:23" x14ac:dyDescent="0.45">
      <c r="W1450" s="158"/>
    </row>
    <row r="1451" spans="23:23" x14ac:dyDescent="0.45">
      <c r="W1451" s="158"/>
    </row>
    <row r="1452" spans="23:23" x14ac:dyDescent="0.45">
      <c r="W1452" s="158"/>
    </row>
    <row r="1453" spans="23:23" x14ac:dyDescent="0.45">
      <c r="W1453" s="158"/>
    </row>
    <row r="1454" spans="23:23" x14ac:dyDescent="0.45">
      <c r="W1454" s="158"/>
    </row>
    <row r="1455" spans="23:23" x14ac:dyDescent="0.45">
      <c r="W1455" s="158"/>
    </row>
    <row r="1456" spans="23:23" x14ac:dyDescent="0.45">
      <c r="W1456" s="158"/>
    </row>
    <row r="1457" spans="23:23" x14ac:dyDescent="0.45">
      <c r="W1457" s="158"/>
    </row>
    <row r="1458" spans="23:23" x14ac:dyDescent="0.45">
      <c r="W1458" s="158"/>
    </row>
    <row r="1459" spans="23:23" x14ac:dyDescent="0.45">
      <c r="W1459" s="158"/>
    </row>
    <row r="1460" spans="23:23" x14ac:dyDescent="0.45">
      <c r="W1460" s="158"/>
    </row>
    <row r="1461" spans="23:23" x14ac:dyDescent="0.45">
      <c r="W1461" s="158"/>
    </row>
    <row r="1462" spans="23:23" x14ac:dyDescent="0.45">
      <c r="W1462" s="158"/>
    </row>
    <row r="1463" spans="23:23" x14ac:dyDescent="0.45">
      <c r="W1463" s="158"/>
    </row>
    <row r="1464" spans="23:23" x14ac:dyDescent="0.45">
      <c r="W1464" s="158"/>
    </row>
    <row r="1465" spans="23:23" x14ac:dyDescent="0.45">
      <c r="W1465" s="158"/>
    </row>
    <row r="1466" spans="23:23" x14ac:dyDescent="0.45">
      <c r="W1466" s="158"/>
    </row>
    <row r="1467" spans="23:23" x14ac:dyDescent="0.45">
      <c r="W1467" s="158"/>
    </row>
    <row r="1468" spans="23:23" x14ac:dyDescent="0.45">
      <c r="W1468" s="158"/>
    </row>
    <row r="1469" spans="23:23" x14ac:dyDescent="0.45">
      <c r="W1469" s="158"/>
    </row>
    <row r="1470" spans="23:23" x14ac:dyDescent="0.45">
      <c r="W1470" s="158"/>
    </row>
    <row r="1471" spans="23:23" x14ac:dyDescent="0.45">
      <c r="W1471" s="158"/>
    </row>
    <row r="1472" spans="23:23" x14ac:dyDescent="0.45">
      <c r="W1472" s="158"/>
    </row>
    <row r="1473" spans="23:23" x14ac:dyDescent="0.45">
      <c r="W1473" s="158"/>
    </row>
    <row r="1474" spans="23:23" x14ac:dyDescent="0.45">
      <c r="W1474" s="158"/>
    </row>
    <row r="1475" spans="23:23" x14ac:dyDescent="0.45">
      <c r="W1475" s="158"/>
    </row>
    <row r="1476" spans="23:23" x14ac:dyDescent="0.45">
      <c r="W1476" s="158"/>
    </row>
    <row r="1477" spans="23:23" x14ac:dyDescent="0.45">
      <c r="W1477" s="158"/>
    </row>
    <row r="1478" spans="23:23" x14ac:dyDescent="0.45">
      <c r="W1478" s="158"/>
    </row>
    <row r="1479" spans="23:23" x14ac:dyDescent="0.45">
      <c r="W1479" s="158"/>
    </row>
    <row r="1480" spans="23:23" x14ac:dyDescent="0.45">
      <c r="W1480" s="158"/>
    </row>
    <row r="1481" spans="23:23" x14ac:dyDescent="0.45">
      <c r="W1481" s="158"/>
    </row>
    <row r="1482" spans="23:23" x14ac:dyDescent="0.45">
      <c r="W1482" s="158"/>
    </row>
    <row r="1483" spans="23:23" x14ac:dyDescent="0.45">
      <c r="W1483" s="158"/>
    </row>
    <row r="1484" spans="23:23" x14ac:dyDescent="0.45">
      <c r="W1484" s="158"/>
    </row>
    <row r="1485" spans="23:23" x14ac:dyDescent="0.45">
      <c r="W1485" s="158"/>
    </row>
    <row r="1486" spans="23:23" x14ac:dyDescent="0.45">
      <c r="W1486" s="158"/>
    </row>
    <row r="1487" spans="23:23" x14ac:dyDescent="0.45">
      <c r="W1487" s="158"/>
    </row>
    <row r="1488" spans="23:23" x14ac:dyDescent="0.45">
      <c r="W1488" s="158"/>
    </row>
    <row r="1489" spans="23:23" x14ac:dyDescent="0.45">
      <c r="W1489" s="158"/>
    </row>
    <row r="1490" spans="23:23" x14ac:dyDescent="0.45">
      <c r="W1490" s="158"/>
    </row>
    <row r="1491" spans="23:23" x14ac:dyDescent="0.45">
      <c r="W1491" s="158"/>
    </row>
    <row r="1492" spans="23:23" x14ac:dyDescent="0.45">
      <c r="W1492" s="158"/>
    </row>
    <row r="1493" spans="23:23" x14ac:dyDescent="0.45">
      <c r="W1493" s="158"/>
    </row>
    <row r="1494" spans="23:23" x14ac:dyDescent="0.45">
      <c r="W1494" s="158"/>
    </row>
    <row r="1495" spans="23:23" x14ac:dyDescent="0.45">
      <c r="W1495" s="158"/>
    </row>
    <row r="1496" spans="23:23" x14ac:dyDescent="0.45">
      <c r="W1496" s="158"/>
    </row>
    <row r="1497" spans="23:23" x14ac:dyDescent="0.45">
      <c r="W1497" s="158"/>
    </row>
    <row r="1498" spans="23:23" x14ac:dyDescent="0.45">
      <c r="W1498" s="158"/>
    </row>
    <row r="1499" spans="23:23" x14ac:dyDescent="0.45">
      <c r="W1499" s="158"/>
    </row>
    <row r="1500" spans="23:23" x14ac:dyDescent="0.45">
      <c r="W1500" s="158"/>
    </row>
    <row r="1501" spans="23:23" x14ac:dyDescent="0.45">
      <c r="W1501" s="158"/>
    </row>
    <row r="1502" spans="23:23" x14ac:dyDescent="0.45">
      <c r="W1502" s="158"/>
    </row>
    <row r="1503" spans="23:23" x14ac:dyDescent="0.45">
      <c r="W1503" s="158"/>
    </row>
    <row r="1504" spans="23:23" x14ac:dyDescent="0.45">
      <c r="W1504" s="158"/>
    </row>
    <row r="1505" spans="23:23" x14ac:dyDescent="0.45">
      <c r="W1505" s="158"/>
    </row>
    <row r="1506" spans="23:23" x14ac:dyDescent="0.45">
      <c r="W1506" s="158"/>
    </row>
    <row r="1507" spans="23:23" x14ac:dyDescent="0.45">
      <c r="W1507" s="158"/>
    </row>
    <row r="1508" spans="23:23" x14ac:dyDescent="0.45">
      <c r="W1508" s="158"/>
    </row>
    <row r="1509" spans="23:23" x14ac:dyDescent="0.45">
      <c r="W1509" s="158"/>
    </row>
    <row r="1510" spans="23:23" x14ac:dyDescent="0.45">
      <c r="W1510" s="158"/>
    </row>
    <row r="1511" spans="23:23" x14ac:dyDescent="0.45">
      <c r="W1511" s="158"/>
    </row>
    <row r="1512" spans="23:23" x14ac:dyDescent="0.45">
      <c r="W1512" s="158"/>
    </row>
    <row r="1513" spans="23:23" x14ac:dyDescent="0.45">
      <c r="W1513" s="158"/>
    </row>
    <row r="1514" spans="23:23" x14ac:dyDescent="0.45">
      <c r="W1514" s="158"/>
    </row>
    <row r="1515" spans="23:23" x14ac:dyDescent="0.45">
      <c r="W1515" s="158"/>
    </row>
    <row r="1516" spans="23:23" x14ac:dyDescent="0.45">
      <c r="W1516" s="158"/>
    </row>
    <row r="1517" spans="23:23" x14ac:dyDescent="0.45">
      <c r="W1517" s="158"/>
    </row>
    <row r="1518" spans="23:23" x14ac:dyDescent="0.45">
      <c r="W1518" s="158"/>
    </row>
    <row r="1519" spans="23:23" x14ac:dyDescent="0.45">
      <c r="W1519" s="158"/>
    </row>
    <row r="1520" spans="23:23" x14ac:dyDescent="0.45">
      <c r="W1520" s="158"/>
    </row>
    <row r="1521" spans="23:23" x14ac:dyDescent="0.45">
      <c r="W1521" s="158"/>
    </row>
    <row r="1522" spans="23:23" x14ac:dyDescent="0.45">
      <c r="W1522" s="158"/>
    </row>
    <row r="1523" spans="23:23" x14ac:dyDescent="0.45">
      <c r="W1523" s="158"/>
    </row>
    <row r="1524" spans="23:23" x14ac:dyDescent="0.45">
      <c r="W1524" s="158"/>
    </row>
    <row r="1525" spans="23:23" x14ac:dyDescent="0.45">
      <c r="W1525" s="158"/>
    </row>
    <row r="1526" spans="23:23" x14ac:dyDescent="0.45">
      <c r="W1526" s="158"/>
    </row>
    <row r="1527" spans="23:23" x14ac:dyDescent="0.45">
      <c r="W1527" s="158"/>
    </row>
    <row r="1528" spans="23:23" x14ac:dyDescent="0.45">
      <c r="W1528" s="158"/>
    </row>
    <row r="1529" spans="23:23" x14ac:dyDescent="0.45">
      <c r="W1529" s="158"/>
    </row>
    <row r="1530" spans="23:23" x14ac:dyDescent="0.45">
      <c r="W1530" s="158"/>
    </row>
    <row r="1531" spans="23:23" x14ac:dyDescent="0.45">
      <c r="W1531" s="158"/>
    </row>
    <row r="1532" spans="23:23" x14ac:dyDescent="0.45">
      <c r="W1532" s="158"/>
    </row>
    <row r="1533" spans="23:23" x14ac:dyDescent="0.45">
      <c r="W1533" s="158"/>
    </row>
    <row r="1534" spans="23:23" x14ac:dyDescent="0.45">
      <c r="W1534" s="158"/>
    </row>
    <row r="1535" spans="23:23" x14ac:dyDescent="0.45">
      <c r="W1535" s="158"/>
    </row>
    <row r="1536" spans="23:23" x14ac:dyDescent="0.45">
      <c r="W1536" s="158"/>
    </row>
    <row r="1537" spans="23:23" x14ac:dyDescent="0.45">
      <c r="W1537" s="158"/>
    </row>
    <row r="1538" spans="23:23" x14ac:dyDescent="0.45">
      <c r="W1538" s="158"/>
    </row>
    <row r="1539" spans="23:23" x14ac:dyDescent="0.45">
      <c r="W1539" s="158"/>
    </row>
    <row r="1540" spans="23:23" x14ac:dyDescent="0.45">
      <c r="W1540" s="158"/>
    </row>
    <row r="1541" spans="23:23" x14ac:dyDescent="0.45">
      <c r="W1541" s="158"/>
    </row>
    <row r="1542" spans="23:23" x14ac:dyDescent="0.45">
      <c r="W1542" s="158"/>
    </row>
    <row r="1543" spans="23:23" x14ac:dyDescent="0.45">
      <c r="W1543" s="158"/>
    </row>
    <row r="1544" spans="23:23" x14ac:dyDescent="0.45">
      <c r="W1544" s="158"/>
    </row>
    <row r="1545" spans="23:23" x14ac:dyDescent="0.45">
      <c r="W1545" s="158"/>
    </row>
    <row r="1546" spans="23:23" x14ac:dyDescent="0.45">
      <c r="W1546" s="158"/>
    </row>
    <row r="1547" spans="23:23" x14ac:dyDescent="0.45">
      <c r="W1547" s="158"/>
    </row>
    <row r="1548" spans="23:23" x14ac:dyDescent="0.45">
      <c r="W1548" s="158"/>
    </row>
    <row r="1549" spans="23:23" x14ac:dyDescent="0.45">
      <c r="W1549" s="158"/>
    </row>
    <row r="1550" spans="23:23" x14ac:dyDescent="0.45">
      <c r="W1550" s="158"/>
    </row>
    <row r="1551" spans="23:23" x14ac:dyDescent="0.45">
      <c r="W1551" s="158"/>
    </row>
    <row r="1552" spans="23:23" x14ac:dyDescent="0.45">
      <c r="W1552" s="158"/>
    </row>
    <row r="1553" spans="23:23" x14ac:dyDescent="0.45">
      <c r="W1553" s="158"/>
    </row>
    <row r="1554" spans="23:23" x14ac:dyDescent="0.45">
      <c r="W1554" s="158"/>
    </row>
    <row r="1555" spans="23:23" x14ac:dyDescent="0.45">
      <c r="W1555" s="158"/>
    </row>
    <row r="1556" spans="23:23" x14ac:dyDescent="0.45">
      <c r="W1556" s="158"/>
    </row>
    <row r="1557" spans="23:23" x14ac:dyDescent="0.45">
      <c r="W1557" s="158"/>
    </row>
    <row r="1558" spans="23:23" x14ac:dyDescent="0.45">
      <c r="W1558" s="158"/>
    </row>
    <row r="1559" spans="23:23" x14ac:dyDescent="0.45">
      <c r="W1559" s="158"/>
    </row>
    <row r="1560" spans="23:23" x14ac:dyDescent="0.45">
      <c r="W1560" s="158"/>
    </row>
    <row r="1561" spans="23:23" x14ac:dyDescent="0.45">
      <c r="W1561" s="158"/>
    </row>
    <row r="1562" spans="23:23" x14ac:dyDescent="0.45">
      <c r="W1562" s="158"/>
    </row>
    <row r="1563" spans="23:23" x14ac:dyDescent="0.45">
      <c r="W1563" s="158"/>
    </row>
    <row r="1564" spans="23:23" x14ac:dyDescent="0.45">
      <c r="W1564" s="158"/>
    </row>
    <row r="1565" spans="23:23" x14ac:dyDescent="0.45">
      <c r="W1565" s="158"/>
    </row>
    <row r="1566" spans="23:23" x14ac:dyDescent="0.45">
      <c r="W1566" s="158"/>
    </row>
    <row r="1567" spans="23:23" x14ac:dyDescent="0.45">
      <c r="W1567" s="158"/>
    </row>
    <row r="1568" spans="23:23" x14ac:dyDescent="0.45">
      <c r="W1568" s="158"/>
    </row>
    <row r="1569" spans="23:23" x14ac:dyDescent="0.45">
      <c r="W1569" s="158"/>
    </row>
    <row r="1570" spans="23:23" x14ac:dyDescent="0.45">
      <c r="W1570" s="158"/>
    </row>
    <row r="1571" spans="23:23" x14ac:dyDescent="0.45">
      <c r="W1571" s="158"/>
    </row>
    <row r="1572" spans="23:23" x14ac:dyDescent="0.45">
      <c r="W1572" s="158"/>
    </row>
    <row r="1573" spans="23:23" x14ac:dyDescent="0.45">
      <c r="W1573" s="158"/>
    </row>
    <row r="1574" spans="23:23" x14ac:dyDescent="0.45">
      <c r="W1574" s="158"/>
    </row>
    <row r="1575" spans="23:23" x14ac:dyDescent="0.45">
      <c r="W1575" s="158"/>
    </row>
    <row r="1576" spans="23:23" x14ac:dyDescent="0.45">
      <c r="W1576" s="158"/>
    </row>
    <row r="1577" spans="23:23" x14ac:dyDescent="0.45">
      <c r="W1577" s="158"/>
    </row>
    <row r="1578" spans="23:23" x14ac:dyDescent="0.45">
      <c r="W1578" s="158"/>
    </row>
    <row r="1579" spans="23:23" x14ac:dyDescent="0.45">
      <c r="W1579" s="158"/>
    </row>
    <row r="1580" spans="23:23" x14ac:dyDescent="0.45">
      <c r="W1580" s="158"/>
    </row>
    <row r="1581" spans="23:23" x14ac:dyDescent="0.45">
      <c r="W1581" s="158"/>
    </row>
    <row r="1582" spans="23:23" x14ac:dyDescent="0.45">
      <c r="W1582" s="158"/>
    </row>
    <row r="1583" spans="23:23" x14ac:dyDescent="0.45">
      <c r="W1583" s="158"/>
    </row>
    <row r="1584" spans="23:23" x14ac:dyDescent="0.45">
      <c r="W1584" s="158"/>
    </row>
    <row r="1585" spans="23:23" x14ac:dyDescent="0.45">
      <c r="W1585" s="158"/>
    </row>
    <row r="1586" spans="23:23" x14ac:dyDescent="0.45">
      <c r="W1586" s="158"/>
    </row>
    <row r="1587" spans="23:23" x14ac:dyDescent="0.45">
      <c r="W1587" s="158"/>
    </row>
    <row r="1588" spans="23:23" x14ac:dyDescent="0.45">
      <c r="W1588" s="158"/>
    </row>
    <row r="1589" spans="23:23" x14ac:dyDescent="0.45">
      <c r="W1589" s="158"/>
    </row>
    <row r="1590" spans="23:23" x14ac:dyDescent="0.45">
      <c r="W1590" s="158"/>
    </row>
    <row r="1591" spans="23:23" x14ac:dyDescent="0.45">
      <c r="W1591" s="158"/>
    </row>
    <row r="1592" spans="23:23" x14ac:dyDescent="0.45">
      <c r="W1592" s="158"/>
    </row>
    <row r="1593" spans="23:23" x14ac:dyDescent="0.45">
      <c r="W1593" s="158"/>
    </row>
    <row r="1594" spans="23:23" x14ac:dyDescent="0.45">
      <c r="W1594" s="158"/>
    </row>
    <row r="1595" spans="23:23" x14ac:dyDescent="0.45">
      <c r="W1595" s="158"/>
    </row>
    <row r="1596" spans="23:23" x14ac:dyDescent="0.45">
      <c r="W1596" s="158"/>
    </row>
    <row r="1597" spans="23:23" x14ac:dyDescent="0.45">
      <c r="W1597" s="158"/>
    </row>
    <row r="1598" spans="23:23" x14ac:dyDescent="0.45">
      <c r="W1598" s="158"/>
    </row>
    <row r="1599" spans="23:23" x14ac:dyDescent="0.45">
      <c r="W1599" s="158"/>
    </row>
    <row r="1600" spans="23:23" x14ac:dyDescent="0.45">
      <c r="W1600" s="158"/>
    </row>
    <row r="1601" spans="23:23" x14ac:dyDescent="0.45">
      <c r="W1601" s="158"/>
    </row>
    <row r="1602" spans="23:23" x14ac:dyDescent="0.45">
      <c r="W1602" s="158"/>
    </row>
    <row r="1603" spans="23:23" x14ac:dyDescent="0.45">
      <c r="W1603" s="158"/>
    </row>
    <row r="1604" spans="23:23" x14ac:dyDescent="0.45">
      <c r="W1604" s="158"/>
    </row>
    <row r="1605" spans="23:23" x14ac:dyDescent="0.45">
      <c r="W1605" s="158"/>
    </row>
    <row r="1606" spans="23:23" x14ac:dyDescent="0.45">
      <c r="W1606" s="158"/>
    </row>
    <row r="1607" spans="23:23" x14ac:dyDescent="0.45">
      <c r="W1607" s="158"/>
    </row>
    <row r="1608" spans="23:23" x14ac:dyDescent="0.45">
      <c r="W1608" s="158"/>
    </row>
    <row r="1609" spans="23:23" x14ac:dyDescent="0.45">
      <c r="W1609" s="158"/>
    </row>
    <row r="1610" spans="23:23" x14ac:dyDescent="0.45">
      <c r="W1610" s="158"/>
    </row>
    <row r="1611" spans="23:23" x14ac:dyDescent="0.45">
      <c r="W1611" s="158"/>
    </row>
    <row r="1612" spans="23:23" x14ac:dyDescent="0.45">
      <c r="W1612" s="158"/>
    </row>
    <row r="1613" spans="23:23" x14ac:dyDescent="0.45">
      <c r="W1613" s="158"/>
    </row>
    <row r="1614" spans="23:23" x14ac:dyDescent="0.45">
      <c r="W1614" s="158"/>
    </row>
    <row r="1615" spans="23:23" x14ac:dyDescent="0.45">
      <c r="W1615" s="158"/>
    </row>
    <row r="1616" spans="23:23" x14ac:dyDescent="0.45">
      <c r="W1616" s="158"/>
    </row>
    <row r="1617" spans="23:23" x14ac:dyDescent="0.45">
      <c r="W1617" s="158"/>
    </row>
    <row r="1618" spans="23:23" x14ac:dyDescent="0.45">
      <c r="W1618" s="158"/>
    </row>
    <row r="1619" spans="23:23" x14ac:dyDescent="0.45">
      <c r="W1619" s="158"/>
    </row>
    <row r="1620" spans="23:23" x14ac:dyDescent="0.45">
      <c r="W1620" s="158"/>
    </row>
    <row r="1621" spans="23:23" x14ac:dyDescent="0.45">
      <c r="W1621" s="158"/>
    </row>
    <row r="1622" spans="23:23" x14ac:dyDescent="0.45">
      <c r="W1622" s="158"/>
    </row>
    <row r="1623" spans="23:23" x14ac:dyDescent="0.45">
      <c r="W1623" s="158"/>
    </row>
    <row r="1624" spans="23:23" x14ac:dyDescent="0.45">
      <c r="W1624" s="158"/>
    </row>
    <row r="1625" spans="23:23" x14ac:dyDescent="0.45">
      <c r="W1625" s="158"/>
    </row>
    <row r="1626" spans="23:23" x14ac:dyDescent="0.45">
      <c r="W1626" s="158"/>
    </row>
    <row r="1627" spans="23:23" x14ac:dyDescent="0.45">
      <c r="W1627" s="158"/>
    </row>
    <row r="1628" spans="23:23" x14ac:dyDescent="0.45">
      <c r="W1628" s="158"/>
    </row>
    <row r="1629" spans="23:23" x14ac:dyDescent="0.45">
      <c r="W1629" s="158"/>
    </row>
    <row r="1630" spans="23:23" x14ac:dyDescent="0.45">
      <c r="W1630" s="158"/>
    </row>
    <row r="1631" spans="23:23" x14ac:dyDescent="0.45">
      <c r="W1631" s="158"/>
    </row>
    <row r="1632" spans="23:23" x14ac:dyDescent="0.45">
      <c r="W1632" s="158"/>
    </row>
    <row r="1633" spans="23:23" x14ac:dyDescent="0.45">
      <c r="W1633" s="158"/>
    </row>
    <row r="1634" spans="23:23" x14ac:dyDescent="0.45">
      <c r="W1634" s="158"/>
    </row>
    <row r="1635" spans="23:23" x14ac:dyDescent="0.45">
      <c r="W1635" s="158"/>
    </row>
    <row r="1636" spans="23:23" x14ac:dyDescent="0.45">
      <c r="W1636" s="158"/>
    </row>
    <row r="1637" spans="23:23" x14ac:dyDescent="0.45">
      <c r="W1637" s="158"/>
    </row>
    <row r="1638" spans="23:23" x14ac:dyDescent="0.45">
      <c r="W1638" s="158"/>
    </row>
    <row r="1639" spans="23:23" x14ac:dyDescent="0.45">
      <c r="W1639" s="158"/>
    </row>
    <row r="1640" spans="23:23" x14ac:dyDescent="0.45">
      <c r="W1640" s="158"/>
    </row>
    <row r="1641" spans="23:23" x14ac:dyDescent="0.45">
      <c r="W1641" s="158"/>
    </row>
    <row r="1642" spans="23:23" x14ac:dyDescent="0.45">
      <c r="W1642" s="158"/>
    </row>
    <row r="1643" spans="23:23" x14ac:dyDescent="0.45">
      <c r="W1643" s="158"/>
    </row>
    <row r="1644" spans="23:23" x14ac:dyDescent="0.45">
      <c r="W1644" s="158"/>
    </row>
    <row r="1645" spans="23:23" x14ac:dyDescent="0.45">
      <c r="W1645" s="158"/>
    </row>
    <row r="1646" spans="23:23" x14ac:dyDescent="0.45">
      <c r="W1646" s="158"/>
    </row>
    <row r="1647" spans="23:23" x14ac:dyDescent="0.45">
      <c r="W1647" s="158"/>
    </row>
    <row r="1648" spans="23:23" x14ac:dyDescent="0.45">
      <c r="W1648" s="158"/>
    </row>
    <row r="1649" spans="23:23" x14ac:dyDescent="0.45">
      <c r="W1649" s="158"/>
    </row>
    <row r="1650" spans="23:23" x14ac:dyDescent="0.45">
      <c r="W1650" s="158"/>
    </row>
    <row r="1651" spans="23:23" x14ac:dyDescent="0.45">
      <c r="W1651" s="158"/>
    </row>
    <row r="1652" spans="23:23" x14ac:dyDescent="0.45">
      <c r="W1652" s="158"/>
    </row>
    <row r="1653" spans="23:23" x14ac:dyDescent="0.45">
      <c r="W1653" s="158"/>
    </row>
    <row r="1654" spans="23:23" x14ac:dyDescent="0.45">
      <c r="W1654" s="158"/>
    </row>
    <row r="1655" spans="23:23" x14ac:dyDescent="0.45">
      <c r="W1655" s="158"/>
    </row>
    <row r="1656" spans="23:23" x14ac:dyDescent="0.45">
      <c r="W1656" s="158"/>
    </row>
    <row r="1657" spans="23:23" x14ac:dyDescent="0.45">
      <c r="W1657" s="158"/>
    </row>
    <row r="1658" spans="23:23" x14ac:dyDescent="0.45">
      <c r="W1658" s="158"/>
    </row>
    <row r="1659" spans="23:23" x14ac:dyDescent="0.45">
      <c r="W1659" s="158"/>
    </row>
    <row r="1660" spans="23:23" x14ac:dyDescent="0.45">
      <c r="W1660" s="158"/>
    </row>
    <row r="1661" spans="23:23" x14ac:dyDescent="0.45">
      <c r="W1661" s="158"/>
    </row>
    <row r="1662" spans="23:23" x14ac:dyDescent="0.45">
      <c r="W1662" s="158"/>
    </row>
    <row r="1663" spans="23:23" x14ac:dyDescent="0.45">
      <c r="W1663" s="158"/>
    </row>
    <row r="1664" spans="23:23" x14ac:dyDescent="0.45">
      <c r="W1664" s="158"/>
    </row>
    <row r="1665" spans="23:23" x14ac:dyDescent="0.45">
      <c r="W1665" s="158"/>
    </row>
    <row r="1666" spans="23:23" x14ac:dyDescent="0.45">
      <c r="W1666" s="158"/>
    </row>
    <row r="1667" spans="23:23" x14ac:dyDescent="0.45">
      <c r="W1667" s="158"/>
    </row>
    <row r="1668" spans="23:23" x14ac:dyDescent="0.45">
      <c r="W1668" s="158"/>
    </row>
    <row r="1669" spans="23:23" x14ac:dyDescent="0.45">
      <c r="W1669" s="158"/>
    </row>
    <row r="1670" spans="23:23" x14ac:dyDescent="0.45">
      <c r="W1670" s="158"/>
    </row>
    <row r="1671" spans="23:23" x14ac:dyDescent="0.45">
      <c r="W1671" s="158"/>
    </row>
    <row r="1672" spans="23:23" x14ac:dyDescent="0.45">
      <c r="W1672" s="158"/>
    </row>
    <row r="1673" spans="23:23" x14ac:dyDescent="0.45">
      <c r="W1673" s="158"/>
    </row>
    <row r="1674" spans="23:23" x14ac:dyDescent="0.45">
      <c r="W1674" s="158"/>
    </row>
    <row r="1675" spans="23:23" x14ac:dyDescent="0.45">
      <c r="W1675" s="158"/>
    </row>
    <row r="1676" spans="23:23" x14ac:dyDescent="0.45">
      <c r="W1676" s="158"/>
    </row>
    <row r="1677" spans="23:23" x14ac:dyDescent="0.45">
      <c r="W1677" s="158"/>
    </row>
    <row r="1678" spans="23:23" x14ac:dyDescent="0.45">
      <c r="W1678" s="158"/>
    </row>
    <row r="1679" spans="23:23" x14ac:dyDescent="0.45">
      <c r="W1679" s="158"/>
    </row>
    <row r="1680" spans="23:23" x14ac:dyDescent="0.45">
      <c r="W1680" s="158"/>
    </row>
    <row r="1681" spans="23:23" x14ac:dyDescent="0.45">
      <c r="W1681" s="158"/>
    </row>
    <row r="1682" spans="23:23" x14ac:dyDescent="0.45">
      <c r="W1682" s="158"/>
    </row>
    <row r="1683" spans="23:23" x14ac:dyDescent="0.45">
      <c r="W1683" s="158"/>
    </row>
    <row r="1684" spans="23:23" x14ac:dyDescent="0.45">
      <c r="W1684" s="158"/>
    </row>
    <row r="1685" spans="23:23" x14ac:dyDescent="0.45">
      <c r="W1685" s="158"/>
    </row>
    <row r="1686" spans="23:23" x14ac:dyDescent="0.45">
      <c r="W1686" s="158"/>
    </row>
    <row r="1687" spans="23:23" x14ac:dyDescent="0.45">
      <c r="W1687" s="158"/>
    </row>
    <row r="1688" spans="23:23" x14ac:dyDescent="0.45">
      <c r="W1688" s="158"/>
    </row>
    <row r="1689" spans="23:23" x14ac:dyDescent="0.45">
      <c r="W1689" s="158"/>
    </row>
    <row r="1690" spans="23:23" x14ac:dyDescent="0.45">
      <c r="W1690" s="158"/>
    </row>
    <row r="1691" spans="23:23" x14ac:dyDescent="0.45">
      <c r="W1691" s="158"/>
    </row>
    <row r="1692" spans="23:23" x14ac:dyDescent="0.45">
      <c r="W1692" s="158"/>
    </row>
    <row r="1693" spans="23:23" x14ac:dyDescent="0.45">
      <c r="W1693" s="158"/>
    </row>
    <row r="1694" spans="23:23" x14ac:dyDescent="0.45">
      <c r="W1694" s="158"/>
    </row>
    <row r="1695" spans="23:23" x14ac:dyDescent="0.45">
      <c r="W1695" s="158"/>
    </row>
    <row r="1696" spans="23:23" x14ac:dyDescent="0.45">
      <c r="W1696" s="158"/>
    </row>
    <row r="1697" spans="23:23" x14ac:dyDescent="0.45">
      <c r="W1697" s="158"/>
    </row>
    <row r="1698" spans="23:23" x14ac:dyDescent="0.45">
      <c r="W1698" s="158"/>
    </row>
    <row r="1699" spans="23:23" x14ac:dyDescent="0.45">
      <c r="W1699" s="158"/>
    </row>
    <row r="1700" spans="23:23" x14ac:dyDescent="0.45">
      <c r="W1700" s="158"/>
    </row>
    <row r="1701" spans="23:23" x14ac:dyDescent="0.45">
      <c r="W1701" s="158"/>
    </row>
    <row r="1702" spans="23:23" x14ac:dyDescent="0.45">
      <c r="W1702" s="158"/>
    </row>
    <row r="1703" spans="23:23" x14ac:dyDescent="0.45">
      <c r="W1703" s="158"/>
    </row>
    <row r="1704" spans="23:23" x14ac:dyDescent="0.45">
      <c r="W1704" s="158"/>
    </row>
    <row r="1705" spans="23:23" x14ac:dyDescent="0.45">
      <c r="W1705" s="158"/>
    </row>
    <row r="1706" spans="23:23" x14ac:dyDescent="0.45">
      <c r="W1706" s="158"/>
    </row>
    <row r="1707" spans="23:23" x14ac:dyDescent="0.45">
      <c r="W1707" s="158"/>
    </row>
    <row r="1708" spans="23:23" x14ac:dyDescent="0.45">
      <c r="W1708" s="158"/>
    </row>
    <row r="1709" spans="23:23" x14ac:dyDescent="0.45">
      <c r="W1709" s="158"/>
    </row>
    <row r="1710" spans="23:23" x14ac:dyDescent="0.45">
      <c r="W1710" s="158"/>
    </row>
    <row r="1711" spans="23:23" x14ac:dyDescent="0.45">
      <c r="W1711" s="158"/>
    </row>
    <row r="1712" spans="23:23" x14ac:dyDescent="0.45">
      <c r="W1712" s="158"/>
    </row>
    <row r="1713" spans="23:23" x14ac:dyDescent="0.45">
      <c r="W1713" s="158"/>
    </row>
    <row r="1714" spans="23:23" x14ac:dyDescent="0.45">
      <c r="W1714" s="158"/>
    </row>
    <row r="1715" spans="23:23" x14ac:dyDescent="0.45">
      <c r="W1715" s="158"/>
    </row>
    <row r="1716" spans="23:23" x14ac:dyDescent="0.45">
      <c r="W1716" s="158"/>
    </row>
    <row r="1717" spans="23:23" x14ac:dyDescent="0.45">
      <c r="W1717" s="158"/>
    </row>
    <row r="1718" spans="23:23" x14ac:dyDescent="0.45">
      <c r="W1718" s="158"/>
    </row>
    <row r="1719" spans="23:23" x14ac:dyDescent="0.45">
      <c r="W1719" s="158"/>
    </row>
    <row r="1720" spans="23:23" x14ac:dyDescent="0.45">
      <c r="W1720" s="158"/>
    </row>
    <row r="1721" spans="23:23" x14ac:dyDescent="0.45">
      <c r="W1721" s="158"/>
    </row>
    <row r="1722" spans="23:23" x14ac:dyDescent="0.45">
      <c r="W1722" s="158"/>
    </row>
    <row r="1723" spans="23:23" x14ac:dyDescent="0.45">
      <c r="W1723" s="158"/>
    </row>
    <row r="1724" spans="23:23" x14ac:dyDescent="0.45">
      <c r="W1724" s="158"/>
    </row>
    <row r="1725" spans="23:23" x14ac:dyDescent="0.45">
      <c r="W1725" s="158"/>
    </row>
    <row r="1726" spans="23:23" x14ac:dyDescent="0.45">
      <c r="W1726" s="158"/>
    </row>
    <row r="1727" spans="23:23" x14ac:dyDescent="0.45">
      <c r="W1727" s="158"/>
    </row>
    <row r="1728" spans="23:23" x14ac:dyDescent="0.45">
      <c r="W1728" s="158"/>
    </row>
    <row r="1729" spans="23:23" x14ac:dyDescent="0.45">
      <c r="W1729" s="158"/>
    </row>
    <row r="1730" spans="23:23" x14ac:dyDescent="0.45">
      <c r="W1730" s="158"/>
    </row>
    <row r="1731" spans="23:23" x14ac:dyDescent="0.45">
      <c r="W1731" s="158"/>
    </row>
    <row r="1732" spans="23:23" x14ac:dyDescent="0.45">
      <c r="W1732" s="158"/>
    </row>
    <row r="1733" spans="23:23" x14ac:dyDescent="0.45">
      <c r="W1733" s="158"/>
    </row>
    <row r="1734" spans="23:23" x14ac:dyDescent="0.45">
      <c r="W1734" s="158"/>
    </row>
    <row r="1735" spans="23:23" x14ac:dyDescent="0.45">
      <c r="W1735" s="158"/>
    </row>
    <row r="1736" spans="23:23" x14ac:dyDescent="0.45">
      <c r="W1736" s="158"/>
    </row>
    <row r="1737" spans="23:23" x14ac:dyDescent="0.45">
      <c r="W1737" s="158"/>
    </row>
    <row r="1738" spans="23:23" x14ac:dyDescent="0.45">
      <c r="W1738" s="158"/>
    </row>
    <row r="1739" spans="23:23" x14ac:dyDescent="0.45">
      <c r="W1739" s="158"/>
    </row>
    <row r="1740" spans="23:23" x14ac:dyDescent="0.45">
      <c r="W1740" s="158"/>
    </row>
    <row r="1741" spans="23:23" x14ac:dyDescent="0.45">
      <c r="W1741" s="158"/>
    </row>
    <row r="1742" spans="23:23" x14ac:dyDescent="0.45">
      <c r="W1742" s="158"/>
    </row>
    <row r="1743" spans="23:23" x14ac:dyDescent="0.45">
      <c r="W1743" s="158"/>
    </row>
    <row r="1744" spans="23:23" x14ac:dyDescent="0.45">
      <c r="W1744" s="158"/>
    </row>
    <row r="1745" spans="23:23" x14ac:dyDescent="0.45">
      <c r="W1745" s="158"/>
    </row>
    <row r="1746" spans="23:23" x14ac:dyDescent="0.45">
      <c r="W1746" s="158"/>
    </row>
    <row r="1747" spans="23:23" x14ac:dyDescent="0.45">
      <c r="W1747" s="158"/>
    </row>
    <row r="1748" spans="23:23" x14ac:dyDescent="0.45">
      <c r="W1748" s="158"/>
    </row>
    <row r="1749" spans="23:23" x14ac:dyDescent="0.45">
      <c r="W1749" s="158"/>
    </row>
    <row r="1750" spans="23:23" x14ac:dyDescent="0.45">
      <c r="W1750" s="158"/>
    </row>
    <row r="1751" spans="23:23" x14ac:dyDescent="0.45">
      <c r="W1751" s="158"/>
    </row>
    <row r="1752" spans="23:23" x14ac:dyDescent="0.45">
      <c r="W1752" s="158"/>
    </row>
    <row r="1753" spans="23:23" x14ac:dyDescent="0.45">
      <c r="W1753" s="158"/>
    </row>
    <row r="1754" spans="23:23" x14ac:dyDescent="0.45">
      <c r="W1754" s="158"/>
    </row>
    <row r="1755" spans="23:23" x14ac:dyDescent="0.45">
      <c r="W1755" s="158"/>
    </row>
    <row r="1756" spans="23:23" x14ac:dyDescent="0.45">
      <c r="W1756" s="158"/>
    </row>
    <row r="1757" spans="23:23" x14ac:dyDescent="0.45">
      <c r="W1757" s="158"/>
    </row>
    <row r="1758" spans="23:23" x14ac:dyDescent="0.45">
      <c r="W1758" s="158"/>
    </row>
    <row r="1759" spans="23:23" x14ac:dyDescent="0.45">
      <c r="W1759" s="158"/>
    </row>
    <row r="1760" spans="23:23" x14ac:dyDescent="0.45">
      <c r="W1760" s="158"/>
    </row>
    <row r="1761" spans="23:23" x14ac:dyDescent="0.45">
      <c r="W1761" s="158"/>
    </row>
    <row r="1762" spans="23:23" x14ac:dyDescent="0.45">
      <c r="W1762" s="158"/>
    </row>
    <row r="1763" spans="23:23" x14ac:dyDescent="0.45">
      <c r="W1763" s="158"/>
    </row>
    <row r="1764" spans="23:23" x14ac:dyDescent="0.45">
      <c r="W1764" s="158"/>
    </row>
    <row r="1765" spans="23:23" x14ac:dyDescent="0.45">
      <c r="W1765" s="158"/>
    </row>
    <row r="1766" spans="23:23" x14ac:dyDescent="0.45">
      <c r="W1766" s="158"/>
    </row>
    <row r="1767" spans="23:23" x14ac:dyDescent="0.45">
      <c r="W1767" s="158"/>
    </row>
    <row r="1768" spans="23:23" x14ac:dyDescent="0.45">
      <c r="W1768" s="158"/>
    </row>
    <row r="1769" spans="23:23" x14ac:dyDescent="0.45">
      <c r="W1769" s="158"/>
    </row>
    <row r="1770" spans="23:23" x14ac:dyDescent="0.45">
      <c r="W1770" s="158"/>
    </row>
    <row r="1771" spans="23:23" x14ac:dyDescent="0.45">
      <c r="W1771" s="158"/>
    </row>
    <row r="1772" spans="23:23" x14ac:dyDescent="0.45">
      <c r="W1772" s="158"/>
    </row>
    <row r="1773" spans="23:23" x14ac:dyDescent="0.45">
      <c r="W1773" s="158"/>
    </row>
    <row r="1774" spans="23:23" x14ac:dyDescent="0.45">
      <c r="W1774" s="158"/>
    </row>
    <row r="1775" spans="23:23" x14ac:dyDescent="0.45">
      <c r="W1775" s="158"/>
    </row>
    <row r="1776" spans="23:23" x14ac:dyDescent="0.45">
      <c r="W1776" s="158"/>
    </row>
    <row r="1777" spans="23:23" x14ac:dyDescent="0.45">
      <c r="W1777" s="158"/>
    </row>
    <row r="1778" spans="23:23" x14ac:dyDescent="0.45">
      <c r="W1778" s="158"/>
    </row>
    <row r="1779" spans="23:23" x14ac:dyDescent="0.45">
      <c r="W1779" s="158"/>
    </row>
    <row r="1780" spans="23:23" x14ac:dyDescent="0.45">
      <c r="W1780" s="158"/>
    </row>
    <row r="1781" spans="23:23" x14ac:dyDescent="0.45">
      <c r="W1781" s="158"/>
    </row>
    <row r="1782" spans="23:23" x14ac:dyDescent="0.45">
      <c r="W1782" s="158"/>
    </row>
    <row r="1783" spans="23:23" x14ac:dyDescent="0.45">
      <c r="W1783" s="158"/>
    </row>
    <row r="1784" spans="23:23" x14ac:dyDescent="0.45">
      <c r="W1784" s="158"/>
    </row>
    <row r="1785" spans="23:23" x14ac:dyDescent="0.45">
      <c r="W1785" s="158"/>
    </row>
    <row r="1786" spans="23:23" x14ac:dyDescent="0.45">
      <c r="W1786" s="158"/>
    </row>
    <row r="1787" spans="23:23" x14ac:dyDescent="0.45">
      <c r="W1787" s="158"/>
    </row>
    <row r="1788" spans="23:23" x14ac:dyDescent="0.45">
      <c r="W1788" s="158"/>
    </row>
    <row r="1789" spans="23:23" x14ac:dyDescent="0.45">
      <c r="W1789" s="158"/>
    </row>
    <row r="1790" spans="23:23" x14ac:dyDescent="0.45">
      <c r="W1790" s="158"/>
    </row>
    <row r="1791" spans="23:23" x14ac:dyDescent="0.45">
      <c r="W1791" s="158"/>
    </row>
    <row r="1792" spans="23:23" x14ac:dyDescent="0.45">
      <c r="W1792" s="158"/>
    </row>
    <row r="1793" spans="23:23" x14ac:dyDescent="0.45">
      <c r="W1793" s="158"/>
    </row>
    <row r="1794" spans="23:23" x14ac:dyDescent="0.45">
      <c r="W1794" s="158"/>
    </row>
    <row r="1795" spans="23:23" x14ac:dyDescent="0.45">
      <c r="W1795" s="158"/>
    </row>
    <row r="1796" spans="23:23" x14ac:dyDescent="0.45">
      <c r="W1796" s="158"/>
    </row>
    <row r="1797" spans="23:23" x14ac:dyDescent="0.45">
      <c r="W1797" s="158"/>
    </row>
    <row r="1798" spans="23:23" x14ac:dyDescent="0.45">
      <c r="W1798" s="158"/>
    </row>
    <row r="1799" spans="23:23" x14ac:dyDescent="0.45">
      <c r="W1799" s="158"/>
    </row>
    <row r="1800" spans="23:23" x14ac:dyDescent="0.45">
      <c r="W1800" s="158"/>
    </row>
    <row r="1801" spans="23:23" x14ac:dyDescent="0.45">
      <c r="W1801" s="158"/>
    </row>
    <row r="1802" spans="23:23" x14ac:dyDescent="0.45">
      <c r="W1802" s="158"/>
    </row>
    <row r="1803" spans="23:23" x14ac:dyDescent="0.45">
      <c r="W1803" s="158"/>
    </row>
    <row r="1804" spans="23:23" x14ac:dyDescent="0.45">
      <c r="W1804" s="158"/>
    </row>
    <row r="1805" spans="23:23" x14ac:dyDescent="0.45">
      <c r="W1805" s="158"/>
    </row>
    <row r="1806" spans="23:23" x14ac:dyDescent="0.45">
      <c r="W1806" s="158"/>
    </row>
    <row r="1807" spans="23:23" x14ac:dyDescent="0.45">
      <c r="W1807" s="158"/>
    </row>
    <row r="1808" spans="23:23" x14ac:dyDescent="0.45">
      <c r="W1808" s="158"/>
    </row>
    <row r="1809" spans="23:23" x14ac:dyDescent="0.45">
      <c r="W1809" s="158"/>
    </row>
    <row r="1810" spans="23:23" x14ac:dyDescent="0.45">
      <c r="W1810" s="158"/>
    </row>
    <row r="1811" spans="23:23" x14ac:dyDescent="0.45">
      <c r="W1811" s="158"/>
    </row>
    <row r="1812" spans="23:23" x14ac:dyDescent="0.45">
      <c r="W1812" s="158"/>
    </row>
    <row r="1813" spans="23:23" x14ac:dyDescent="0.45">
      <c r="W1813" s="158"/>
    </row>
    <row r="1814" spans="23:23" x14ac:dyDescent="0.45">
      <c r="W1814" s="158"/>
    </row>
    <row r="1815" spans="23:23" x14ac:dyDescent="0.45">
      <c r="W1815" s="158"/>
    </row>
    <row r="1816" spans="23:23" x14ac:dyDescent="0.45">
      <c r="W1816" s="158"/>
    </row>
    <row r="1817" spans="23:23" x14ac:dyDescent="0.45">
      <c r="W1817" s="158"/>
    </row>
    <row r="1818" spans="23:23" x14ac:dyDescent="0.45">
      <c r="W1818" s="158"/>
    </row>
    <row r="1819" spans="23:23" x14ac:dyDescent="0.45">
      <c r="W1819" s="158"/>
    </row>
    <row r="1820" spans="23:23" x14ac:dyDescent="0.45">
      <c r="W1820" s="158"/>
    </row>
    <row r="1821" spans="23:23" x14ac:dyDescent="0.45">
      <c r="W1821" s="158"/>
    </row>
    <row r="1822" spans="23:23" x14ac:dyDescent="0.45">
      <c r="W1822" s="158"/>
    </row>
    <row r="1823" spans="23:23" x14ac:dyDescent="0.45">
      <c r="W1823" s="158"/>
    </row>
    <row r="1824" spans="23:23" x14ac:dyDescent="0.45">
      <c r="W1824" s="158"/>
    </row>
    <row r="1825" spans="23:23" x14ac:dyDescent="0.45">
      <c r="W1825" s="158"/>
    </row>
    <row r="1826" spans="23:23" x14ac:dyDescent="0.45">
      <c r="W1826" s="158"/>
    </row>
    <row r="1827" spans="23:23" x14ac:dyDescent="0.45">
      <c r="W1827" s="158"/>
    </row>
    <row r="1828" spans="23:23" x14ac:dyDescent="0.45">
      <c r="W1828" s="158"/>
    </row>
    <row r="1829" spans="23:23" x14ac:dyDescent="0.45">
      <c r="W1829" s="158"/>
    </row>
    <row r="1830" spans="23:23" x14ac:dyDescent="0.45">
      <c r="W1830" s="158"/>
    </row>
    <row r="1831" spans="23:23" x14ac:dyDescent="0.45">
      <c r="W1831" s="158"/>
    </row>
    <row r="1832" spans="23:23" x14ac:dyDescent="0.45">
      <c r="W1832" s="158"/>
    </row>
    <row r="1833" spans="23:23" x14ac:dyDescent="0.45">
      <c r="W1833" s="158"/>
    </row>
    <row r="1834" spans="23:23" x14ac:dyDescent="0.45">
      <c r="W1834" s="158"/>
    </row>
    <row r="1835" spans="23:23" x14ac:dyDescent="0.45">
      <c r="W1835" s="158"/>
    </row>
    <row r="1836" spans="23:23" x14ac:dyDescent="0.45">
      <c r="W1836" s="158"/>
    </row>
    <row r="1837" spans="23:23" x14ac:dyDescent="0.45">
      <c r="W1837" s="158"/>
    </row>
    <row r="1838" spans="23:23" x14ac:dyDescent="0.45">
      <c r="W1838" s="158"/>
    </row>
    <row r="1839" spans="23:23" x14ac:dyDescent="0.45">
      <c r="W1839" s="158"/>
    </row>
    <row r="1840" spans="23:23" x14ac:dyDescent="0.45">
      <c r="W1840" s="158"/>
    </row>
    <row r="1841" spans="23:23" x14ac:dyDescent="0.45">
      <c r="W1841" s="158"/>
    </row>
    <row r="1842" spans="23:23" x14ac:dyDescent="0.45">
      <c r="W1842" s="158"/>
    </row>
    <row r="1843" spans="23:23" x14ac:dyDescent="0.45">
      <c r="W1843" s="158"/>
    </row>
    <row r="1844" spans="23:23" x14ac:dyDescent="0.45">
      <c r="W1844" s="158"/>
    </row>
    <row r="1845" spans="23:23" x14ac:dyDescent="0.45">
      <c r="W1845" s="158"/>
    </row>
    <row r="1846" spans="23:23" x14ac:dyDescent="0.45">
      <c r="W1846" s="158"/>
    </row>
    <row r="1847" spans="23:23" x14ac:dyDescent="0.45">
      <c r="W1847" s="158"/>
    </row>
    <row r="1848" spans="23:23" x14ac:dyDescent="0.45">
      <c r="W1848" s="158"/>
    </row>
    <row r="1849" spans="23:23" x14ac:dyDescent="0.45">
      <c r="W1849" s="158"/>
    </row>
    <row r="1850" spans="23:23" x14ac:dyDescent="0.45">
      <c r="W1850" s="158"/>
    </row>
    <row r="1851" spans="23:23" x14ac:dyDescent="0.45">
      <c r="W1851" s="158"/>
    </row>
    <row r="1852" spans="23:23" x14ac:dyDescent="0.45">
      <c r="W1852" s="158"/>
    </row>
    <row r="1853" spans="23:23" x14ac:dyDescent="0.45">
      <c r="W1853" s="158"/>
    </row>
    <row r="1854" spans="23:23" x14ac:dyDescent="0.45">
      <c r="W1854" s="158"/>
    </row>
    <row r="1855" spans="23:23" x14ac:dyDescent="0.45">
      <c r="W1855" s="158"/>
    </row>
    <row r="1856" spans="23:23" x14ac:dyDescent="0.45">
      <c r="W1856" s="158"/>
    </row>
    <row r="1857" spans="23:23" x14ac:dyDescent="0.45">
      <c r="W1857" s="158"/>
    </row>
    <row r="1858" spans="23:23" x14ac:dyDescent="0.45">
      <c r="W1858" s="158"/>
    </row>
    <row r="1859" spans="23:23" x14ac:dyDescent="0.45">
      <c r="W1859" s="158"/>
    </row>
    <row r="1860" spans="23:23" x14ac:dyDescent="0.45">
      <c r="W1860" s="158"/>
    </row>
    <row r="1861" spans="23:23" x14ac:dyDescent="0.45">
      <c r="W1861" s="158"/>
    </row>
    <row r="1862" spans="23:23" x14ac:dyDescent="0.45">
      <c r="W1862" s="158"/>
    </row>
    <row r="1863" spans="23:23" x14ac:dyDescent="0.45">
      <c r="W1863" s="158"/>
    </row>
    <row r="1864" spans="23:23" x14ac:dyDescent="0.45">
      <c r="W1864" s="158"/>
    </row>
    <row r="1865" spans="23:23" x14ac:dyDescent="0.45">
      <c r="W1865" s="158"/>
    </row>
    <row r="1866" spans="23:23" x14ac:dyDescent="0.45">
      <c r="W1866" s="158"/>
    </row>
    <row r="1867" spans="23:23" x14ac:dyDescent="0.45">
      <c r="W1867" s="158"/>
    </row>
    <row r="1868" spans="23:23" x14ac:dyDescent="0.45">
      <c r="W1868" s="158"/>
    </row>
    <row r="1869" spans="23:23" x14ac:dyDescent="0.45">
      <c r="W1869" s="158"/>
    </row>
    <row r="1870" spans="23:23" x14ac:dyDescent="0.45">
      <c r="W1870" s="158"/>
    </row>
    <row r="1871" spans="23:23" x14ac:dyDescent="0.45">
      <c r="W1871" s="158"/>
    </row>
    <row r="1872" spans="23:23" x14ac:dyDescent="0.45">
      <c r="W1872" s="158"/>
    </row>
    <row r="1873" spans="23:23" x14ac:dyDescent="0.45">
      <c r="W1873" s="158"/>
    </row>
    <row r="1874" spans="23:23" x14ac:dyDescent="0.45">
      <c r="W1874" s="158"/>
    </row>
    <row r="1875" spans="23:23" x14ac:dyDescent="0.45">
      <c r="W1875" s="158"/>
    </row>
    <row r="1876" spans="23:23" x14ac:dyDescent="0.45">
      <c r="W1876" s="158"/>
    </row>
    <row r="1877" spans="23:23" x14ac:dyDescent="0.45">
      <c r="W1877" s="158"/>
    </row>
    <row r="1878" spans="23:23" x14ac:dyDescent="0.45">
      <c r="W1878" s="158"/>
    </row>
    <row r="1879" spans="23:23" x14ac:dyDescent="0.45">
      <c r="W1879" s="158"/>
    </row>
    <row r="1880" spans="23:23" x14ac:dyDescent="0.45">
      <c r="W1880" s="158"/>
    </row>
    <row r="1881" spans="23:23" x14ac:dyDescent="0.45">
      <c r="W1881" s="158"/>
    </row>
    <row r="1882" spans="23:23" x14ac:dyDescent="0.45">
      <c r="W1882" s="158"/>
    </row>
    <row r="1883" spans="23:23" x14ac:dyDescent="0.45">
      <c r="W1883" s="158"/>
    </row>
    <row r="1884" spans="23:23" x14ac:dyDescent="0.45">
      <c r="W1884" s="158"/>
    </row>
    <row r="1885" spans="23:23" x14ac:dyDescent="0.45">
      <c r="W1885" s="158"/>
    </row>
    <row r="1886" spans="23:23" x14ac:dyDescent="0.45">
      <c r="W1886" s="158"/>
    </row>
    <row r="1887" spans="23:23" x14ac:dyDescent="0.45">
      <c r="W1887" s="158"/>
    </row>
    <row r="1888" spans="23:23" x14ac:dyDescent="0.45">
      <c r="W1888" s="158"/>
    </row>
    <row r="1889" spans="23:23" x14ac:dyDescent="0.45">
      <c r="W1889" s="158"/>
    </row>
    <row r="1890" spans="23:23" x14ac:dyDescent="0.45">
      <c r="W1890" s="158"/>
    </row>
    <row r="1891" spans="23:23" x14ac:dyDescent="0.45">
      <c r="W1891" s="158"/>
    </row>
    <row r="1892" spans="23:23" x14ac:dyDescent="0.45">
      <c r="W1892" s="158"/>
    </row>
    <row r="1893" spans="23:23" x14ac:dyDescent="0.45">
      <c r="W1893" s="158"/>
    </row>
    <row r="1894" spans="23:23" x14ac:dyDescent="0.45">
      <c r="W1894" s="158"/>
    </row>
    <row r="1895" spans="23:23" x14ac:dyDescent="0.45">
      <c r="W1895" s="158"/>
    </row>
    <row r="1896" spans="23:23" x14ac:dyDescent="0.45">
      <c r="W1896" s="158"/>
    </row>
    <row r="1897" spans="23:23" x14ac:dyDescent="0.45">
      <c r="W1897" s="158"/>
    </row>
    <row r="1898" spans="23:23" x14ac:dyDescent="0.45">
      <c r="W1898" s="158"/>
    </row>
    <row r="1899" spans="23:23" x14ac:dyDescent="0.45">
      <c r="W1899" s="158"/>
    </row>
    <row r="1900" spans="23:23" x14ac:dyDescent="0.45">
      <c r="W1900" s="158"/>
    </row>
    <row r="1901" spans="23:23" x14ac:dyDescent="0.45">
      <c r="W1901" s="158"/>
    </row>
    <row r="1902" spans="23:23" x14ac:dyDescent="0.45">
      <c r="W1902" s="158"/>
    </row>
    <row r="1903" spans="23:23" x14ac:dyDescent="0.45">
      <c r="W1903" s="158"/>
    </row>
    <row r="1904" spans="23:23" x14ac:dyDescent="0.45">
      <c r="W1904" s="158"/>
    </row>
    <row r="1905" spans="23:23" x14ac:dyDescent="0.45">
      <c r="W1905" s="158"/>
    </row>
    <row r="1906" spans="23:23" x14ac:dyDescent="0.45">
      <c r="W1906" s="158"/>
    </row>
    <row r="1907" spans="23:23" x14ac:dyDescent="0.45">
      <c r="W1907" s="158"/>
    </row>
    <row r="1908" spans="23:23" x14ac:dyDescent="0.45">
      <c r="W1908" s="158"/>
    </row>
    <row r="1909" spans="23:23" x14ac:dyDescent="0.45">
      <c r="W1909" s="158"/>
    </row>
    <row r="1910" spans="23:23" x14ac:dyDescent="0.45">
      <c r="W1910" s="158"/>
    </row>
    <row r="1911" spans="23:23" x14ac:dyDescent="0.45">
      <c r="W1911" s="158"/>
    </row>
    <row r="1912" spans="23:23" x14ac:dyDescent="0.45">
      <c r="W1912" s="158"/>
    </row>
    <row r="1913" spans="23:23" x14ac:dyDescent="0.45">
      <c r="W1913" s="158"/>
    </row>
    <row r="1914" spans="23:23" x14ac:dyDescent="0.45">
      <c r="W1914" s="158"/>
    </row>
    <row r="1915" spans="23:23" x14ac:dyDescent="0.45">
      <c r="W1915" s="158"/>
    </row>
    <row r="1916" spans="23:23" x14ac:dyDescent="0.45">
      <c r="W1916" s="158"/>
    </row>
    <row r="1917" spans="23:23" x14ac:dyDescent="0.45">
      <c r="W1917" s="158"/>
    </row>
    <row r="1918" spans="23:23" x14ac:dyDescent="0.45">
      <c r="W1918" s="158"/>
    </row>
    <row r="1919" spans="23:23" x14ac:dyDescent="0.45">
      <c r="W1919" s="158"/>
    </row>
    <row r="1920" spans="23:23" x14ac:dyDescent="0.45">
      <c r="W1920" s="158"/>
    </row>
    <row r="1921" spans="23:23" x14ac:dyDescent="0.45">
      <c r="W1921" s="158"/>
    </row>
    <row r="1922" spans="23:23" x14ac:dyDescent="0.45">
      <c r="W1922" s="158"/>
    </row>
    <row r="1923" spans="23:23" x14ac:dyDescent="0.45">
      <c r="W1923" s="158"/>
    </row>
    <row r="1924" spans="23:23" x14ac:dyDescent="0.45">
      <c r="W1924" s="158"/>
    </row>
    <row r="1925" spans="23:23" x14ac:dyDescent="0.45">
      <c r="W1925" s="158"/>
    </row>
    <row r="1926" spans="23:23" x14ac:dyDescent="0.45">
      <c r="W1926" s="158"/>
    </row>
    <row r="1927" spans="23:23" x14ac:dyDescent="0.45">
      <c r="W1927" s="158"/>
    </row>
    <row r="1928" spans="23:23" x14ac:dyDescent="0.45">
      <c r="W1928" s="158"/>
    </row>
    <row r="1929" spans="23:23" x14ac:dyDescent="0.45">
      <c r="W1929" s="158"/>
    </row>
    <row r="1930" spans="23:23" x14ac:dyDescent="0.45">
      <c r="W1930" s="158"/>
    </row>
    <row r="1931" spans="23:23" x14ac:dyDescent="0.45">
      <c r="W1931" s="158"/>
    </row>
    <row r="1932" spans="23:23" x14ac:dyDescent="0.45">
      <c r="W1932" s="158"/>
    </row>
    <row r="1933" spans="23:23" x14ac:dyDescent="0.45">
      <c r="W1933" s="158"/>
    </row>
    <row r="1934" spans="23:23" x14ac:dyDescent="0.45">
      <c r="W1934" s="158"/>
    </row>
    <row r="1935" spans="23:23" x14ac:dyDescent="0.45">
      <c r="W1935" s="158"/>
    </row>
    <row r="1936" spans="23:23" x14ac:dyDescent="0.45">
      <c r="W1936" s="158"/>
    </row>
    <row r="1937" spans="23:23" x14ac:dyDescent="0.45">
      <c r="W1937" s="158"/>
    </row>
    <row r="1938" spans="23:23" x14ac:dyDescent="0.45">
      <c r="W1938" s="158"/>
    </row>
    <row r="1939" spans="23:23" x14ac:dyDescent="0.45">
      <c r="W1939" s="158"/>
    </row>
    <row r="1940" spans="23:23" x14ac:dyDescent="0.45">
      <c r="W1940" s="158"/>
    </row>
    <row r="1941" spans="23:23" x14ac:dyDescent="0.45">
      <c r="W1941" s="158"/>
    </row>
    <row r="1942" spans="23:23" x14ac:dyDescent="0.45">
      <c r="W1942" s="158"/>
    </row>
    <row r="1943" spans="23:23" x14ac:dyDescent="0.45">
      <c r="W1943" s="158"/>
    </row>
    <row r="1944" spans="23:23" x14ac:dyDescent="0.45">
      <c r="W1944" s="158"/>
    </row>
    <row r="1945" spans="23:23" x14ac:dyDescent="0.45">
      <c r="W1945" s="158"/>
    </row>
    <row r="1946" spans="23:23" x14ac:dyDescent="0.45">
      <c r="W1946" s="158"/>
    </row>
    <row r="1947" spans="23:23" x14ac:dyDescent="0.45">
      <c r="W1947" s="158"/>
    </row>
    <row r="1948" spans="23:23" x14ac:dyDescent="0.45">
      <c r="W1948" s="158"/>
    </row>
    <row r="1949" spans="23:23" x14ac:dyDescent="0.45">
      <c r="W1949" s="158"/>
    </row>
    <row r="1950" spans="23:23" x14ac:dyDescent="0.45">
      <c r="W1950" s="158"/>
    </row>
    <row r="1951" spans="23:23" x14ac:dyDescent="0.45">
      <c r="W1951" s="158"/>
    </row>
    <row r="1952" spans="23:23" x14ac:dyDescent="0.45">
      <c r="W1952" s="158"/>
    </row>
    <row r="1953" spans="23:23" x14ac:dyDescent="0.45">
      <c r="W1953" s="158"/>
    </row>
    <row r="1954" spans="23:23" x14ac:dyDescent="0.45">
      <c r="W1954" s="158"/>
    </row>
    <row r="1955" spans="23:23" x14ac:dyDescent="0.45">
      <c r="W1955" s="158"/>
    </row>
    <row r="1956" spans="23:23" x14ac:dyDescent="0.45">
      <c r="W1956" s="158"/>
    </row>
    <row r="1957" spans="23:23" x14ac:dyDescent="0.45">
      <c r="W1957" s="158"/>
    </row>
    <row r="1958" spans="23:23" x14ac:dyDescent="0.45">
      <c r="W1958" s="158"/>
    </row>
    <row r="1959" spans="23:23" x14ac:dyDescent="0.45">
      <c r="W1959" s="158"/>
    </row>
    <row r="1960" spans="23:23" x14ac:dyDescent="0.45">
      <c r="W1960" s="158"/>
    </row>
    <row r="1961" spans="23:23" x14ac:dyDescent="0.45">
      <c r="W1961" s="158"/>
    </row>
    <row r="1962" spans="23:23" x14ac:dyDescent="0.45">
      <c r="W1962" s="158"/>
    </row>
    <row r="1963" spans="23:23" x14ac:dyDescent="0.45">
      <c r="W1963" s="158"/>
    </row>
    <row r="1964" spans="23:23" x14ac:dyDescent="0.45">
      <c r="W1964" s="158"/>
    </row>
    <row r="1965" spans="23:23" x14ac:dyDescent="0.45">
      <c r="W1965" s="158"/>
    </row>
    <row r="1966" spans="23:23" x14ac:dyDescent="0.45">
      <c r="W1966" s="158"/>
    </row>
    <row r="1967" spans="23:23" x14ac:dyDescent="0.45">
      <c r="W1967" s="158"/>
    </row>
    <row r="1968" spans="23:23" x14ac:dyDescent="0.45">
      <c r="W1968" s="158"/>
    </row>
    <row r="1969" spans="23:23" x14ac:dyDescent="0.45">
      <c r="W1969" s="158"/>
    </row>
    <row r="1970" spans="23:23" x14ac:dyDescent="0.45">
      <c r="W1970" s="158"/>
    </row>
    <row r="1971" spans="23:23" x14ac:dyDescent="0.45">
      <c r="W1971" s="158"/>
    </row>
    <row r="1972" spans="23:23" x14ac:dyDescent="0.45">
      <c r="W1972" s="158"/>
    </row>
    <row r="1973" spans="23:23" x14ac:dyDescent="0.45">
      <c r="W1973" s="158"/>
    </row>
    <row r="1974" spans="23:23" x14ac:dyDescent="0.45">
      <c r="W1974" s="158"/>
    </row>
    <row r="1975" spans="23:23" x14ac:dyDescent="0.45">
      <c r="W1975" s="158"/>
    </row>
    <row r="1976" spans="23:23" x14ac:dyDescent="0.45">
      <c r="W1976" s="158"/>
    </row>
    <row r="1977" spans="23:23" x14ac:dyDescent="0.45">
      <c r="W1977" s="158"/>
    </row>
    <row r="1978" spans="23:23" x14ac:dyDescent="0.45">
      <c r="W1978" s="158"/>
    </row>
    <row r="1979" spans="23:23" x14ac:dyDescent="0.45">
      <c r="W1979" s="158"/>
    </row>
    <row r="1980" spans="23:23" x14ac:dyDescent="0.45">
      <c r="W1980" s="158"/>
    </row>
    <row r="1981" spans="23:23" x14ac:dyDescent="0.45">
      <c r="W1981" s="158"/>
    </row>
    <row r="1982" spans="23:23" x14ac:dyDescent="0.45">
      <c r="W1982" s="158"/>
    </row>
    <row r="1983" spans="23:23" x14ac:dyDescent="0.45">
      <c r="W1983" s="158"/>
    </row>
    <row r="1984" spans="23:23" x14ac:dyDescent="0.45">
      <c r="W1984" s="158"/>
    </row>
    <row r="1985" spans="23:23" x14ac:dyDescent="0.45">
      <c r="W1985" s="158"/>
    </row>
    <row r="1986" spans="23:23" x14ac:dyDescent="0.45">
      <c r="W1986" s="158"/>
    </row>
    <row r="1987" spans="23:23" x14ac:dyDescent="0.45">
      <c r="W1987" s="158"/>
    </row>
    <row r="1988" spans="23:23" x14ac:dyDescent="0.45">
      <c r="W1988" s="158"/>
    </row>
    <row r="1989" spans="23:23" x14ac:dyDescent="0.45">
      <c r="W1989" s="158"/>
    </row>
    <row r="1990" spans="23:23" x14ac:dyDescent="0.45">
      <c r="W1990" s="158"/>
    </row>
    <row r="1991" spans="23:23" x14ac:dyDescent="0.45">
      <c r="W1991" s="158"/>
    </row>
    <row r="1992" spans="23:23" x14ac:dyDescent="0.45">
      <c r="W1992" s="158"/>
    </row>
    <row r="1993" spans="23:23" x14ac:dyDescent="0.45">
      <c r="W1993" s="158"/>
    </row>
    <row r="1994" spans="23:23" x14ac:dyDescent="0.45">
      <c r="W1994" s="158"/>
    </row>
    <row r="1995" spans="23:23" x14ac:dyDescent="0.45">
      <c r="W1995" s="158"/>
    </row>
    <row r="1996" spans="23:23" x14ac:dyDescent="0.45">
      <c r="W1996" s="158"/>
    </row>
    <row r="1997" spans="23:23" x14ac:dyDescent="0.45">
      <c r="W1997" s="158"/>
    </row>
    <row r="1998" spans="23:23" x14ac:dyDescent="0.45">
      <c r="W1998" s="158"/>
    </row>
    <row r="1999" spans="23:23" x14ac:dyDescent="0.45">
      <c r="W1999" s="158"/>
    </row>
    <row r="2000" spans="23:23" x14ac:dyDescent="0.45">
      <c r="W2000" s="158"/>
    </row>
    <row r="2001" spans="23:23" x14ac:dyDescent="0.45">
      <c r="W2001" s="158"/>
    </row>
    <row r="2002" spans="23:23" x14ac:dyDescent="0.45">
      <c r="W2002" s="158"/>
    </row>
    <row r="2003" spans="23:23" x14ac:dyDescent="0.45">
      <c r="W2003" s="158"/>
    </row>
    <row r="2004" spans="23:23" x14ac:dyDescent="0.45">
      <c r="W2004" s="158"/>
    </row>
    <row r="2005" spans="23:23" x14ac:dyDescent="0.45">
      <c r="W2005" s="158"/>
    </row>
    <row r="2006" spans="23:23" x14ac:dyDescent="0.45">
      <c r="W2006" s="158"/>
    </row>
    <row r="2007" spans="23:23" x14ac:dyDescent="0.45">
      <c r="W2007" s="158"/>
    </row>
    <row r="2008" spans="23:23" x14ac:dyDescent="0.45">
      <c r="W2008" s="158"/>
    </row>
    <row r="2009" spans="23:23" x14ac:dyDescent="0.45">
      <c r="W2009" s="158"/>
    </row>
    <row r="2010" spans="23:23" x14ac:dyDescent="0.45">
      <c r="W2010" s="158"/>
    </row>
    <row r="2011" spans="23:23" x14ac:dyDescent="0.45">
      <c r="W2011" s="158"/>
    </row>
    <row r="2012" spans="23:23" x14ac:dyDescent="0.45">
      <c r="W2012" s="158"/>
    </row>
    <row r="2013" spans="23:23" x14ac:dyDescent="0.45">
      <c r="W2013" s="158"/>
    </row>
    <row r="2014" spans="23:23" x14ac:dyDescent="0.45">
      <c r="W2014" s="158"/>
    </row>
    <row r="2015" spans="23:23" x14ac:dyDescent="0.45">
      <c r="W2015" s="158"/>
    </row>
    <row r="2016" spans="23:23" x14ac:dyDescent="0.45">
      <c r="W2016" s="158"/>
    </row>
    <row r="2017" spans="23:23" x14ac:dyDescent="0.45">
      <c r="W2017" s="158"/>
    </row>
    <row r="2018" spans="23:23" x14ac:dyDescent="0.45">
      <c r="W2018" s="158"/>
    </row>
    <row r="2019" spans="23:23" x14ac:dyDescent="0.45">
      <c r="W2019" s="158"/>
    </row>
    <row r="2020" spans="23:23" x14ac:dyDescent="0.45">
      <c r="W2020" s="158"/>
    </row>
    <row r="2021" spans="23:23" x14ac:dyDescent="0.45">
      <c r="W2021" s="158"/>
    </row>
    <row r="2022" spans="23:23" x14ac:dyDescent="0.45">
      <c r="W2022" s="158"/>
    </row>
    <row r="2023" spans="23:23" x14ac:dyDescent="0.45">
      <c r="W2023" s="158"/>
    </row>
    <row r="2024" spans="23:23" x14ac:dyDescent="0.45">
      <c r="W2024" s="158"/>
    </row>
    <row r="2025" spans="23:23" x14ac:dyDescent="0.45">
      <c r="W2025" s="158"/>
    </row>
    <row r="2026" spans="23:23" x14ac:dyDescent="0.45">
      <c r="W2026" s="158"/>
    </row>
    <row r="2027" spans="23:23" x14ac:dyDescent="0.45">
      <c r="W2027" s="158"/>
    </row>
    <row r="2028" spans="23:23" x14ac:dyDescent="0.45">
      <c r="W2028" s="158"/>
    </row>
    <row r="2029" spans="23:23" x14ac:dyDescent="0.45">
      <c r="W2029" s="158"/>
    </row>
    <row r="2030" spans="23:23" x14ac:dyDescent="0.45">
      <c r="W2030" s="158"/>
    </row>
    <row r="2031" spans="23:23" x14ac:dyDescent="0.45">
      <c r="W2031" s="158"/>
    </row>
    <row r="2032" spans="23:23" x14ac:dyDescent="0.45">
      <c r="W2032" s="158"/>
    </row>
    <row r="2033" spans="23:23" x14ac:dyDescent="0.45">
      <c r="W2033" s="158"/>
    </row>
    <row r="2034" spans="23:23" x14ac:dyDescent="0.45">
      <c r="W2034" s="158"/>
    </row>
    <row r="2035" spans="23:23" x14ac:dyDescent="0.45">
      <c r="W2035" s="158"/>
    </row>
    <row r="2036" spans="23:23" x14ac:dyDescent="0.45">
      <c r="W2036" s="158"/>
    </row>
    <row r="2037" spans="23:23" x14ac:dyDescent="0.45">
      <c r="W2037" s="158"/>
    </row>
    <row r="2038" spans="23:23" x14ac:dyDescent="0.45">
      <c r="W2038" s="158"/>
    </row>
    <row r="2039" spans="23:23" x14ac:dyDescent="0.45">
      <c r="W2039" s="158"/>
    </row>
    <row r="2040" spans="23:23" x14ac:dyDescent="0.45">
      <c r="W2040" s="158"/>
    </row>
    <row r="2041" spans="23:23" x14ac:dyDescent="0.45">
      <c r="W2041" s="158"/>
    </row>
    <row r="2042" spans="23:23" x14ac:dyDescent="0.45">
      <c r="W2042" s="158"/>
    </row>
    <row r="2043" spans="23:23" x14ac:dyDescent="0.45">
      <c r="W2043" s="158"/>
    </row>
    <row r="2044" spans="23:23" x14ac:dyDescent="0.45">
      <c r="W2044" s="158"/>
    </row>
    <row r="2045" spans="23:23" x14ac:dyDescent="0.45">
      <c r="W2045" s="158"/>
    </row>
    <row r="2046" spans="23:23" x14ac:dyDescent="0.45">
      <c r="W2046" s="158"/>
    </row>
    <row r="2047" spans="23:23" x14ac:dyDescent="0.45">
      <c r="W2047" s="158"/>
    </row>
    <row r="2048" spans="23:23" x14ac:dyDescent="0.45">
      <c r="W2048" s="158"/>
    </row>
    <row r="2049" spans="23:23" x14ac:dyDescent="0.45">
      <c r="W2049" s="158"/>
    </row>
    <row r="2050" spans="23:23" x14ac:dyDescent="0.45">
      <c r="W2050" s="158"/>
    </row>
    <row r="2051" spans="23:23" x14ac:dyDescent="0.45">
      <c r="W2051" s="158"/>
    </row>
    <row r="2052" spans="23:23" x14ac:dyDescent="0.45">
      <c r="W2052" s="158"/>
    </row>
    <row r="2053" spans="23:23" x14ac:dyDescent="0.45">
      <c r="W2053" s="158"/>
    </row>
    <row r="2054" spans="23:23" x14ac:dyDescent="0.45">
      <c r="W2054" s="158"/>
    </row>
    <row r="2055" spans="23:23" x14ac:dyDescent="0.45">
      <c r="W2055" s="158"/>
    </row>
    <row r="2056" spans="23:23" x14ac:dyDescent="0.45">
      <c r="W2056" s="158"/>
    </row>
    <row r="2057" spans="23:23" x14ac:dyDescent="0.45">
      <c r="W2057" s="158"/>
    </row>
    <row r="2058" spans="23:23" x14ac:dyDescent="0.45">
      <c r="W2058" s="158"/>
    </row>
    <row r="2059" spans="23:23" x14ac:dyDescent="0.45">
      <c r="W2059" s="158"/>
    </row>
    <row r="2060" spans="23:23" x14ac:dyDescent="0.45">
      <c r="W2060" s="158"/>
    </row>
    <row r="2061" spans="23:23" x14ac:dyDescent="0.45">
      <c r="W2061" s="158"/>
    </row>
    <row r="2062" spans="23:23" x14ac:dyDescent="0.45">
      <c r="W2062" s="158"/>
    </row>
    <row r="2063" spans="23:23" x14ac:dyDescent="0.45">
      <c r="W2063" s="158"/>
    </row>
    <row r="2064" spans="23:23" x14ac:dyDescent="0.45">
      <c r="W2064" s="158"/>
    </row>
    <row r="2065" spans="23:23" x14ac:dyDescent="0.45">
      <c r="W2065" s="158"/>
    </row>
    <row r="2066" spans="23:23" x14ac:dyDescent="0.45">
      <c r="W2066" s="158"/>
    </row>
    <row r="2067" spans="23:23" x14ac:dyDescent="0.45">
      <c r="W2067" s="158"/>
    </row>
    <row r="2068" spans="23:23" x14ac:dyDescent="0.45">
      <c r="W2068" s="158"/>
    </row>
    <row r="2069" spans="23:23" x14ac:dyDescent="0.45">
      <c r="W2069" s="158"/>
    </row>
    <row r="2070" spans="23:23" x14ac:dyDescent="0.45">
      <c r="W2070" s="158"/>
    </row>
    <row r="2071" spans="23:23" x14ac:dyDescent="0.45">
      <c r="W2071" s="158"/>
    </row>
    <row r="2072" spans="23:23" x14ac:dyDescent="0.45">
      <c r="W2072" s="158"/>
    </row>
    <row r="2073" spans="23:23" x14ac:dyDescent="0.45">
      <c r="W2073" s="158"/>
    </row>
    <row r="2074" spans="23:23" x14ac:dyDescent="0.45">
      <c r="W2074" s="158"/>
    </row>
    <row r="2075" spans="23:23" x14ac:dyDescent="0.45">
      <c r="W2075" s="158"/>
    </row>
    <row r="2076" spans="23:23" x14ac:dyDescent="0.45">
      <c r="W2076" s="158"/>
    </row>
    <row r="2077" spans="23:23" x14ac:dyDescent="0.45">
      <c r="W2077" s="158"/>
    </row>
    <row r="2078" spans="23:23" x14ac:dyDescent="0.45">
      <c r="W2078" s="158"/>
    </row>
    <row r="2079" spans="23:23" x14ac:dyDescent="0.45">
      <c r="W2079" s="158"/>
    </row>
    <row r="2080" spans="23:23" x14ac:dyDescent="0.45">
      <c r="W2080" s="158"/>
    </row>
    <row r="2081" spans="23:23" x14ac:dyDescent="0.45">
      <c r="W2081" s="158"/>
    </row>
    <row r="2082" spans="23:23" x14ac:dyDescent="0.45">
      <c r="W2082" s="158"/>
    </row>
    <row r="2083" spans="23:23" x14ac:dyDescent="0.45">
      <c r="W2083" s="158"/>
    </row>
    <row r="2084" spans="23:23" x14ac:dyDescent="0.45">
      <c r="W2084" s="158"/>
    </row>
    <row r="2085" spans="23:23" x14ac:dyDescent="0.45">
      <c r="W2085" s="158"/>
    </row>
    <row r="2086" spans="23:23" x14ac:dyDescent="0.45">
      <c r="W2086" s="158"/>
    </row>
    <row r="2087" spans="23:23" x14ac:dyDescent="0.45">
      <c r="W2087" s="158"/>
    </row>
    <row r="2088" spans="23:23" x14ac:dyDescent="0.45">
      <c r="W2088" s="158"/>
    </row>
    <row r="2089" spans="23:23" x14ac:dyDescent="0.45">
      <c r="W2089" s="158"/>
    </row>
    <row r="2090" spans="23:23" x14ac:dyDescent="0.45">
      <c r="W2090" s="158"/>
    </row>
    <row r="2091" spans="23:23" x14ac:dyDescent="0.45">
      <c r="W2091" s="158"/>
    </row>
    <row r="2092" spans="23:23" x14ac:dyDescent="0.45">
      <c r="W2092" s="158"/>
    </row>
    <row r="2093" spans="23:23" x14ac:dyDescent="0.45">
      <c r="W2093" s="158"/>
    </row>
    <row r="2094" spans="23:23" x14ac:dyDescent="0.45">
      <c r="W2094" s="158"/>
    </row>
    <row r="2095" spans="23:23" x14ac:dyDescent="0.45">
      <c r="W2095" s="158"/>
    </row>
    <row r="2096" spans="23:23" x14ac:dyDescent="0.45">
      <c r="W2096" s="158"/>
    </row>
    <row r="2097" spans="23:23" x14ac:dyDescent="0.45">
      <c r="W2097" s="158"/>
    </row>
    <row r="2098" spans="23:23" x14ac:dyDescent="0.45">
      <c r="W2098" s="158"/>
    </row>
    <row r="2099" spans="23:23" x14ac:dyDescent="0.45">
      <c r="W2099" s="158"/>
    </row>
    <row r="2100" spans="23:23" x14ac:dyDescent="0.45">
      <c r="W2100" s="158"/>
    </row>
    <row r="2101" spans="23:23" x14ac:dyDescent="0.45">
      <c r="W2101" s="158"/>
    </row>
    <row r="2102" spans="23:23" x14ac:dyDescent="0.45">
      <c r="W2102" s="158"/>
    </row>
    <row r="2103" spans="23:23" x14ac:dyDescent="0.45">
      <c r="W2103" s="158"/>
    </row>
    <row r="2104" spans="23:23" x14ac:dyDescent="0.45">
      <c r="W2104" s="158"/>
    </row>
    <row r="2105" spans="23:23" x14ac:dyDescent="0.45">
      <c r="W2105" s="158"/>
    </row>
    <row r="2106" spans="23:23" x14ac:dyDescent="0.45">
      <c r="W2106" s="158"/>
    </row>
    <row r="2107" spans="23:23" x14ac:dyDescent="0.45">
      <c r="W2107" s="158"/>
    </row>
    <row r="2108" spans="23:23" x14ac:dyDescent="0.45">
      <c r="W2108" s="158"/>
    </row>
    <row r="2109" spans="23:23" x14ac:dyDescent="0.45">
      <c r="W2109" s="158"/>
    </row>
    <row r="2110" spans="23:23" x14ac:dyDescent="0.45">
      <c r="W2110" s="158"/>
    </row>
    <row r="2111" spans="23:23" x14ac:dyDescent="0.45">
      <c r="W2111" s="158"/>
    </row>
    <row r="2112" spans="23:23" x14ac:dyDescent="0.45">
      <c r="W2112" s="158"/>
    </row>
    <row r="2113" spans="23:23" x14ac:dyDescent="0.45">
      <c r="W2113" s="158"/>
    </row>
    <row r="2114" spans="23:23" x14ac:dyDescent="0.45">
      <c r="W2114" s="158"/>
    </row>
    <row r="2115" spans="23:23" x14ac:dyDescent="0.45">
      <c r="W2115" s="158"/>
    </row>
    <row r="2116" spans="23:23" x14ac:dyDescent="0.45">
      <c r="W2116" s="158"/>
    </row>
    <row r="2117" spans="23:23" x14ac:dyDescent="0.45">
      <c r="W2117" s="158"/>
    </row>
    <row r="2118" spans="23:23" x14ac:dyDescent="0.45">
      <c r="W2118" s="158"/>
    </row>
    <row r="2119" spans="23:23" x14ac:dyDescent="0.45">
      <c r="W2119" s="158"/>
    </row>
    <row r="2120" spans="23:23" x14ac:dyDescent="0.45">
      <c r="W2120" s="158"/>
    </row>
    <row r="2121" spans="23:23" x14ac:dyDescent="0.45">
      <c r="W2121" s="158"/>
    </row>
    <row r="2122" spans="23:23" x14ac:dyDescent="0.45">
      <c r="W2122" s="158"/>
    </row>
    <row r="2123" spans="23:23" x14ac:dyDescent="0.45">
      <c r="W2123" s="158"/>
    </row>
    <row r="2124" spans="23:23" x14ac:dyDescent="0.45">
      <c r="W2124" s="158"/>
    </row>
    <row r="2125" spans="23:23" x14ac:dyDescent="0.45">
      <c r="W2125" s="158"/>
    </row>
    <row r="2126" spans="23:23" x14ac:dyDescent="0.45">
      <c r="W2126" s="158"/>
    </row>
    <row r="2127" spans="23:23" x14ac:dyDescent="0.45">
      <c r="W2127" s="158"/>
    </row>
    <row r="2128" spans="23:23" x14ac:dyDescent="0.45">
      <c r="W2128" s="158"/>
    </row>
    <row r="2129" spans="23:23" x14ac:dyDescent="0.45">
      <c r="W2129" s="158"/>
    </row>
    <row r="2130" spans="23:23" x14ac:dyDescent="0.45">
      <c r="W2130" s="158"/>
    </row>
    <row r="2131" spans="23:23" x14ac:dyDescent="0.45">
      <c r="W2131" s="158"/>
    </row>
    <row r="2132" spans="23:23" x14ac:dyDescent="0.45">
      <c r="W2132" s="158"/>
    </row>
    <row r="2133" spans="23:23" x14ac:dyDescent="0.45">
      <c r="W2133" s="158"/>
    </row>
    <row r="2134" spans="23:23" x14ac:dyDescent="0.45">
      <c r="W2134" s="158"/>
    </row>
    <row r="2135" spans="23:23" x14ac:dyDescent="0.45">
      <c r="W2135" s="158"/>
    </row>
    <row r="2136" spans="23:23" x14ac:dyDescent="0.45">
      <c r="W2136" s="158"/>
    </row>
    <row r="2137" spans="23:23" x14ac:dyDescent="0.45">
      <c r="W2137" s="158"/>
    </row>
    <row r="2138" spans="23:23" x14ac:dyDescent="0.45">
      <c r="W2138" s="158"/>
    </row>
    <row r="2139" spans="23:23" x14ac:dyDescent="0.45">
      <c r="W2139" s="158"/>
    </row>
    <row r="2140" spans="23:23" x14ac:dyDescent="0.45">
      <c r="W2140" s="158"/>
    </row>
    <row r="2141" spans="23:23" x14ac:dyDescent="0.45">
      <c r="W2141" s="158"/>
    </row>
    <row r="2142" spans="23:23" x14ac:dyDescent="0.45">
      <c r="W2142" s="158"/>
    </row>
    <row r="2143" spans="23:23" x14ac:dyDescent="0.45">
      <c r="W2143" s="158"/>
    </row>
    <row r="2144" spans="23:23" x14ac:dyDescent="0.45">
      <c r="W2144" s="158"/>
    </row>
    <row r="2145" spans="23:23" x14ac:dyDescent="0.45">
      <c r="W2145" s="158"/>
    </row>
    <row r="2146" spans="23:23" x14ac:dyDescent="0.45">
      <c r="W2146" s="158"/>
    </row>
    <row r="2147" spans="23:23" x14ac:dyDescent="0.45">
      <c r="W2147" s="158"/>
    </row>
    <row r="2148" spans="23:23" x14ac:dyDescent="0.45">
      <c r="W2148" s="158"/>
    </row>
    <row r="2149" spans="23:23" x14ac:dyDescent="0.45">
      <c r="W2149" s="158"/>
    </row>
    <row r="2150" spans="23:23" x14ac:dyDescent="0.45">
      <c r="W2150" s="158"/>
    </row>
    <row r="2151" spans="23:23" x14ac:dyDescent="0.45">
      <c r="W2151" s="158"/>
    </row>
    <row r="2152" spans="23:23" x14ac:dyDescent="0.45">
      <c r="W2152" s="158"/>
    </row>
    <row r="2153" spans="23:23" x14ac:dyDescent="0.45">
      <c r="W2153" s="158"/>
    </row>
    <row r="2154" spans="23:23" x14ac:dyDescent="0.45">
      <c r="W2154" s="158"/>
    </row>
    <row r="2155" spans="23:23" x14ac:dyDescent="0.45">
      <c r="W2155" s="158"/>
    </row>
    <row r="2156" spans="23:23" x14ac:dyDescent="0.45">
      <c r="W2156" s="158"/>
    </row>
    <row r="2157" spans="23:23" x14ac:dyDescent="0.45">
      <c r="W2157" s="158"/>
    </row>
    <row r="2158" spans="23:23" x14ac:dyDescent="0.45">
      <c r="W2158" s="158"/>
    </row>
    <row r="2159" spans="23:23" x14ac:dyDescent="0.45">
      <c r="W2159" s="158"/>
    </row>
    <row r="2160" spans="23:23" x14ac:dyDescent="0.45">
      <c r="W2160" s="158"/>
    </row>
    <row r="2161" spans="23:23" x14ac:dyDescent="0.45">
      <c r="W2161" s="158"/>
    </row>
    <row r="2162" spans="23:23" x14ac:dyDescent="0.45">
      <c r="W2162" s="158"/>
    </row>
    <row r="2163" spans="23:23" x14ac:dyDescent="0.45">
      <c r="W2163" s="158"/>
    </row>
    <row r="2164" spans="23:23" x14ac:dyDescent="0.45">
      <c r="W2164" s="158"/>
    </row>
    <row r="2165" spans="23:23" x14ac:dyDescent="0.45">
      <c r="W2165" s="158"/>
    </row>
    <row r="2166" spans="23:23" x14ac:dyDescent="0.45">
      <c r="W2166" s="158"/>
    </row>
    <row r="2167" spans="23:23" x14ac:dyDescent="0.45">
      <c r="W2167" s="158"/>
    </row>
    <row r="2168" spans="23:23" x14ac:dyDescent="0.45">
      <c r="W2168" s="158"/>
    </row>
    <row r="2169" spans="23:23" x14ac:dyDescent="0.45">
      <c r="W2169" s="158"/>
    </row>
    <row r="2170" spans="23:23" x14ac:dyDescent="0.45">
      <c r="W2170" s="158"/>
    </row>
    <row r="2171" spans="23:23" x14ac:dyDescent="0.45">
      <c r="W2171" s="158"/>
    </row>
    <row r="2172" spans="23:23" x14ac:dyDescent="0.45">
      <c r="W2172" s="158"/>
    </row>
    <row r="2173" spans="23:23" x14ac:dyDescent="0.45">
      <c r="W2173" s="158"/>
    </row>
    <row r="2174" spans="23:23" x14ac:dyDescent="0.45">
      <c r="W2174" s="158"/>
    </row>
    <row r="2175" spans="23:23" x14ac:dyDescent="0.45">
      <c r="W2175" s="158"/>
    </row>
    <row r="2176" spans="23:23" x14ac:dyDescent="0.45">
      <c r="W2176" s="158"/>
    </row>
    <row r="2177" spans="23:23" x14ac:dyDescent="0.45">
      <c r="W2177" s="158"/>
    </row>
    <row r="2178" spans="23:23" x14ac:dyDescent="0.45">
      <c r="W2178" s="158"/>
    </row>
    <row r="2179" spans="23:23" x14ac:dyDescent="0.45">
      <c r="W2179" s="158"/>
    </row>
    <row r="2180" spans="23:23" x14ac:dyDescent="0.45">
      <c r="W2180" s="158"/>
    </row>
    <row r="2181" spans="23:23" x14ac:dyDescent="0.45">
      <c r="W2181" s="158"/>
    </row>
    <row r="2182" spans="23:23" x14ac:dyDescent="0.45">
      <c r="W2182" s="158"/>
    </row>
    <row r="2183" spans="23:23" x14ac:dyDescent="0.45">
      <c r="W2183" s="158"/>
    </row>
    <row r="2184" spans="23:23" x14ac:dyDescent="0.45">
      <c r="W2184" s="158"/>
    </row>
    <row r="2185" spans="23:23" x14ac:dyDescent="0.45">
      <c r="W2185" s="158"/>
    </row>
    <row r="2186" spans="23:23" x14ac:dyDescent="0.45">
      <c r="W2186" s="158"/>
    </row>
    <row r="2187" spans="23:23" x14ac:dyDescent="0.45">
      <c r="W2187" s="158"/>
    </row>
    <row r="2188" spans="23:23" x14ac:dyDescent="0.45">
      <c r="W2188" s="158"/>
    </row>
    <row r="2189" spans="23:23" x14ac:dyDescent="0.45">
      <c r="W2189" s="158"/>
    </row>
    <row r="2190" spans="23:23" x14ac:dyDescent="0.45">
      <c r="W2190" s="158"/>
    </row>
    <row r="2191" spans="23:23" x14ac:dyDescent="0.45">
      <c r="W2191" s="158"/>
    </row>
    <row r="2192" spans="23:23" x14ac:dyDescent="0.45">
      <c r="W2192" s="158"/>
    </row>
    <row r="2193" spans="23:23" x14ac:dyDescent="0.45">
      <c r="W2193" s="158"/>
    </row>
    <row r="2194" spans="23:23" x14ac:dyDescent="0.45">
      <c r="W2194" s="158"/>
    </row>
    <row r="2195" spans="23:23" x14ac:dyDescent="0.45">
      <c r="W2195" s="158"/>
    </row>
    <row r="2196" spans="23:23" x14ac:dyDescent="0.45">
      <c r="W2196" s="158"/>
    </row>
    <row r="2197" spans="23:23" x14ac:dyDescent="0.45">
      <c r="W2197" s="158"/>
    </row>
    <row r="2198" spans="23:23" x14ac:dyDescent="0.45">
      <c r="W2198" s="158"/>
    </row>
    <row r="2199" spans="23:23" x14ac:dyDescent="0.45">
      <c r="W2199" s="158"/>
    </row>
    <row r="2200" spans="23:23" x14ac:dyDescent="0.45">
      <c r="W2200" s="158"/>
    </row>
    <row r="2201" spans="23:23" x14ac:dyDescent="0.45">
      <c r="W2201" s="158"/>
    </row>
    <row r="2202" spans="23:23" x14ac:dyDescent="0.45">
      <c r="W2202" s="158"/>
    </row>
    <row r="2203" spans="23:23" x14ac:dyDescent="0.45">
      <c r="W2203" s="158"/>
    </row>
    <row r="2204" spans="23:23" x14ac:dyDescent="0.45">
      <c r="W2204" s="158"/>
    </row>
    <row r="2205" spans="23:23" x14ac:dyDescent="0.45">
      <c r="W2205" s="158"/>
    </row>
    <row r="2206" spans="23:23" x14ac:dyDescent="0.45">
      <c r="W2206" s="158"/>
    </row>
    <row r="2207" spans="23:23" x14ac:dyDescent="0.45">
      <c r="W2207" s="158"/>
    </row>
    <row r="2208" spans="23:23" x14ac:dyDescent="0.45">
      <c r="W2208" s="158"/>
    </row>
    <row r="2209" spans="23:23" x14ac:dyDescent="0.45">
      <c r="W2209" s="158"/>
    </row>
    <row r="2210" spans="23:23" x14ac:dyDescent="0.45">
      <c r="W2210" s="158"/>
    </row>
    <row r="2211" spans="23:23" x14ac:dyDescent="0.45">
      <c r="W2211" s="158"/>
    </row>
    <row r="2212" spans="23:23" x14ac:dyDescent="0.45">
      <c r="W2212" s="158"/>
    </row>
    <row r="2213" spans="23:23" x14ac:dyDescent="0.45">
      <c r="W2213" s="158"/>
    </row>
    <row r="2214" spans="23:23" x14ac:dyDescent="0.45">
      <c r="W2214" s="158"/>
    </row>
    <row r="2215" spans="23:23" x14ac:dyDescent="0.45">
      <c r="W2215" s="158"/>
    </row>
    <row r="2216" spans="23:23" x14ac:dyDescent="0.45">
      <c r="W2216" s="158"/>
    </row>
    <row r="2217" spans="23:23" x14ac:dyDescent="0.45">
      <c r="W2217" s="158"/>
    </row>
    <row r="2218" spans="23:23" x14ac:dyDescent="0.45">
      <c r="W2218" s="158"/>
    </row>
    <row r="2219" spans="23:23" x14ac:dyDescent="0.45">
      <c r="W2219" s="158"/>
    </row>
    <row r="2220" spans="23:23" x14ac:dyDescent="0.45">
      <c r="W2220" s="158"/>
    </row>
    <row r="2221" spans="23:23" x14ac:dyDescent="0.45">
      <c r="W2221" s="158"/>
    </row>
    <row r="2222" spans="23:23" x14ac:dyDescent="0.45">
      <c r="W2222" s="158"/>
    </row>
    <row r="2223" spans="23:23" x14ac:dyDescent="0.45">
      <c r="W2223" s="158"/>
    </row>
    <row r="2224" spans="23:23" x14ac:dyDescent="0.45">
      <c r="W2224" s="158"/>
    </row>
    <row r="2225" spans="23:23" x14ac:dyDescent="0.45">
      <c r="W2225" s="158"/>
    </row>
    <row r="2226" spans="23:23" x14ac:dyDescent="0.45">
      <c r="W2226" s="158"/>
    </row>
    <row r="2227" spans="23:23" x14ac:dyDescent="0.45">
      <c r="W2227" s="158"/>
    </row>
    <row r="2228" spans="23:23" x14ac:dyDescent="0.45">
      <c r="W2228" s="158"/>
    </row>
    <row r="2229" spans="23:23" x14ac:dyDescent="0.45">
      <c r="W2229" s="158"/>
    </row>
    <row r="2230" spans="23:23" x14ac:dyDescent="0.45">
      <c r="W2230" s="158"/>
    </row>
    <row r="2231" spans="23:23" x14ac:dyDescent="0.45">
      <c r="W2231" s="158"/>
    </row>
    <row r="2232" spans="23:23" x14ac:dyDescent="0.45">
      <c r="W2232" s="158"/>
    </row>
    <row r="2233" spans="23:23" x14ac:dyDescent="0.45">
      <c r="W2233" s="158"/>
    </row>
    <row r="2234" spans="23:23" x14ac:dyDescent="0.45">
      <c r="W2234" s="158"/>
    </row>
    <row r="2235" spans="23:23" x14ac:dyDescent="0.45">
      <c r="W2235" s="158"/>
    </row>
    <row r="2236" spans="23:23" x14ac:dyDescent="0.45">
      <c r="W2236" s="158"/>
    </row>
    <row r="2237" spans="23:23" x14ac:dyDescent="0.45">
      <c r="W2237" s="158"/>
    </row>
    <row r="2238" spans="23:23" x14ac:dyDescent="0.45">
      <c r="W2238" s="158"/>
    </row>
    <row r="2239" spans="23:23" x14ac:dyDescent="0.45">
      <c r="W2239" s="158"/>
    </row>
    <row r="2240" spans="23:23" x14ac:dyDescent="0.45">
      <c r="W2240" s="158"/>
    </row>
    <row r="2241" spans="23:23" x14ac:dyDescent="0.45">
      <c r="W2241" s="158"/>
    </row>
    <row r="2242" spans="23:23" x14ac:dyDescent="0.45">
      <c r="W2242" s="158"/>
    </row>
    <row r="2243" spans="23:23" x14ac:dyDescent="0.45">
      <c r="W2243" s="158"/>
    </row>
    <row r="2244" spans="23:23" x14ac:dyDescent="0.45">
      <c r="W2244" s="158"/>
    </row>
    <row r="2245" spans="23:23" x14ac:dyDescent="0.45">
      <c r="W2245" s="158"/>
    </row>
    <row r="2246" spans="23:23" x14ac:dyDescent="0.45">
      <c r="W2246" s="158"/>
    </row>
    <row r="2247" spans="23:23" x14ac:dyDescent="0.45">
      <c r="W2247" s="158"/>
    </row>
    <row r="2248" spans="23:23" x14ac:dyDescent="0.45">
      <c r="W2248" s="158"/>
    </row>
    <row r="2249" spans="23:23" x14ac:dyDescent="0.45">
      <c r="W2249" s="158"/>
    </row>
    <row r="2250" spans="23:23" x14ac:dyDescent="0.45">
      <c r="W2250" s="158"/>
    </row>
    <row r="2251" spans="23:23" x14ac:dyDescent="0.45">
      <c r="W2251" s="158"/>
    </row>
    <row r="2252" spans="23:23" x14ac:dyDescent="0.45">
      <c r="W2252" s="158"/>
    </row>
    <row r="2253" spans="23:23" x14ac:dyDescent="0.45">
      <c r="W2253" s="158"/>
    </row>
    <row r="2254" spans="23:23" x14ac:dyDescent="0.45">
      <c r="W2254" s="158"/>
    </row>
    <row r="2255" spans="23:23" x14ac:dyDescent="0.45">
      <c r="W2255" s="158"/>
    </row>
    <row r="2256" spans="23:23" x14ac:dyDescent="0.45">
      <c r="W2256" s="158"/>
    </row>
    <row r="2257" spans="23:23" x14ac:dyDescent="0.45">
      <c r="W2257" s="158"/>
    </row>
    <row r="2258" spans="23:23" x14ac:dyDescent="0.45">
      <c r="W2258" s="158"/>
    </row>
    <row r="2259" spans="23:23" x14ac:dyDescent="0.45">
      <c r="W2259" s="158"/>
    </row>
    <row r="2260" spans="23:23" x14ac:dyDescent="0.45">
      <c r="W2260" s="158"/>
    </row>
    <row r="2261" spans="23:23" x14ac:dyDescent="0.45">
      <c r="W2261" s="158"/>
    </row>
    <row r="2262" spans="23:23" x14ac:dyDescent="0.45">
      <c r="W2262" s="158"/>
    </row>
    <row r="2263" spans="23:23" x14ac:dyDescent="0.45">
      <c r="W2263" s="158"/>
    </row>
    <row r="2264" spans="23:23" x14ac:dyDescent="0.45">
      <c r="W2264" s="158"/>
    </row>
    <row r="2265" spans="23:23" x14ac:dyDescent="0.45">
      <c r="W2265" s="158"/>
    </row>
    <row r="2266" spans="23:23" x14ac:dyDescent="0.45">
      <c r="W2266" s="158"/>
    </row>
    <row r="2267" spans="23:23" x14ac:dyDescent="0.45">
      <c r="W2267" s="158"/>
    </row>
    <row r="2268" spans="23:23" x14ac:dyDescent="0.45">
      <c r="W2268" s="158"/>
    </row>
    <row r="2269" spans="23:23" x14ac:dyDescent="0.45">
      <c r="W2269" s="158"/>
    </row>
    <row r="2270" spans="23:23" x14ac:dyDescent="0.45">
      <c r="W2270" s="158"/>
    </row>
    <row r="2271" spans="23:23" x14ac:dyDescent="0.45">
      <c r="W2271" s="158"/>
    </row>
    <row r="2272" spans="23:23" x14ac:dyDescent="0.45">
      <c r="W2272" s="158"/>
    </row>
    <row r="2273" spans="23:23" x14ac:dyDescent="0.45">
      <c r="W2273" s="158"/>
    </row>
    <row r="2274" spans="23:23" x14ac:dyDescent="0.45">
      <c r="W2274" s="158"/>
    </row>
    <row r="2275" spans="23:23" x14ac:dyDescent="0.45">
      <c r="W2275" s="158"/>
    </row>
    <row r="2276" spans="23:23" x14ac:dyDescent="0.45">
      <c r="W2276" s="158"/>
    </row>
    <row r="2277" spans="23:23" x14ac:dyDescent="0.45">
      <c r="W2277" s="158"/>
    </row>
    <row r="2278" spans="23:23" x14ac:dyDescent="0.45">
      <c r="W2278" s="158"/>
    </row>
    <row r="2279" spans="23:23" x14ac:dyDescent="0.45">
      <c r="W2279" s="158"/>
    </row>
    <row r="2280" spans="23:23" x14ac:dyDescent="0.45">
      <c r="W2280" s="158"/>
    </row>
    <row r="2281" spans="23:23" x14ac:dyDescent="0.45">
      <c r="W2281" s="158"/>
    </row>
    <row r="2282" spans="23:23" x14ac:dyDescent="0.45">
      <c r="W2282" s="158"/>
    </row>
    <row r="2283" spans="23:23" x14ac:dyDescent="0.45">
      <c r="W2283" s="158"/>
    </row>
    <row r="2284" spans="23:23" x14ac:dyDescent="0.45">
      <c r="W2284" s="158"/>
    </row>
    <row r="2285" spans="23:23" x14ac:dyDescent="0.45">
      <c r="W2285" s="158"/>
    </row>
    <row r="2286" spans="23:23" x14ac:dyDescent="0.45">
      <c r="W2286" s="158"/>
    </row>
    <row r="2287" spans="23:23" x14ac:dyDescent="0.45">
      <c r="W2287" s="158"/>
    </row>
    <row r="2288" spans="23:23" x14ac:dyDescent="0.45">
      <c r="W2288" s="158"/>
    </row>
    <row r="2289" spans="23:23" x14ac:dyDescent="0.45">
      <c r="W2289" s="158"/>
    </row>
    <row r="2290" spans="23:23" x14ac:dyDescent="0.45">
      <c r="W2290" s="158"/>
    </row>
    <row r="2291" spans="23:23" x14ac:dyDescent="0.45">
      <c r="W2291" s="158"/>
    </row>
    <row r="2292" spans="23:23" x14ac:dyDescent="0.45">
      <c r="W2292" s="158"/>
    </row>
    <row r="2293" spans="23:23" x14ac:dyDescent="0.45">
      <c r="W2293" s="158"/>
    </row>
    <row r="2294" spans="23:23" x14ac:dyDescent="0.45">
      <c r="W2294" s="158"/>
    </row>
    <row r="2295" spans="23:23" x14ac:dyDescent="0.45">
      <c r="W2295" s="158"/>
    </row>
    <row r="2296" spans="23:23" x14ac:dyDescent="0.45">
      <c r="W2296" s="158"/>
    </row>
    <row r="2297" spans="23:23" x14ac:dyDescent="0.45">
      <c r="W2297" s="158"/>
    </row>
    <row r="2298" spans="23:23" x14ac:dyDescent="0.45">
      <c r="W2298" s="158"/>
    </row>
    <row r="2299" spans="23:23" x14ac:dyDescent="0.45">
      <c r="W2299" s="158"/>
    </row>
    <row r="2300" spans="23:23" x14ac:dyDescent="0.45">
      <c r="W2300" s="158"/>
    </row>
    <row r="2301" spans="23:23" x14ac:dyDescent="0.45">
      <c r="W2301" s="158"/>
    </row>
    <row r="2302" spans="23:23" x14ac:dyDescent="0.45">
      <c r="W2302" s="158"/>
    </row>
    <row r="2303" spans="23:23" x14ac:dyDescent="0.45">
      <c r="W2303" s="158"/>
    </row>
    <row r="2304" spans="23:23" x14ac:dyDescent="0.45">
      <c r="W2304" s="158"/>
    </row>
    <row r="2305" spans="23:23" x14ac:dyDescent="0.45">
      <c r="W2305" s="158"/>
    </row>
    <row r="2306" spans="23:23" x14ac:dyDescent="0.45">
      <c r="W2306" s="158"/>
    </row>
    <row r="2307" spans="23:23" x14ac:dyDescent="0.45">
      <c r="W2307" s="158"/>
    </row>
    <row r="2308" spans="23:23" x14ac:dyDescent="0.45">
      <c r="W2308" s="158"/>
    </row>
    <row r="2309" spans="23:23" x14ac:dyDescent="0.45">
      <c r="W2309" s="158"/>
    </row>
    <row r="2310" spans="23:23" x14ac:dyDescent="0.45">
      <c r="W2310" s="158"/>
    </row>
    <row r="2311" spans="23:23" x14ac:dyDescent="0.45">
      <c r="W2311" s="158"/>
    </row>
    <row r="2312" spans="23:23" x14ac:dyDescent="0.45">
      <c r="W2312" s="158"/>
    </row>
    <row r="2313" spans="23:23" x14ac:dyDescent="0.45">
      <c r="W2313" s="158"/>
    </row>
    <row r="2314" spans="23:23" x14ac:dyDescent="0.45">
      <c r="W2314" s="158"/>
    </row>
    <row r="2315" spans="23:23" x14ac:dyDescent="0.45">
      <c r="W2315" s="158"/>
    </row>
    <row r="2316" spans="23:23" x14ac:dyDescent="0.45">
      <c r="W2316" s="158"/>
    </row>
    <row r="2317" spans="23:23" x14ac:dyDescent="0.45">
      <c r="W2317" s="158"/>
    </row>
    <row r="2318" spans="23:23" x14ac:dyDescent="0.45">
      <c r="W2318" s="158"/>
    </row>
    <row r="2319" spans="23:23" x14ac:dyDescent="0.45">
      <c r="W2319" s="158"/>
    </row>
    <row r="2320" spans="23:23" x14ac:dyDescent="0.45">
      <c r="W2320" s="158"/>
    </row>
    <row r="2321" spans="23:23" x14ac:dyDescent="0.45">
      <c r="W2321" s="158"/>
    </row>
    <row r="2322" spans="23:23" x14ac:dyDescent="0.45">
      <c r="W2322" s="158"/>
    </row>
    <row r="2323" spans="23:23" x14ac:dyDescent="0.45">
      <c r="W2323" s="158"/>
    </row>
    <row r="2324" spans="23:23" x14ac:dyDescent="0.45">
      <c r="W2324" s="158"/>
    </row>
    <row r="2325" spans="23:23" x14ac:dyDescent="0.45">
      <c r="W2325" s="158"/>
    </row>
    <row r="2326" spans="23:23" x14ac:dyDescent="0.45">
      <c r="W2326" s="158"/>
    </row>
    <row r="2327" spans="23:23" x14ac:dyDescent="0.45">
      <c r="W2327" s="158"/>
    </row>
    <row r="2328" spans="23:23" x14ac:dyDescent="0.45">
      <c r="W2328" s="158"/>
    </row>
    <row r="2329" spans="23:23" x14ac:dyDescent="0.45">
      <c r="W2329" s="158"/>
    </row>
    <row r="2330" spans="23:23" x14ac:dyDescent="0.45">
      <c r="W2330" s="158"/>
    </row>
    <row r="2331" spans="23:23" x14ac:dyDescent="0.45">
      <c r="W2331" s="158"/>
    </row>
    <row r="2332" spans="23:23" x14ac:dyDescent="0.45">
      <c r="W2332" s="158"/>
    </row>
    <row r="2333" spans="23:23" x14ac:dyDescent="0.45">
      <c r="W2333" s="158"/>
    </row>
    <row r="2334" spans="23:23" x14ac:dyDescent="0.45">
      <c r="W2334" s="158"/>
    </row>
    <row r="2335" spans="23:23" x14ac:dyDescent="0.45">
      <c r="W2335" s="158"/>
    </row>
    <row r="2336" spans="23:23" x14ac:dyDescent="0.45">
      <c r="W2336" s="158"/>
    </row>
    <row r="2337" spans="23:23" x14ac:dyDescent="0.45">
      <c r="W2337" s="158"/>
    </row>
    <row r="2338" spans="23:23" x14ac:dyDescent="0.45">
      <c r="W2338" s="158"/>
    </row>
    <row r="2339" spans="23:23" x14ac:dyDescent="0.45">
      <c r="W2339" s="158"/>
    </row>
    <row r="2340" spans="23:23" x14ac:dyDescent="0.45">
      <c r="W2340" s="158"/>
    </row>
    <row r="2341" spans="23:23" x14ac:dyDescent="0.45">
      <c r="W2341" s="158"/>
    </row>
    <row r="2342" spans="23:23" x14ac:dyDescent="0.45">
      <c r="W2342" s="158"/>
    </row>
    <row r="2343" spans="23:23" x14ac:dyDescent="0.45">
      <c r="W2343" s="158"/>
    </row>
    <row r="2344" spans="23:23" x14ac:dyDescent="0.45">
      <c r="W2344" s="158"/>
    </row>
    <row r="2345" spans="23:23" x14ac:dyDescent="0.45">
      <c r="W2345" s="158"/>
    </row>
    <row r="2346" spans="23:23" x14ac:dyDescent="0.45">
      <c r="W2346" s="158"/>
    </row>
    <row r="2347" spans="23:23" x14ac:dyDescent="0.45">
      <c r="W2347" s="158"/>
    </row>
    <row r="2348" spans="23:23" x14ac:dyDescent="0.45">
      <c r="W2348" s="158"/>
    </row>
    <row r="2349" spans="23:23" x14ac:dyDescent="0.45">
      <c r="W2349" s="158"/>
    </row>
    <row r="2350" spans="23:23" x14ac:dyDescent="0.45">
      <c r="W2350" s="158"/>
    </row>
    <row r="2351" spans="23:23" x14ac:dyDescent="0.45">
      <c r="W2351" s="158"/>
    </row>
    <row r="2352" spans="23:23" x14ac:dyDescent="0.45">
      <c r="W2352" s="158"/>
    </row>
    <row r="2353" spans="23:23" x14ac:dyDescent="0.45">
      <c r="W2353" s="158"/>
    </row>
    <row r="2354" spans="23:23" x14ac:dyDescent="0.45">
      <c r="W2354" s="158"/>
    </row>
    <row r="2355" spans="23:23" x14ac:dyDescent="0.45">
      <c r="W2355" s="158"/>
    </row>
    <row r="2356" spans="23:23" x14ac:dyDescent="0.45">
      <c r="W2356" s="158"/>
    </row>
    <row r="2357" spans="23:23" x14ac:dyDescent="0.45">
      <c r="W2357" s="158"/>
    </row>
    <row r="2358" spans="23:23" x14ac:dyDescent="0.45">
      <c r="W2358" s="158"/>
    </row>
    <row r="2359" spans="23:23" x14ac:dyDescent="0.45">
      <c r="W2359" s="158"/>
    </row>
    <row r="2360" spans="23:23" x14ac:dyDescent="0.45">
      <c r="W2360" s="158"/>
    </row>
    <row r="2361" spans="23:23" x14ac:dyDescent="0.45">
      <c r="W2361" s="158"/>
    </row>
    <row r="2362" spans="23:23" x14ac:dyDescent="0.45">
      <c r="W2362" s="158"/>
    </row>
    <row r="2363" spans="23:23" x14ac:dyDescent="0.45">
      <c r="W2363" s="158"/>
    </row>
    <row r="2364" spans="23:23" x14ac:dyDescent="0.45">
      <c r="W2364" s="158"/>
    </row>
    <row r="2365" spans="23:23" x14ac:dyDescent="0.45">
      <c r="W2365" s="158"/>
    </row>
    <row r="2366" spans="23:23" x14ac:dyDescent="0.45">
      <c r="W2366" s="158"/>
    </row>
    <row r="2367" spans="23:23" x14ac:dyDescent="0.45">
      <c r="W2367" s="158"/>
    </row>
    <row r="2368" spans="23:23" x14ac:dyDescent="0.45">
      <c r="W2368" s="158"/>
    </row>
    <row r="2369" spans="23:23" x14ac:dyDescent="0.45">
      <c r="W2369" s="158"/>
    </row>
    <row r="2370" spans="23:23" x14ac:dyDescent="0.45">
      <c r="W2370" s="158"/>
    </row>
    <row r="2371" spans="23:23" x14ac:dyDescent="0.45">
      <c r="W2371" s="158"/>
    </row>
    <row r="2372" spans="23:23" x14ac:dyDescent="0.45">
      <c r="W2372" s="158"/>
    </row>
    <row r="2373" spans="23:23" x14ac:dyDescent="0.45">
      <c r="W2373" s="158"/>
    </row>
    <row r="2374" spans="23:23" x14ac:dyDescent="0.45">
      <c r="W2374" s="158"/>
    </row>
    <row r="2375" spans="23:23" x14ac:dyDescent="0.45">
      <c r="W2375" s="158"/>
    </row>
    <row r="2376" spans="23:23" x14ac:dyDescent="0.45">
      <c r="W2376" s="158"/>
    </row>
    <row r="2377" spans="23:23" x14ac:dyDescent="0.45">
      <c r="W2377" s="158"/>
    </row>
    <row r="2378" spans="23:23" x14ac:dyDescent="0.45">
      <c r="W2378" s="158"/>
    </row>
    <row r="2379" spans="23:23" x14ac:dyDescent="0.45">
      <c r="W2379" s="158"/>
    </row>
    <row r="2380" spans="23:23" x14ac:dyDescent="0.45">
      <c r="W2380" s="158"/>
    </row>
    <row r="2381" spans="23:23" x14ac:dyDescent="0.45">
      <c r="W2381" s="158"/>
    </row>
    <row r="2382" spans="23:23" x14ac:dyDescent="0.45">
      <c r="W2382" s="158"/>
    </row>
    <row r="2383" spans="23:23" x14ac:dyDescent="0.45">
      <c r="W2383" s="158"/>
    </row>
    <row r="2384" spans="23:23" x14ac:dyDescent="0.45">
      <c r="W2384" s="158"/>
    </row>
    <row r="2385" spans="23:23" x14ac:dyDescent="0.45">
      <c r="W2385" s="158"/>
    </row>
    <row r="2386" spans="23:23" x14ac:dyDescent="0.45">
      <c r="W2386" s="158"/>
    </row>
    <row r="2387" spans="23:23" x14ac:dyDescent="0.45">
      <c r="W2387" s="158"/>
    </row>
    <row r="2388" spans="23:23" x14ac:dyDescent="0.45">
      <c r="W2388" s="158"/>
    </row>
    <row r="2389" spans="23:23" x14ac:dyDescent="0.45">
      <c r="W2389" s="158"/>
    </row>
    <row r="2390" spans="23:23" x14ac:dyDescent="0.45">
      <c r="W2390" s="158"/>
    </row>
    <row r="2391" spans="23:23" x14ac:dyDescent="0.45">
      <c r="W2391" s="158"/>
    </row>
    <row r="2392" spans="23:23" x14ac:dyDescent="0.45">
      <c r="W2392" s="158"/>
    </row>
    <row r="2393" spans="23:23" x14ac:dyDescent="0.45">
      <c r="W2393" s="158"/>
    </row>
    <row r="2394" spans="23:23" x14ac:dyDescent="0.45">
      <c r="W2394" s="158"/>
    </row>
    <row r="2395" spans="23:23" x14ac:dyDescent="0.45">
      <c r="W2395" s="158"/>
    </row>
    <row r="2396" spans="23:23" x14ac:dyDescent="0.45">
      <c r="W2396" s="158"/>
    </row>
    <row r="2397" spans="23:23" x14ac:dyDescent="0.45">
      <c r="W2397" s="158"/>
    </row>
    <row r="2398" spans="23:23" x14ac:dyDescent="0.45">
      <c r="W2398" s="158"/>
    </row>
    <row r="2399" spans="23:23" x14ac:dyDescent="0.45">
      <c r="W2399" s="158"/>
    </row>
    <row r="2400" spans="23:23" x14ac:dyDescent="0.45">
      <c r="W2400" s="158"/>
    </row>
    <row r="2401" spans="23:23" x14ac:dyDescent="0.45">
      <c r="W2401" s="158"/>
    </row>
    <row r="2402" spans="23:23" x14ac:dyDescent="0.45">
      <c r="W2402" s="158"/>
    </row>
    <row r="2403" spans="23:23" x14ac:dyDescent="0.45">
      <c r="W2403" s="158"/>
    </row>
    <row r="2404" spans="23:23" x14ac:dyDescent="0.45">
      <c r="W2404" s="158"/>
    </row>
    <row r="2405" spans="23:23" x14ac:dyDescent="0.45">
      <c r="W2405" s="158"/>
    </row>
    <row r="2406" spans="23:23" x14ac:dyDescent="0.45">
      <c r="W2406" s="158"/>
    </row>
    <row r="2407" spans="23:23" x14ac:dyDescent="0.45">
      <c r="W2407" s="158"/>
    </row>
    <row r="2408" spans="23:23" x14ac:dyDescent="0.45">
      <c r="W2408" s="158"/>
    </row>
    <row r="2409" spans="23:23" x14ac:dyDescent="0.45">
      <c r="W2409" s="158"/>
    </row>
    <row r="2410" spans="23:23" x14ac:dyDescent="0.45">
      <c r="W2410" s="158"/>
    </row>
    <row r="2411" spans="23:23" x14ac:dyDescent="0.45">
      <c r="W2411" s="158"/>
    </row>
    <row r="2412" spans="23:23" x14ac:dyDescent="0.45">
      <c r="W2412" s="158"/>
    </row>
    <row r="2413" spans="23:23" x14ac:dyDescent="0.45">
      <c r="W2413" s="158"/>
    </row>
    <row r="2414" spans="23:23" x14ac:dyDescent="0.45">
      <c r="W2414" s="158"/>
    </row>
    <row r="2415" spans="23:23" x14ac:dyDescent="0.45">
      <c r="W2415" s="158"/>
    </row>
    <row r="2416" spans="23:23" x14ac:dyDescent="0.45">
      <c r="W2416" s="158"/>
    </row>
    <row r="2417" spans="23:23" x14ac:dyDescent="0.45">
      <c r="W2417" s="158"/>
    </row>
    <row r="2418" spans="23:23" x14ac:dyDescent="0.45">
      <c r="W2418" s="158"/>
    </row>
    <row r="2419" spans="23:23" x14ac:dyDescent="0.45">
      <c r="W2419" s="158"/>
    </row>
    <row r="2420" spans="23:23" x14ac:dyDescent="0.45">
      <c r="W2420" s="158"/>
    </row>
    <row r="2421" spans="23:23" x14ac:dyDescent="0.45">
      <c r="W2421" s="158"/>
    </row>
    <row r="2422" spans="23:23" x14ac:dyDescent="0.45">
      <c r="W2422" s="158"/>
    </row>
    <row r="2423" spans="23:23" x14ac:dyDescent="0.45">
      <c r="W2423" s="158"/>
    </row>
    <row r="2424" spans="23:23" x14ac:dyDescent="0.45">
      <c r="W2424" s="158"/>
    </row>
    <row r="2425" spans="23:23" x14ac:dyDescent="0.45">
      <c r="W2425" s="158"/>
    </row>
    <row r="2426" spans="23:23" x14ac:dyDescent="0.45">
      <c r="W2426" s="158"/>
    </row>
    <row r="2427" spans="23:23" x14ac:dyDescent="0.45">
      <c r="W2427" s="158"/>
    </row>
    <row r="2428" spans="23:23" x14ac:dyDescent="0.45">
      <c r="W2428" s="158"/>
    </row>
    <row r="2429" spans="23:23" x14ac:dyDescent="0.45">
      <c r="W2429" s="158"/>
    </row>
    <row r="2430" spans="23:23" x14ac:dyDescent="0.45">
      <c r="W2430" s="158"/>
    </row>
    <row r="2431" spans="23:23" x14ac:dyDescent="0.45">
      <c r="W2431" s="158"/>
    </row>
    <row r="2432" spans="23:23" x14ac:dyDescent="0.45">
      <c r="W2432" s="158"/>
    </row>
    <row r="2433" spans="23:23" x14ac:dyDescent="0.45">
      <c r="W2433" s="158"/>
    </row>
    <row r="2434" spans="23:23" x14ac:dyDescent="0.45">
      <c r="W2434" s="158"/>
    </row>
    <row r="2435" spans="23:23" x14ac:dyDescent="0.45">
      <c r="W2435" s="158"/>
    </row>
    <row r="2436" spans="23:23" x14ac:dyDescent="0.45">
      <c r="W2436" s="158"/>
    </row>
    <row r="2437" spans="23:23" x14ac:dyDescent="0.45">
      <c r="W2437" s="158"/>
    </row>
    <row r="2438" spans="23:23" x14ac:dyDescent="0.45">
      <c r="W2438" s="158"/>
    </row>
    <row r="2439" spans="23:23" x14ac:dyDescent="0.45">
      <c r="W2439" s="158"/>
    </row>
    <row r="2440" spans="23:23" x14ac:dyDescent="0.45">
      <c r="W2440" s="158"/>
    </row>
    <row r="2441" spans="23:23" x14ac:dyDescent="0.45">
      <c r="W2441" s="158"/>
    </row>
    <row r="2442" spans="23:23" x14ac:dyDescent="0.45">
      <c r="W2442" s="158"/>
    </row>
    <row r="2443" spans="23:23" x14ac:dyDescent="0.45">
      <c r="W2443" s="158"/>
    </row>
    <row r="2444" spans="23:23" x14ac:dyDescent="0.45">
      <c r="W2444" s="158"/>
    </row>
    <row r="2445" spans="23:23" x14ac:dyDescent="0.45">
      <c r="W2445" s="158"/>
    </row>
    <row r="2446" spans="23:23" x14ac:dyDescent="0.45">
      <c r="W2446" s="158"/>
    </row>
    <row r="2447" spans="23:23" x14ac:dyDescent="0.45">
      <c r="W2447" s="158"/>
    </row>
    <row r="2448" spans="23:23" x14ac:dyDescent="0.45">
      <c r="W2448" s="158"/>
    </row>
    <row r="2449" spans="23:23" x14ac:dyDescent="0.45">
      <c r="W2449" s="158"/>
    </row>
    <row r="2450" spans="23:23" x14ac:dyDescent="0.45">
      <c r="W2450" s="158"/>
    </row>
    <row r="2451" spans="23:23" x14ac:dyDescent="0.45">
      <c r="W2451" s="158"/>
    </row>
    <row r="2452" spans="23:23" x14ac:dyDescent="0.45">
      <c r="W2452" s="158"/>
    </row>
    <row r="2453" spans="23:23" x14ac:dyDescent="0.45">
      <c r="W2453" s="158"/>
    </row>
    <row r="2454" spans="23:23" x14ac:dyDescent="0.45">
      <c r="W2454" s="158"/>
    </row>
    <row r="2455" spans="23:23" x14ac:dyDescent="0.45">
      <c r="W2455" s="158"/>
    </row>
    <row r="2456" spans="23:23" x14ac:dyDescent="0.45">
      <c r="W2456" s="158"/>
    </row>
    <row r="2457" spans="23:23" x14ac:dyDescent="0.45">
      <c r="W2457" s="158"/>
    </row>
    <row r="2458" spans="23:23" x14ac:dyDescent="0.45">
      <c r="W2458" s="158"/>
    </row>
    <row r="2459" spans="23:23" x14ac:dyDescent="0.45">
      <c r="W2459" s="158"/>
    </row>
    <row r="2460" spans="23:23" x14ac:dyDescent="0.45">
      <c r="W2460" s="158"/>
    </row>
    <row r="2461" spans="23:23" x14ac:dyDescent="0.45">
      <c r="W2461" s="158"/>
    </row>
    <row r="2462" spans="23:23" x14ac:dyDescent="0.45">
      <c r="W2462" s="158"/>
    </row>
    <row r="2463" spans="23:23" x14ac:dyDescent="0.45">
      <c r="W2463" s="158"/>
    </row>
    <row r="2464" spans="23:23" x14ac:dyDescent="0.45">
      <c r="W2464" s="158"/>
    </row>
    <row r="2465" spans="23:23" x14ac:dyDescent="0.45">
      <c r="W2465" s="158"/>
    </row>
    <row r="2466" spans="23:23" x14ac:dyDescent="0.45">
      <c r="W2466" s="158"/>
    </row>
    <row r="2467" spans="23:23" x14ac:dyDescent="0.45">
      <c r="W2467" s="158"/>
    </row>
    <row r="2468" spans="23:23" x14ac:dyDescent="0.45">
      <c r="W2468" s="158"/>
    </row>
    <row r="2469" spans="23:23" x14ac:dyDescent="0.45">
      <c r="W2469" s="158"/>
    </row>
    <row r="2470" spans="23:23" x14ac:dyDescent="0.45">
      <c r="W2470" s="158"/>
    </row>
    <row r="2471" spans="23:23" x14ac:dyDescent="0.45">
      <c r="W2471" s="158"/>
    </row>
    <row r="2472" spans="23:23" x14ac:dyDescent="0.45">
      <c r="W2472" s="158"/>
    </row>
    <row r="2473" spans="23:23" x14ac:dyDescent="0.45">
      <c r="W2473" s="158"/>
    </row>
    <row r="2474" spans="23:23" x14ac:dyDescent="0.45">
      <c r="W2474" s="158"/>
    </row>
    <row r="2475" spans="23:23" x14ac:dyDescent="0.45">
      <c r="W2475" s="158"/>
    </row>
    <row r="2476" spans="23:23" x14ac:dyDescent="0.45">
      <c r="W2476" s="158"/>
    </row>
    <row r="2477" spans="23:23" x14ac:dyDescent="0.45">
      <c r="W2477" s="158"/>
    </row>
    <row r="2478" spans="23:23" x14ac:dyDescent="0.45">
      <c r="W2478" s="158"/>
    </row>
    <row r="2479" spans="23:23" x14ac:dyDescent="0.45">
      <c r="W2479" s="158"/>
    </row>
    <row r="2480" spans="23:23" x14ac:dyDescent="0.45">
      <c r="W2480" s="158"/>
    </row>
    <row r="2481" spans="23:23" x14ac:dyDescent="0.45">
      <c r="W2481" s="158"/>
    </row>
    <row r="2482" spans="23:23" x14ac:dyDescent="0.45">
      <c r="W2482" s="158"/>
    </row>
    <row r="2483" spans="23:23" x14ac:dyDescent="0.45">
      <c r="W2483" s="158"/>
    </row>
    <row r="2484" spans="23:23" x14ac:dyDescent="0.45">
      <c r="W2484" s="158"/>
    </row>
    <row r="2485" spans="23:23" x14ac:dyDescent="0.45">
      <c r="W2485" s="158"/>
    </row>
    <row r="2486" spans="23:23" x14ac:dyDescent="0.45">
      <c r="W2486" s="158"/>
    </row>
    <row r="2487" spans="23:23" x14ac:dyDescent="0.45">
      <c r="W2487" s="158"/>
    </row>
    <row r="2488" spans="23:23" x14ac:dyDescent="0.45">
      <c r="W2488" s="158"/>
    </row>
    <row r="2489" spans="23:23" x14ac:dyDescent="0.45">
      <c r="W2489" s="158"/>
    </row>
    <row r="2490" spans="23:23" x14ac:dyDescent="0.45">
      <c r="W2490" s="158"/>
    </row>
    <row r="2491" spans="23:23" x14ac:dyDescent="0.45">
      <c r="W2491" s="158"/>
    </row>
    <row r="2492" spans="23:23" x14ac:dyDescent="0.45">
      <c r="W2492" s="158"/>
    </row>
    <row r="2493" spans="23:23" x14ac:dyDescent="0.45">
      <c r="W2493" s="158"/>
    </row>
    <row r="2494" spans="23:23" x14ac:dyDescent="0.45">
      <c r="W2494" s="158"/>
    </row>
    <row r="2495" spans="23:23" x14ac:dyDescent="0.45">
      <c r="W2495" s="158"/>
    </row>
    <row r="2496" spans="23:23" x14ac:dyDescent="0.45">
      <c r="W2496" s="158"/>
    </row>
    <row r="2497" spans="23:23" x14ac:dyDescent="0.45">
      <c r="W2497" s="158"/>
    </row>
    <row r="2498" spans="23:23" x14ac:dyDescent="0.45">
      <c r="W2498" s="158"/>
    </row>
    <row r="2499" spans="23:23" x14ac:dyDescent="0.45">
      <c r="W2499" s="158"/>
    </row>
    <row r="2500" spans="23:23" x14ac:dyDescent="0.45">
      <c r="W2500" s="158"/>
    </row>
    <row r="2501" spans="23:23" x14ac:dyDescent="0.45">
      <c r="W2501" s="158"/>
    </row>
    <row r="2502" spans="23:23" x14ac:dyDescent="0.45">
      <c r="W2502" s="158"/>
    </row>
    <row r="2503" spans="23:23" x14ac:dyDescent="0.45">
      <c r="W2503" s="158"/>
    </row>
    <row r="2504" spans="23:23" x14ac:dyDescent="0.45">
      <c r="W2504" s="158"/>
    </row>
    <row r="2505" spans="23:23" x14ac:dyDescent="0.45">
      <c r="W2505" s="158"/>
    </row>
    <row r="2506" spans="23:23" x14ac:dyDescent="0.45">
      <c r="W2506" s="158"/>
    </row>
    <row r="2507" spans="23:23" x14ac:dyDescent="0.45">
      <c r="W2507" s="158"/>
    </row>
    <row r="2508" spans="23:23" x14ac:dyDescent="0.45">
      <c r="W2508" s="158"/>
    </row>
    <row r="2509" spans="23:23" x14ac:dyDescent="0.45">
      <c r="W2509" s="158"/>
    </row>
    <row r="2510" spans="23:23" x14ac:dyDescent="0.45">
      <c r="W2510" s="158"/>
    </row>
    <row r="2511" spans="23:23" x14ac:dyDescent="0.45">
      <c r="W2511" s="158"/>
    </row>
    <row r="2512" spans="23:23" x14ac:dyDescent="0.45">
      <c r="W2512" s="158"/>
    </row>
    <row r="2513" spans="23:23" x14ac:dyDescent="0.45">
      <c r="W2513" s="158"/>
    </row>
    <row r="2514" spans="23:23" x14ac:dyDescent="0.45">
      <c r="W2514" s="158"/>
    </row>
    <row r="2515" spans="23:23" x14ac:dyDescent="0.45">
      <c r="W2515" s="158"/>
    </row>
    <row r="2516" spans="23:23" x14ac:dyDescent="0.45">
      <c r="W2516" s="158"/>
    </row>
    <row r="2517" spans="23:23" x14ac:dyDescent="0.45">
      <c r="W2517" s="158"/>
    </row>
    <row r="2518" spans="23:23" x14ac:dyDescent="0.45">
      <c r="W2518" s="158"/>
    </row>
    <row r="2519" spans="23:23" x14ac:dyDescent="0.45">
      <c r="W2519" s="158"/>
    </row>
    <row r="2520" spans="23:23" x14ac:dyDescent="0.45">
      <c r="W2520" s="158"/>
    </row>
    <row r="2521" spans="23:23" x14ac:dyDescent="0.45">
      <c r="W2521" s="158"/>
    </row>
    <row r="2522" spans="23:23" x14ac:dyDescent="0.45">
      <c r="W2522" s="158"/>
    </row>
    <row r="2523" spans="23:23" x14ac:dyDescent="0.45">
      <c r="W2523" s="158"/>
    </row>
    <row r="2524" spans="23:23" x14ac:dyDescent="0.45">
      <c r="W2524" s="158"/>
    </row>
    <row r="2525" spans="23:23" x14ac:dyDescent="0.45">
      <c r="W2525" s="158"/>
    </row>
    <row r="2526" spans="23:23" x14ac:dyDescent="0.45">
      <c r="W2526" s="158"/>
    </row>
    <row r="2527" spans="23:23" x14ac:dyDescent="0.45">
      <c r="W2527" s="158"/>
    </row>
    <row r="2528" spans="23:23" x14ac:dyDescent="0.45">
      <c r="W2528" s="158"/>
    </row>
    <row r="2529" spans="23:23" x14ac:dyDescent="0.45">
      <c r="W2529" s="158"/>
    </row>
    <row r="2530" spans="23:23" x14ac:dyDescent="0.45">
      <c r="W2530" s="158"/>
    </row>
    <row r="2531" spans="23:23" x14ac:dyDescent="0.45">
      <c r="W2531" s="158"/>
    </row>
    <row r="2532" spans="23:23" x14ac:dyDescent="0.45">
      <c r="W2532" s="158"/>
    </row>
    <row r="2533" spans="23:23" x14ac:dyDescent="0.45">
      <c r="W2533" s="158"/>
    </row>
    <row r="2534" spans="23:23" x14ac:dyDescent="0.45">
      <c r="W2534" s="158"/>
    </row>
    <row r="2535" spans="23:23" x14ac:dyDescent="0.45">
      <c r="W2535" s="158"/>
    </row>
    <row r="2536" spans="23:23" x14ac:dyDescent="0.45">
      <c r="W2536" s="158"/>
    </row>
    <row r="2537" spans="23:23" x14ac:dyDescent="0.45">
      <c r="W2537" s="158"/>
    </row>
    <row r="2538" spans="23:23" x14ac:dyDescent="0.45">
      <c r="W2538" s="158"/>
    </row>
    <row r="2539" spans="23:23" x14ac:dyDescent="0.45">
      <c r="W2539" s="158"/>
    </row>
    <row r="2540" spans="23:23" x14ac:dyDescent="0.45">
      <c r="W2540" s="158"/>
    </row>
    <row r="2541" spans="23:23" x14ac:dyDescent="0.45">
      <c r="W2541" s="158"/>
    </row>
    <row r="2542" spans="23:23" x14ac:dyDescent="0.45">
      <c r="W2542" s="158"/>
    </row>
    <row r="2543" spans="23:23" x14ac:dyDescent="0.45">
      <c r="W2543" s="158"/>
    </row>
    <row r="2544" spans="23:23" x14ac:dyDescent="0.45">
      <c r="W2544" s="158"/>
    </row>
    <row r="2545" spans="23:23" x14ac:dyDescent="0.45">
      <c r="W2545" s="158"/>
    </row>
    <row r="2546" spans="23:23" x14ac:dyDescent="0.45">
      <c r="W2546" s="158"/>
    </row>
    <row r="2547" spans="23:23" x14ac:dyDescent="0.45">
      <c r="W2547" s="158"/>
    </row>
    <row r="2548" spans="23:23" x14ac:dyDescent="0.45">
      <c r="W2548" s="158"/>
    </row>
    <row r="2549" spans="23:23" x14ac:dyDescent="0.45">
      <c r="W2549" s="158"/>
    </row>
    <row r="2550" spans="23:23" x14ac:dyDescent="0.45">
      <c r="W2550" s="158"/>
    </row>
    <row r="2551" spans="23:23" x14ac:dyDescent="0.45">
      <c r="W2551" s="158"/>
    </row>
    <row r="2552" spans="23:23" x14ac:dyDescent="0.45">
      <c r="W2552" s="158"/>
    </row>
    <row r="2553" spans="23:23" x14ac:dyDescent="0.45">
      <c r="W2553" s="158"/>
    </row>
    <row r="2554" spans="23:23" x14ac:dyDescent="0.45">
      <c r="W2554" s="158"/>
    </row>
    <row r="2555" spans="23:23" x14ac:dyDescent="0.45">
      <c r="W2555" s="158"/>
    </row>
    <row r="2556" spans="23:23" x14ac:dyDescent="0.45">
      <c r="W2556" s="158"/>
    </row>
    <row r="2557" spans="23:23" x14ac:dyDescent="0.45">
      <c r="W2557" s="158"/>
    </row>
    <row r="2558" spans="23:23" x14ac:dyDescent="0.45">
      <c r="W2558" s="158"/>
    </row>
    <row r="2559" spans="23:23" x14ac:dyDescent="0.45">
      <c r="W2559" s="158"/>
    </row>
    <row r="2560" spans="23:23" x14ac:dyDescent="0.45">
      <c r="W2560" s="158"/>
    </row>
    <row r="2561" spans="23:23" x14ac:dyDescent="0.45">
      <c r="W2561" s="158"/>
    </row>
    <row r="2562" spans="23:23" x14ac:dyDescent="0.45">
      <c r="W2562" s="158"/>
    </row>
    <row r="2563" spans="23:23" x14ac:dyDescent="0.45">
      <c r="W2563" s="158"/>
    </row>
    <row r="2564" spans="23:23" x14ac:dyDescent="0.45">
      <c r="W2564" s="158"/>
    </row>
    <row r="2565" spans="23:23" x14ac:dyDescent="0.45">
      <c r="W2565" s="158"/>
    </row>
    <row r="2566" spans="23:23" x14ac:dyDescent="0.45">
      <c r="W2566" s="158"/>
    </row>
    <row r="2567" spans="23:23" x14ac:dyDescent="0.45">
      <c r="W2567" s="158"/>
    </row>
    <row r="2568" spans="23:23" x14ac:dyDescent="0.45">
      <c r="W2568" s="158"/>
    </row>
    <row r="2569" spans="23:23" x14ac:dyDescent="0.45">
      <c r="W2569" s="158"/>
    </row>
    <row r="2570" spans="23:23" x14ac:dyDescent="0.45">
      <c r="W2570" s="158"/>
    </row>
    <row r="2571" spans="23:23" x14ac:dyDescent="0.45">
      <c r="W2571" s="158"/>
    </row>
    <row r="2572" spans="23:23" x14ac:dyDescent="0.45">
      <c r="W2572" s="158"/>
    </row>
    <row r="2573" spans="23:23" x14ac:dyDescent="0.45">
      <c r="W2573" s="158"/>
    </row>
    <row r="2574" spans="23:23" x14ac:dyDescent="0.45">
      <c r="W2574" s="158"/>
    </row>
    <row r="2575" spans="23:23" x14ac:dyDescent="0.45">
      <c r="W2575" s="158"/>
    </row>
    <row r="2576" spans="23:23" x14ac:dyDescent="0.45">
      <c r="W2576" s="158"/>
    </row>
    <row r="2577" spans="23:23" x14ac:dyDescent="0.45">
      <c r="W2577" s="158"/>
    </row>
    <row r="2578" spans="23:23" x14ac:dyDescent="0.45">
      <c r="W2578" s="158"/>
    </row>
    <row r="2579" spans="23:23" x14ac:dyDescent="0.45">
      <c r="W2579" s="158"/>
    </row>
    <row r="2580" spans="23:23" x14ac:dyDescent="0.45">
      <c r="W2580" s="158"/>
    </row>
    <row r="2581" spans="23:23" x14ac:dyDescent="0.45">
      <c r="W2581" s="158"/>
    </row>
    <row r="2582" spans="23:23" x14ac:dyDescent="0.45">
      <c r="W2582" s="158"/>
    </row>
    <row r="2583" spans="23:23" x14ac:dyDescent="0.45">
      <c r="W2583" s="158"/>
    </row>
    <row r="2584" spans="23:23" x14ac:dyDescent="0.45">
      <c r="W2584" s="158"/>
    </row>
    <row r="2585" spans="23:23" x14ac:dyDescent="0.45">
      <c r="W2585" s="158"/>
    </row>
    <row r="2586" spans="23:23" x14ac:dyDescent="0.45">
      <c r="W2586" s="158"/>
    </row>
    <row r="2587" spans="23:23" x14ac:dyDescent="0.45">
      <c r="W2587" s="158"/>
    </row>
    <row r="2588" spans="23:23" x14ac:dyDescent="0.45">
      <c r="W2588" s="158"/>
    </row>
    <row r="2589" spans="23:23" x14ac:dyDescent="0.45">
      <c r="W2589" s="158"/>
    </row>
    <row r="2590" spans="23:23" x14ac:dyDescent="0.45">
      <c r="W2590" s="158"/>
    </row>
    <row r="2591" spans="23:23" x14ac:dyDescent="0.45">
      <c r="W2591" s="158"/>
    </row>
    <row r="2592" spans="23:23" x14ac:dyDescent="0.45">
      <c r="W2592" s="158"/>
    </row>
    <row r="2593" spans="23:23" x14ac:dyDescent="0.45">
      <c r="W2593" s="158"/>
    </row>
    <row r="2594" spans="23:23" x14ac:dyDescent="0.45">
      <c r="W2594" s="158"/>
    </row>
    <row r="2595" spans="23:23" x14ac:dyDescent="0.45">
      <c r="W2595" s="158"/>
    </row>
    <row r="2596" spans="23:23" x14ac:dyDescent="0.45">
      <c r="W2596" s="158"/>
    </row>
    <row r="2597" spans="23:23" x14ac:dyDescent="0.45">
      <c r="W2597" s="158"/>
    </row>
    <row r="2598" spans="23:23" x14ac:dyDescent="0.45">
      <c r="W2598" s="158"/>
    </row>
    <row r="2599" spans="23:23" x14ac:dyDescent="0.45">
      <c r="W2599" s="158"/>
    </row>
    <row r="2600" spans="23:23" x14ac:dyDescent="0.45">
      <c r="W2600" s="158"/>
    </row>
    <row r="2601" spans="23:23" x14ac:dyDescent="0.45">
      <c r="W2601" s="158"/>
    </row>
    <row r="2602" spans="23:23" x14ac:dyDescent="0.45">
      <c r="W2602" s="158"/>
    </row>
    <row r="2603" spans="23:23" x14ac:dyDescent="0.45">
      <c r="W2603" s="158"/>
    </row>
    <row r="2604" spans="23:23" x14ac:dyDescent="0.45">
      <c r="W2604" s="158"/>
    </row>
    <row r="2605" spans="23:23" x14ac:dyDescent="0.45">
      <c r="W2605" s="158"/>
    </row>
    <row r="2606" spans="23:23" x14ac:dyDescent="0.45">
      <c r="W2606" s="158"/>
    </row>
    <row r="2607" spans="23:23" x14ac:dyDescent="0.45">
      <c r="W2607" s="158"/>
    </row>
    <row r="2608" spans="23:23" x14ac:dyDescent="0.45">
      <c r="W2608" s="158"/>
    </row>
    <row r="2609" spans="23:23" x14ac:dyDescent="0.45">
      <c r="W2609" s="158"/>
    </row>
    <row r="2610" spans="23:23" x14ac:dyDescent="0.45">
      <c r="W2610" s="158"/>
    </row>
    <row r="2611" spans="23:23" x14ac:dyDescent="0.45">
      <c r="W2611" s="158"/>
    </row>
    <row r="2612" spans="23:23" x14ac:dyDescent="0.45">
      <c r="W2612" s="158"/>
    </row>
  </sheetData>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0705-CE65-43A3-8178-8068EE60A725}">
  <sheetPr codeName="Planilha30">
    <tabColor theme="9" tint="0.59999389629810485"/>
  </sheetPr>
  <dimension ref="A1:AD34"/>
  <sheetViews>
    <sheetView showGridLines="0" workbookViewId="0">
      <pane ySplit="2" topLeftCell="A3" activePane="bottomLeft" state="frozen"/>
      <selection activeCell="K6" sqref="K6"/>
      <selection pane="bottomLeft" activeCell="U11" sqref="U11"/>
    </sheetView>
  </sheetViews>
  <sheetFormatPr defaultColWidth="8.796875" defaultRowHeight="18" x14ac:dyDescent="0.55000000000000004"/>
  <cols>
    <col min="1" max="1" width="12.6640625" style="17" customWidth="1"/>
    <col min="2" max="2" width="26.1328125" customWidth="1"/>
    <col min="4" max="4" width="4.6640625" customWidth="1"/>
    <col min="5" max="5" width="4" bestFit="1" customWidth="1"/>
    <col min="6" max="8" width="7.1328125" bestFit="1" customWidth="1"/>
    <col min="9" max="14" width="12.33203125" bestFit="1" customWidth="1"/>
    <col min="16" max="16" width="12.33203125" style="15" bestFit="1" customWidth="1"/>
    <col min="17" max="20" width="9" style="15" customWidth="1"/>
    <col min="21" max="21" width="15.33203125" style="15" bestFit="1" customWidth="1"/>
    <col min="22" max="30" width="12.33203125" style="15" bestFit="1" customWidth="1"/>
  </cols>
  <sheetData>
    <row r="1" spans="1:30" x14ac:dyDescent="0.55000000000000004">
      <c r="A1" s="83" t="s">
        <v>329</v>
      </c>
      <c r="P1" s="14"/>
      <c r="Q1" s="14"/>
      <c r="R1" s="14"/>
      <c r="S1" s="14"/>
      <c r="T1" s="14"/>
      <c r="U1" s="14"/>
      <c r="V1" s="14"/>
      <c r="W1" s="14"/>
      <c r="X1" s="14"/>
      <c r="Y1" s="14"/>
      <c r="Z1" s="14"/>
      <c r="AA1" s="14"/>
      <c r="AB1" s="14"/>
      <c r="AC1" s="14"/>
      <c r="AD1" s="14"/>
    </row>
    <row r="2" spans="1:30" x14ac:dyDescent="0.55000000000000004">
      <c r="A2" s="17" t="s">
        <v>330</v>
      </c>
      <c r="P2" s="14"/>
      <c r="Q2" s="14"/>
      <c r="R2" s="14"/>
      <c r="S2" s="14"/>
      <c r="T2" s="14"/>
      <c r="U2" s="14"/>
      <c r="V2" s="14"/>
      <c r="W2" s="14"/>
      <c r="X2" s="14"/>
      <c r="Y2" s="14"/>
      <c r="Z2" s="14"/>
      <c r="AA2" s="14"/>
      <c r="AB2" s="14"/>
      <c r="AC2" s="14"/>
      <c r="AD2" s="14"/>
    </row>
    <row r="4" spans="1:30" ht="15.75" x14ac:dyDescent="0.5">
      <c r="A4" s="2" t="s">
        <v>15</v>
      </c>
      <c r="B4" s="2" t="s">
        <v>16</v>
      </c>
    </row>
    <row r="5" spans="1:30" ht="15.75" x14ac:dyDescent="0.5">
      <c r="A5" s="23" t="s">
        <v>165</v>
      </c>
      <c r="B5" s="24" t="s">
        <v>167</v>
      </c>
    </row>
    <row r="6" spans="1:30" ht="110.25" x14ac:dyDescent="0.5">
      <c r="A6" s="23" t="s">
        <v>358</v>
      </c>
      <c r="B6" s="24" t="s">
        <v>359</v>
      </c>
    </row>
    <row r="7" spans="1:30" ht="47.25" x14ac:dyDescent="0.5">
      <c r="A7" s="23" t="s">
        <v>207</v>
      </c>
      <c r="B7" s="24" t="s">
        <v>362</v>
      </c>
    </row>
    <row r="8" spans="1:30" ht="15.75" x14ac:dyDescent="0.5">
      <c r="A8" s="23" t="s">
        <v>253</v>
      </c>
      <c r="B8" s="24" t="s">
        <v>338</v>
      </c>
    </row>
    <row r="9" spans="1:30" ht="31.5" x14ac:dyDescent="0.5">
      <c r="A9" s="23" t="s">
        <v>331</v>
      </c>
      <c r="B9" s="24" t="s">
        <v>339</v>
      </c>
    </row>
    <row r="10" spans="1:30" ht="63" x14ac:dyDescent="0.45">
      <c r="A10" s="23" t="s">
        <v>332</v>
      </c>
      <c r="B10" s="26" t="s">
        <v>340</v>
      </c>
      <c r="P10" s="60" t="s">
        <v>353</v>
      </c>
      <c r="U10" s="60" t="s">
        <v>353</v>
      </c>
    </row>
    <row r="11" spans="1:30" ht="15.75" x14ac:dyDescent="0.45">
      <c r="A11" s="23"/>
      <c r="B11" s="26"/>
      <c r="P11" s="53" t="b" cm="1">
        <f t="array" ref="P11">ISSTATIONARY(F14:F34,$I$14,$J$14,$K$14,$L$14,$M$14)</f>
        <v>0</v>
      </c>
      <c r="Q11" s="53" t="b" cm="1">
        <f t="array" ref="Q11">ISSTATIONARY(G14:G34,$I$14,$J$14,$K$14,$L$14,$M$14)</f>
        <v>0</v>
      </c>
      <c r="R11" s="53" t="b" cm="1">
        <f t="array" ref="R11">ISSTATIONARY(H14:H34,$I$14,$J$14,$K$14,$L$14,$M$14)</f>
        <v>0</v>
      </c>
      <c r="U11" s="53" t="b" cm="1">
        <f t="array" ref="U11">ISSTATIONARY(RMMISSING(_xlfn.ANCHORARRAY(U14)),$I$14,$J$14,$K$14,$L$14,$M$14)</f>
        <v>1</v>
      </c>
      <c r="V11" s="53" t="b" cm="1">
        <f t="array" ref="V11">ISSTATIONARY(RMMISSING(_xlfn.ANCHORARRAY(V14)),$I$14,$J$14,$K$14,$L$14,$M$14)</f>
        <v>1</v>
      </c>
      <c r="W11" s="53" t="b" cm="1">
        <f t="array" ref="W11">ISSTATIONARY(RMMISSING(_xlfn.ANCHORARRAY(W14)),$I$14,$J$14,$K$14,$L$14,$M$14)</f>
        <v>1</v>
      </c>
      <c r="X11" s="53"/>
      <c r="Y11" s="53"/>
      <c r="Z11" s="53"/>
      <c r="AA11" s="53"/>
      <c r="AB11" s="53"/>
      <c r="AC11" s="53"/>
      <c r="AD11" s="53"/>
    </row>
    <row r="12" spans="1:30" ht="15.75" x14ac:dyDescent="0.45">
      <c r="A12" s="23"/>
      <c r="B12" s="26"/>
      <c r="F12" t="s">
        <v>346</v>
      </c>
      <c r="G12" t="s">
        <v>347</v>
      </c>
      <c r="H12" t="s">
        <v>348</v>
      </c>
    </row>
    <row r="13" spans="1:30" x14ac:dyDescent="0.55000000000000004">
      <c r="E13" t="s">
        <v>200</v>
      </c>
      <c r="F13" s="13" t="s">
        <v>165</v>
      </c>
      <c r="G13" s="13" t="s">
        <v>165</v>
      </c>
      <c r="H13" s="13" t="s">
        <v>165</v>
      </c>
      <c r="I13" s="13" t="s">
        <v>360</v>
      </c>
      <c r="J13" s="13" t="s">
        <v>211</v>
      </c>
      <c r="K13" s="13" t="s">
        <v>257</v>
      </c>
      <c r="L13" s="13" t="s">
        <v>333</v>
      </c>
      <c r="M13" s="13" t="s">
        <v>201</v>
      </c>
      <c r="N13" s="13" t="s">
        <v>345</v>
      </c>
      <c r="P13" s="60" t="s">
        <v>249</v>
      </c>
      <c r="U13" s="89" t="s">
        <v>250</v>
      </c>
    </row>
    <row r="14" spans="1:30" ht="18.75" customHeight="1" x14ac:dyDescent="0.55000000000000004">
      <c r="E14" s="94">
        <v>0</v>
      </c>
      <c r="F14" s="52">
        <v>72.400000000000006</v>
      </c>
      <c r="G14" s="52">
        <v>72.400000000000006</v>
      </c>
      <c r="H14" s="52">
        <v>72.400000000000006</v>
      </c>
      <c r="I14" s="92" t="b">
        <v>0</v>
      </c>
      <c r="J14" s="54">
        <v>3</v>
      </c>
      <c r="K14" s="92">
        <v>0.01</v>
      </c>
      <c r="L14" s="54" t="b">
        <v>1</v>
      </c>
      <c r="M14" s="54" t="b">
        <v>1</v>
      </c>
      <c r="N14" s="54">
        <v>2</v>
      </c>
      <c r="O14" s="95"/>
      <c r="P14" s="53" cm="1">
        <f t="array" ref="P14:P34">_xlfn.LAMBDA(_xlpm.values,_xlop.automatic,_xlop.nLags,_xlop.significance,_xlop.constant,_xlop.trend,_xlop.maxDiffs,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_xlpm.maxDiffs, IF(OR( _xlfn.ISOMITTED(_xlpm.maxDiffs), ISBLANK(_xlpm.maxDiffs)), 2, _xlpm.maxDiffs ),
IF(ISSTATIONARY(_xlpm.values, _xlpm.automatic, _xlpm.nLags, _xlpm.significance, _xlpm.constant, _xlpm.trend), _xlpm.values,
IF(_xlpm.maxDiffs = 0, _xlpm.values,
STATIONARIZE( DIFF(_xlpm.values,1,1), _xlpm.automatic, _xlpm.nLags, _xlpm.significance, _xlpm.constant, _xlpm.trend, _xlpm.maxDiffs - 1)
))
))($F$14:$F$34,$I$14,$J$14,$K$14,$L$14,$M$14,$N$14)</f>
        <v>-2.7000000000000028</v>
      </c>
      <c r="R14" s="53"/>
      <c r="S14" s="53"/>
      <c r="T14" s="53"/>
      <c r="U14" s="53" cm="1">
        <f t="array" ref="U14:U34">STATIONARIZE($F$14:$F$34,$I$14,$J$14,$K$14,$L$14,$M$14,$N$14)</f>
        <v>-2.7000000000000028</v>
      </c>
      <c r="V14" s="53" cm="1">
        <f t="array" ref="V14:V34">STATIONARIZE($G$14:$G$34,$I$14,$J$14,$K$14,$L$14,$M$14,$N$14)</f>
        <v>0.26470755828569281</v>
      </c>
      <c r="W14" s="53" cm="1">
        <f t="array" ref="W14:W34">STATIONARIZE($H$14:$H$34,$I$14,$J$14,$K$14,$L$14,$M$14,$N$14)</f>
        <v>0.74846543732846271</v>
      </c>
      <c r="X14" s="53"/>
      <c r="Y14" s="53"/>
      <c r="Z14" s="53"/>
      <c r="AA14" s="53"/>
      <c r="AB14" s="53"/>
      <c r="AC14" s="53"/>
      <c r="AD14" s="53"/>
    </row>
    <row r="15" spans="1:30" x14ac:dyDescent="0.55000000000000004">
      <c r="E15" s="94">
        <v>1</v>
      </c>
      <c r="F15" s="52">
        <v>69.7</v>
      </c>
      <c r="G15" s="52">
        <v>72.664707558285698</v>
      </c>
      <c r="H15" s="52">
        <v>73.148465437328468</v>
      </c>
      <c r="O15" s="95"/>
      <c r="P15" s="53">
        <v>7.7000000000000028</v>
      </c>
      <c r="Q15" s="53"/>
      <c r="R15" s="53"/>
      <c r="S15" s="53"/>
      <c r="T15" s="53"/>
      <c r="U15" s="53">
        <v>7.7000000000000028</v>
      </c>
      <c r="V15" s="27">
        <v>0.52310225285268075</v>
      </c>
      <c r="W15" s="27">
        <v>6.953598010821338E-2</v>
      </c>
      <c r="X15" s="27"/>
      <c r="Y15" s="27"/>
      <c r="Z15" s="27"/>
      <c r="AA15" s="27"/>
      <c r="AB15" s="27"/>
      <c r="AC15" s="27"/>
      <c r="AD15" s="27"/>
    </row>
    <row r="16" spans="1:30" x14ac:dyDescent="0.55000000000000004">
      <c r="E16" s="94">
        <v>2</v>
      </c>
      <c r="F16" s="52">
        <v>77.400000000000006</v>
      </c>
      <c r="G16" s="52">
        <v>73.187809811138379</v>
      </c>
      <c r="H16" s="52">
        <v>73.218001417436682</v>
      </c>
      <c r="O16" s="95"/>
      <c r="P16" s="53">
        <v>2.1999999999999886</v>
      </c>
      <c r="Q16" s="53"/>
      <c r="R16" s="53"/>
      <c r="S16" s="53"/>
      <c r="T16" s="53"/>
      <c r="U16" s="53">
        <v>2.1999999999999886</v>
      </c>
      <c r="V16" s="27">
        <v>1.2373344417494678</v>
      </c>
      <c r="W16" s="27">
        <v>0.46934320647356742</v>
      </c>
      <c r="X16" s="27"/>
      <c r="Y16" s="27"/>
      <c r="Z16" s="27"/>
      <c r="AA16" s="27"/>
      <c r="AB16" s="27"/>
      <c r="AC16" s="27"/>
      <c r="AD16" s="27"/>
    </row>
    <row r="17" spans="5:30" x14ac:dyDescent="0.55000000000000004">
      <c r="E17" s="94">
        <v>3</v>
      </c>
      <c r="F17" s="52">
        <v>79.599999999999994</v>
      </c>
      <c r="G17" s="52">
        <v>74.425144252887847</v>
      </c>
      <c r="H17" s="52">
        <v>73.687344623910249</v>
      </c>
      <c r="O17" s="95"/>
      <c r="P17" s="53">
        <v>0.80000000000001137</v>
      </c>
      <c r="Q17" s="53"/>
      <c r="R17" s="53"/>
      <c r="S17" s="53"/>
      <c r="T17" s="53"/>
      <c r="U17" s="53">
        <v>0.80000000000001137</v>
      </c>
      <c r="V17" s="27">
        <v>1.2383537486175129</v>
      </c>
      <c r="W17" s="27">
        <v>0.44018690538032956</v>
      </c>
      <c r="X17" s="27"/>
      <c r="Y17" s="27"/>
      <c r="Z17" s="27"/>
      <c r="AA17" s="27"/>
      <c r="AB17" s="27"/>
      <c r="AC17" s="27"/>
      <c r="AD17" s="27"/>
    </row>
    <row r="18" spans="5:30" x14ac:dyDescent="0.55000000000000004">
      <c r="E18" s="94">
        <v>4</v>
      </c>
      <c r="F18" s="52">
        <v>80.400000000000006</v>
      </c>
      <c r="G18" s="52">
        <v>75.66349800150536</v>
      </c>
      <c r="H18" s="52">
        <v>74.127531529290579</v>
      </c>
      <c r="O18" s="95"/>
      <c r="P18" s="53">
        <v>-2.9000000000000057</v>
      </c>
      <c r="Q18" s="53"/>
      <c r="R18" s="53"/>
      <c r="S18" s="53"/>
      <c r="T18" s="53"/>
      <c r="U18" s="53">
        <v>-2.9000000000000057</v>
      </c>
      <c r="V18" s="27">
        <v>1.1808394363849999</v>
      </c>
      <c r="W18" s="27">
        <v>1.1814559232528126</v>
      </c>
      <c r="X18" s="27"/>
      <c r="Y18" s="27"/>
      <c r="Z18" s="27"/>
      <c r="AA18" s="27"/>
      <c r="AB18" s="27"/>
      <c r="AC18" s="27"/>
      <c r="AD18" s="27"/>
    </row>
    <row r="19" spans="5:30" x14ac:dyDescent="0.55000000000000004">
      <c r="E19" s="94">
        <v>5</v>
      </c>
      <c r="F19" s="52">
        <v>77.5</v>
      </c>
      <c r="G19" s="52">
        <v>76.84433743789036</v>
      </c>
      <c r="H19" s="52">
        <v>75.308987452543391</v>
      </c>
      <c r="O19" s="95"/>
      <c r="P19" s="53">
        <v>5.7999999999999972</v>
      </c>
      <c r="Q19" s="53"/>
      <c r="R19" s="53"/>
      <c r="S19" s="53"/>
      <c r="T19" s="53"/>
      <c r="U19" s="53">
        <v>5.7999999999999972</v>
      </c>
      <c r="V19" s="27">
        <v>1.0984134369627867</v>
      </c>
      <c r="W19" s="27">
        <v>0.37400627729454072</v>
      </c>
      <c r="X19" s="27"/>
      <c r="Y19" s="27"/>
      <c r="Z19" s="27"/>
      <c r="AA19" s="27"/>
      <c r="AB19" s="27"/>
      <c r="AC19" s="27"/>
      <c r="AD19" s="27"/>
    </row>
    <row r="20" spans="5:30" x14ac:dyDescent="0.55000000000000004">
      <c r="E20" s="94">
        <v>6</v>
      </c>
      <c r="F20" s="52">
        <v>83.3</v>
      </c>
      <c r="G20" s="52">
        <v>77.942750874853147</v>
      </c>
      <c r="H20" s="52">
        <v>75.682993729837932</v>
      </c>
      <c r="O20" s="95"/>
      <c r="P20" s="53">
        <v>0.29999999999999716</v>
      </c>
      <c r="Q20" s="53"/>
      <c r="R20" s="53"/>
      <c r="S20" s="53"/>
      <c r="T20" s="53"/>
      <c r="U20" s="53">
        <v>0.29999999999999716</v>
      </c>
      <c r="V20" s="27">
        <v>1.1378351771985962</v>
      </c>
      <c r="W20" s="27">
        <v>1.2436581187616582</v>
      </c>
      <c r="X20" s="27"/>
      <c r="Y20" s="27"/>
      <c r="Z20" s="27"/>
      <c r="AA20" s="27"/>
      <c r="AB20" s="27"/>
      <c r="AC20" s="27"/>
      <c r="AD20" s="27"/>
    </row>
    <row r="21" spans="5:30" x14ac:dyDescent="0.55000000000000004">
      <c r="E21" s="94">
        <v>7</v>
      </c>
      <c r="F21" s="52">
        <v>83.6</v>
      </c>
      <c r="G21" s="52">
        <v>79.080586052051743</v>
      </c>
      <c r="H21" s="52">
        <v>76.92665184859959</v>
      </c>
      <c r="O21" s="95"/>
      <c r="P21" s="53">
        <v>-1.5</v>
      </c>
      <c r="Q21" s="53"/>
      <c r="R21" s="53"/>
      <c r="S21" s="53"/>
      <c r="T21" s="53"/>
      <c r="U21" s="53">
        <v>-1.5</v>
      </c>
      <c r="V21" s="27">
        <v>1.5348983505893017</v>
      </c>
      <c r="W21" s="27">
        <v>1.1011581632466232</v>
      </c>
      <c r="X21" s="27"/>
      <c r="Y21" s="27"/>
      <c r="Z21" s="27"/>
      <c r="AA21" s="27"/>
      <c r="AB21" s="27"/>
      <c r="AC21" s="27"/>
      <c r="AD21" s="27"/>
    </row>
    <row r="22" spans="5:30" x14ac:dyDescent="0.55000000000000004">
      <c r="E22" s="94">
        <v>8</v>
      </c>
      <c r="F22" s="52">
        <v>82.1</v>
      </c>
      <c r="G22" s="52">
        <v>80.615484402641044</v>
      </c>
      <c r="H22" s="52">
        <v>78.027810011846213</v>
      </c>
      <c r="O22" s="95"/>
      <c r="P22" s="53">
        <v>7.1000000000000085</v>
      </c>
      <c r="Q22" s="53"/>
      <c r="R22" s="53"/>
      <c r="S22" s="53"/>
      <c r="T22" s="53"/>
      <c r="U22" s="53">
        <v>7.1000000000000085</v>
      </c>
      <c r="V22" s="27">
        <v>1.1815841910158156</v>
      </c>
      <c r="W22" s="27">
        <v>1.4853371009086374</v>
      </c>
      <c r="X22" s="27"/>
      <c r="Y22" s="27"/>
      <c r="Z22" s="27"/>
      <c r="AA22" s="27"/>
      <c r="AB22" s="27"/>
      <c r="AC22" s="27"/>
      <c r="AD22" s="27"/>
    </row>
    <row r="23" spans="5:30" x14ac:dyDescent="0.55000000000000004">
      <c r="E23" s="94">
        <v>9</v>
      </c>
      <c r="F23" s="52">
        <v>89.2</v>
      </c>
      <c r="G23" s="52">
        <v>81.79706859365686</v>
      </c>
      <c r="H23" s="52">
        <v>79.513147112754851</v>
      </c>
      <c r="O23" s="95"/>
      <c r="P23" s="53">
        <v>-5.2999999999999972</v>
      </c>
      <c r="Q23" s="53"/>
      <c r="R23" s="53"/>
      <c r="S23" s="53"/>
      <c r="T23" s="53"/>
      <c r="U23" s="53">
        <v>-5.2999999999999972</v>
      </c>
      <c r="V23" s="27">
        <v>1.0188995891310526</v>
      </c>
      <c r="W23" s="27">
        <v>1.5675931535430436</v>
      </c>
      <c r="X23" s="27"/>
      <c r="Y23" s="27"/>
      <c r="Z23" s="27"/>
      <c r="AA23" s="27"/>
      <c r="AB23" s="27"/>
      <c r="AC23" s="27"/>
      <c r="AD23" s="27"/>
    </row>
    <row r="24" spans="5:30" x14ac:dyDescent="0.55000000000000004">
      <c r="E24" s="94">
        <v>10</v>
      </c>
      <c r="F24" s="52">
        <v>83.9</v>
      </c>
      <c r="G24" s="52">
        <v>82.815968182787913</v>
      </c>
      <c r="H24" s="52">
        <v>81.080740266297894</v>
      </c>
      <c r="O24" s="95"/>
      <c r="P24" s="53">
        <v>-9.3000000000000114</v>
      </c>
      <c r="Q24" s="53"/>
      <c r="R24" s="53"/>
      <c r="S24" s="53"/>
      <c r="T24" s="53"/>
      <c r="U24" s="53">
        <v>-9.3000000000000114</v>
      </c>
      <c r="V24" s="27">
        <v>2.0383947193197542</v>
      </c>
      <c r="W24" s="27">
        <v>1.5072266283880538</v>
      </c>
      <c r="X24" s="27"/>
      <c r="Y24" s="27"/>
      <c r="Z24" s="27"/>
      <c r="AA24" s="27"/>
      <c r="AB24" s="27"/>
      <c r="AC24" s="27"/>
      <c r="AD24" s="27"/>
    </row>
    <row r="25" spans="5:30" x14ac:dyDescent="0.55000000000000004">
      <c r="E25" s="94">
        <v>11</v>
      </c>
      <c r="F25" s="52">
        <v>74.599999999999994</v>
      </c>
      <c r="G25" s="52">
        <v>84.854362902107667</v>
      </c>
      <c r="H25" s="52">
        <v>82.587966894685948</v>
      </c>
      <c r="O25" s="95"/>
      <c r="P25" s="53">
        <v>-0.59999999999999432</v>
      </c>
      <c r="Q25" s="53"/>
      <c r="R25" s="53"/>
      <c r="S25" s="53"/>
      <c r="T25" s="53"/>
      <c r="U25" s="53">
        <v>-0.59999999999999432</v>
      </c>
      <c r="V25" s="27">
        <v>1.4777324189730052</v>
      </c>
      <c r="W25" s="27">
        <v>2.1023199116329891</v>
      </c>
      <c r="X25" s="27"/>
      <c r="Y25" s="27"/>
      <c r="Z25" s="27"/>
      <c r="AA25" s="27"/>
      <c r="AB25" s="27"/>
      <c r="AC25" s="27"/>
      <c r="AD25" s="27"/>
    </row>
    <row r="26" spans="5:30" x14ac:dyDescent="0.55000000000000004">
      <c r="E26" s="94">
        <v>12</v>
      </c>
      <c r="F26" s="52">
        <v>74</v>
      </c>
      <c r="G26" s="52">
        <v>86.332095321080672</v>
      </c>
      <c r="H26" s="52">
        <v>84.690286806318937</v>
      </c>
      <c r="O26" s="95"/>
      <c r="P26" s="53">
        <v>-2.2000000000000028</v>
      </c>
      <c r="Q26" s="53"/>
      <c r="R26" s="53"/>
      <c r="S26" s="53"/>
      <c r="T26" s="53"/>
      <c r="U26" s="53">
        <v>-2.2000000000000028</v>
      </c>
      <c r="V26" s="27">
        <v>2.0886647803135645</v>
      </c>
      <c r="W26" s="27">
        <v>2.2579925924945456</v>
      </c>
      <c r="X26" s="27"/>
      <c r="Y26" s="27"/>
      <c r="Z26" s="27"/>
      <c r="AA26" s="27"/>
      <c r="AB26" s="27"/>
      <c r="AC26" s="27"/>
      <c r="AD26" s="27"/>
    </row>
    <row r="27" spans="5:30" x14ac:dyDescent="0.55000000000000004">
      <c r="E27" s="94">
        <v>13</v>
      </c>
      <c r="F27" s="52">
        <v>71.8</v>
      </c>
      <c r="G27" s="52">
        <v>88.420760101394237</v>
      </c>
      <c r="H27" s="52">
        <v>86.948279398813483</v>
      </c>
      <c r="O27" s="95"/>
      <c r="P27" s="53">
        <v>5.6000000000000085</v>
      </c>
      <c r="Q27" s="53"/>
      <c r="R27" s="53"/>
      <c r="S27" s="53"/>
      <c r="T27" s="53"/>
      <c r="U27" s="53">
        <v>5.6000000000000085</v>
      </c>
      <c r="V27" s="27">
        <v>1.4664229704001599</v>
      </c>
      <c r="W27" s="27">
        <v>2.8040777146969731</v>
      </c>
      <c r="X27" s="27"/>
      <c r="Y27" s="27"/>
      <c r="Z27" s="27"/>
      <c r="AA27" s="27"/>
      <c r="AB27" s="27"/>
      <c r="AC27" s="27"/>
      <c r="AD27" s="27"/>
    </row>
    <row r="28" spans="5:30" x14ac:dyDescent="0.55000000000000004">
      <c r="E28" s="94">
        <v>14</v>
      </c>
      <c r="F28" s="52">
        <v>77.400000000000006</v>
      </c>
      <c r="G28" s="52">
        <v>89.887183071794396</v>
      </c>
      <c r="H28" s="52">
        <v>89.752357113510456</v>
      </c>
      <c r="O28" s="95"/>
      <c r="P28" s="53">
        <v>-0.90000000000000568</v>
      </c>
      <c r="Q28" s="53"/>
      <c r="R28" s="53"/>
      <c r="S28" s="53"/>
      <c r="T28" s="53"/>
      <c r="U28" s="53">
        <v>-0.90000000000000568</v>
      </c>
      <c r="V28" s="27">
        <v>2.1730039741698022</v>
      </c>
      <c r="W28" s="27">
        <v>2.8498665068112388</v>
      </c>
      <c r="X28" s="27"/>
      <c r="Y28" s="27"/>
      <c r="Z28" s="27"/>
      <c r="AA28" s="27"/>
      <c r="AB28" s="27"/>
      <c r="AC28" s="27"/>
      <c r="AD28" s="27"/>
    </row>
    <row r="29" spans="5:30" x14ac:dyDescent="0.55000000000000004">
      <c r="E29" s="94">
        <v>15</v>
      </c>
      <c r="F29" s="52">
        <v>76.5</v>
      </c>
      <c r="G29" s="52">
        <v>92.060187045964199</v>
      </c>
      <c r="H29" s="52">
        <v>92.602223620321695</v>
      </c>
      <c r="O29" s="95"/>
      <c r="P29" s="53">
        <v>3.2000000000000028</v>
      </c>
      <c r="Q29" s="53"/>
      <c r="R29" s="53"/>
      <c r="S29" s="53"/>
      <c r="T29" s="53"/>
      <c r="U29" s="53">
        <v>3.2000000000000028</v>
      </c>
      <c r="V29" s="27">
        <v>2.285613218646489</v>
      </c>
      <c r="W29" s="27">
        <v>2.8052760341813183</v>
      </c>
      <c r="X29" s="27"/>
      <c r="Y29" s="27"/>
      <c r="Z29" s="27"/>
      <c r="AA29" s="27"/>
      <c r="AB29" s="27"/>
      <c r="AC29" s="27"/>
      <c r="AD29" s="27"/>
    </row>
    <row r="30" spans="5:30" x14ac:dyDescent="0.55000000000000004">
      <c r="E30" s="94">
        <v>16</v>
      </c>
      <c r="F30" s="52">
        <v>79.7</v>
      </c>
      <c r="G30" s="52">
        <v>94.345800264610688</v>
      </c>
      <c r="H30" s="52">
        <v>95.407499654503013</v>
      </c>
      <c r="O30" s="95"/>
      <c r="P30" s="53">
        <v>-3.4000000000000057</v>
      </c>
      <c r="Q30" s="53"/>
      <c r="R30" s="53"/>
      <c r="S30" s="53"/>
      <c r="T30" s="53"/>
      <c r="U30" s="53">
        <v>-3.4000000000000057</v>
      </c>
      <c r="V30" s="27">
        <v>2.6785083929697322</v>
      </c>
      <c r="W30" s="27">
        <v>3.3860104981794308</v>
      </c>
      <c r="X30" s="27"/>
      <c r="Y30" s="27"/>
      <c r="Z30" s="27"/>
      <c r="AA30" s="27"/>
      <c r="AB30" s="27"/>
      <c r="AC30" s="27"/>
      <c r="AD30" s="27"/>
    </row>
    <row r="31" spans="5:30" x14ac:dyDescent="0.55000000000000004">
      <c r="E31" s="94">
        <v>17</v>
      </c>
      <c r="F31" s="52">
        <v>76.3</v>
      </c>
      <c r="G31" s="52">
        <v>97.02430865758042</v>
      </c>
      <c r="H31" s="52">
        <v>98.793510152682444</v>
      </c>
      <c r="O31" s="95"/>
      <c r="P31" s="53">
        <v>5</v>
      </c>
      <c r="Q31" s="53"/>
      <c r="R31" s="53"/>
      <c r="S31" s="53"/>
      <c r="T31" s="53"/>
      <c r="U31" s="53">
        <v>5</v>
      </c>
      <c r="V31" s="27">
        <v>2.3267516923215226</v>
      </c>
      <c r="W31" s="27">
        <v>3.2863821652879324</v>
      </c>
      <c r="X31" s="27"/>
      <c r="Y31" s="27"/>
      <c r="Z31" s="27"/>
      <c r="AA31" s="27"/>
      <c r="AB31" s="27"/>
      <c r="AC31" s="27"/>
      <c r="AD31" s="27"/>
    </row>
    <row r="32" spans="5:30" x14ac:dyDescent="0.55000000000000004">
      <c r="E32" s="94">
        <v>18</v>
      </c>
      <c r="F32" s="52">
        <v>81.3</v>
      </c>
      <c r="G32" s="52">
        <v>99.351060349901942</v>
      </c>
      <c r="H32" s="52">
        <v>102.07989231797038</v>
      </c>
      <c r="O32" s="95"/>
      <c r="P32" s="53">
        <v>0.29999999999999716</v>
      </c>
      <c r="Q32" s="53"/>
      <c r="R32" s="53"/>
      <c r="S32" s="53"/>
      <c r="T32" s="53"/>
      <c r="U32" s="53">
        <v>0.29999999999999716</v>
      </c>
      <c r="V32" s="27">
        <v>2.0168566142166071</v>
      </c>
      <c r="W32" s="27">
        <v>4.3233636496456285</v>
      </c>
      <c r="X32" s="27"/>
      <c r="Y32" s="27"/>
      <c r="Z32" s="27"/>
      <c r="AA32" s="27"/>
      <c r="AB32" s="27"/>
      <c r="AC32" s="27"/>
      <c r="AD32" s="27"/>
    </row>
    <row r="33" spans="5:30" x14ac:dyDescent="0.55000000000000004">
      <c r="E33" s="94">
        <v>19</v>
      </c>
      <c r="F33" s="52">
        <v>81.599999999999994</v>
      </c>
      <c r="G33" s="52">
        <v>101.36791696411855</v>
      </c>
      <c r="H33" s="52">
        <v>106.403255967616</v>
      </c>
      <c r="O33" s="95"/>
      <c r="P33" s="53">
        <v>4.1000000000000085</v>
      </c>
      <c r="Q33" s="53"/>
      <c r="R33" s="53"/>
      <c r="S33" s="53"/>
      <c r="T33" s="53"/>
      <c r="U33" s="53">
        <v>4.1000000000000085</v>
      </c>
      <c r="V33" s="27">
        <v>2.4301325904077942</v>
      </c>
      <c r="W33" s="27">
        <v>4.0544058265010818</v>
      </c>
      <c r="X33" s="27"/>
      <c r="Y33" s="27"/>
      <c r="Z33" s="27"/>
      <c r="AA33" s="27"/>
      <c r="AB33" s="27"/>
      <c r="AC33" s="27"/>
      <c r="AD33" s="27"/>
    </row>
    <row r="34" spans="5:30" x14ac:dyDescent="0.55000000000000004">
      <c r="E34" s="94">
        <v>20</v>
      </c>
      <c r="F34" s="52">
        <v>85.7</v>
      </c>
      <c r="G34" s="52">
        <v>103.79804955452634</v>
      </c>
      <c r="H34" s="52">
        <v>110.45766179411709</v>
      </c>
      <c r="O34" s="95"/>
      <c r="P34" s="53" t="e">
        <v>#N/A</v>
      </c>
      <c r="Q34" s="53"/>
      <c r="R34" s="53"/>
      <c r="S34" s="53"/>
      <c r="T34" s="53"/>
      <c r="U34" s="53" t="e">
        <v>#N/A</v>
      </c>
      <c r="V34" s="27" t="e">
        <v>#N/A</v>
      </c>
      <c r="W34" s="27" t="e">
        <v>#N/A</v>
      </c>
      <c r="X34" s="27"/>
      <c r="Y34" s="27"/>
      <c r="Z34" s="27"/>
      <c r="AA34" s="27"/>
      <c r="AB34" s="27"/>
      <c r="AC34" s="27"/>
      <c r="AD34" s="27"/>
    </row>
  </sheetData>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20E93-FFA7-4A82-A24B-66DBD481EBF0}">
  <sheetPr codeName="Planilha31">
    <tabColor theme="9" tint="0.59999389629810485"/>
  </sheetPr>
  <dimension ref="A1:Y254"/>
  <sheetViews>
    <sheetView showGridLines="0" workbookViewId="0">
      <pane ySplit="2" topLeftCell="A3" activePane="bottomLeft" state="frozen"/>
      <selection pane="bottomLeft" activeCell="I6" sqref="I6"/>
    </sheetView>
  </sheetViews>
  <sheetFormatPr defaultColWidth="8.796875" defaultRowHeight="18" x14ac:dyDescent="0.55000000000000004"/>
  <cols>
    <col min="1" max="1" width="12.6640625" style="17" customWidth="1"/>
    <col min="2" max="2" width="42.796875" customWidth="1"/>
    <col min="4" max="4" width="44.33203125" bestFit="1" customWidth="1"/>
    <col min="5" max="5" width="4.6640625" customWidth="1"/>
    <col min="6" max="6" width="7.1328125" bestFit="1" customWidth="1"/>
    <col min="7" max="7" width="8.6640625" customWidth="1"/>
    <col min="8" max="8" width="9.33203125" bestFit="1" customWidth="1"/>
    <col min="9" max="13" width="12.33203125" bestFit="1" customWidth="1"/>
    <col min="14" max="14" width="22" bestFit="1" customWidth="1"/>
    <col min="16" max="16" width="12.33203125" style="15" bestFit="1" customWidth="1"/>
    <col min="17" max="19" width="9" style="15" customWidth="1"/>
    <col min="20" max="25" width="13.33203125" style="15" customWidth="1"/>
  </cols>
  <sheetData>
    <row r="1" spans="1:25" x14ac:dyDescent="0.55000000000000004">
      <c r="A1" s="83" t="s">
        <v>494</v>
      </c>
      <c r="P1" s="14"/>
      <c r="Q1" s="14"/>
      <c r="R1" s="14"/>
      <c r="S1" s="14"/>
      <c r="T1" s="14"/>
      <c r="U1" s="14"/>
      <c r="V1" s="14"/>
      <c r="W1" s="14"/>
      <c r="X1" s="14"/>
      <c r="Y1" s="14"/>
    </row>
    <row r="2" spans="1:25" x14ac:dyDescent="0.55000000000000004">
      <c r="A2" s="17" t="s">
        <v>357</v>
      </c>
      <c r="P2" s="14"/>
      <c r="Q2" s="14"/>
      <c r="R2" s="14"/>
      <c r="S2" s="14"/>
      <c r="T2" s="14"/>
      <c r="U2" s="14"/>
      <c r="V2" s="14"/>
      <c r="W2" s="14"/>
      <c r="X2" s="14"/>
      <c r="Y2" s="14"/>
    </row>
    <row r="3" spans="1:25" x14ac:dyDescent="0.55000000000000004">
      <c r="P3" s="14"/>
      <c r="Q3" s="14"/>
      <c r="R3" s="14"/>
      <c r="S3" s="14"/>
      <c r="T3" s="14"/>
      <c r="U3" s="14"/>
      <c r="V3" s="14"/>
      <c r="W3" s="14"/>
      <c r="X3" s="14"/>
      <c r="Y3" s="14"/>
    </row>
    <row r="4" spans="1:25" x14ac:dyDescent="0.55000000000000004">
      <c r="A4" s="17" t="s">
        <v>361</v>
      </c>
      <c r="P4" s="14"/>
      <c r="Q4" s="14"/>
      <c r="R4" s="14"/>
      <c r="S4" s="14"/>
      <c r="T4" s="14"/>
      <c r="U4" s="14"/>
      <c r="V4" s="14"/>
      <c r="W4" s="14"/>
      <c r="X4" s="14"/>
      <c r="Y4" s="14"/>
    </row>
    <row r="6" spans="1:25" ht="15.75" x14ac:dyDescent="0.5">
      <c r="A6" s="2" t="s">
        <v>15</v>
      </c>
      <c r="B6" s="2" t="s">
        <v>16</v>
      </c>
    </row>
    <row r="7" spans="1:25" ht="15.75" x14ac:dyDescent="0.5">
      <c r="A7" s="23" t="s">
        <v>165</v>
      </c>
      <c r="B7" s="24" t="s">
        <v>167</v>
      </c>
    </row>
    <row r="8" spans="1:25" ht="63" x14ac:dyDescent="0.5">
      <c r="A8" s="23" t="s">
        <v>358</v>
      </c>
      <c r="B8" s="24" t="s">
        <v>359</v>
      </c>
    </row>
    <row r="9" spans="1:25" ht="31.5" x14ac:dyDescent="0.5">
      <c r="A9" s="23" t="s">
        <v>207</v>
      </c>
      <c r="B9" s="24" t="s">
        <v>362</v>
      </c>
    </row>
    <row r="10" spans="1:25" ht="15.75" x14ac:dyDescent="0.5">
      <c r="A10" s="23" t="s">
        <v>253</v>
      </c>
      <c r="B10" s="24" t="s">
        <v>338</v>
      </c>
    </row>
    <row r="11" spans="1:25" ht="15.75" x14ac:dyDescent="0.5">
      <c r="A11" s="23" t="s">
        <v>331</v>
      </c>
      <c r="B11" s="24" t="s">
        <v>339</v>
      </c>
    </row>
    <row r="12" spans="1:25" ht="47.25" x14ac:dyDescent="0.45">
      <c r="A12" s="23" t="s">
        <v>332</v>
      </c>
      <c r="B12" s="26" t="s">
        <v>356</v>
      </c>
    </row>
    <row r="13" spans="1:25" ht="15.75" x14ac:dyDescent="0.45">
      <c r="A13" s="23"/>
      <c r="B13" s="26"/>
    </row>
    <row r="14" spans="1:25" x14ac:dyDescent="0.55000000000000004">
      <c r="D14" s="1" t="s">
        <v>17</v>
      </c>
      <c r="G14" s="13" t="s">
        <v>165</v>
      </c>
      <c r="H14" s="13" t="s">
        <v>456</v>
      </c>
      <c r="I14" s="13" t="s">
        <v>360</v>
      </c>
      <c r="J14" s="13" t="s">
        <v>211</v>
      </c>
      <c r="K14" s="13" t="s">
        <v>257</v>
      </c>
      <c r="L14" s="13" t="s">
        <v>333</v>
      </c>
      <c r="M14" s="13" t="s">
        <v>201</v>
      </c>
      <c r="N14" s="13" t="s">
        <v>455</v>
      </c>
      <c r="P14" s="60" t="s">
        <v>249</v>
      </c>
      <c r="S14" s="89" t="s">
        <v>250</v>
      </c>
    </row>
    <row r="15" spans="1:25" ht="18.75" customHeight="1" x14ac:dyDescent="0.55000000000000004">
      <c r="A15" s="96"/>
      <c r="D15" t="s">
        <v>176</v>
      </c>
      <c r="F15" s="49">
        <v>37257</v>
      </c>
      <c r="G15" s="52">
        <v>72.400000000000006</v>
      </c>
      <c r="H15" s="100"/>
      <c r="I15" s="92" t="b">
        <v>0</v>
      </c>
      <c r="J15" s="54">
        <v>3</v>
      </c>
      <c r="K15" s="92">
        <v>0.01</v>
      </c>
      <c r="L15" s="54" t="b">
        <v>0</v>
      </c>
      <c r="M15" s="54" t="b">
        <v>0</v>
      </c>
      <c r="N15" s="54" t="b">
        <v>1</v>
      </c>
      <c r="P15" s="53" t="b" cm="1">
        <f t="array" ref="P15">_xlfn.LAMBDA(_xlpm.values,_xlop.automatic,_xlop.nLags,_xlop.significance,_xlop.constant,_xlop.trend,
_xlfn.LET(
_xlpm.automatic, IF(_xlfn.ISOMITTED(_xlpm.automatic), FALSE, _xlpm.automatic),
_xlpm.nLags,IF(_xlfn.ISOMITTED(_xlpm.nLags), 0, _xlpm.nLags),
_xlpm.significance, IF(_xlfn.ISOMITTED(_xlpm.significance), FALSE, _xlpm.significance),
_xlpm.constant, IF(_xlfn.ISOMITTED(_xlpm.constant), FALSE, _xlpm.constant),
_xlpm.trend, IF(_xlfn.ISOMITTED(_xlpm.trend), FALSE, _xlpm.trend ),
_xlpm.diffValues_1, SLICE(_xlpm.values,2,-1) - SLICE(_xlpm.values,1,-2),
_xlpm.X_noConst, LAG(_xlpm.values,1,FALSE),
_xlpm.X_const, ADDCONST(LAG(_xlpm.values,1,FALSE)),
_xlpm.X_constTrend, ADDCONST(ADDTREND(LAG(_xlpm.values,1,FALSE))),
IF(
OR(_xlpm.automatic = "AIC", _xlpm.automatic = "BIC"),
_xlfn.LET(_xlpm.tableIC, _xlfn.HSTACK(
OLS_OPTIMAL_LAG(_xlpm.diffValues_1, _xlpm.X_noConst, _xlpm.nLags, FALSE, _xlpm.automatic, TRUE,TRUE),
OLS_OPTIMAL_LAG(_xlpm.diffValues_1, _xlpm.X_const, _xlpm.nLags, FALSE, _xlpm.automatic, TRUE,TRUE),
OLS_OPTIMAL_LAG(_xlpm.diffValues_1, _xlpm.X_constTrend, _xlpm.nLags, FALSE, _xlpm.automatic, TRUE, TRUE)),
_xlpm.idxRowAndCol, NOZERO(_xlpm.tableIC=MIN(_xlpm.tableIC),1,"FIRST",TRUE),
_xlpm.constant, INDEX(_xlpm.idxRowAndCol,1,2) &gt; 1,
_xlpm.trend, INDEX(_xlpm.idxRowAndCol,1,2) &gt; 2,
_xlpm.pickedX,  CHOOSE(INDEX(_xlpm.idxRowAndCol,1,2), _xlpm.X_noConst, _xlpm.X_const, _xlpm.X_constTrend),
_xlfn.LET(
_xlpm.x, _xlfn.HSTACK( _xlpm.pickedX, LAG(_xlpm.diffValues_1, INDEX(_xlpm.idxRowAndCol,1,1) - 1,TRUE,TRUE) ),
_xlpm.testResult, _xlfn.LET(_xlpm.matrix, RMMISSING(_xlfn.HSTACK(_xlpm.diffValues_1,_xlpm.x)), _xlpm.y, INDEX(_xlpm.matrix,0,1), _xlpm.x, SLICE(_xlpm.matrix,0,0,2,-1),SLICE(OLS_COEFF_TSTAT(_xlpm.y, _xlpm.x),-1,-1) &lt; DFTABLE(LENGTH(_xlpm.values), _xlpm.significance, _xlpm.constant, _xlpm.trend)),
_xlpm.testResult
)),
_xlfn.LET(_xlpm.x, _xlfn.IFS(AND(_xlpm.constant,_xlpm.trend), _xlpm.X_constTrend, _xlpm.constant, _xlpm.X_const, _xlpm.trend, #VALUE!, TRUE, _xlpm.X_noConst ),
_xlpm.testResult, _xlfn.LET(_xlpm.matrix, RMMISSING(_xlfn.HSTACK(_xlpm.diffValues_1,_xlpm.x)), _xlpm.y, INDEX(_xlpm.matrix,0,1), _xlpm.x, SLICE(_xlpm.matrix,0,0,2,-1),SLICE(OLS_COEFF_TSTAT(_xlpm.y, _xlpm.x),-1,-1) &lt; DFTABLE(LENGTH(_xlpm.values), _xlpm.significance, _xlpm.constant, _xlpm.trend)),
_xlpm.testResult
))))($G$15:$G$254,$I$15,$J$15,$K$15,$L$15,$M$15)</f>
        <v>0</v>
      </c>
      <c r="Q15" s="53"/>
      <c r="R15" s="28"/>
      <c r="S15" s="53" t="b" cm="1">
        <f t="array" ref="S15">ISSTATIONARY($G$15:$G$254,$I$15,$J$15,$K$15,$L$15,$M$15)</f>
        <v>0</v>
      </c>
      <c r="T15" s="53" t="b" cm="1">
        <f t="array" ref="T15">ISSTATIONARY($H$16:$H$254,$I$15,$J$15,$K$15,$L$15,$M$15)</f>
        <v>1</v>
      </c>
      <c r="U15" s="53"/>
      <c r="V15" s="53"/>
      <c r="W15" s="53"/>
      <c r="X15" s="53"/>
      <c r="Y15" s="53"/>
    </row>
    <row r="16" spans="1:25" x14ac:dyDescent="0.55000000000000004">
      <c r="D16" t="s">
        <v>177</v>
      </c>
      <c r="F16" s="49">
        <v>37288</v>
      </c>
      <c r="G16" s="52">
        <v>69.7</v>
      </c>
      <c r="H16" s="52">
        <f>G16-G15</f>
        <v>-2.7000000000000028</v>
      </c>
      <c r="P16" s="53"/>
      <c r="Q16" s="53"/>
      <c r="R16" s="53"/>
      <c r="S16" s="53"/>
      <c r="T16" s="53"/>
      <c r="U16" s="53"/>
      <c r="V16" s="53"/>
      <c r="W16" s="53"/>
      <c r="X16" s="53"/>
      <c r="Y16" s="53"/>
    </row>
    <row r="17" spans="4:8" x14ac:dyDescent="0.55000000000000004">
      <c r="D17" t="s">
        <v>155</v>
      </c>
      <c r="F17" s="49">
        <v>37316</v>
      </c>
      <c r="G17" s="52">
        <v>77.400000000000006</v>
      </c>
      <c r="H17" s="52">
        <f t="shared" ref="H17:H80" si="0">G17-G16</f>
        <v>7.7000000000000028</v>
      </c>
    </row>
    <row r="18" spans="4:8" x14ac:dyDescent="0.55000000000000004">
      <c r="D18" s="55"/>
      <c r="F18" s="49">
        <v>37347</v>
      </c>
      <c r="G18" s="52">
        <v>79.599999999999994</v>
      </c>
      <c r="H18" s="52">
        <f t="shared" si="0"/>
        <v>2.1999999999999886</v>
      </c>
    </row>
    <row r="19" spans="4:8" x14ac:dyDescent="0.55000000000000004">
      <c r="D19" s="55"/>
      <c r="F19" s="49">
        <v>37377</v>
      </c>
      <c r="G19" s="52">
        <v>80.400000000000006</v>
      </c>
      <c r="H19" s="52">
        <f t="shared" si="0"/>
        <v>0.80000000000001137</v>
      </c>
    </row>
    <row r="20" spans="4:8" x14ac:dyDescent="0.55000000000000004">
      <c r="D20" s="46"/>
      <c r="F20" s="49">
        <v>37408</v>
      </c>
      <c r="G20" s="52">
        <v>77.5</v>
      </c>
      <c r="H20" s="52">
        <f t="shared" si="0"/>
        <v>-2.9000000000000057</v>
      </c>
    </row>
    <row r="21" spans="4:8" x14ac:dyDescent="0.55000000000000004">
      <c r="F21" s="49">
        <v>37438</v>
      </c>
      <c r="G21" s="52">
        <v>83.3</v>
      </c>
      <c r="H21" s="52">
        <f t="shared" si="0"/>
        <v>5.7999999999999972</v>
      </c>
    </row>
    <row r="22" spans="4:8" x14ac:dyDescent="0.55000000000000004">
      <c r="F22" s="49">
        <v>37469</v>
      </c>
      <c r="G22" s="52">
        <v>83.6</v>
      </c>
      <c r="H22" s="52">
        <f t="shared" si="0"/>
        <v>0.29999999999999716</v>
      </c>
    </row>
    <row r="23" spans="4:8" x14ac:dyDescent="0.55000000000000004">
      <c r="F23" s="49">
        <v>37500</v>
      </c>
      <c r="G23" s="52">
        <v>82.1</v>
      </c>
      <c r="H23" s="52">
        <f t="shared" si="0"/>
        <v>-1.5</v>
      </c>
    </row>
    <row r="24" spans="4:8" x14ac:dyDescent="0.55000000000000004">
      <c r="F24" s="49">
        <v>37530</v>
      </c>
      <c r="G24" s="52">
        <v>89.2</v>
      </c>
      <c r="H24" s="52">
        <f t="shared" si="0"/>
        <v>7.1000000000000085</v>
      </c>
    </row>
    <row r="25" spans="4:8" x14ac:dyDescent="0.55000000000000004">
      <c r="F25" s="49">
        <v>37561</v>
      </c>
      <c r="G25" s="52">
        <v>83.9</v>
      </c>
      <c r="H25" s="52">
        <f t="shared" si="0"/>
        <v>-5.2999999999999972</v>
      </c>
    </row>
    <row r="26" spans="4:8" x14ac:dyDescent="0.55000000000000004">
      <c r="F26" s="49">
        <v>37591</v>
      </c>
      <c r="G26" s="52">
        <v>74.599999999999994</v>
      </c>
      <c r="H26" s="52">
        <f t="shared" si="0"/>
        <v>-9.3000000000000114</v>
      </c>
    </row>
    <row r="27" spans="4:8" x14ac:dyDescent="0.55000000000000004">
      <c r="F27" s="49">
        <v>37622</v>
      </c>
      <c r="G27" s="52">
        <v>74</v>
      </c>
      <c r="H27" s="52">
        <f t="shared" si="0"/>
        <v>-0.59999999999999432</v>
      </c>
    </row>
    <row r="28" spans="4:8" x14ac:dyDescent="0.55000000000000004">
      <c r="F28" s="49">
        <v>37653</v>
      </c>
      <c r="G28" s="52">
        <v>71.8</v>
      </c>
      <c r="H28" s="52">
        <f t="shared" si="0"/>
        <v>-2.2000000000000028</v>
      </c>
    </row>
    <row r="29" spans="4:8" x14ac:dyDescent="0.55000000000000004">
      <c r="F29" s="49">
        <v>37681</v>
      </c>
      <c r="G29" s="52">
        <v>77.400000000000006</v>
      </c>
      <c r="H29" s="52">
        <f t="shared" si="0"/>
        <v>5.6000000000000085</v>
      </c>
    </row>
    <row r="30" spans="4:8" x14ac:dyDescent="0.55000000000000004">
      <c r="F30" s="49">
        <v>37712</v>
      </c>
      <c r="G30" s="52">
        <v>76.5</v>
      </c>
      <c r="H30" s="52">
        <f t="shared" si="0"/>
        <v>-0.90000000000000568</v>
      </c>
    </row>
    <row r="31" spans="4:8" x14ac:dyDescent="0.55000000000000004">
      <c r="F31" s="49">
        <v>37742</v>
      </c>
      <c r="G31" s="52">
        <v>79.7</v>
      </c>
      <c r="H31" s="52">
        <f t="shared" si="0"/>
        <v>3.2000000000000028</v>
      </c>
    </row>
    <row r="32" spans="4:8" x14ac:dyDescent="0.55000000000000004">
      <c r="F32" s="49">
        <v>37773</v>
      </c>
      <c r="G32" s="52">
        <v>76.3</v>
      </c>
      <c r="H32" s="52">
        <f t="shared" si="0"/>
        <v>-3.4000000000000057</v>
      </c>
    </row>
    <row r="33" spans="6:8" x14ac:dyDescent="0.55000000000000004">
      <c r="F33" s="49">
        <v>37803</v>
      </c>
      <c r="G33" s="52">
        <v>81.3</v>
      </c>
      <c r="H33" s="52">
        <f t="shared" si="0"/>
        <v>5</v>
      </c>
    </row>
    <row r="34" spans="6:8" x14ac:dyDescent="0.55000000000000004">
      <c r="F34" s="49">
        <v>37834</v>
      </c>
      <c r="G34" s="52">
        <v>81.599999999999994</v>
      </c>
      <c r="H34" s="52">
        <f t="shared" si="0"/>
        <v>0.29999999999999716</v>
      </c>
    </row>
    <row r="35" spans="6:8" x14ac:dyDescent="0.55000000000000004">
      <c r="F35" s="49">
        <v>37865</v>
      </c>
      <c r="G35" s="52">
        <v>85.7</v>
      </c>
      <c r="H35" s="52">
        <f t="shared" si="0"/>
        <v>4.1000000000000085</v>
      </c>
    </row>
    <row r="36" spans="6:8" x14ac:dyDescent="0.55000000000000004">
      <c r="F36" s="49">
        <v>37895</v>
      </c>
      <c r="G36" s="52">
        <v>90</v>
      </c>
      <c r="H36" s="52">
        <f t="shared" si="0"/>
        <v>4.2999999999999972</v>
      </c>
    </row>
    <row r="37" spans="6:8" x14ac:dyDescent="0.55000000000000004">
      <c r="F37" s="49">
        <v>37926</v>
      </c>
      <c r="G37" s="52">
        <v>84.6</v>
      </c>
      <c r="H37" s="52">
        <f t="shared" si="0"/>
        <v>-5.4000000000000057</v>
      </c>
    </row>
    <row r="38" spans="6:8" x14ac:dyDescent="0.55000000000000004">
      <c r="F38" s="49">
        <v>37956</v>
      </c>
      <c r="G38" s="52">
        <v>77.900000000000006</v>
      </c>
      <c r="H38" s="52">
        <f t="shared" si="0"/>
        <v>-6.6999999999999886</v>
      </c>
    </row>
    <row r="39" spans="6:8" x14ac:dyDescent="0.55000000000000004">
      <c r="F39" s="49">
        <v>37987</v>
      </c>
      <c r="G39" s="52">
        <v>76.8</v>
      </c>
      <c r="H39" s="52">
        <f t="shared" si="0"/>
        <v>-1.1000000000000085</v>
      </c>
    </row>
    <row r="40" spans="6:8" x14ac:dyDescent="0.55000000000000004">
      <c r="F40" s="49">
        <v>38018</v>
      </c>
      <c r="G40" s="52">
        <v>74</v>
      </c>
      <c r="H40" s="52">
        <f t="shared" si="0"/>
        <v>-2.7999999999999972</v>
      </c>
    </row>
    <row r="41" spans="6:8" x14ac:dyDescent="0.55000000000000004">
      <c r="F41" s="49">
        <v>38047</v>
      </c>
      <c r="G41" s="52">
        <v>86.9</v>
      </c>
      <c r="H41" s="52">
        <f t="shared" si="0"/>
        <v>12.900000000000006</v>
      </c>
    </row>
    <row r="42" spans="6:8" x14ac:dyDescent="0.55000000000000004">
      <c r="F42" s="49">
        <v>38078</v>
      </c>
      <c r="G42" s="52">
        <v>82.2</v>
      </c>
      <c r="H42" s="52">
        <f t="shared" si="0"/>
        <v>-4.7000000000000028</v>
      </c>
    </row>
    <row r="43" spans="6:8" x14ac:dyDescent="0.55000000000000004">
      <c r="F43" s="49">
        <v>38108</v>
      </c>
      <c r="G43" s="52">
        <v>86.3</v>
      </c>
      <c r="H43" s="52">
        <f t="shared" si="0"/>
        <v>4.0999999999999943</v>
      </c>
    </row>
    <row r="44" spans="6:8" x14ac:dyDescent="0.55000000000000004">
      <c r="F44" s="49">
        <v>38139</v>
      </c>
      <c r="G44" s="52">
        <v>86.1</v>
      </c>
      <c r="H44" s="52">
        <f t="shared" si="0"/>
        <v>-0.20000000000000284</v>
      </c>
    </row>
    <row r="45" spans="6:8" x14ac:dyDescent="0.55000000000000004">
      <c r="F45" s="49">
        <v>38169</v>
      </c>
      <c r="G45" s="52">
        <v>90.1</v>
      </c>
      <c r="H45" s="52">
        <f t="shared" si="0"/>
        <v>4</v>
      </c>
    </row>
    <row r="46" spans="6:8" x14ac:dyDescent="0.55000000000000004">
      <c r="F46" s="49">
        <v>38200</v>
      </c>
      <c r="G46" s="52">
        <v>92.1</v>
      </c>
      <c r="H46" s="52">
        <f t="shared" si="0"/>
        <v>2</v>
      </c>
    </row>
    <row r="47" spans="6:8" x14ac:dyDescent="0.55000000000000004">
      <c r="F47" s="49">
        <v>38231</v>
      </c>
      <c r="G47" s="52">
        <v>92.1</v>
      </c>
      <c r="H47" s="52">
        <f t="shared" si="0"/>
        <v>0</v>
      </c>
    </row>
    <row r="48" spans="6:8" x14ac:dyDescent="0.55000000000000004">
      <c r="F48" s="49">
        <v>38261</v>
      </c>
      <c r="G48" s="52">
        <v>93.5</v>
      </c>
      <c r="H48" s="52">
        <f t="shared" si="0"/>
        <v>1.4000000000000057</v>
      </c>
    </row>
    <row r="49" spans="6:8" x14ac:dyDescent="0.55000000000000004">
      <c r="F49" s="49">
        <v>38292</v>
      </c>
      <c r="G49" s="52">
        <v>91.8</v>
      </c>
      <c r="H49" s="52">
        <f t="shared" si="0"/>
        <v>-1.7000000000000028</v>
      </c>
    </row>
    <row r="50" spans="6:8" x14ac:dyDescent="0.55000000000000004">
      <c r="F50" s="49">
        <v>38322</v>
      </c>
      <c r="G50" s="52">
        <v>84.7</v>
      </c>
      <c r="H50" s="52">
        <f t="shared" si="0"/>
        <v>-7.0999999999999943</v>
      </c>
    </row>
    <row r="51" spans="6:8" x14ac:dyDescent="0.55000000000000004">
      <c r="F51" s="49">
        <v>38353</v>
      </c>
      <c r="G51" s="52">
        <v>81</v>
      </c>
      <c r="H51" s="52">
        <f t="shared" si="0"/>
        <v>-3.7000000000000028</v>
      </c>
    </row>
    <row r="52" spans="6:8" x14ac:dyDescent="0.55000000000000004">
      <c r="F52" s="49">
        <v>38384</v>
      </c>
      <c r="G52" s="52">
        <v>76.400000000000006</v>
      </c>
      <c r="H52" s="52">
        <f t="shared" si="0"/>
        <v>-4.5999999999999943</v>
      </c>
    </row>
    <row r="53" spans="6:8" x14ac:dyDescent="0.55000000000000004">
      <c r="F53" s="49">
        <v>38412</v>
      </c>
      <c r="G53" s="52">
        <v>88</v>
      </c>
      <c r="H53" s="52">
        <f t="shared" si="0"/>
        <v>11.599999999999994</v>
      </c>
    </row>
    <row r="54" spans="6:8" x14ac:dyDescent="0.55000000000000004">
      <c r="F54" s="49">
        <v>38443</v>
      </c>
      <c r="G54" s="52">
        <v>87</v>
      </c>
      <c r="H54" s="52">
        <f t="shared" si="0"/>
        <v>-1</v>
      </c>
    </row>
    <row r="55" spans="6:8" x14ac:dyDescent="0.55000000000000004">
      <c r="F55" s="49">
        <v>38473</v>
      </c>
      <c r="G55" s="52">
        <v>91.1</v>
      </c>
      <c r="H55" s="52">
        <f t="shared" si="0"/>
        <v>4.0999999999999943</v>
      </c>
    </row>
    <row r="56" spans="6:8" x14ac:dyDescent="0.55000000000000004">
      <c r="F56" s="49">
        <v>38504</v>
      </c>
      <c r="G56" s="52">
        <v>91.4</v>
      </c>
      <c r="H56" s="52">
        <f t="shared" si="0"/>
        <v>0.30000000000001137</v>
      </c>
    </row>
    <row r="57" spans="6:8" x14ac:dyDescent="0.55000000000000004">
      <c r="F57" s="49">
        <v>38534</v>
      </c>
      <c r="G57" s="52">
        <v>90.5</v>
      </c>
      <c r="H57" s="52">
        <f t="shared" si="0"/>
        <v>-0.90000000000000568</v>
      </c>
    </row>
    <row r="58" spans="6:8" x14ac:dyDescent="0.55000000000000004">
      <c r="F58" s="49">
        <v>38565</v>
      </c>
      <c r="G58" s="52">
        <v>95.6</v>
      </c>
      <c r="H58" s="52">
        <f t="shared" si="0"/>
        <v>5.0999999999999943</v>
      </c>
    </row>
    <row r="59" spans="6:8" x14ac:dyDescent="0.55000000000000004">
      <c r="F59" s="49">
        <v>38596</v>
      </c>
      <c r="G59" s="52">
        <v>92</v>
      </c>
      <c r="H59" s="52">
        <f t="shared" si="0"/>
        <v>-3.5999999999999943</v>
      </c>
    </row>
    <row r="60" spans="6:8" x14ac:dyDescent="0.55000000000000004">
      <c r="F60" s="49">
        <v>38626</v>
      </c>
      <c r="G60" s="52">
        <v>93.7</v>
      </c>
      <c r="H60" s="52">
        <f t="shared" si="0"/>
        <v>1.7000000000000028</v>
      </c>
    </row>
    <row r="61" spans="6:8" x14ac:dyDescent="0.55000000000000004">
      <c r="F61" s="49">
        <v>38657</v>
      </c>
      <c r="G61" s="52">
        <v>92.4</v>
      </c>
      <c r="H61" s="52">
        <f t="shared" si="0"/>
        <v>-1.2999999999999972</v>
      </c>
    </row>
    <row r="62" spans="6:8" x14ac:dyDescent="0.55000000000000004">
      <c r="F62" s="49">
        <v>38687</v>
      </c>
      <c r="G62" s="52">
        <v>86.6</v>
      </c>
      <c r="H62" s="52">
        <f t="shared" si="0"/>
        <v>-5.8000000000000114</v>
      </c>
    </row>
    <row r="63" spans="6:8" x14ac:dyDescent="0.55000000000000004">
      <c r="F63" s="49">
        <v>38718</v>
      </c>
      <c r="G63" s="52">
        <v>83.7</v>
      </c>
      <c r="H63" s="52">
        <f t="shared" si="0"/>
        <v>-2.8999999999999915</v>
      </c>
    </row>
    <row r="64" spans="6:8" x14ac:dyDescent="0.55000000000000004">
      <c r="F64" s="49">
        <v>38749</v>
      </c>
      <c r="G64" s="52">
        <v>80.2</v>
      </c>
      <c r="H64" s="52">
        <f t="shared" si="0"/>
        <v>-3.5</v>
      </c>
    </row>
    <row r="65" spans="6:8" x14ac:dyDescent="0.55000000000000004">
      <c r="F65" s="49">
        <v>38777</v>
      </c>
      <c r="G65" s="52">
        <v>92.4</v>
      </c>
      <c r="H65" s="52">
        <f t="shared" si="0"/>
        <v>12.200000000000003</v>
      </c>
    </row>
    <row r="66" spans="6:8" x14ac:dyDescent="0.55000000000000004">
      <c r="F66" s="49">
        <v>38808</v>
      </c>
      <c r="G66" s="52">
        <v>85.7</v>
      </c>
      <c r="H66" s="52">
        <f t="shared" si="0"/>
        <v>-6.7000000000000028</v>
      </c>
    </row>
    <row r="67" spans="6:8" x14ac:dyDescent="0.55000000000000004">
      <c r="F67" s="49">
        <v>38838</v>
      </c>
      <c r="G67" s="52">
        <v>95.4</v>
      </c>
      <c r="H67" s="52">
        <f t="shared" si="0"/>
        <v>9.7000000000000028</v>
      </c>
    </row>
    <row r="68" spans="6:8" x14ac:dyDescent="0.55000000000000004">
      <c r="F68" s="49">
        <v>38869</v>
      </c>
      <c r="G68" s="52">
        <v>91.1</v>
      </c>
      <c r="H68" s="52">
        <f t="shared" si="0"/>
        <v>-4.3000000000000114</v>
      </c>
    </row>
    <row r="69" spans="6:8" x14ac:dyDescent="0.55000000000000004">
      <c r="F69" s="49">
        <v>38899</v>
      </c>
      <c r="G69" s="52">
        <v>93.8</v>
      </c>
      <c r="H69" s="52">
        <f t="shared" si="0"/>
        <v>2.7000000000000028</v>
      </c>
    </row>
    <row r="70" spans="6:8" x14ac:dyDescent="0.55000000000000004">
      <c r="F70" s="49">
        <v>38930</v>
      </c>
      <c r="G70" s="52">
        <v>98.6</v>
      </c>
      <c r="H70" s="52">
        <f t="shared" si="0"/>
        <v>4.7999999999999972</v>
      </c>
    </row>
    <row r="71" spans="6:8" x14ac:dyDescent="0.55000000000000004">
      <c r="F71" s="49">
        <v>38961</v>
      </c>
      <c r="G71" s="52">
        <v>93.2</v>
      </c>
      <c r="H71" s="52">
        <f t="shared" si="0"/>
        <v>-5.3999999999999915</v>
      </c>
    </row>
    <row r="72" spans="6:8" x14ac:dyDescent="0.55000000000000004">
      <c r="F72" s="49">
        <v>38991</v>
      </c>
      <c r="G72" s="52">
        <v>97.5</v>
      </c>
      <c r="H72" s="52">
        <f t="shared" si="0"/>
        <v>4.2999999999999972</v>
      </c>
    </row>
    <row r="73" spans="6:8" x14ac:dyDescent="0.55000000000000004">
      <c r="F73" s="49">
        <v>39022</v>
      </c>
      <c r="G73" s="52">
        <v>95.9</v>
      </c>
      <c r="H73" s="52">
        <f t="shared" si="0"/>
        <v>-1.5999999999999943</v>
      </c>
    </row>
    <row r="74" spans="6:8" x14ac:dyDescent="0.55000000000000004">
      <c r="F74" s="49">
        <v>39052</v>
      </c>
      <c r="G74" s="52">
        <v>87</v>
      </c>
      <c r="H74" s="52">
        <f t="shared" si="0"/>
        <v>-8.9000000000000057</v>
      </c>
    </row>
    <row r="75" spans="6:8" x14ac:dyDescent="0.55000000000000004">
      <c r="F75" s="49">
        <v>39083</v>
      </c>
      <c r="G75" s="52">
        <v>87</v>
      </c>
      <c r="H75" s="52">
        <f t="shared" si="0"/>
        <v>0</v>
      </c>
    </row>
    <row r="76" spans="6:8" x14ac:dyDescent="0.55000000000000004">
      <c r="F76" s="49">
        <v>39114</v>
      </c>
      <c r="G76" s="52">
        <v>82.6</v>
      </c>
      <c r="H76" s="52">
        <f t="shared" si="0"/>
        <v>-4.4000000000000057</v>
      </c>
    </row>
    <row r="77" spans="6:8" x14ac:dyDescent="0.55000000000000004">
      <c r="F77" s="49">
        <v>39142</v>
      </c>
      <c r="G77" s="52">
        <v>96.4</v>
      </c>
      <c r="H77" s="52">
        <f t="shared" si="0"/>
        <v>13.800000000000011</v>
      </c>
    </row>
    <row r="78" spans="6:8" x14ac:dyDescent="0.55000000000000004">
      <c r="F78" s="49">
        <v>39173</v>
      </c>
      <c r="G78" s="52">
        <v>90.6</v>
      </c>
      <c r="H78" s="52">
        <f t="shared" si="0"/>
        <v>-5.8000000000000114</v>
      </c>
    </row>
    <row r="79" spans="6:8" x14ac:dyDescent="0.55000000000000004">
      <c r="F79" s="49">
        <v>39203</v>
      </c>
      <c r="G79" s="52">
        <v>99.9</v>
      </c>
      <c r="H79" s="52">
        <f t="shared" si="0"/>
        <v>9.3000000000000114</v>
      </c>
    </row>
    <row r="80" spans="6:8" x14ac:dyDescent="0.55000000000000004">
      <c r="F80" s="49">
        <v>39234</v>
      </c>
      <c r="G80" s="52">
        <v>96.9</v>
      </c>
      <c r="H80" s="52">
        <f t="shared" si="0"/>
        <v>-3</v>
      </c>
    </row>
    <row r="81" spans="6:8" x14ac:dyDescent="0.55000000000000004">
      <c r="F81" s="49">
        <v>39264</v>
      </c>
      <c r="G81" s="52">
        <v>99.8</v>
      </c>
      <c r="H81" s="52">
        <f t="shared" ref="H81:H144" si="1">G81-G80</f>
        <v>2.8999999999999915</v>
      </c>
    </row>
    <row r="82" spans="6:8" x14ac:dyDescent="0.55000000000000004">
      <c r="F82" s="49">
        <v>39295</v>
      </c>
      <c r="G82" s="52">
        <v>104.9</v>
      </c>
      <c r="H82" s="52">
        <f t="shared" si="1"/>
        <v>5.1000000000000085</v>
      </c>
    </row>
    <row r="83" spans="6:8" x14ac:dyDescent="0.55000000000000004">
      <c r="F83" s="49">
        <v>39326</v>
      </c>
      <c r="G83" s="52">
        <v>98.4</v>
      </c>
      <c r="H83" s="52">
        <f t="shared" si="1"/>
        <v>-6.5</v>
      </c>
    </row>
    <row r="84" spans="6:8" x14ac:dyDescent="0.55000000000000004">
      <c r="F84" s="49">
        <v>39356</v>
      </c>
      <c r="G84" s="52">
        <v>107.8</v>
      </c>
      <c r="H84" s="52">
        <f t="shared" si="1"/>
        <v>9.3999999999999915</v>
      </c>
    </row>
    <row r="85" spans="6:8" x14ac:dyDescent="0.55000000000000004">
      <c r="F85" s="49">
        <v>39387</v>
      </c>
      <c r="G85" s="52">
        <v>102.4</v>
      </c>
      <c r="H85" s="52">
        <f t="shared" si="1"/>
        <v>-5.3999999999999915</v>
      </c>
    </row>
    <row r="86" spans="6:8" x14ac:dyDescent="0.55000000000000004">
      <c r="F86" s="49">
        <v>39417</v>
      </c>
      <c r="G86" s="52">
        <v>92.6</v>
      </c>
      <c r="H86" s="52">
        <f t="shared" si="1"/>
        <v>-9.8000000000000114</v>
      </c>
    </row>
    <row r="87" spans="6:8" x14ac:dyDescent="0.55000000000000004">
      <c r="F87" s="49">
        <v>39448</v>
      </c>
      <c r="G87" s="52">
        <v>94.8</v>
      </c>
      <c r="H87" s="52">
        <f t="shared" si="1"/>
        <v>2.2000000000000028</v>
      </c>
    </row>
    <row r="88" spans="6:8" x14ac:dyDescent="0.55000000000000004">
      <c r="F88" s="49">
        <v>39479</v>
      </c>
      <c r="G88" s="52">
        <v>91.1</v>
      </c>
      <c r="H88" s="52">
        <f t="shared" si="1"/>
        <v>-3.7000000000000028</v>
      </c>
    </row>
    <row r="89" spans="6:8" x14ac:dyDescent="0.55000000000000004">
      <c r="F89" s="49">
        <v>39508</v>
      </c>
      <c r="G89" s="52">
        <v>97.7</v>
      </c>
      <c r="H89" s="52">
        <f t="shared" si="1"/>
        <v>6.6000000000000085</v>
      </c>
    </row>
    <row r="90" spans="6:8" x14ac:dyDescent="0.55000000000000004">
      <c r="F90" s="49">
        <v>39539</v>
      </c>
      <c r="G90" s="52">
        <v>99.2</v>
      </c>
      <c r="H90" s="52">
        <f t="shared" si="1"/>
        <v>1.5</v>
      </c>
    </row>
    <row r="91" spans="6:8" x14ac:dyDescent="0.55000000000000004">
      <c r="F91" s="49">
        <v>39569</v>
      </c>
      <c r="G91" s="52">
        <v>102.5</v>
      </c>
      <c r="H91" s="52">
        <f t="shared" si="1"/>
        <v>3.2999999999999972</v>
      </c>
    </row>
    <row r="92" spans="6:8" x14ac:dyDescent="0.55000000000000004">
      <c r="F92" s="49">
        <v>39600</v>
      </c>
      <c r="G92" s="52">
        <v>103.3</v>
      </c>
      <c r="H92" s="52">
        <f t="shared" si="1"/>
        <v>0.79999999999999716</v>
      </c>
    </row>
    <row r="93" spans="6:8" x14ac:dyDescent="0.55000000000000004">
      <c r="F93" s="49">
        <v>39630</v>
      </c>
      <c r="G93" s="52">
        <v>108.5</v>
      </c>
      <c r="H93" s="52">
        <f t="shared" si="1"/>
        <v>5.2000000000000028</v>
      </c>
    </row>
    <row r="94" spans="6:8" x14ac:dyDescent="0.55000000000000004">
      <c r="F94" s="49">
        <v>39661</v>
      </c>
      <c r="G94" s="52">
        <v>106.9</v>
      </c>
      <c r="H94" s="52">
        <f t="shared" si="1"/>
        <v>-1.5999999999999943</v>
      </c>
    </row>
    <row r="95" spans="6:8" x14ac:dyDescent="0.55000000000000004">
      <c r="F95" s="49">
        <v>39692</v>
      </c>
      <c r="G95" s="52">
        <v>107.3</v>
      </c>
      <c r="H95" s="52">
        <f t="shared" si="1"/>
        <v>0.39999999999999147</v>
      </c>
    </row>
    <row r="96" spans="6:8" x14ac:dyDescent="0.55000000000000004">
      <c r="F96" s="49">
        <v>39722</v>
      </c>
      <c r="G96" s="52">
        <v>108.4</v>
      </c>
      <c r="H96" s="52">
        <f t="shared" si="1"/>
        <v>1.1000000000000085</v>
      </c>
    </row>
    <row r="97" spans="6:8" x14ac:dyDescent="0.55000000000000004">
      <c r="F97" s="49">
        <v>39753</v>
      </c>
      <c r="G97" s="52">
        <v>96.2</v>
      </c>
      <c r="H97" s="52">
        <f t="shared" si="1"/>
        <v>-12.200000000000003</v>
      </c>
    </row>
    <row r="98" spans="6:8" x14ac:dyDescent="0.55000000000000004">
      <c r="F98" s="49">
        <v>39783</v>
      </c>
      <c r="G98" s="52">
        <v>79.099999999999994</v>
      </c>
      <c r="H98" s="52">
        <f t="shared" si="1"/>
        <v>-17.100000000000009</v>
      </c>
    </row>
    <row r="99" spans="6:8" x14ac:dyDescent="0.55000000000000004">
      <c r="F99" s="49">
        <v>39814</v>
      </c>
      <c r="G99" s="52">
        <v>78.7</v>
      </c>
      <c r="H99" s="52">
        <f t="shared" si="1"/>
        <v>-0.39999999999999147</v>
      </c>
    </row>
    <row r="100" spans="6:8" x14ac:dyDescent="0.55000000000000004">
      <c r="F100" s="49">
        <v>39845</v>
      </c>
      <c r="G100" s="52">
        <v>76.099999999999994</v>
      </c>
      <c r="H100" s="52">
        <f t="shared" si="1"/>
        <v>-2.6000000000000085</v>
      </c>
    </row>
    <row r="101" spans="6:8" x14ac:dyDescent="0.55000000000000004">
      <c r="F101" s="49">
        <v>39873</v>
      </c>
      <c r="G101" s="52">
        <v>88.6</v>
      </c>
      <c r="H101" s="52">
        <f t="shared" si="1"/>
        <v>12.5</v>
      </c>
    </row>
    <row r="102" spans="6:8" x14ac:dyDescent="0.55000000000000004">
      <c r="F102" s="49">
        <v>39904</v>
      </c>
      <c r="G102" s="52">
        <v>85.2</v>
      </c>
      <c r="H102" s="52">
        <f t="shared" si="1"/>
        <v>-3.3999999999999915</v>
      </c>
    </row>
    <row r="103" spans="6:8" x14ac:dyDescent="0.55000000000000004">
      <c r="F103" s="49">
        <v>39934</v>
      </c>
      <c r="G103" s="52">
        <v>91.3</v>
      </c>
      <c r="H103" s="52">
        <f t="shared" si="1"/>
        <v>6.0999999999999943</v>
      </c>
    </row>
    <row r="104" spans="6:8" x14ac:dyDescent="0.55000000000000004">
      <c r="F104" s="49">
        <v>39965</v>
      </c>
      <c r="G104" s="52">
        <v>92.2</v>
      </c>
      <c r="H104" s="52">
        <f t="shared" si="1"/>
        <v>0.90000000000000568</v>
      </c>
    </row>
    <row r="105" spans="6:8" x14ac:dyDescent="0.55000000000000004">
      <c r="F105" s="49">
        <v>39995</v>
      </c>
      <c r="G105" s="52">
        <v>97.7</v>
      </c>
      <c r="H105" s="52">
        <f t="shared" si="1"/>
        <v>5.5</v>
      </c>
    </row>
    <row r="106" spans="6:8" x14ac:dyDescent="0.55000000000000004">
      <c r="F106" s="49">
        <v>40026</v>
      </c>
      <c r="G106" s="52">
        <v>99.6</v>
      </c>
      <c r="H106" s="52">
        <f t="shared" si="1"/>
        <v>1.8999999999999915</v>
      </c>
    </row>
    <row r="107" spans="6:8" x14ac:dyDescent="0.55000000000000004">
      <c r="F107" s="49">
        <v>40057</v>
      </c>
      <c r="G107" s="52">
        <v>99.4</v>
      </c>
      <c r="H107" s="52">
        <f t="shared" si="1"/>
        <v>-0.19999999999998863</v>
      </c>
    </row>
    <row r="108" spans="6:8" x14ac:dyDescent="0.55000000000000004">
      <c r="F108" s="49">
        <v>40087</v>
      </c>
      <c r="G108" s="52">
        <v>105.6</v>
      </c>
      <c r="H108" s="52">
        <f t="shared" si="1"/>
        <v>6.1999999999999886</v>
      </c>
    </row>
    <row r="109" spans="6:8" x14ac:dyDescent="0.55000000000000004">
      <c r="F109" s="49">
        <v>40118</v>
      </c>
      <c r="G109" s="52">
        <v>101.4</v>
      </c>
      <c r="H109" s="52">
        <f t="shared" si="1"/>
        <v>-4.1999999999999886</v>
      </c>
    </row>
    <row r="110" spans="6:8" x14ac:dyDescent="0.55000000000000004">
      <c r="F110" s="49">
        <v>40148</v>
      </c>
      <c r="G110" s="52">
        <v>94.1</v>
      </c>
      <c r="H110" s="52">
        <f t="shared" si="1"/>
        <v>-7.3000000000000114</v>
      </c>
    </row>
    <row r="111" spans="6:8" x14ac:dyDescent="0.55000000000000004">
      <c r="F111" s="49">
        <v>40179</v>
      </c>
      <c r="G111" s="52">
        <v>91.2</v>
      </c>
      <c r="H111" s="52">
        <f t="shared" si="1"/>
        <v>-2.8999999999999915</v>
      </c>
    </row>
    <row r="112" spans="6:8" x14ac:dyDescent="0.55000000000000004">
      <c r="F112" s="49">
        <v>40210</v>
      </c>
      <c r="G112" s="52">
        <v>89</v>
      </c>
      <c r="H112" s="52">
        <f t="shared" si="1"/>
        <v>-2.2000000000000028</v>
      </c>
    </row>
    <row r="113" spans="6:8" x14ac:dyDescent="0.55000000000000004">
      <c r="F113" s="49">
        <v>40238</v>
      </c>
      <c r="G113" s="52">
        <v>105.1</v>
      </c>
      <c r="H113" s="52">
        <f t="shared" si="1"/>
        <v>16.099999999999994</v>
      </c>
    </row>
    <row r="114" spans="6:8" x14ac:dyDescent="0.55000000000000004">
      <c r="F114" s="49">
        <v>40269</v>
      </c>
      <c r="G114" s="52">
        <v>99.3</v>
      </c>
      <c r="H114" s="52">
        <f t="shared" si="1"/>
        <v>-5.7999999999999972</v>
      </c>
    </row>
    <row r="115" spans="6:8" x14ac:dyDescent="0.55000000000000004">
      <c r="F115" s="49">
        <v>40299</v>
      </c>
      <c r="G115" s="52">
        <v>104.3</v>
      </c>
      <c r="H115" s="52">
        <f t="shared" si="1"/>
        <v>5</v>
      </c>
    </row>
    <row r="116" spans="6:8" x14ac:dyDescent="0.55000000000000004">
      <c r="F116" s="49">
        <v>40330</v>
      </c>
      <c r="G116" s="52">
        <v>102.5</v>
      </c>
      <c r="H116" s="52">
        <f t="shared" si="1"/>
        <v>-1.7999999999999972</v>
      </c>
    </row>
    <row r="117" spans="6:8" x14ac:dyDescent="0.55000000000000004">
      <c r="F117" s="49">
        <v>40360</v>
      </c>
      <c r="G117" s="52">
        <v>106.9</v>
      </c>
      <c r="H117" s="52">
        <f t="shared" si="1"/>
        <v>4.4000000000000057</v>
      </c>
    </row>
    <row r="118" spans="6:8" x14ac:dyDescent="0.55000000000000004">
      <c r="F118" s="49">
        <v>40391</v>
      </c>
      <c r="G118" s="52">
        <v>108.1</v>
      </c>
      <c r="H118" s="52">
        <f t="shared" si="1"/>
        <v>1.1999999999999886</v>
      </c>
    </row>
    <row r="119" spans="6:8" x14ac:dyDescent="0.55000000000000004">
      <c r="F119" s="49">
        <v>40422</v>
      </c>
      <c r="G119" s="52">
        <v>105.8</v>
      </c>
      <c r="H119" s="52">
        <f t="shared" si="1"/>
        <v>-2.2999999999999972</v>
      </c>
    </row>
    <row r="120" spans="6:8" x14ac:dyDescent="0.55000000000000004">
      <c r="F120" s="49">
        <v>40452</v>
      </c>
      <c r="G120" s="52">
        <v>107.7</v>
      </c>
      <c r="H120" s="52">
        <f t="shared" si="1"/>
        <v>1.9000000000000057</v>
      </c>
    </row>
    <row r="121" spans="6:8" x14ac:dyDescent="0.55000000000000004">
      <c r="F121" s="49">
        <v>40483</v>
      </c>
      <c r="G121" s="52">
        <v>106.8</v>
      </c>
      <c r="H121" s="52">
        <f t="shared" si="1"/>
        <v>-0.90000000000000568</v>
      </c>
    </row>
    <row r="122" spans="6:8" x14ac:dyDescent="0.55000000000000004">
      <c r="F122" s="49">
        <v>40513</v>
      </c>
      <c r="G122" s="52">
        <v>96.6</v>
      </c>
      <c r="H122" s="52">
        <f t="shared" si="1"/>
        <v>-10.200000000000003</v>
      </c>
    </row>
    <row r="123" spans="6:8" x14ac:dyDescent="0.55000000000000004">
      <c r="F123" s="49">
        <v>40544</v>
      </c>
      <c r="G123" s="52">
        <v>93.2</v>
      </c>
      <c r="H123" s="52">
        <f t="shared" si="1"/>
        <v>-3.3999999999999915</v>
      </c>
    </row>
    <row r="124" spans="6:8" x14ac:dyDescent="0.55000000000000004">
      <c r="F124" s="49">
        <v>40575</v>
      </c>
      <c r="G124" s="52">
        <v>95.4</v>
      </c>
      <c r="H124" s="52">
        <f t="shared" si="1"/>
        <v>2.2000000000000028</v>
      </c>
    </row>
    <row r="125" spans="6:8" x14ac:dyDescent="0.55000000000000004">
      <c r="F125" s="49">
        <v>40603</v>
      </c>
      <c r="G125" s="52">
        <v>104.4</v>
      </c>
      <c r="H125" s="52">
        <f t="shared" si="1"/>
        <v>9</v>
      </c>
    </row>
    <row r="126" spans="6:8" x14ac:dyDescent="0.55000000000000004">
      <c r="F126" s="49">
        <v>40634</v>
      </c>
      <c r="G126" s="52">
        <v>97.5</v>
      </c>
      <c r="H126" s="52">
        <f t="shared" si="1"/>
        <v>-6.9000000000000057</v>
      </c>
    </row>
    <row r="127" spans="6:8" x14ac:dyDescent="0.55000000000000004">
      <c r="F127" s="49">
        <v>40664</v>
      </c>
      <c r="G127" s="52">
        <v>107.1</v>
      </c>
      <c r="H127" s="52">
        <f t="shared" si="1"/>
        <v>9.5999999999999943</v>
      </c>
    </row>
    <row r="128" spans="6:8" x14ac:dyDescent="0.55000000000000004">
      <c r="F128" s="49">
        <v>40695</v>
      </c>
      <c r="G128" s="52">
        <v>102.8</v>
      </c>
      <c r="H128" s="52">
        <f t="shared" si="1"/>
        <v>-4.2999999999999972</v>
      </c>
    </row>
    <row r="129" spans="6:8" x14ac:dyDescent="0.55000000000000004">
      <c r="F129" s="49">
        <v>40725</v>
      </c>
      <c r="G129" s="52">
        <v>106.1</v>
      </c>
      <c r="H129" s="52">
        <f t="shared" si="1"/>
        <v>3.2999999999999972</v>
      </c>
    </row>
    <row r="130" spans="6:8" x14ac:dyDescent="0.55000000000000004">
      <c r="F130" s="49">
        <v>40756</v>
      </c>
      <c r="G130" s="52">
        <v>110.8</v>
      </c>
      <c r="H130" s="52">
        <f t="shared" si="1"/>
        <v>4.7000000000000028</v>
      </c>
    </row>
    <row r="131" spans="6:8" x14ac:dyDescent="0.55000000000000004">
      <c r="F131" s="49">
        <v>40787</v>
      </c>
      <c r="G131" s="52">
        <v>104.8</v>
      </c>
      <c r="H131" s="52">
        <f t="shared" si="1"/>
        <v>-6</v>
      </c>
    </row>
    <row r="132" spans="6:8" x14ac:dyDescent="0.55000000000000004">
      <c r="F132" s="49">
        <v>40817</v>
      </c>
      <c r="G132" s="52">
        <v>106.3</v>
      </c>
      <c r="H132" s="52">
        <f t="shared" si="1"/>
        <v>1.5</v>
      </c>
    </row>
    <row r="133" spans="6:8" x14ac:dyDescent="0.55000000000000004">
      <c r="F133" s="49">
        <v>40848</v>
      </c>
      <c r="G133" s="52">
        <v>104.2</v>
      </c>
      <c r="H133" s="52">
        <f t="shared" si="1"/>
        <v>-2.0999999999999943</v>
      </c>
    </row>
    <row r="134" spans="6:8" x14ac:dyDescent="0.55000000000000004">
      <c r="F134" s="49">
        <v>40878</v>
      </c>
      <c r="G134" s="52">
        <v>95.7</v>
      </c>
      <c r="H134" s="52">
        <f t="shared" si="1"/>
        <v>-8.5</v>
      </c>
    </row>
    <row r="135" spans="6:8" x14ac:dyDescent="0.55000000000000004">
      <c r="F135" s="49">
        <v>40909</v>
      </c>
      <c r="G135" s="52">
        <v>88.7</v>
      </c>
      <c r="H135" s="52">
        <f t="shared" si="1"/>
        <v>-7</v>
      </c>
    </row>
    <row r="136" spans="6:8" x14ac:dyDescent="0.55000000000000004">
      <c r="F136" s="49">
        <v>40940</v>
      </c>
      <c r="G136" s="52">
        <v>89.8</v>
      </c>
      <c r="H136" s="52">
        <f t="shared" si="1"/>
        <v>1.0999999999999943</v>
      </c>
    </row>
    <row r="137" spans="6:8" x14ac:dyDescent="0.55000000000000004">
      <c r="F137" s="49">
        <v>40969</v>
      </c>
      <c r="G137" s="52">
        <v>99.7</v>
      </c>
      <c r="H137" s="52">
        <f t="shared" si="1"/>
        <v>9.9000000000000057</v>
      </c>
    </row>
    <row r="138" spans="6:8" x14ac:dyDescent="0.55000000000000004">
      <c r="F138" s="49">
        <v>41000</v>
      </c>
      <c r="G138" s="52">
        <v>92.8</v>
      </c>
      <c r="H138" s="52">
        <f t="shared" si="1"/>
        <v>-6.9000000000000057</v>
      </c>
    </row>
    <row r="139" spans="6:8" x14ac:dyDescent="0.55000000000000004">
      <c r="F139" s="49">
        <v>41030</v>
      </c>
      <c r="G139" s="52">
        <v>102.5</v>
      </c>
      <c r="H139" s="52">
        <f t="shared" si="1"/>
        <v>9.7000000000000028</v>
      </c>
    </row>
    <row r="140" spans="6:8" x14ac:dyDescent="0.55000000000000004">
      <c r="F140" s="49">
        <v>41061</v>
      </c>
      <c r="G140" s="52">
        <v>98.3</v>
      </c>
      <c r="H140" s="52">
        <f t="shared" si="1"/>
        <v>-4.2000000000000028</v>
      </c>
    </row>
    <row r="141" spans="6:8" x14ac:dyDescent="0.55000000000000004">
      <c r="F141" s="49">
        <v>41091</v>
      </c>
      <c r="G141" s="52">
        <v>104.5</v>
      </c>
      <c r="H141" s="52">
        <f t="shared" si="1"/>
        <v>6.2000000000000028</v>
      </c>
    </row>
    <row r="142" spans="6:8" x14ac:dyDescent="0.55000000000000004">
      <c r="F142" s="49">
        <v>41122</v>
      </c>
      <c r="G142" s="52">
        <v>111.5</v>
      </c>
      <c r="H142" s="52">
        <f t="shared" si="1"/>
        <v>7</v>
      </c>
    </row>
    <row r="143" spans="6:8" x14ac:dyDescent="0.55000000000000004">
      <c r="F143" s="49">
        <v>41153</v>
      </c>
      <c r="G143" s="52">
        <v>103.4</v>
      </c>
      <c r="H143" s="52">
        <f t="shared" si="1"/>
        <v>-8.0999999999999943</v>
      </c>
    </row>
    <row r="144" spans="6:8" x14ac:dyDescent="0.55000000000000004">
      <c r="F144" s="49">
        <v>41183</v>
      </c>
      <c r="G144" s="52">
        <v>111.8</v>
      </c>
      <c r="H144" s="52">
        <f t="shared" si="1"/>
        <v>8.3999999999999915</v>
      </c>
    </row>
    <row r="145" spans="6:8" x14ac:dyDescent="0.55000000000000004">
      <c r="F145" s="49">
        <v>41214</v>
      </c>
      <c r="G145" s="52">
        <v>104.8</v>
      </c>
      <c r="H145" s="52">
        <f t="shared" ref="H145:H208" si="2">G145-G144</f>
        <v>-7</v>
      </c>
    </row>
    <row r="146" spans="6:8" x14ac:dyDescent="0.55000000000000004">
      <c r="F146" s="49">
        <v>41244</v>
      </c>
      <c r="G146" s="52">
        <v>92.2</v>
      </c>
      <c r="H146" s="52">
        <f t="shared" si="2"/>
        <v>-12.599999999999994</v>
      </c>
    </row>
    <row r="147" spans="6:8" x14ac:dyDescent="0.55000000000000004">
      <c r="F147" s="49">
        <v>41275</v>
      </c>
      <c r="G147" s="52">
        <v>94.5</v>
      </c>
      <c r="H147" s="52">
        <f t="shared" si="2"/>
        <v>2.2999999999999972</v>
      </c>
    </row>
    <row r="148" spans="6:8" x14ac:dyDescent="0.55000000000000004">
      <c r="F148" s="49">
        <v>41306</v>
      </c>
      <c r="G148" s="52">
        <v>88.1</v>
      </c>
      <c r="H148" s="52">
        <f t="shared" si="2"/>
        <v>-6.4000000000000057</v>
      </c>
    </row>
    <row r="149" spans="6:8" x14ac:dyDescent="0.55000000000000004">
      <c r="F149" s="49">
        <v>41334</v>
      </c>
      <c r="G149" s="52">
        <v>97.7</v>
      </c>
      <c r="H149" s="52">
        <f t="shared" si="2"/>
        <v>9.6000000000000085</v>
      </c>
    </row>
    <row r="150" spans="6:8" x14ac:dyDescent="0.55000000000000004">
      <c r="F150" s="49">
        <v>41365</v>
      </c>
      <c r="G150" s="52">
        <v>101.8</v>
      </c>
      <c r="H150" s="52">
        <f t="shared" si="2"/>
        <v>4.0999999999999943</v>
      </c>
    </row>
    <row r="151" spans="6:8" x14ac:dyDescent="0.55000000000000004">
      <c r="F151" s="49">
        <v>41395</v>
      </c>
      <c r="G151" s="52">
        <v>105</v>
      </c>
      <c r="H151" s="52">
        <f t="shared" si="2"/>
        <v>3.2000000000000028</v>
      </c>
    </row>
    <row r="152" spans="6:8" x14ac:dyDescent="0.55000000000000004">
      <c r="F152" s="49">
        <v>41426</v>
      </c>
      <c r="G152" s="52">
        <v>101.7</v>
      </c>
      <c r="H152" s="52">
        <f t="shared" si="2"/>
        <v>-3.2999999999999972</v>
      </c>
    </row>
    <row r="153" spans="6:8" x14ac:dyDescent="0.55000000000000004">
      <c r="F153" s="49">
        <v>41456</v>
      </c>
      <c r="G153" s="52">
        <v>108</v>
      </c>
      <c r="H153" s="52">
        <f t="shared" si="2"/>
        <v>6.2999999999999972</v>
      </c>
    </row>
    <row r="154" spans="6:8" x14ac:dyDescent="0.55000000000000004">
      <c r="F154" s="49">
        <v>41487</v>
      </c>
      <c r="G154" s="52">
        <v>112</v>
      </c>
      <c r="H154" s="52">
        <f t="shared" si="2"/>
        <v>4</v>
      </c>
    </row>
    <row r="155" spans="6:8" x14ac:dyDescent="0.55000000000000004">
      <c r="F155" s="49">
        <v>41518</v>
      </c>
      <c r="G155" s="52">
        <v>107.3</v>
      </c>
      <c r="H155" s="52">
        <f t="shared" si="2"/>
        <v>-4.7000000000000028</v>
      </c>
    </row>
    <row r="156" spans="6:8" x14ac:dyDescent="0.55000000000000004">
      <c r="F156" s="49">
        <v>41548</v>
      </c>
      <c r="G156" s="52">
        <v>112.6</v>
      </c>
      <c r="H156" s="52">
        <f t="shared" si="2"/>
        <v>5.2999999999999972</v>
      </c>
    </row>
    <row r="157" spans="6:8" x14ac:dyDescent="0.55000000000000004">
      <c r="F157" s="49">
        <v>41579</v>
      </c>
      <c r="G157" s="52">
        <v>106.1</v>
      </c>
      <c r="H157" s="52">
        <f t="shared" si="2"/>
        <v>-6.5</v>
      </c>
    </row>
    <row r="158" spans="6:8" x14ac:dyDescent="0.55000000000000004">
      <c r="F158" s="49">
        <v>41609</v>
      </c>
      <c r="G158" s="52">
        <v>90.1</v>
      </c>
      <c r="H158" s="52">
        <f t="shared" si="2"/>
        <v>-16</v>
      </c>
    </row>
    <row r="159" spans="6:8" x14ac:dyDescent="0.55000000000000004">
      <c r="F159" s="49">
        <v>41640</v>
      </c>
      <c r="G159" s="52">
        <v>92.6</v>
      </c>
      <c r="H159" s="52">
        <f t="shared" si="2"/>
        <v>2.5</v>
      </c>
    </row>
    <row r="160" spans="6:8" x14ac:dyDescent="0.55000000000000004">
      <c r="F160" s="49">
        <v>41671</v>
      </c>
      <c r="G160" s="52">
        <v>92.3</v>
      </c>
      <c r="H160" s="52">
        <f t="shared" si="2"/>
        <v>-0.29999999999999716</v>
      </c>
    </row>
    <row r="161" spans="6:8" x14ac:dyDescent="0.55000000000000004">
      <c r="F161" s="49">
        <v>41699</v>
      </c>
      <c r="G161" s="52">
        <v>97.3</v>
      </c>
      <c r="H161" s="52">
        <f t="shared" si="2"/>
        <v>5</v>
      </c>
    </row>
    <row r="162" spans="6:8" x14ac:dyDescent="0.55000000000000004">
      <c r="F162" s="49">
        <v>41730</v>
      </c>
      <c r="G162" s="52">
        <v>96</v>
      </c>
      <c r="H162" s="52">
        <f t="shared" si="2"/>
        <v>-1.2999999999999972</v>
      </c>
    </row>
    <row r="163" spans="6:8" x14ac:dyDescent="0.55000000000000004">
      <c r="F163" s="49">
        <v>41760</v>
      </c>
      <c r="G163" s="52">
        <v>101.7</v>
      </c>
      <c r="H163" s="52">
        <f t="shared" si="2"/>
        <v>5.7000000000000028</v>
      </c>
    </row>
    <row r="164" spans="6:8" x14ac:dyDescent="0.55000000000000004">
      <c r="F164" s="49">
        <v>41791</v>
      </c>
      <c r="G164" s="52">
        <v>94.9</v>
      </c>
      <c r="H164" s="52">
        <f t="shared" si="2"/>
        <v>-6.7999999999999972</v>
      </c>
    </row>
    <row r="165" spans="6:8" x14ac:dyDescent="0.55000000000000004">
      <c r="F165" s="49">
        <v>41821</v>
      </c>
      <c r="G165" s="52">
        <v>104.4</v>
      </c>
      <c r="H165" s="52">
        <f t="shared" si="2"/>
        <v>9.5</v>
      </c>
    </row>
    <row r="166" spans="6:8" x14ac:dyDescent="0.55000000000000004">
      <c r="F166" s="49">
        <v>41852</v>
      </c>
      <c r="G166" s="52">
        <v>106.3</v>
      </c>
      <c r="H166" s="52">
        <f t="shared" si="2"/>
        <v>1.8999999999999915</v>
      </c>
    </row>
    <row r="167" spans="6:8" x14ac:dyDescent="0.55000000000000004">
      <c r="F167" s="49">
        <v>41883</v>
      </c>
      <c r="G167" s="52">
        <v>105.6</v>
      </c>
      <c r="H167" s="52">
        <f t="shared" si="2"/>
        <v>-0.70000000000000284</v>
      </c>
    </row>
    <row r="168" spans="6:8" x14ac:dyDescent="0.55000000000000004">
      <c r="F168" s="49">
        <v>41913</v>
      </c>
      <c r="G168" s="52">
        <v>109.3</v>
      </c>
      <c r="H168" s="52">
        <f t="shared" si="2"/>
        <v>3.7000000000000028</v>
      </c>
    </row>
    <row r="169" spans="6:8" x14ac:dyDescent="0.55000000000000004">
      <c r="F169" s="49">
        <v>41944</v>
      </c>
      <c r="G169" s="52">
        <v>99.8</v>
      </c>
      <c r="H169" s="52">
        <f t="shared" si="2"/>
        <v>-9.5</v>
      </c>
    </row>
    <row r="170" spans="6:8" x14ac:dyDescent="0.55000000000000004">
      <c r="F170" s="49">
        <v>41974</v>
      </c>
      <c r="G170" s="52">
        <v>87.7</v>
      </c>
      <c r="H170" s="52">
        <f t="shared" si="2"/>
        <v>-12.099999999999994</v>
      </c>
    </row>
    <row r="171" spans="6:8" x14ac:dyDescent="0.55000000000000004">
      <c r="F171" s="49">
        <v>42005</v>
      </c>
      <c r="G171" s="52">
        <v>88.1</v>
      </c>
      <c r="H171" s="52">
        <f t="shared" si="2"/>
        <v>0.39999999999999147</v>
      </c>
    </row>
    <row r="172" spans="6:8" x14ac:dyDescent="0.55000000000000004">
      <c r="F172" s="49">
        <v>42036</v>
      </c>
      <c r="G172" s="52">
        <v>83.7</v>
      </c>
      <c r="H172" s="52">
        <f t="shared" si="2"/>
        <v>-4.3999999999999915</v>
      </c>
    </row>
    <row r="173" spans="6:8" x14ac:dyDescent="0.55000000000000004">
      <c r="F173" s="49">
        <v>42064</v>
      </c>
      <c r="G173" s="52">
        <v>94.3</v>
      </c>
      <c r="H173" s="52">
        <f t="shared" si="2"/>
        <v>10.599999999999994</v>
      </c>
    </row>
    <row r="174" spans="6:8" x14ac:dyDescent="0.55000000000000004">
      <c r="F174" s="49">
        <v>42095</v>
      </c>
      <c r="G174" s="52">
        <v>88.8</v>
      </c>
      <c r="H174" s="52">
        <f t="shared" si="2"/>
        <v>-5.5</v>
      </c>
    </row>
    <row r="175" spans="6:8" x14ac:dyDescent="0.55000000000000004">
      <c r="F175" s="49">
        <v>42125</v>
      </c>
      <c r="G175" s="52">
        <v>93.1</v>
      </c>
      <c r="H175" s="52">
        <f t="shared" si="2"/>
        <v>4.2999999999999972</v>
      </c>
    </row>
    <row r="176" spans="6:8" x14ac:dyDescent="0.55000000000000004">
      <c r="F176" s="49">
        <v>42156</v>
      </c>
      <c r="G176" s="52">
        <v>92.5</v>
      </c>
      <c r="H176" s="52">
        <f t="shared" si="2"/>
        <v>-0.59999999999999432</v>
      </c>
    </row>
    <row r="177" spans="6:8" x14ac:dyDescent="0.55000000000000004">
      <c r="F177" s="49">
        <v>42186</v>
      </c>
      <c r="G177" s="52">
        <v>95.5</v>
      </c>
      <c r="H177" s="52">
        <f t="shared" si="2"/>
        <v>3</v>
      </c>
    </row>
    <row r="178" spans="6:8" x14ac:dyDescent="0.55000000000000004">
      <c r="F178" s="49">
        <v>42217</v>
      </c>
      <c r="G178" s="52">
        <v>97.6</v>
      </c>
      <c r="H178" s="52">
        <f t="shared" si="2"/>
        <v>2.0999999999999943</v>
      </c>
    </row>
    <row r="179" spans="6:8" x14ac:dyDescent="0.55000000000000004">
      <c r="F179" s="49">
        <v>42248</v>
      </c>
      <c r="G179" s="52">
        <v>94.3</v>
      </c>
      <c r="H179" s="52">
        <f t="shared" si="2"/>
        <v>-3.2999999999999972</v>
      </c>
    </row>
    <row r="180" spans="6:8" x14ac:dyDescent="0.55000000000000004">
      <c r="F180" s="49">
        <v>42278</v>
      </c>
      <c r="G180" s="52">
        <v>97.2</v>
      </c>
      <c r="H180" s="52">
        <f t="shared" si="2"/>
        <v>2.9000000000000057</v>
      </c>
    </row>
    <row r="181" spans="6:8" x14ac:dyDescent="0.55000000000000004">
      <c r="F181" s="49">
        <v>42309</v>
      </c>
      <c r="G181" s="52">
        <v>87.6</v>
      </c>
      <c r="H181" s="52">
        <f t="shared" si="2"/>
        <v>-9.6000000000000085</v>
      </c>
    </row>
    <row r="182" spans="6:8" x14ac:dyDescent="0.55000000000000004">
      <c r="F182" s="49">
        <v>42339</v>
      </c>
      <c r="G182" s="52">
        <v>77.2</v>
      </c>
      <c r="H182" s="52">
        <f t="shared" si="2"/>
        <v>-10.399999999999991</v>
      </c>
    </row>
    <row r="183" spans="6:8" x14ac:dyDescent="0.55000000000000004">
      <c r="F183" s="49">
        <v>42370</v>
      </c>
      <c r="G183" s="52">
        <v>76.3</v>
      </c>
      <c r="H183" s="52">
        <f t="shared" si="2"/>
        <v>-0.90000000000000568</v>
      </c>
    </row>
    <row r="184" spans="6:8" x14ac:dyDescent="0.55000000000000004">
      <c r="F184" s="49">
        <v>42401</v>
      </c>
      <c r="G184" s="52">
        <v>75.8</v>
      </c>
      <c r="H184" s="52">
        <f t="shared" si="2"/>
        <v>-0.5</v>
      </c>
    </row>
    <row r="185" spans="6:8" x14ac:dyDescent="0.55000000000000004">
      <c r="F185" s="49">
        <v>42430</v>
      </c>
      <c r="G185" s="52">
        <v>83.7</v>
      </c>
      <c r="H185" s="52">
        <f t="shared" si="2"/>
        <v>7.9000000000000057</v>
      </c>
    </row>
    <row r="186" spans="6:8" x14ac:dyDescent="0.55000000000000004">
      <c r="F186" s="49">
        <v>42461</v>
      </c>
      <c r="G186" s="52">
        <v>83</v>
      </c>
      <c r="H186" s="52">
        <f t="shared" si="2"/>
        <v>-0.70000000000000284</v>
      </c>
    </row>
    <row r="187" spans="6:8" x14ac:dyDescent="0.55000000000000004">
      <c r="F187" s="49">
        <v>42491</v>
      </c>
      <c r="G187" s="52">
        <v>86.3</v>
      </c>
      <c r="H187" s="52">
        <f t="shared" si="2"/>
        <v>3.2999999999999972</v>
      </c>
    </row>
    <row r="188" spans="6:8" x14ac:dyDescent="0.55000000000000004">
      <c r="F188" s="49">
        <v>42522</v>
      </c>
      <c r="G188" s="52">
        <v>87.7</v>
      </c>
      <c r="H188" s="52">
        <f t="shared" si="2"/>
        <v>1.4000000000000057</v>
      </c>
    </row>
    <row r="189" spans="6:8" x14ac:dyDescent="0.55000000000000004">
      <c r="F189" s="49">
        <v>42552</v>
      </c>
      <c r="G189" s="52">
        <v>89.6</v>
      </c>
      <c r="H189" s="52">
        <f t="shared" si="2"/>
        <v>1.8999999999999915</v>
      </c>
    </row>
    <row r="190" spans="6:8" x14ac:dyDescent="0.55000000000000004">
      <c r="F190" s="49">
        <v>42583</v>
      </c>
      <c r="G190" s="52">
        <v>93</v>
      </c>
      <c r="H190" s="52">
        <f t="shared" si="2"/>
        <v>3.4000000000000057</v>
      </c>
    </row>
    <row r="191" spans="6:8" x14ac:dyDescent="0.55000000000000004">
      <c r="F191" s="49">
        <v>42614</v>
      </c>
      <c r="G191" s="52">
        <v>90.7</v>
      </c>
      <c r="H191" s="52">
        <f t="shared" si="2"/>
        <v>-2.2999999999999972</v>
      </c>
    </row>
    <row r="192" spans="6:8" x14ac:dyDescent="0.55000000000000004">
      <c r="F192" s="49">
        <v>42644</v>
      </c>
      <c r="G192" s="52">
        <v>90.2</v>
      </c>
      <c r="H192" s="52">
        <f t="shared" si="2"/>
        <v>-0.5</v>
      </c>
    </row>
    <row r="193" spans="6:8" x14ac:dyDescent="0.55000000000000004">
      <c r="F193" s="49">
        <v>42675</v>
      </c>
      <c r="G193" s="52">
        <v>86.5</v>
      </c>
      <c r="H193" s="52">
        <f t="shared" si="2"/>
        <v>-3.7000000000000028</v>
      </c>
    </row>
    <row r="194" spans="6:8" x14ac:dyDescent="0.55000000000000004">
      <c r="F194" s="49">
        <v>42705</v>
      </c>
      <c r="G194" s="52">
        <v>77.2</v>
      </c>
      <c r="H194" s="52">
        <f t="shared" si="2"/>
        <v>-9.2999999999999972</v>
      </c>
    </row>
    <row r="195" spans="6:8" x14ac:dyDescent="0.55000000000000004">
      <c r="F195" s="49">
        <v>42736</v>
      </c>
      <c r="G195" s="52">
        <v>77.900000000000006</v>
      </c>
      <c r="H195" s="52">
        <f t="shared" si="2"/>
        <v>0.70000000000000284</v>
      </c>
    </row>
    <row r="196" spans="6:8" x14ac:dyDescent="0.55000000000000004">
      <c r="F196" s="49">
        <v>42767</v>
      </c>
      <c r="G196" s="52">
        <v>75.900000000000006</v>
      </c>
      <c r="H196" s="52">
        <f t="shared" si="2"/>
        <v>-2</v>
      </c>
    </row>
    <row r="197" spans="6:8" x14ac:dyDescent="0.55000000000000004">
      <c r="F197" s="49">
        <v>42795</v>
      </c>
      <c r="G197" s="52">
        <v>85.4</v>
      </c>
      <c r="H197" s="52">
        <f t="shared" si="2"/>
        <v>9.5</v>
      </c>
    </row>
    <row r="198" spans="6:8" x14ac:dyDescent="0.55000000000000004">
      <c r="F198" s="49">
        <v>42826</v>
      </c>
      <c r="G198" s="52">
        <v>79.3</v>
      </c>
      <c r="H198" s="52">
        <f t="shared" si="2"/>
        <v>-6.1000000000000085</v>
      </c>
    </row>
    <row r="199" spans="6:8" x14ac:dyDescent="0.55000000000000004">
      <c r="F199" s="49">
        <v>42856</v>
      </c>
      <c r="G199" s="52">
        <v>90.1</v>
      </c>
      <c r="H199" s="52">
        <f t="shared" si="2"/>
        <v>10.799999999999997</v>
      </c>
    </row>
    <row r="200" spans="6:8" x14ac:dyDescent="0.55000000000000004">
      <c r="F200" s="49">
        <v>42887</v>
      </c>
      <c r="G200" s="52">
        <v>88.4</v>
      </c>
      <c r="H200" s="52">
        <f t="shared" si="2"/>
        <v>-1.6999999999999886</v>
      </c>
    </row>
    <row r="201" spans="6:8" x14ac:dyDescent="0.55000000000000004">
      <c r="F201" s="49">
        <v>42917</v>
      </c>
      <c r="G201" s="52">
        <v>92.1</v>
      </c>
      <c r="H201" s="52">
        <f t="shared" si="2"/>
        <v>3.6999999999999886</v>
      </c>
    </row>
    <row r="202" spans="6:8" x14ac:dyDescent="0.55000000000000004">
      <c r="F202" s="49">
        <v>42948</v>
      </c>
      <c r="G202" s="52">
        <v>96.7</v>
      </c>
      <c r="H202" s="52">
        <f t="shared" si="2"/>
        <v>4.6000000000000085</v>
      </c>
    </row>
    <row r="203" spans="6:8" x14ac:dyDescent="0.55000000000000004">
      <c r="F203" s="49">
        <v>42979</v>
      </c>
      <c r="G203" s="52">
        <v>93</v>
      </c>
      <c r="H203" s="52">
        <f t="shared" si="2"/>
        <v>-3.7000000000000028</v>
      </c>
    </row>
    <row r="204" spans="6:8" x14ac:dyDescent="0.55000000000000004">
      <c r="F204" s="49">
        <v>43009</v>
      </c>
      <c r="G204" s="52">
        <v>95.1</v>
      </c>
      <c r="H204" s="52">
        <f t="shared" si="2"/>
        <v>2.0999999999999943</v>
      </c>
    </row>
    <row r="205" spans="6:8" x14ac:dyDescent="0.55000000000000004">
      <c r="F205" s="49">
        <v>43040</v>
      </c>
      <c r="G205" s="52">
        <v>90.6</v>
      </c>
      <c r="H205" s="52">
        <f t="shared" si="2"/>
        <v>-4.5</v>
      </c>
    </row>
    <row r="206" spans="6:8" x14ac:dyDescent="0.55000000000000004">
      <c r="F206" s="49">
        <v>43070</v>
      </c>
      <c r="G206" s="52">
        <v>81</v>
      </c>
      <c r="H206" s="52">
        <f t="shared" si="2"/>
        <v>-9.5999999999999943</v>
      </c>
    </row>
    <row r="207" spans="6:8" x14ac:dyDescent="0.55000000000000004">
      <c r="F207" s="49">
        <v>43101</v>
      </c>
      <c r="G207" s="52">
        <v>82.3</v>
      </c>
      <c r="H207" s="52">
        <f t="shared" si="2"/>
        <v>1.2999999999999972</v>
      </c>
    </row>
    <row r="208" spans="6:8" x14ac:dyDescent="0.55000000000000004">
      <c r="F208" s="49">
        <v>43132</v>
      </c>
      <c r="G208" s="52">
        <v>77.3</v>
      </c>
      <c r="H208" s="52">
        <f t="shared" si="2"/>
        <v>-5</v>
      </c>
    </row>
    <row r="209" spans="6:8" x14ac:dyDescent="0.55000000000000004">
      <c r="F209" s="49">
        <v>43160</v>
      </c>
      <c r="G209" s="52">
        <v>86.2</v>
      </c>
      <c r="H209" s="52">
        <f t="shared" ref="H209:H254" si="3">G209-G208</f>
        <v>8.9000000000000057</v>
      </c>
    </row>
    <row r="210" spans="6:8" x14ac:dyDescent="0.55000000000000004">
      <c r="F210" s="49">
        <v>43191</v>
      </c>
      <c r="G210" s="52">
        <v>86.5</v>
      </c>
      <c r="H210" s="52">
        <f t="shared" si="3"/>
        <v>0.29999999999999716</v>
      </c>
    </row>
    <row r="211" spans="6:8" x14ac:dyDescent="0.55000000000000004">
      <c r="F211" s="49">
        <v>43221</v>
      </c>
      <c r="G211" s="52">
        <v>84.4</v>
      </c>
      <c r="H211" s="52">
        <f t="shared" si="3"/>
        <v>-2.0999999999999943</v>
      </c>
    </row>
    <row r="212" spans="6:8" x14ac:dyDescent="0.55000000000000004">
      <c r="F212" s="49">
        <v>43252</v>
      </c>
      <c r="G212" s="52">
        <v>91.1</v>
      </c>
      <c r="H212" s="52">
        <f t="shared" si="3"/>
        <v>6.6999999999999886</v>
      </c>
    </row>
    <row r="213" spans="6:8" x14ac:dyDescent="0.55000000000000004">
      <c r="F213" s="49">
        <v>43282</v>
      </c>
      <c r="G213" s="52">
        <v>95.8</v>
      </c>
      <c r="H213" s="52">
        <f t="shared" si="3"/>
        <v>4.7000000000000028</v>
      </c>
    </row>
    <row r="214" spans="6:8" x14ac:dyDescent="0.55000000000000004">
      <c r="F214" s="49">
        <v>43313</v>
      </c>
      <c r="G214" s="52">
        <v>98.2</v>
      </c>
      <c r="H214" s="52">
        <f t="shared" si="3"/>
        <v>2.4000000000000057</v>
      </c>
    </row>
    <row r="215" spans="6:8" x14ac:dyDescent="0.55000000000000004">
      <c r="F215" s="49">
        <v>43344</v>
      </c>
      <c r="G215" s="52">
        <v>90.7</v>
      </c>
      <c r="H215" s="52">
        <f t="shared" si="3"/>
        <v>-7.5</v>
      </c>
    </row>
    <row r="216" spans="6:8" x14ac:dyDescent="0.55000000000000004">
      <c r="F216" s="49">
        <v>43374</v>
      </c>
      <c r="G216" s="52">
        <v>95.8</v>
      </c>
      <c r="H216" s="52">
        <f t="shared" si="3"/>
        <v>5.0999999999999943</v>
      </c>
    </row>
    <row r="217" spans="6:8" x14ac:dyDescent="0.55000000000000004">
      <c r="F217" s="49">
        <v>43405</v>
      </c>
      <c r="G217" s="52">
        <v>89.5</v>
      </c>
      <c r="H217" s="52">
        <f t="shared" si="3"/>
        <v>-6.2999999999999972</v>
      </c>
    </row>
    <row r="218" spans="6:8" x14ac:dyDescent="0.55000000000000004">
      <c r="F218" s="49">
        <v>43435</v>
      </c>
      <c r="G218" s="52">
        <v>78</v>
      </c>
      <c r="H218" s="52">
        <f t="shared" si="3"/>
        <v>-11.5</v>
      </c>
    </row>
    <row r="219" spans="6:8" x14ac:dyDescent="0.55000000000000004">
      <c r="F219" s="49">
        <v>43466</v>
      </c>
      <c r="G219" s="52">
        <v>80.7</v>
      </c>
      <c r="H219" s="52">
        <f t="shared" si="3"/>
        <v>2.7000000000000028</v>
      </c>
    </row>
    <row r="220" spans="6:8" x14ac:dyDescent="0.55000000000000004">
      <c r="F220" s="49">
        <v>43497</v>
      </c>
      <c r="G220" s="52">
        <v>79.099999999999994</v>
      </c>
      <c r="H220" s="52">
        <f t="shared" si="3"/>
        <v>-1.6000000000000085</v>
      </c>
    </row>
    <row r="221" spans="6:8" x14ac:dyDescent="0.55000000000000004">
      <c r="F221" s="49">
        <v>43525</v>
      </c>
      <c r="G221" s="52">
        <v>81</v>
      </c>
      <c r="H221" s="52">
        <f t="shared" si="3"/>
        <v>1.9000000000000057</v>
      </c>
    </row>
    <row r="222" spans="6:8" x14ac:dyDescent="0.55000000000000004">
      <c r="F222" s="49">
        <v>43556</v>
      </c>
      <c r="G222" s="52">
        <v>83.3</v>
      </c>
      <c r="H222" s="52">
        <f t="shared" si="3"/>
        <v>2.2999999999999972</v>
      </c>
    </row>
    <row r="223" spans="6:8" x14ac:dyDescent="0.55000000000000004">
      <c r="F223" s="49">
        <v>43586</v>
      </c>
      <c r="G223" s="52">
        <v>91</v>
      </c>
      <c r="H223" s="52">
        <f t="shared" si="3"/>
        <v>7.7000000000000028</v>
      </c>
    </row>
    <row r="224" spans="6:8" x14ac:dyDescent="0.55000000000000004">
      <c r="F224" s="49">
        <v>43617</v>
      </c>
      <c r="G224" s="52">
        <v>85.8</v>
      </c>
      <c r="H224" s="52">
        <f t="shared" si="3"/>
        <v>-5.2000000000000028</v>
      </c>
    </row>
    <row r="225" spans="6:8" x14ac:dyDescent="0.55000000000000004">
      <c r="F225" s="49">
        <v>43647</v>
      </c>
      <c r="G225" s="52">
        <v>93.4</v>
      </c>
      <c r="H225" s="52">
        <f t="shared" si="3"/>
        <v>7.6000000000000085</v>
      </c>
    </row>
    <row r="226" spans="6:8" x14ac:dyDescent="0.55000000000000004">
      <c r="F226" s="49">
        <v>43678</v>
      </c>
      <c r="G226" s="52">
        <v>96.2</v>
      </c>
      <c r="H226" s="52">
        <f t="shared" si="3"/>
        <v>2.7999999999999972</v>
      </c>
    </row>
    <row r="227" spans="6:8" x14ac:dyDescent="0.55000000000000004">
      <c r="F227" s="49">
        <v>43709</v>
      </c>
      <c r="G227" s="52">
        <v>91.8</v>
      </c>
      <c r="H227" s="52">
        <f t="shared" si="3"/>
        <v>-4.4000000000000057</v>
      </c>
    </row>
    <row r="228" spans="6:8" x14ac:dyDescent="0.55000000000000004">
      <c r="F228" s="49">
        <v>43739</v>
      </c>
      <c r="G228" s="52">
        <v>97</v>
      </c>
      <c r="H228" s="52">
        <f t="shared" si="3"/>
        <v>5.2000000000000028</v>
      </c>
    </row>
    <row r="229" spans="6:8" x14ac:dyDescent="0.55000000000000004">
      <c r="F229" s="49">
        <v>43770</v>
      </c>
      <c r="G229" s="52">
        <v>88</v>
      </c>
      <c r="H229" s="52">
        <f t="shared" si="3"/>
        <v>-9</v>
      </c>
    </row>
    <row r="230" spans="6:8" x14ac:dyDescent="0.55000000000000004">
      <c r="F230" s="49">
        <v>43800</v>
      </c>
      <c r="G230" s="52">
        <v>76.900000000000006</v>
      </c>
      <c r="H230" s="52">
        <f t="shared" si="3"/>
        <v>-11.099999999999994</v>
      </c>
    </row>
    <row r="231" spans="6:8" x14ac:dyDescent="0.55000000000000004">
      <c r="F231" s="49">
        <v>43831</v>
      </c>
      <c r="G231" s="52">
        <v>80</v>
      </c>
      <c r="H231" s="52">
        <f t="shared" si="3"/>
        <v>3.0999999999999943</v>
      </c>
    </row>
    <row r="232" spans="6:8" x14ac:dyDescent="0.55000000000000004">
      <c r="F232" s="49">
        <v>43862</v>
      </c>
      <c r="G232" s="52">
        <v>78.900000000000006</v>
      </c>
      <c r="H232" s="52">
        <f t="shared" si="3"/>
        <v>-1.0999999999999943</v>
      </c>
    </row>
    <row r="233" spans="6:8" x14ac:dyDescent="0.55000000000000004">
      <c r="F233" s="49">
        <v>43891</v>
      </c>
      <c r="G233" s="52">
        <v>77.900000000000006</v>
      </c>
      <c r="H233" s="52">
        <f t="shared" si="3"/>
        <v>-1</v>
      </c>
    </row>
    <row r="234" spans="6:8" x14ac:dyDescent="0.55000000000000004">
      <c r="F234" s="49">
        <v>43922</v>
      </c>
      <c r="G234" s="52">
        <v>60.3</v>
      </c>
      <c r="H234" s="52">
        <f t="shared" si="3"/>
        <v>-17.600000000000009</v>
      </c>
    </row>
    <row r="235" spans="6:8" x14ac:dyDescent="0.55000000000000004">
      <c r="F235" s="49">
        <v>43952</v>
      </c>
      <c r="G235" s="52">
        <v>71.2</v>
      </c>
      <c r="H235" s="52">
        <f t="shared" si="3"/>
        <v>10.900000000000006</v>
      </c>
    </row>
    <row r="236" spans="6:8" x14ac:dyDescent="0.55000000000000004">
      <c r="F236" s="49">
        <v>43983</v>
      </c>
      <c r="G236" s="52">
        <v>78.400000000000006</v>
      </c>
      <c r="H236" s="52">
        <f t="shared" si="3"/>
        <v>7.2000000000000028</v>
      </c>
    </row>
    <row r="237" spans="6:8" x14ac:dyDescent="0.55000000000000004">
      <c r="F237" s="49">
        <v>44013</v>
      </c>
      <c r="G237" s="52">
        <v>91</v>
      </c>
      <c r="H237" s="52">
        <f t="shared" si="3"/>
        <v>12.599999999999994</v>
      </c>
    </row>
    <row r="238" spans="6:8" x14ac:dyDescent="0.55000000000000004">
      <c r="F238" s="49">
        <v>44044</v>
      </c>
      <c r="G238" s="52">
        <v>93.9</v>
      </c>
      <c r="H238" s="52">
        <f t="shared" si="3"/>
        <v>2.9000000000000057</v>
      </c>
    </row>
    <row r="239" spans="6:8" x14ac:dyDescent="0.55000000000000004">
      <c r="F239" s="49">
        <v>44075</v>
      </c>
      <c r="G239" s="52">
        <v>95.4</v>
      </c>
      <c r="H239" s="52">
        <f t="shared" si="3"/>
        <v>1.5</v>
      </c>
    </row>
    <row r="240" spans="6:8" x14ac:dyDescent="0.55000000000000004">
      <c r="F240" s="49">
        <v>44105</v>
      </c>
      <c r="G240" s="52">
        <v>97.3</v>
      </c>
      <c r="H240" s="52">
        <f t="shared" si="3"/>
        <v>1.8999999999999915</v>
      </c>
    </row>
    <row r="241" spans="6:8" x14ac:dyDescent="0.55000000000000004">
      <c r="F241" s="49">
        <v>44136</v>
      </c>
      <c r="G241" s="52">
        <v>90.2</v>
      </c>
      <c r="H241" s="52">
        <f t="shared" si="3"/>
        <v>-7.0999999999999943</v>
      </c>
    </row>
    <row r="242" spans="6:8" x14ac:dyDescent="0.55000000000000004">
      <c r="F242" s="49">
        <v>44166</v>
      </c>
      <c r="G242" s="52">
        <v>83.3</v>
      </c>
      <c r="H242" s="52">
        <f t="shared" si="3"/>
        <v>-6.9000000000000057</v>
      </c>
    </row>
    <row r="243" spans="6:8" x14ac:dyDescent="0.55000000000000004">
      <c r="F243" s="49">
        <v>44197</v>
      </c>
      <c r="G243" s="52">
        <v>81.900000000000006</v>
      </c>
      <c r="H243" s="52">
        <f t="shared" si="3"/>
        <v>-1.3999999999999915</v>
      </c>
    </row>
    <row r="244" spans="6:8" x14ac:dyDescent="0.55000000000000004">
      <c r="F244" s="49">
        <v>44228</v>
      </c>
      <c r="G244" s="52">
        <v>79.099999999999994</v>
      </c>
      <c r="H244" s="52">
        <f t="shared" si="3"/>
        <v>-2.8000000000000114</v>
      </c>
    </row>
    <row r="245" spans="6:8" x14ac:dyDescent="0.55000000000000004">
      <c r="F245" s="49">
        <v>44256</v>
      </c>
      <c r="G245" s="52">
        <v>86.1</v>
      </c>
      <c r="H245" s="52">
        <f t="shared" si="3"/>
        <v>7</v>
      </c>
    </row>
    <row r="246" spans="6:8" x14ac:dyDescent="0.55000000000000004">
      <c r="F246" s="49">
        <v>44287</v>
      </c>
      <c r="G246" s="52">
        <v>81.3</v>
      </c>
      <c r="H246" s="52">
        <f t="shared" si="3"/>
        <v>-4.7999999999999972</v>
      </c>
    </row>
    <row r="247" spans="6:8" x14ac:dyDescent="0.55000000000000004">
      <c r="F247" s="49">
        <v>44317</v>
      </c>
      <c r="G247" s="52">
        <v>88.4</v>
      </c>
      <c r="H247" s="52">
        <f t="shared" si="3"/>
        <v>7.1000000000000085</v>
      </c>
    </row>
    <row r="248" spans="6:8" x14ac:dyDescent="0.55000000000000004">
      <c r="F248" s="49">
        <v>44348</v>
      </c>
      <c r="G248" s="52">
        <v>87.9</v>
      </c>
      <c r="H248" s="52">
        <f t="shared" si="3"/>
        <v>-0.5</v>
      </c>
    </row>
    <row r="249" spans="6:8" x14ac:dyDescent="0.55000000000000004">
      <c r="F249" s="49">
        <v>44378</v>
      </c>
      <c r="G249" s="52">
        <v>92.2</v>
      </c>
      <c r="H249" s="52">
        <f t="shared" si="3"/>
        <v>4.2999999999999972</v>
      </c>
    </row>
    <row r="250" spans="6:8" x14ac:dyDescent="0.55000000000000004">
      <c r="F250" s="49">
        <v>44409</v>
      </c>
      <c r="G250" s="52">
        <v>93.4</v>
      </c>
      <c r="H250" s="52">
        <f t="shared" si="3"/>
        <v>1.2000000000000028</v>
      </c>
    </row>
    <row r="251" spans="6:8" x14ac:dyDescent="0.55000000000000004">
      <c r="F251" s="49">
        <v>44440</v>
      </c>
      <c r="G251" s="52">
        <v>91.5</v>
      </c>
      <c r="H251" s="52">
        <f t="shared" si="3"/>
        <v>-1.9000000000000057</v>
      </c>
    </row>
    <row r="252" spans="6:8" x14ac:dyDescent="0.55000000000000004">
      <c r="F252" s="49">
        <v>44470</v>
      </c>
      <c r="G252" s="52">
        <v>89.7</v>
      </c>
      <c r="H252" s="52">
        <f t="shared" si="3"/>
        <v>-1.7999999999999972</v>
      </c>
    </row>
    <row r="253" spans="6:8" x14ac:dyDescent="0.55000000000000004">
      <c r="F253" s="49">
        <v>44501</v>
      </c>
      <c r="G253" s="52">
        <v>86.3</v>
      </c>
      <c r="H253" s="52">
        <f t="shared" si="3"/>
        <v>-3.4000000000000057</v>
      </c>
    </row>
    <row r="254" spans="6:8" x14ac:dyDescent="0.55000000000000004">
      <c r="F254" s="49">
        <v>44531</v>
      </c>
      <c r="G254" s="52">
        <v>79.2</v>
      </c>
      <c r="H254" s="52">
        <f t="shared" si="3"/>
        <v>-7.0999999999999943</v>
      </c>
    </row>
  </sheetData>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8213B-E44C-4887-B9EC-C0802296A743}">
  <sheetPr codeName="Planilha60">
    <tabColor theme="9" tint="0.59999389629810485"/>
  </sheetPr>
  <dimension ref="A1:AG177"/>
  <sheetViews>
    <sheetView showGridLines="0" zoomScale="85" zoomScaleNormal="85" workbookViewId="0">
      <pane ySplit="2" topLeftCell="A3" activePane="bottomLeft" state="frozen"/>
      <selection pane="bottomLeft" activeCell="N15" sqref="N15"/>
    </sheetView>
  </sheetViews>
  <sheetFormatPr defaultColWidth="8.796875" defaultRowHeight="18" x14ac:dyDescent="0.55000000000000004"/>
  <cols>
    <col min="1" max="1" width="12.6640625" style="17" customWidth="1"/>
    <col min="2" max="2" width="45.796875" customWidth="1"/>
    <col min="4" max="4" width="12.1328125" customWidth="1"/>
    <col min="5" max="5" width="4.6640625" customWidth="1"/>
    <col min="6" max="6" width="7.6640625" bestFit="1" customWidth="1"/>
    <col min="7" max="7" width="15.1328125" bestFit="1" customWidth="1"/>
    <col min="8" max="8" width="6" bestFit="1" customWidth="1"/>
    <col min="9" max="9" width="8.6640625" bestFit="1" customWidth="1"/>
    <col min="10" max="11" width="10.796875" customWidth="1"/>
    <col min="12" max="12" width="12.796875" bestFit="1" customWidth="1"/>
    <col min="14" max="14" width="12.33203125" style="15" bestFit="1" customWidth="1"/>
    <col min="15" max="16" width="9" style="15" customWidth="1"/>
    <col min="17" max="17" width="15.6640625" style="15" bestFit="1" customWidth="1"/>
    <col min="18" max="18" width="7.6640625" style="15" bestFit="1" customWidth="1"/>
    <col min="19" max="19" width="15.6640625" style="15" bestFit="1" customWidth="1"/>
    <col min="20" max="20" width="9" style="15" bestFit="1" customWidth="1"/>
    <col min="21" max="24" width="8.796875" style="15"/>
    <col min="25" max="27" width="9.6640625" style="15" bestFit="1" customWidth="1"/>
    <col min="28" max="33" width="8.796875" style="15"/>
  </cols>
  <sheetData>
    <row r="1" spans="1:33" x14ac:dyDescent="0.55000000000000004">
      <c r="A1" s="83" t="s">
        <v>994</v>
      </c>
      <c r="N1" s="14"/>
      <c r="O1" s="14"/>
      <c r="P1" s="14"/>
      <c r="Q1" s="14"/>
      <c r="R1" s="14"/>
      <c r="S1" s="14"/>
      <c r="T1" s="14"/>
      <c r="U1" s="14"/>
      <c r="V1" s="14"/>
      <c r="W1" s="14"/>
      <c r="X1" s="14"/>
      <c r="Y1" s="14"/>
      <c r="Z1" s="14"/>
      <c r="AA1" s="14"/>
      <c r="AB1" s="14"/>
      <c r="AC1" s="14"/>
      <c r="AD1" s="14"/>
      <c r="AE1" s="14"/>
      <c r="AF1" s="14"/>
      <c r="AG1" s="14"/>
    </row>
    <row r="2" spans="1:33" x14ac:dyDescent="0.55000000000000004">
      <c r="A2" s="17" t="s">
        <v>993</v>
      </c>
      <c r="N2" s="14"/>
      <c r="O2" s="14"/>
      <c r="P2" s="14"/>
      <c r="Q2" s="14"/>
      <c r="R2" s="14"/>
      <c r="S2" s="14"/>
      <c r="T2" s="14"/>
      <c r="U2" s="14"/>
      <c r="V2" s="14"/>
      <c r="W2" s="14"/>
      <c r="X2" s="14"/>
      <c r="Y2" s="14"/>
      <c r="Z2" s="14"/>
      <c r="AA2" s="14"/>
      <c r="AB2" s="14"/>
      <c r="AC2" s="14"/>
      <c r="AD2" s="14"/>
      <c r="AE2" s="14"/>
      <c r="AF2" s="14"/>
      <c r="AG2" s="14"/>
    </row>
    <row r="3" spans="1:33" ht="14.25" x14ac:dyDescent="0.45">
      <c r="A3" t="s">
        <v>997</v>
      </c>
      <c r="N3" s="14"/>
      <c r="O3" s="14"/>
      <c r="P3" s="14"/>
      <c r="Q3" s="14"/>
      <c r="R3" s="14"/>
      <c r="S3" s="14"/>
      <c r="T3" s="14"/>
      <c r="U3" s="14"/>
      <c r="V3" s="14"/>
      <c r="W3" s="14"/>
      <c r="X3" s="14"/>
      <c r="Y3" s="14"/>
      <c r="Z3" s="14"/>
      <c r="AA3" s="14"/>
      <c r="AB3" s="14"/>
      <c r="AC3" s="14"/>
      <c r="AD3" s="14"/>
      <c r="AE3" s="14"/>
      <c r="AF3" s="14"/>
      <c r="AG3" s="14"/>
    </row>
    <row r="4" spans="1:33" ht="14.25" x14ac:dyDescent="0.45">
      <c r="A4" s="85" t="s">
        <v>996</v>
      </c>
      <c r="N4" s="14"/>
      <c r="O4" s="14"/>
      <c r="P4" s="14"/>
      <c r="Q4" s="14"/>
      <c r="R4" s="14"/>
      <c r="S4" s="14"/>
      <c r="T4" s="14"/>
      <c r="U4" s="14"/>
      <c r="V4" s="14"/>
      <c r="W4" s="14"/>
      <c r="X4" s="14"/>
      <c r="Y4" s="14"/>
      <c r="Z4" s="14"/>
      <c r="AA4" s="14"/>
      <c r="AB4" s="14"/>
      <c r="AC4" s="14"/>
      <c r="AD4" s="14"/>
      <c r="AE4" s="14"/>
      <c r="AF4" s="14"/>
      <c r="AG4" s="14"/>
    </row>
    <row r="5" spans="1:33" ht="14.25" x14ac:dyDescent="0.45">
      <c r="A5" s="85"/>
    </row>
    <row r="6" spans="1:33" ht="15.75" x14ac:dyDescent="0.5">
      <c r="A6" s="2" t="s">
        <v>15</v>
      </c>
      <c r="B6" s="2" t="s">
        <v>16</v>
      </c>
    </row>
    <row r="7" spans="1:33" ht="15.75" x14ac:dyDescent="0.45">
      <c r="A7" s="23" t="s">
        <v>2</v>
      </c>
      <c r="B7" s="26" t="s">
        <v>998</v>
      </c>
    </row>
    <row r="8" spans="1:33" ht="15.75" x14ac:dyDescent="0.45">
      <c r="A8" s="23" t="s">
        <v>812</v>
      </c>
      <c r="B8" s="26" t="s">
        <v>999</v>
      </c>
    </row>
    <row r="9" spans="1:33" ht="51" customHeight="1" x14ac:dyDescent="0.45">
      <c r="A9" s="23" t="s">
        <v>989</v>
      </c>
      <c r="B9" s="26" t="s">
        <v>1000</v>
      </c>
    </row>
    <row r="10" spans="1:33" ht="94.5" x14ac:dyDescent="0.45">
      <c r="A10" s="23" t="s">
        <v>990</v>
      </c>
      <c r="B10" s="26" t="s">
        <v>1001</v>
      </c>
    </row>
    <row r="11" spans="1:33" ht="15.75" x14ac:dyDescent="0.45">
      <c r="A11" s="23" t="s">
        <v>253</v>
      </c>
      <c r="B11" s="26" t="s">
        <v>991</v>
      </c>
    </row>
    <row r="12" spans="1:33" ht="15.75" x14ac:dyDescent="0.45">
      <c r="A12" s="23"/>
      <c r="B12" s="26"/>
    </row>
    <row r="13" spans="1:33" ht="15.75" x14ac:dyDescent="0.45">
      <c r="A13" s="23"/>
      <c r="B13" s="26"/>
    </row>
    <row r="14" spans="1:33" x14ac:dyDescent="0.55000000000000004">
      <c r="G14" s="1" t="s">
        <v>988</v>
      </c>
      <c r="H14" s="1" t="s">
        <v>992</v>
      </c>
      <c r="I14" s="1" t="s">
        <v>663</v>
      </c>
      <c r="N14" s="60" t="s">
        <v>249</v>
      </c>
      <c r="S14" s="89"/>
      <c r="V14" s="89" t="s">
        <v>250</v>
      </c>
    </row>
    <row r="15" spans="1:33" ht="18.75" customHeight="1" x14ac:dyDescent="0.55000000000000004">
      <c r="A15" s="96"/>
      <c r="D15" s="1" t="s">
        <v>17</v>
      </c>
      <c r="G15" s="122" t="s">
        <v>2</v>
      </c>
      <c r="H15" s="169" t="s">
        <v>812</v>
      </c>
      <c r="I15" s="170"/>
      <c r="J15" s="13" t="s">
        <v>989</v>
      </c>
      <c r="K15" s="13" t="s">
        <v>990</v>
      </c>
      <c r="L15" s="13" t="s">
        <v>253</v>
      </c>
      <c r="N15" s="58" t="str" cm="1">
        <f t="array" ref="N15:T177">_xlfn.LAMBDA(_xlpm.y,_xlpm.x,_xlpm.indexBreak,_xlop.return,_xlop.significance,
_xlfn.LET(
_xlpm.indexBreak, IF(OR(_xlfn.ISOMITTED(_xlpm.indexBreak), ISBLANK(_xlpm.indexBreak)), 0, _xlpm.indexBreak),
_xlpm.return, IF(OR(_xlfn.ISOMITTED(_xlpm.return), ISBLANK(_xlpm.return)), 1, _xlpm.return),
_xlpm.significance, IF(OR(_xlfn.ISOMITTED(_xlpm.significance), ISBLANK(_xlpm.significance)), 5%, _xlpm.significance),
_xlpm.k, COLUMNS(_xlpm.x),
_xlpm.N, LENGTH(_xlpm.y),
_xlpm.beforeN, _xlpm.indexBreak-1,
_xlpm.afterN, (LENGTH(_xlpm.y)-_xlpm.indexBreak+1),
_xlpm.combinedRSS, OLS_RSS(_xlpm.y,_xlpm.x),
_xlpm.beforeRSS, OLS_RSS(_xlfn.TAKE(_xlpm.y,_xlpm.beforeN),_xlfn.TAKE(_xlpm.x,_xlpm.beforeN)),
_xlpm.afterRSS, OLS_RSS(_xlfn.TAKE(_xlpm.y,-_xlpm.afterN),_xlfn.TAKE(_xlpm.x,-_xlpm.afterN)),
_xlpm.testStat, ((_xlpm.combinedRSS - (_xlpm.beforeRSS + _xlpm.afterRSS))/_xlpm.k) / ((_xlpm.beforeRSS+_xlpm.afterRSS)/(_xlpm.beforeN + _xlpm.afterN - 2*_xlpm.k)),
_xlpm.pValueStat, _xlfn.F.DIST.RT(_xlpm.testStat, _xlpm.k, _xlpm.beforeN + _xlpm.afterN - 2*_xlpm.k),
_xlpm.decision, _xlpm.pValueStat &lt;= _xlpm.significance,
_xlpm.summary, _xlfn.HSTACK(_xlpm.indexBreak, _xlpm.beforeN, _xlpm.afterN, _xlpm.beforeRSS, _xlpm.afterRSS, _xlpm.testStat, _xlpm.pValueStat),
_xlpm.final, CHOOSE(_xlpm.return, _xlpm.decision, _xlpm.testStat, _xlpm.pValueStat,
IF(_xlpm.indexBreak&lt;&gt;0, _xlpm.summary, _xlfn.LET(_xlpm.headers, _xlfn.HSTACK("Break Index","N Pre", "N Post", "RSS Pre", "RSS Post", "F-stat", "p-value"),
_xlfn.VSTACK(_xlpm.headers, _xlfn.REDUCE(SLICE(_xlfn.EXPAND({""},_xlpm.N,7,""),,,1,1,_xlfn.SEQUENCE(_xlpm.N,1)),_xlfn.SEQUENCE(_xlpm.N,1), _xlfn.LAMBDA(_xlpm.accum,_xlpm.idx, IF(OR(_xlpm.idx &lt;= _xlpm.k, _xlpm.idx &gt; _xlpm.N-_xlpm.k), _xlpm.accum, SLICE(_xlpm.accum,_xlpm.idx,_xlpm.idx,,, CHOWTEST(_xlpm.y,_xlpm.x,_xlpm.idx,_xlpm.return,_xlpm.significance) ))))
)))),
_xlpm.final
))($G$16:$G$177,$H$16:$I$177,$J$16,$K$16,$L$16)</f>
        <v>Break Index</v>
      </c>
      <c r="O15" s="53" t="str">
        <v>N Pre</v>
      </c>
      <c r="P15" s="28" t="str">
        <v>N Post</v>
      </c>
      <c r="Q15" s="15" t="str">
        <v>RSS Pre</v>
      </c>
      <c r="R15" s="53" t="str">
        <v>RSS Post</v>
      </c>
      <c r="S15" s="53" t="str">
        <v>F-stat</v>
      </c>
      <c r="T15" s="15" t="str">
        <v>p-value</v>
      </c>
      <c r="V15" s="53" t="str" cm="1">
        <f t="array" ref="V15:AB177">CHOWTEST($G$16:$G$177,$H$16:$I$177,$J$16,$K$16,$L$16)</f>
        <v>Break Index</v>
      </c>
      <c r="W15" s="15" t="str">
        <v>N Pre</v>
      </c>
      <c r="X15" s="15" t="str">
        <v>N Post</v>
      </c>
      <c r="Y15" s="15" t="str">
        <v>RSS Pre</v>
      </c>
      <c r="Z15" s="15" t="str">
        <v>RSS Post</v>
      </c>
      <c r="AA15" s="15" t="str">
        <v>F-stat</v>
      </c>
      <c r="AB15" s="15" t="str">
        <v>p-value</v>
      </c>
    </row>
    <row r="16" spans="1:33" x14ac:dyDescent="0.55000000000000004">
      <c r="F16" s="94">
        <v>1855</v>
      </c>
      <c r="G16" s="135">
        <v>3.49</v>
      </c>
      <c r="H16" s="54">
        <v>1</v>
      </c>
      <c r="I16" s="92">
        <v>1.97</v>
      </c>
      <c r="J16" s="54"/>
      <c r="K16" s="54">
        <v>4</v>
      </c>
      <c r="L16" s="134">
        <v>0.05</v>
      </c>
      <c r="N16" s="15">
        <v>1</v>
      </c>
      <c r="O16" s="15" t="str">
        <v/>
      </c>
      <c r="P16" s="15" t="str">
        <v/>
      </c>
      <c r="Q16" s="53" t="str">
        <v/>
      </c>
      <c r="R16" s="53" t="str">
        <v/>
      </c>
      <c r="S16" s="53" t="str">
        <v/>
      </c>
      <c r="T16" s="15" t="str">
        <v/>
      </c>
      <c r="V16" s="15">
        <v>1</v>
      </c>
      <c r="W16" s="15" t="str">
        <v/>
      </c>
      <c r="X16" s="15" t="str">
        <v/>
      </c>
      <c r="Y16" s="15" t="str">
        <v/>
      </c>
      <c r="Z16" s="15" t="str">
        <v/>
      </c>
      <c r="AA16" s="15" t="str">
        <v/>
      </c>
      <c r="AB16" s="15" t="str">
        <v/>
      </c>
    </row>
    <row r="17" spans="6:33" s="21" customFormat="1" ht="14.25" x14ac:dyDescent="0.45">
      <c r="F17" s="94">
        <v>1856</v>
      </c>
      <c r="G17" s="92">
        <v>3.58</v>
      </c>
      <c r="H17" s="54">
        <v>1</v>
      </c>
      <c r="I17" s="92">
        <v>0.53</v>
      </c>
      <c r="J17"/>
      <c r="K17"/>
      <c r="L17"/>
      <c r="M17"/>
      <c r="N17" s="15">
        <v>2</v>
      </c>
      <c r="O17" s="15" t="str">
        <v/>
      </c>
      <c r="P17" s="15" t="str">
        <v/>
      </c>
      <c r="Q17" s="53" t="str">
        <v/>
      </c>
      <c r="R17" s="53" t="str">
        <v/>
      </c>
      <c r="S17" s="53" t="str">
        <v/>
      </c>
      <c r="T17" s="15" t="str">
        <v/>
      </c>
      <c r="U17" s="15"/>
      <c r="V17" s="15">
        <v>2</v>
      </c>
      <c r="W17" s="15" t="str">
        <v/>
      </c>
      <c r="X17" s="15" t="str">
        <v/>
      </c>
      <c r="Y17" s="15" t="str">
        <v/>
      </c>
      <c r="Z17" s="15" t="str">
        <v/>
      </c>
      <c r="AA17" s="15" t="str">
        <v/>
      </c>
      <c r="AB17" s="15" t="str">
        <v/>
      </c>
      <c r="AC17" s="15"/>
      <c r="AD17" s="15"/>
      <c r="AE17" s="15"/>
      <c r="AF17" s="15"/>
      <c r="AG17" s="15"/>
    </row>
    <row r="18" spans="6:33" s="21" customFormat="1" ht="14.25" x14ac:dyDescent="0.45">
      <c r="F18" s="94">
        <v>1857</v>
      </c>
      <c r="G18" s="92">
        <v>5.13</v>
      </c>
      <c r="H18" s="54">
        <v>1</v>
      </c>
      <c r="I18" s="92">
        <v>-2.3199999999999998</v>
      </c>
      <c r="J18"/>
      <c r="K18"/>
      <c r="L18"/>
      <c r="M18"/>
      <c r="N18" s="15">
        <v>3</v>
      </c>
      <c r="O18" s="15">
        <v>2</v>
      </c>
      <c r="P18" s="15">
        <v>160</v>
      </c>
      <c r="Q18" s="53">
        <v>7.0997481469891062E-30</v>
      </c>
      <c r="R18" s="53">
        <v>1362.5385512810162</v>
      </c>
      <c r="S18" s="53">
        <v>0.46533824802536067</v>
      </c>
      <c r="T18" s="27">
        <v>0.62878046726115144</v>
      </c>
      <c r="U18" s="15"/>
      <c r="V18" s="15">
        <v>3</v>
      </c>
      <c r="W18" s="15">
        <v>2</v>
      </c>
      <c r="X18" s="15">
        <v>160</v>
      </c>
      <c r="Y18" s="53">
        <v>7.0997481469891062E-30</v>
      </c>
      <c r="Z18" s="53">
        <v>1362.5385512810162</v>
      </c>
      <c r="AA18" s="53">
        <v>0.46533824802536067</v>
      </c>
      <c r="AB18" s="27">
        <v>0.62878046726115144</v>
      </c>
      <c r="AC18" s="27"/>
      <c r="AD18" s="27"/>
      <c r="AE18" s="27"/>
      <c r="AF18" s="27"/>
      <c r="AG18" s="27"/>
    </row>
    <row r="19" spans="6:33" s="21" customFormat="1" ht="14.25" x14ac:dyDescent="0.45">
      <c r="F19" s="94">
        <v>1858</v>
      </c>
      <c r="G19" s="92">
        <v>3.19</v>
      </c>
      <c r="H19" s="54">
        <v>1</v>
      </c>
      <c r="I19" s="92">
        <v>-10.16</v>
      </c>
      <c r="J19"/>
      <c r="K19"/>
      <c r="L19"/>
      <c r="M19"/>
      <c r="N19" s="15">
        <v>4</v>
      </c>
      <c r="O19" s="15">
        <v>3</v>
      </c>
      <c r="P19" s="15">
        <v>159</v>
      </c>
      <c r="Q19" s="53">
        <v>0.13645359997482517</v>
      </c>
      <c r="R19" s="53">
        <v>1361.6120134183059</v>
      </c>
      <c r="S19" s="53">
        <v>0.51144390902176451</v>
      </c>
      <c r="T19" s="27">
        <v>0.60061840315962201</v>
      </c>
      <c r="U19" s="15"/>
      <c r="V19" s="15">
        <v>4</v>
      </c>
      <c r="W19" s="15">
        <v>3</v>
      </c>
      <c r="X19" s="15">
        <v>159</v>
      </c>
      <c r="Y19" s="53">
        <v>0.13645359997482517</v>
      </c>
      <c r="Z19" s="53">
        <v>1361.6120134183059</v>
      </c>
      <c r="AA19" s="53">
        <v>0.51144390902176451</v>
      </c>
      <c r="AB19" s="27">
        <v>0.60061840315962201</v>
      </c>
      <c r="AC19" s="27"/>
      <c r="AD19" s="27"/>
      <c r="AE19" s="27"/>
      <c r="AF19" s="27"/>
      <c r="AG19" s="27"/>
    </row>
    <row r="20" spans="6:33" s="21" customFormat="1" ht="14.25" x14ac:dyDescent="0.45">
      <c r="F20" s="94">
        <v>1859</v>
      </c>
      <c r="G20" s="92">
        <v>3.65</v>
      </c>
      <c r="H20" s="54">
        <v>1</v>
      </c>
      <c r="I20" s="92">
        <v>0.98</v>
      </c>
      <c r="J20"/>
      <c r="K20"/>
      <c r="L20"/>
      <c r="M20"/>
      <c r="N20" s="15">
        <v>5</v>
      </c>
      <c r="O20" s="15">
        <v>4</v>
      </c>
      <c r="P20" s="15">
        <v>158</v>
      </c>
      <c r="Q20" s="53">
        <v>2.1834685192392818</v>
      </c>
      <c r="R20" s="53">
        <v>1344.1460482517621</v>
      </c>
      <c r="S20" s="53">
        <v>1.422055302778406</v>
      </c>
      <c r="T20" s="27">
        <v>0.24428789368838466</v>
      </c>
      <c r="U20" s="15"/>
      <c r="V20" s="15">
        <v>5</v>
      </c>
      <c r="W20" s="15">
        <v>4</v>
      </c>
      <c r="X20" s="15">
        <v>158</v>
      </c>
      <c r="Y20" s="53">
        <v>2.1834685192392818</v>
      </c>
      <c r="Z20" s="53">
        <v>1344.1460482517621</v>
      </c>
      <c r="AA20" s="53">
        <v>1.422055302778406</v>
      </c>
      <c r="AB20" s="27">
        <v>0.24428789368838466</v>
      </c>
      <c r="AC20" s="27"/>
      <c r="AD20" s="27"/>
      <c r="AE20" s="27"/>
      <c r="AF20" s="27"/>
      <c r="AG20" s="27"/>
    </row>
    <row r="21" spans="6:33" s="21" customFormat="1" ht="14.25" x14ac:dyDescent="0.45">
      <c r="F21" s="94">
        <v>1860</v>
      </c>
      <c r="G21" s="92">
        <v>3.05</v>
      </c>
      <c r="H21" s="54">
        <v>1</v>
      </c>
      <c r="I21" s="92">
        <v>7.84</v>
      </c>
      <c r="J21"/>
      <c r="K21"/>
      <c r="L21"/>
      <c r="M21"/>
      <c r="N21" s="15">
        <v>6</v>
      </c>
      <c r="O21" s="15">
        <v>5</v>
      </c>
      <c r="P21" s="15">
        <v>157</v>
      </c>
      <c r="Q21" s="53">
        <v>2.2529819260700776</v>
      </c>
      <c r="R21" s="53">
        <v>1340.1262794627512</v>
      </c>
      <c r="S21" s="53">
        <v>1.6587154374687376</v>
      </c>
      <c r="T21" s="27">
        <v>0.19368117778197946</v>
      </c>
      <c r="U21" s="15"/>
      <c r="V21" s="15">
        <v>6</v>
      </c>
      <c r="W21" s="15">
        <v>5</v>
      </c>
      <c r="X21" s="15">
        <v>157</v>
      </c>
      <c r="Y21" s="53">
        <v>2.2529819260700776</v>
      </c>
      <c r="Z21" s="53">
        <v>1340.1262794627512</v>
      </c>
      <c r="AA21" s="53">
        <v>1.6587154374687376</v>
      </c>
      <c r="AB21" s="27">
        <v>0.19368117778197946</v>
      </c>
      <c r="AC21" s="27"/>
      <c r="AD21" s="27"/>
      <c r="AE21" s="27"/>
      <c r="AF21" s="27"/>
      <c r="AG21" s="27"/>
    </row>
    <row r="22" spans="6:33" s="21" customFormat="1" ht="14.25" x14ac:dyDescent="0.45">
      <c r="F22" s="94">
        <v>1861</v>
      </c>
      <c r="G22" s="92">
        <v>3.93</v>
      </c>
      <c r="H22" s="54">
        <v>1</v>
      </c>
      <c r="I22" s="92">
        <v>1.18</v>
      </c>
      <c r="J22"/>
      <c r="K22"/>
      <c r="L22"/>
      <c r="M22"/>
      <c r="N22" s="15">
        <v>7</v>
      </c>
      <c r="O22" s="15">
        <v>6</v>
      </c>
      <c r="P22" s="15">
        <v>156</v>
      </c>
      <c r="Q22" s="53">
        <v>2.7048407717369645</v>
      </c>
      <c r="R22" s="53">
        <v>1337.8736405495188</v>
      </c>
      <c r="S22" s="53">
        <v>1.7670631463563777</v>
      </c>
      <c r="T22" s="27">
        <v>0.17419319936600119</v>
      </c>
      <c r="U22" s="15"/>
      <c r="V22" s="15">
        <v>7</v>
      </c>
      <c r="W22" s="15">
        <v>6</v>
      </c>
      <c r="X22" s="15">
        <v>156</v>
      </c>
      <c r="Y22" s="53">
        <v>2.7048407717369645</v>
      </c>
      <c r="Z22" s="53">
        <v>1337.8736405495188</v>
      </c>
      <c r="AA22" s="53">
        <v>1.7670631463563777</v>
      </c>
      <c r="AB22" s="27">
        <v>0.17419319936600119</v>
      </c>
      <c r="AC22" s="27"/>
      <c r="AD22" s="27"/>
      <c r="AE22" s="27"/>
      <c r="AF22" s="27"/>
      <c r="AG22" s="27"/>
    </row>
    <row r="23" spans="6:33" s="21" customFormat="1" ht="14.25" x14ac:dyDescent="0.45">
      <c r="F23" s="94">
        <v>1862</v>
      </c>
      <c r="G23" s="92">
        <v>4.57</v>
      </c>
      <c r="H23" s="54">
        <v>1</v>
      </c>
      <c r="I23" s="92">
        <v>-0.62</v>
      </c>
      <c r="J23"/>
      <c r="K23"/>
      <c r="L23"/>
      <c r="M23"/>
      <c r="N23" s="15">
        <v>8</v>
      </c>
      <c r="O23" s="15">
        <v>7</v>
      </c>
      <c r="P23" s="15">
        <v>155</v>
      </c>
      <c r="Q23" s="53">
        <v>2.7704771759712057</v>
      </c>
      <c r="R23" s="53">
        <v>1334.9412029551793</v>
      </c>
      <c r="S23" s="53">
        <v>1.9401520983244092</v>
      </c>
      <c r="T23" s="27">
        <v>0.14708992800534326</v>
      </c>
      <c r="U23" s="15"/>
      <c r="V23" s="15">
        <v>8</v>
      </c>
      <c r="W23" s="15">
        <v>7</v>
      </c>
      <c r="X23" s="15">
        <v>155</v>
      </c>
      <c r="Y23" s="53">
        <v>2.7704771759712057</v>
      </c>
      <c r="Z23" s="53">
        <v>1334.9412029551793</v>
      </c>
      <c r="AA23" s="53">
        <v>1.9401520983244092</v>
      </c>
      <c r="AB23" s="27">
        <v>0.14708992800534326</v>
      </c>
      <c r="AC23" s="27"/>
      <c r="AD23" s="27"/>
      <c r="AE23" s="27"/>
      <c r="AF23" s="27"/>
      <c r="AG23" s="27"/>
    </row>
    <row r="24" spans="6:33" s="21" customFormat="1" ht="14.25" x14ac:dyDescent="0.45">
      <c r="F24" s="94">
        <v>1863</v>
      </c>
      <c r="G24" s="92">
        <v>2.57</v>
      </c>
      <c r="H24" s="54">
        <v>1</v>
      </c>
      <c r="I24" s="92">
        <v>-3.99</v>
      </c>
      <c r="J24"/>
      <c r="K24"/>
      <c r="L24"/>
      <c r="M24"/>
      <c r="N24" s="15">
        <v>9</v>
      </c>
      <c r="O24" s="15">
        <v>8</v>
      </c>
      <c r="P24" s="15">
        <v>154</v>
      </c>
      <c r="Q24" s="53">
        <v>3.3875101526415325</v>
      </c>
      <c r="R24" s="53">
        <v>1333.044798193511</v>
      </c>
      <c r="S24" s="53">
        <v>2.0176364169998413</v>
      </c>
      <c r="T24" s="27">
        <v>0.13638112106025679</v>
      </c>
      <c r="U24" s="15"/>
      <c r="V24" s="15">
        <v>9</v>
      </c>
      <c r="W24" s="15">
        <v>8</v>
      </c>
      <c r="X24" s="15">
        <v>154</v>
      </c>
      <c r="Y24" s="53">
        <v>3.3875101526415325</v>
      </c>
      <c r="Z24" s="53">
        <v>1333.044798193511</v>
      </c>
      <c r="AA24" s="53">
        <v>2.0176364169998413</v>
      </c>
      <c r="AB24" s="27">
        <v>0.13638112106025679</v>
      </c>
      <c r="AC24" s="27"/>
      <c r="AD24" s="27"/>
      <c r="AE24" s="27"/>
      <c r="AF24" s="27"/>
      <c r="AG24" s="27"/>
    </row>
    <row r="25" spans="6:33" s="21" customFormat="1" ht="14.25" x14ac:dyDescent="0.45">
      <c r="F25" s="94">
        <v>1864</v>
      </c>
      <c r="G25" s="92">
        <v>3.8</v>
      </c>
      <c r="H25" s="54">
        <v>1</v>
      </c>
      <c r="I25" s="92">
        <v>-1.1499999999999999</v>
      </c>
      <c r="J25"/>
      <c r="K25"/>
      <c r="L25"/>
      <c r="M25"/>
      <c r="N25" s="15">
        <v>10</v>
      </c>
      <c r="O25" s="15">
        <v>9</v>
      </c>
      <c r="P25" s="15">
        <v>153</v>
      </c>
      <c r="Q25" s="53">
        <v>4.8721357388617923</v>
      </c>
      <c r="R25" s="53">
        <v>1317.3035357178433</v>
      </c>
      <c r="S25" s="53">
        <v>2.8912260987445366</v>
      </c>
      <c r="T25" s="27">
        <v>5.8450428868735416E-2</v>
      </c>
      <c r="U25" s="15"/>
      <c r="V25" s="15">
        <v>10</v>
      </c>
      <c r="W25" s="15">
        <v>9</v>
      </c>
      <c r="X25" s="15">
        <v>153</v>
      </c>
      <c r="Y25" s="53">
        <v>4.8721357388617923</v>
      </c>
      <c r="Z25" s="53">
        <v>1317.3035357178433</v>
      </c>
      <c r="AA25" s="53">
        <v>2.8912260987445366</v>
      </c>
      <c r="AB25" s="27">
        <v>5.8450428868735416E-2</v>
      </c>
      <c r="AC25" s="27"/>
      <c r="AD25" s="27"/>
      <c r="AE25" s="27"/>
      <c r="AF25" s="27"/>
      <c r="AG25" s="27"/>
    </row>
    <row r="26" spans="6:33" s="21" customFormat="1" ht="14.25" x14ac:dyDescent="0.45">
      <c r="F26" s="94">
        <v>1865</v>
      </c>
      <c r="G26" s="92">
        <v>2.87</v>
      </c>
      <c r="H26" s="54">
        <v>1</v>
      </c>
      <c r="I26" s="92">
        <v>1.74</v>
      </c>
      <c r="J26"/>
      <c r="K26"/>
      <c r="L26"/>
      <c r="M26"/>
      <c r="N26" s="15">
        <v>11</v>
      </c>
      <c r="O26" s="15">
        <v>10</v>
      </c>
      <c r="P26" s="15">
        <v>152</v>
      </c>
      <c r="Q26" s="53">
        <v>4.8844185950126668</v>
      </c>
      <c r="R26" s="53">
        <v>1312.0026836576817</v>
      </c>
      <c r="S26" s="53">
        <v>3.2200981908803343</v>
      </c>
      <c r="T26" s="27">
        <v>4.2587183125819106E-2</v>
      </c>
      <c r="U26" s="15"/>
      <c r="V26" s="15">
        <v>11</v>
      </c>
      <c r="W26" s="15">
        <v>10</v>
      </c>
      <c r="X26" s="15">
        <v>152</v>
      </c>
      <c r="Y26" s="53">
        <v>4.8844185950126668</v>
      </c>
      <c r="Z26" s="53">
        <v>1312.0026836576817</v>
      </c>
      <c r="AA26" s="53">
        <v>3.2200981908803343</v>
      </c>
      <c r="AB26" s="27">
        <v>4.2587183125819106E-2</v>
      </c>
      <c r="AC26" s="27"/>
      <c r="AD26" s="27"/>
      <c r="AE26" s="27"/>
      <c r="AF26" s="27"/>
      <c r="AG26" s="27"/>
    </row>
    <row r="27" spans="6:33" s="21" customFormat="1" ht="14.25" x14ac:dyDescent="0.45">
      <c r="F27" s="94">
        <v>1866</v>
      </c>
      <c r="G27" s="92">
        <v>3.67</v>
      </c>
      <c r="H27" s="54">
        <v>1</v>
      </c>
      <c r="I27" s="92">
        <v>6.35</v>
      </c>
      <c r="J27"/>
      <c r="K27"/>
      <c r="L27"/>
      <c r="M27"/>
      <c r="N27" s="15">
        <v>12</v>
      </c>
      <c r="O27" s="15">
        <v>11</v>
      </c>
      <c r="P27" s="15">
        <v>151</v>
      </c>
      <c r="Q27" s="53">
        <v>5.495377623321076</v>
      </c>
      <c r="R27" s="53">
        <v>1304.3920157856887</v>
      </c>
      <c r="S27" s="53">
        <v>3.6594617203952873</v>
      </c>
      <c r="T27" s="27">
        <v>2.79529056690897E-2</v>
      </c>
      <c r="U27" s="15"/>
      <c r="V27" s="15">
        <v>12</v>
      </c>
      <c r="W27" s="15">
        <v>11</v>
      </c>
      <c r="X27" s="15">
        <v>151</v>
      </c>
      <c r="Y27" s="53">
        <v>5.495377623321076</v>
      </c>
      <c r="Z27" s="53">
        <v>1304.3920157856887</v>
      </c>
      <c r="AA27" s="53">
        <v>3.6594617203952873</v>
      </c>
      <c r="AB27" s="27">
        <v>2.79529056690897E-2</v>
      </c>
      <c r="AC27" s="27"/>
      <c r="AD27" s="27"/>
      <c r="AE27" s="27"/>
      <c r="AF27" s="27"/>
      <c r="AG27" s="27"/>
    </row>
    <row r="28" spans="6:33" s="21" customFormat="1" ht="14.25" x14ac:dyDescent="0.45">
      <c r="F28" s="94">
        <v>1867</v>
      </c>
      <c r="G28" s="92">
        <v>4.55</v>
      </c>
      <c r="H28" s="54">
        <v>1</v>
      </c>
      <c r="I28" s="92">
        <v>5.3</v>
      </c>
      <c r="J28"/>
      <c r="K28"/>
      <c r="L28"/>
      <c r="M28"/>
      <c r="N28" s="15">
        <v>13</v>
      </c>
      <c r="O28" s="15">
        <v>12</v>
      </c>
      <c r="P28" s="15">
        <v>150</v>
      </c>
      <c r="Q28" s="53">
        <v>5.5024794831729169</v>
      </c>
      <c r="R28" s="53">
        <v>1302.9992959217966</v>
      </c>
      <c r="S28" s="53">
        <v>3.7469926970564433</v>
      </c>
      <c r="T28" s="27">
        <v>2.5710759710508846E-2</v>
      </c>
      <c r="U28" s="15"/>
      <c r="V28" s="15">
        <v>13</v>
      </c>
      <c r="W28" s="15">
        <v>12</v>
      </c>
      <c r="X28" s="15">
        <v>150</v>
      </c>
      <c r="Y28" s="53">
        <v>5.5024794831729169</v>
      </c>
      <c r="Z28" s="53">
        <v>1302.9992959217966</v>
      </c>
      <c r="AA28" s="53">
        <v>3.7469926970564433</v>
      </c>
      <c r="AB28" s="27">
        <v>2.5710759710508846E-2</v>
      </c>
      <c r="AC28" s="27"/>
      <c r="AD28" s="27"/>
      <c r="AE28" s="27"/>
      <c r="AF28" s="27"/>
      <c r="AG28" s="27"/>
    </row>
    <row r="29" spans="6:33" s="21" customFormat="1" ht="14.25" x14ac:dyDescent="0.45">
      <c r="F29" s="94">
        <v>1868</v>
      </c>
      <c r="G29" s="92">
        <v>3.2</v>
      </c>
      <c r="H29" s="54">
        <v>1</v>
      </c>
      <c r="I29" s="92">
        <v>-2.99</v>
      </c>
      <c r="J29"/>
      <c r="K29"/>
      <c r="L29"/>
      <c r="M29"/>
      <c r="N29" s="15">
        <v>14</v>
      </c>
      <c r="O29" s="15">
        <v>13</v>
      </c>
      <c r="P29" s="15">
        <v>149</v>
      </c>
      <c r="Q29" s="53">
        <v>6.2564348325906902</v>
      </c>
      <c r="R29" s="53">
        <v>1302.7619604550937</v>
      </c>
      <c r="S29" s="53">
        <v>3.7143355993288245</v>
      </c>
      <c r="T29" s="27">
        <v>2.6525168209867611E-2</v>
      </c>
      <c r="U29" s="15"/>
      <c r="V29" s="15">
        <v>14</v>
      </c>
      <c r="W29" s="15">
        <v>13</v>
      </c>
      <c r="X29" s="15">
        <v>149</v>
      </c>
      <c r="Y29" s="53">
        <v>6.2564348325906902</v>
      </c>
      <c r="Z29" s="53">
        <v>1302.7619604550937</v>
      </c>
      <c r="AA29" s="53">
        <v>3.7143355993288245</v>
      </c>
      <c r="AB29" s="27">
        <v>2.6525168209867611E-2</v>
      </c>
      <c r="AC29" s="27"/>
      <c r="AD29" s="27"/>
      <c r="AE29" s="27"/>
      <c r="AF29" s="27"/>
      <c r="AG29" s="27"/>
    </row>
    <row r="30" spans="6:33" s="21" customFormat="1" ht="14.25" x14ac:dyDescent="0.45">
      <c r="F30" s="94">
        <v>1869</v>
      </c>
      <c r="G30" s="92">
        <v>3.87</v>
      </c>
      <c r="H30" s="54">
        <v>1</v>
      </c>
      <c r="I30" s="92">
        <v>-6.57</v>
      </c>
      <c r="J30"/>
      <c r="K30"/>
      <c r="L30"/>
      <c r="M30"/>
      <c r="N30" s="15">
        <v>15</v>
      </c>
      <c r="O30" s="15">
        <v>14</v>
      </c>
      <c r="P30" s="15">
        <v>148</v>
      </c>
      <c r="Q30" s="53">
        <v>6.4373914308092353</v>
      </c>
      <c r="R30" s="53">
        <v>1291.9958569232356</v>
      </c>
      <c r="S30" s="53">
        <v>4.3886431903791578</v>
      </c>
      <c r="T30" s="27">
        <v>1.3966722920637609E-2</v>
      </c>
      <c r="U30" s="15"/>
      <c r="V30" s="15">
        <v>15</v>
      </c>
      <c r="W30" s="15">
        <v>14</v>
      </c>
      <c r="X30" s="15">
        <v>148</v>
      </c>
      <c r="Y30" s="53">
        <v>6.4373914308092353</v>
      </c>
      <c r="Z30" s="53">
        <v>1291.9958569232356</v>
      </c>
      <c r="AA30" s="53">
        <v>4.3886431903791578</v>
      </c>
      <c r="AB30" s="27">
        <v>1.3966722920637609E-2</v>
      </c>
      <c r="AC30" s="27"/>
      <c r="AD30" s="27"/>
      <c r="AE30" s="27"/>
      <c r="AF30" s="27"/>
      <c r="AG30" s="27"/>
    </row>
    <row r="31" spans="6:33" s="21" customFormat="1" ht="14.25" x14ac:dyDescent="0.45">
      <c r="F31" s="94">
        <v>1870</v>
      </c>
      <c r="G31" s="92">
        <v>4.03</v>
      </c>
      <c r="H31" s="54">
        <v>1</v>
      </c>
      <c r="I31" s="92">
        <v>0.42</v>
      </c>
      <c r="J31"/>
      <c r="K31"/>
      <c r="L31"/>
      <c r="M31"/>
      <c r="N31" s="15">
        <v>16</v>
      </c>
      <c r="O31" s="15">
        <v>15</v>
      </c>
      <c r="P31" s="15">
        <v>147</v>
      </c>
      <c r="Q31" s="53">
        <v>6.5266922222434047</v>
      </c>
      <c r="R31" s="53">
        <v>1281.054755155983</v>
      </c>
      <c r="S31" s="53">
        <v>5.0914468548682041</v>
      </c>
      <c r="T31" s="27">
        <v>7.1969095567178121E-3</v>
      </c>
      <c r="U31" s="15"/>
      <c r="V31" s="15">
        <v>16</v>
      </c>
      <c r="W31" s="15">
        <v>15</v>
      </c>
      <c r="X31" s="15">
        <v>147</v>
      </c>
      <c r="Y31" s="53">
        <v>6.5266922222434047</v>
      </c>
      <c r="Z31" s="53">
        <v>1281.054755155983</v>
      </c>
      <c r="AA31" s="53">
        <v>5.0914468548682041</v>
      </c>
      <c r="AB31" s="27">
        <v>7.1969095567178121E-3</v>
      </c>
      <c r="AC31" s="27"/>
      <c r="AD31" s="27"/>
      <c r="AE31" s="27"/>
      <c r="AF31" s="27"/>
      <c r="AG31" s="27"/>
    </row>
    <row r="32" spans="6:33" s="21" customFormat="1" ht="14.25" x14ac:dyDescent="0.45">
      <c r="F32" s="94">
        <v>1871</v>
      </c>
      <c r="G32" s="92">
        <v>2.65</v>
      </c>
      <c r="H32" s="54">
        <v>1</v>
      </c>
      <c r="I32" s="92">
        <v>2.8</v>
      </c>
      <c r="J32"/>
      <c r="K32"/>
      <c r="L32"/>
      <c r="M32"/>
      <c r="N32" s="15">
        <v>17</v>
      </c>
      <c r="O32" s="15">
        <v>16</v>
      </c>
      <c r="P32" s="15">
        <v>146</v>
      </c>
      <c r="Q32" s="53">
        <v>6.6408999829549717</v>
      </c>
      <c r="R32" s="53">
        <v>1277.3420840893821</v>
      </c>
      <c r="S32" s="53">
        <v>5.3271197489798068</v>
      </c>
      <c r="T32" s="27">
        <v>5.7693398545901609E-3</v>
      </c>
      <c r="U32" s="15"/>
      <c r="V32" s="15">
        <v>17</v>
      </c>
      <c r="W32" s="15">
        <v>16</v>
      </c>
      <c r="X32" s="15">
        <v>146</v>
      </c>
      <c r="Y32" s="53">
        <v>6.6408999829549717</v>
      </c>
      <c r="Z32" s="53">
        <v>1277.3420840893821</v>
      </c>
      <c r="AA32" s="53">
        <v>5.3271197489798068</v>
      </c>
      <c r="AB32" s="27">
        <v>5.7693398545901609E-3</v>
      </c>
      <c r="AC32" s="27"/>
      <c r="AD32" s="27"/>
      <c r="AE32" s="27"/>
      <c r="AF32" s="27"/>
      <c r="AG32" s="27"/>
    </row>
    <row r="33" spans="6:33" s="21" customFormat="1" ht="14.25" x14ac:dyDescent="0.45">
      <c r="F33" s="94">
        <v>1872</v>
      </c>
      <c r="G33" s="92">
        <v>2.48</v>
      </c>
      <c r="H33" s="54">
        <v>1</v>
      </c>
      <c r="I33" s="92">
        <v>4.22</v>
      </c>
      <c r="J33"/>
      <c r="K33"/>
      <c r="L33"/>
      <c r="M33"/>
      <c r="N33" s="15">
        <v>18</v>
      </c>
      <c r="O33" s="15">
        <v>17</v>
      </c>
      <c r="P33" s="15">
        <v>145</v>
      </c>
      <c r="Q33" s="53">
        <v>7.7141410075752379</v>
      </c>
      <c r="R33" s="53">
        <v>1268.9999266721923</v>
      </c>
      <c r="S33" s="53">
        <v>5.8072325624898085</v>
      </c>
      <c r="T33" s="27">
        <v>3.6841879966064139E-3</v>
      </c>
      <c r="U33" s="15"/>
      <c r="V33" s="15">
        <v>18</v>
      </c>
      <c r="W33" s="15">
        <v>17</v>
      </c>
      <c r="X33" s="15">
        <v>145</v>
      </c>
      <c r="Y33" s="53">
        <v>7.7141410075752379</v>
      </c>
      <c r="Z33" s="53">
        <v>1268.9999266721923</v>
      </c>
      <c r="AA33" s="53">
        <v>5.8072325624898085</v>
      </c>
      <c r="AB33" s="27">
        <v>3.6841879966064139E-3</v>
      </c>
      <c r="AC33" s="27"/>
      <c r="AD33" s="27"/>
      <c r="AE33" s="27"/>
      <c r="AF33" s="27"/>
      <c r="AG33" s="27"/>
    </row>
    <row r="34" spans="6:33" s="21" customFormat="1" ht="14.25" x14ac:dyDescent="0.45">
      <c r="F34" s="94">
        <v>1873</v>
      </c>
      <c r="G34" s="92">
        <v>2.36</v>
      </c>
      <c r="H34" s="54">
        <v>1</v>
      </c>
      <c r="I34" s="92">
        <v>0.78</v>
      </c>
      <c r="J34"/>
      <c r="K34"/>
      <c r="L34"/>
      <c r="M34"/>
      <c r="N34" s="15">
        <v>19</v>
      </c>
      <c r="O34" s="15">
        <v>18</v>
      </c>
      <c r="P34" s="15">
        <v>144</v>
      </c>
      <c r="Q34" s="53">
        <v>8.9388217025163481</v>
      </c>
      <c r="R34" s="53">
        <v>1261.0619724946939</v>
      </c>
      <c r="S34" s="53">
        <v>6.2555268848966818</v>
      </c>
      <c r="T34" s="27">
        <v>2.4291779912283262E-3</v>
      </c>
      <c r="U34" s="15"/>
      <c r="V34" s="15">
        <v>19</v>
      </c>
      <c r="W34" s="15">
        <v>18</v>
      </c>
      <c r="X34" s="15">
        <v>144</v>
      </c>
      <c r="Y34" s="53">
        <v>8.9388217025163481</v>
      </c>
      <c r="Z34" s="53">
        <v>1261.0619724946939</v>
      </c>
      <c r="AA34" s="53">
        <v>6.2555268848966818</v>
      </c>
      <c r="AB34" s="27">
        <v>2.4291779912283262E-3</v>
      </c>
      <c r="AC34" s="27"/>
      <c r="AD34" s="27"/>
      <c r="AE34" s="27"/>
      <c r="AF34" s="27"/>
      <c r="AG34" s="27"/>
    </row>
    <row r="35" spans="6:33" s="21" customFormat="1" ht="14.25" x14ac:dyDescent="0.45">
      <c r="F35" s="94">
        <v>1874</v>
      </c>
      <c r="G35" s="92">
        <v>3.03</v>
      </c>
      <c r="H35" s="54">
        <v>1</v>
      </c>
      <c r="I35" s="92">
        <v>-4.54</v>
      </c>
      <c r="J35"/>
      <c r="K35"/>
      <c r="L35"/>
      <c r="M35"/>
      <c r="N35" s="15">
        <v>20</v>
      </c>
      <c r="O35" s="15">
        <v>19</v>
      </c>
      <c r="P35" s="15">
        <v>143</v>
      </c>
      <c r="Q35" s="53">
        <v>10.316091836772372</v>
      </c>
      <c r="R35" s="53">
        <v>1248.158602260899</v>
      </c>
      <c r="S35" s="53">
        <v>7.0363639899437809</v>
      </c>
      <c r="T35" s="27">
        <v>1.1821113860903676E-3</v>
      </c>
      <c r="U35" s="15"/>
      <c r="V35" s="15">
        <v>20</v>
      </c>
      <c r="W35" s="15">
        <v>19</v>
      </c>
      <c r="X35" s="15">
        <v>143</v>
      </c>
      <c r="Y35" s="53">
        <v>10.316091836772372</v>
      </c>
      <c r="Z35" s="53">
        <v>1248.158602260899</v>
      </c>
      <c r="AA35" s="53">
        <v>7.0363639899437809</v>
      </c>
      <c r="AB35" s="27">
        <v>1.1821113860903676E-3</v>
      </c>
      <c r="AC35" s="27"/>
      <c r="AD35" s="27"/>
      <c r="AE35" s="27"/>
      <c r="AF35" s="27"/>
      <c r="AG35" s="27"/>
    </row>
    <row r="36" spans="6:33" s="21" customFormat="1" ht="14.25" x14ac:dyDescent="0.45">
      <c r="F36" s="94">
        <v>1875</v>
      </c>
      <c r="G36" s="92">
        <v>3.46</v>
      </c>
      <c r="H36" s="54">
        <v>1</v>
      </c>
      <c r="I36" s="92">
        <v>-1.49</v>
      </c>
      <c r="J36"/>
      <c r="K36"/>
      <c r="L36"/>
      <c r="M36"/>
      <c r="N36" s="15">
        <v>21</v>
      </c>
      <c r="O36" s="15">
        <v>20</v>
      </c>
      <c r="P36" s="15">
        <v>142</v>
      </c>
      <c r="Q36" s="53">
        <v>10.572782233570686</v>
      </c>
      <c r="R36" s="53">
        <v>1232.4669989299521</v>
      </c>
      <c r="S36" s="53">
        <v>8.1046836105053046</v>
      </c>
      <c r="T36" s="27">
        <v>4.4592427088963049E-4</v>
      </c>
      <c r="U36" s="15"/>
      <c r="V36" s="15">
        <v>21</v>
      </c>
      <c r="W36" s="15">
        <v>20</v>
      </c>
      <c r="X36" s="15">
        <v>142</v>
      </c>
      <c r="Y36" s="53">
        <v>10.572782233570686</v>
      </c>
      <c r="Z36" s="53">
        <v>1232.4669989299521</v>
      </c>
      <c r="AA36" s="53">
        <v>8.1046836105053046</v>
      </c>
      <c r="AB36" s="27">
        <v>4.4592427088963049E-4</v>
      </c>
      <c r="AC36" s="27"/>
      <c r="AD36" s="27"/>
      <c r="AE36" s="27"/>
      <c r="AF36" s="27"/>
      <c r="AG36" s="27"/>
    </row>
    <row r="37" spans="6:33" s="21" customFormat="1" ht="14.25" x14ac:dyDescent="0.45">
      <c r="F37" s="94">
        <v>1876</v>
      </c>
      <c r="G37" s="92">
        <v>5.04</v>
      </c>
      <c r="H37" s="54">
        <v>1</v>
      </c>
      <c r="I37" s="92">
        <v>0.21</v>
      </c>
      <c r="J37"/>
      <c r="K37"/>
      <c r="L37"/>
      <c r="M37"/>
      <c r="N37" s="15">
        <v>22</v>
      </c>
      <c r="O37" s="15">
        <v>21</v>
      </c>
      <c r="P37" s="15">
        <v>141</v>
      </c>
      <c r="Q37" s="53">
        <v>10.573748707352113</v>
      </c>
      <c r="R37" s="53">
        <v>1223.4370562372576</v>
      </c>
      <c r="S37" s="53">
        <v>8.7420087568685965</v>
      </c>
      <c r="T37" s="27">
        <v>2.5069285402345987E-4</v>
      </c>
      <c r="U37" s="15"/>
      <c r="V37" s="15">
        <v>22</v>
      </c>
      <c r="W37" s="15">
        <v>21</v>
      </c>
      <c r="X37" s="15">
        <v>141</v>
      </c>
      <c r="Y37" s="53">
        <v>10.573748707352113</v>
      </c>
      <c r="Z37" s="53">
        <v>1223.4370562372576</v>
      </c>
      <c r="AA37" s="53">
        <v>8.7420087568685965</v>
      </c>
      <c r="AB37" s="27">
        <v>2.5069285402345987E-4</v>
      </c>
      <c r="AC37" s="27"/>
      <c r="AD37" s="27"/>
      <c r="AE37" s="27"/>
      <c r="AF37" s="27"/>
      <c r="AG37" s="27"/>
    </row>
    <row r="38" spans="6:33" s="21" customFormat="1" ht="14.25" x14ac:dyDescent="0.45">
      <c r="F38" s="94">
        <v>1877</v>
      </c>
      <c r="G38" s="92">
        <v>7.06</v>
      </c>
      <c r="H38" s="54">
        <v>1</v>
      </c>
      <c r="I38" s="92">
        <v>-7.0000000000000007E-2</v>
      </c>
      <c r="J38"/>
      <c r="K38"/>
      <c r="L38"/>
      <c r="M38"/>
      <c r="N38" s="15">
        <v>23</v>
      </c>
      <c r="O38" s="15">
        <v>22</v>
      </c>
      <c r="P38" s="15">
        <v>140</v>
      </c>
      <c r="Q38" s="53">
        <v>12.892470328893056</v>
      </c>
      <c r="R38" s="53">
        <v>1222.1895862257595</v>
      </c>
      <c r="S38" s="53">
        <v>8.6659054990725917</v>
      </c>
      <c r="T38" s="27">
        <v>2.6848071533414064E-4</v>
      </c>
      <c r="U38" s="15"/>
      <c r="V38" s="15">
        <v>23</v>
      </c>
      <c r="W38" s="15">
        <v>22</v>
      </c>
      <c r="X38" s="15">
        <v>140</v>
      </c>
      <c r="Y38" s="53">
        <v>12.892470328893056</v>
      </c>
      <c r="Z38" s="53">
        <v>1222.1895862257595</v>
      </c>
      <c r="AA38" s="53">
        <v>8.6659054990725917</v>
      </c>
      <c r="AB38" s="27">
        <v>2.6848071533414064E-4</v>
      </c>
      <c r="AC38" s="27"/>
      <c r="AD38" s="27"/>
      <c r="AE38" s="27"/>
      <c r="AF38" s="27"/>
      <c r="AG38" s="27"/>
    </row>
    <row r="39" spans="6:33" s="21" customFormat="1" ht="14.25" x14ac:dyDescent="0.45">
      <c r="F39" s="94">
        <v>1878</v>
      </c>
      <c r="G39" s="92">
        <v>6.43</v>
      </c>
      <c r="H39" s="54">
        <v>1</v>
      </c>
      <c r="I39" s="92">
        <v>-3.03</v>
      </c>
      <c r="J39"/>
      <c r="K39"/>
      <c r="L39"/>
      <c r="M39"/>
      <c r="N39" s="15">
        <v>24</v>
      </c>
      <c r="O39" s="15">
        <v>23</v>
      </c>
      <c r="P39" s="15">
        <v>139</v>
      </c>
      <c r="Q39" s="53">
        <v>24.652554547986099</v>
      </c>
      <c r="R39" s="53">
        <v>1221.4718055526773</v>
      </c>
      <c r="S39" s="53">
        <v>7.8890700802718099</v>
      </c>
      <c r="T39" s="27">
        <v>5.4236720335631983E-4</v>
      </c>
      <c r="U39" s="15"/>
      <c r="V39" s="15">
        <v>24</v>
      </c>
      <c r="W39" s="15">
        <v>23</v>
      </c>
      <c r="X39" s="15">
        <v>139</v>
      </c>
      <c r="Y39" s="53">
        <v>24.652554547986099</v>
      </c>
      <c r="Z39" s="53">
        <v>1221.4718055526773</v>
      </c>
      <c r="AA39" s="53">
        <v>7.8890700802718099</v>
      </c>
      <c r="AB39" s="27">
        <v>5.4236720335631983E-4</v>
      </c>
      <c r="AC39" s="27"/>
      <c r="AD39" s="27"/>
      <c r="AE39" s="27"/>
      <c r="AF39" s="27"/>
      <c r="AG39" s="27"/>
    </row>
    <row r="40" spans="6:33" s="21" customFormat="1" ht="14.25" x14ac:dyDescent="0.45">
      <c r="F40" s="94">
        <v>1879</v>
      </c>
      <c r="G40" s="92">
        <v>5.31</v>
      </c>
      <c r="H40" s="54">
        <v>1</v>
      </c>
      <c r="I40" s="92">
        <v>-4.47</v>
      </c>
      <c r="J40"/>
      <c r="K40"/>
      <c r="L40"/>
      <c r="M40"/>
      <c r="N40" s="15">
        <v>25</v>
      </c>
      <c r="O40" s="15">
        <v>24</v>
      </c>
      <c r="P40" s="15">
        <v>138</v>
      </c>
      <c r="Q40" s="53">
        <v>31.515189400896475</v>
      </c>
      <c r="R40" s="53">
        <v>1221.3427854595961</v>
      </c>
      <c r="S40" s="53">
        <v>7.422075786824065</v>
      </c>
      <c r="T40" s="27">
        <v>8.3021280174400136E-4</v>
      </c>
      <c r="U40" s="15"/>
      <c r="V40" s="15">
        <v>25</v>
      </c>
      <c r="W40" s="15">
        <v>24</v>
      </c>
      <c r="X40" s="15">
        <v>138</v>
      </c>
      <c r="Y40" s="53">
        <v>31.515189400896475</v>
      </c>
      <c r="Z40" s="53">
        <v>1221.3427854595961</v>
      </c>
      <c r="AA40" s="53">
        <v>7.422075786824065</v>
      </c>
      <c r="AB40" s="27">
        <v>8.3021280174400136E-4</v>
      </c>
      <c r="AC40" s="27"/>
      <c r="AD40" s="27"/>
      <c r="AE40" s="27"/>
      <c r="AF40" s="27"/>
      <c r="AG40" s="27"/>
    </row>
    <row r="41" spans="6:33" s="21" customFormat="1" ht="14.25" x14ac:dyDescent="0.45">
      <c r="F41" s="94">
        <v>1880</v>
      </c>
      <c r="G41" s="92">
        <v>5.31</v>
      </c>
      <c r="H41" s="54">
        <v>1</v>
      </c>
      <c r="I41" s="92">
        <v>2.0099999999999998</v>
      </c>
      <c r="J41"/>
      <c r="K41"/>
      <c r="L41"/>
      <c r="M41"/>
      <c r="N41" s="15">
        <v>26</v>
      </c>
      <c r="O41" s="15">
        <v>25</v>
      </c>
      <c r="P41" s="15">
        <v>137</v>
      </c>
      <c r="Q41" s="53">
        <v>33.24878807196221</v>
      </c>
      <c r="R41" s="53">
        <v>1218.1638445008148</v>
      </c>
      <c r="S41" s="53">
        <v>7.5218905701142456</v>
      </c>
      <c r="T41" s="27">
        <v>7.5785508550907377E-4</v>
      </c>
      <c r="U41" s="15"/>
      <c r="V41" s="15">
        <v>26</v>
      </c>
      <c r="W41" s="15">
        <v>25</v>
      </c>
      <c r="X41" s="15">
        <v>137</v>
      </c>
      <c r="Y41" s="53">
        <v>33.24878807196221</v>
      </c>
      <c r="Z41" s="53">
        <v>1218.1638445008148</v>
      </c>
      <c r="AA41" s="53">
        <v>7.5218905701142456</v>
      </c>
      <c r="AB41" s="27">
        <v>7.5785508550907377E-4</v>
      </c>
      <c r="AC41" s="27"/>
      <c r="AD41" s="27"/>
      <c r="AE41" s="27"/>
      <c r="AF41" s="27"/>
      <c r="AG41" s="27"/>
    </row>
    <row r="42" spans="6:33" s="21" customFormat="1" ht="14.25" x14ac:dyDescent="0.45">
      <c r="F42" s="94">
        <v>1881</v>
      </c>
      <c r="G42" s="92">
        <v>4.34</v>
      </c>
      <c r="H42" s="54">
        <v>1</v>
      </c>
      <c r="I42" s="92">
        <v>-1.24</v>
      </c>
      <c r="J42"/>
      <c r="K42"/>
      <c r="L42"/>
      <c r="M42"/>
      <c r="N42" s="15">
        <v>27</v>
      </c>
      <c r="O42" s="15">
        <v>26</v>
      </c>
      <c r="P42" s="15">
        <v>136</v>
      </c>
      <c r="Q42" s="53">
        <v>35.456830220168065</v>
      </c>
      <c r="R42" s="53">
        <v>1217.8981123940046</v>
      </c>
      <c r="S42" s="53">
        <v>7.3878085705616314</v>
      </c>
      <c r="T42" s="27">
        <v>8.5663554219228555E-4</v>
      </c>
      <c r="U42" s="15"/>
      <c r="V42" s="15">
        <v>27</v>
      </c>
      <c r="W42" s="15">
        <v>26</v>
      </c>
      <c r="X42" s="15">
        <v>136</v>
      </c>
      <c r="Y42" s="53">
        <v>35.456830220168065</v>
      </c>
      <c r="Z42" s="53">
        <v>1217.8981123940046</v>
      </c>
      <c r="AA42" s="53">
        <v>7.3878085705616314</v>
      </c>
      <c r="AB42" s="27">
        <v>8.5663554219228555E-4</v>
      </c>
      <c r="AC42" s="27"/>
      <c r="AD42" s="27"/>
      <c r="AE42" s="27"/>
      <c r="AF42" s="27"/>
      <c r="AG42" s="27"/>
    </row>
    <row r="43" spans="6:33" s="21" customFormat="1" ht="14.25" x14ac:dyDescent="0.45">
      <c r="F43" s="94">
        <v>1882</v>
      </c>
      <c r="G43" s="92">
        <v>4.6500000000000004</v>
      </c>
      <c r="H43" s="54">
        <v>1</v>
      </c>
      <c r="I43" s="92">
        <v>0.15</v>
      </c>
      <c r="J43"/>
      <c r="K43"/>
      <c r="L43"/>
      <c r="M43"/>
      <c r="N43" s="15">
        <v>28</v>
      </c>
      <c r="O43" s="15">
        <v>27</v>
      </c>
      <c r="P43" s="15">
        <v>135</v>
      </c>
      <c r="Q43" s="53">
        <v>35.589868773106922</v>
      </c>
      <c r="R43" s="53">
        <v>1213.2851330915453</v>
      </c>
      <c r="S43" s="53">
        <v>7.6976972810404183</v>
      </c>
      <c r="T43" s="27">
        <v>6.4556914398083975E-4</v>
      </c>
      <c r="U43" s="15"/>
      <c r="V43" s="15">
        <v>28</v>
      </c>
      <c r="W43" s="15">
        <v>27</v>
      </c>
      <c r="X43" s="15">
        <v>135</v>
      </c>
      <c r="Y43" s="53">
        <v>35.589868773106922</v>
      </c>
      <c r="Z43" s="53">
        <v>1213.2851330915453</v>
      </c>
      <c r="AA43" s="53">
        <v>7.6976972810404183</v>
      </c>
      <c r="AB43" s="27">
        <v>6.4556914398083975E-4</v>
      </c>
      <c r="AC43" s="27"/>
      <c r="AD43" s="27"/>
      <c r="AE43" s="27"/>
      <c r="AF43" s="27"/>
      <c r="AG43" s="27"/>
    </row>
    <row r="44" spans="6:33" s="21" customFormat="1" ht="14.25" x14ac:dyDescent="0.45">
      <c r="F44" s="94">
        <v>1883</v>
      </c>
      <c r="G44" s="92">
        <v>4.63</v>
      </c>
      <c r="H44" s="54">
        <v>1</v>
      </c>
      <c r="I44" s="92">
        <v>0</v>
      </c>
      <c r="J44"/>
      <c r="K44"/>
      <c r="L44"/>
      <c r="M44"/>
      <c r="N44" s="15">
        <v>29</v>
      </c>
      <c r="O44" s="15">
        <v>28</v>
      </c>
      <c r="P44" s="15">
        <v>134</v>
      </c>
      <c r="Q44" s="53">
        <v>36.081206366984773</v>
      </c>
      <c r="R44" s="53">
        <v>1210.7912144663621</v>
      </c>
      <c r="S44" s="53">
        <v>7.8369410088925555</v>
      </c>
      <c r="T44" s="27">
        <v>5.687002639715999E-4</v>
      </c>
      <c r="U44" s="15"/>
      <c r="V44" s="15">
        <v>29</v>
      </c>
      <c r="W44" s="15">
        <v>28</v>
      </c>
      <c r="X44" s="15">
        <v>134</v>
      </c>
      <c r="Y44" s="53">
        <v>36.081206366984773</v>
      </c>
      <c r="Z44" s="53">
        <v>1210.7912144663621</v>
      </c>
      <c r="AA44" s="53">
        <v>7.8369410088925555</v>
      </c>
      <c r="AB44" s="27">
        <v>5.687002639715999E-4</v>
      </c>
      <c r="AC44" s="27"/>
      <c r="AD44" s="27"/>
      <c r="AE44" s="27"/>
      <c r="AF44" s="27"/>
      <c r="AG44" s="27"/>
    </row>
    <row r="45" spans="6:33" s="21" customFormat="1" ht="14.25" x14ac:dyDescent="0.45">
      <c r="F45" s="94">
        <v>1884</v>
      </c>
      <c r="G45" s="92">
        <v>6.5</v>
      </c>
      <c r="H45" s="54">
        <v>1</v>
      </c>
      <c r="I45" s="92">
        <v>-3.44</v>
      </c>
      <c r="J45"/>
      <c r="K45"/>
      <c r="L45"/>
      <c r="M45"/>
      <c r="N45" s="15">
        <v>30</v>
      </c>
      <c r="O45" s="15">
        <v>29</v>
      </c>
      <c r="P45" s="15">
        <v>133</v>
      </c>
      <c r="Q45" s="53">
        <v>36.505932117469641</v>
      </c>
      <c r="R45" s="53">
        <v>1208.081718187254</v>
      </c>
      <c r="S45" s="53">
        <v>7.9963532315386203</v>
      </c>
      <c r="T45" s="27">
        <v>4.9199129929777818E-4</v>
      </c>
      <c r="U45" s="15"/>
      <c r="V45" s="15">
        <v>30</v>
      </c>
      <c r="W45" s="15">
        <v>29</v>
      </c>
      <c r="X45" s="15">
        <v>133</v>
      </c>
      <c r="Y45" s="53">
        <v>36.505932117469641</v>
      </c>
      <c r="Z45" s="53">
        <v>1208.081718187254</v>
      </c>
      <c r="AA45" s="53">
        <v>7.9963532315386203</v>
      </c>
      <c r="AB45" s="27">
        <v>4.9199129929777818E-4</v>
      </c>
      <c r="AC45" s="27"/>
      <c r="AD45" s="27"/>
      <c r="AE45" s="27"/>
      <c r="AF45" s="27"/>
      <c r="AG45" s="27"/>
    </row>
    <row r="46" spans="6:33" s="21" customFormat="1" ht="14.25" x14ac:dyDescent="0.45">
      <c r="F46" s="94">
        <v>1885</v>
      </c>
      <c r="G46" s="92">
        <v>6.84</v>
      </c>
      <c r="H46" s="54">
        <v>1</v>
      </c>
      <c r="I46" s="92">
        <v>-3.47</v>
      </c>
      <c r="J46"/>
      <c r="K46"/>
      <c r="L46"/>
      <c r="M46"/>
      <c r="N46" s="15">
        <v>31</v>
      </c>
      <c r="O46" s="15">
        <v>30</v>
      </c>
      <c r="P46" s="15">
        <v>132</v>
      </c>
      <c r="Q46" s="53">
        <v>41.931795226959331</v>
      </c>
      <c r="R46" s="53">
        <v>1207.84075115318</v>
      </c>
      <c r="S46" s="53">
        <v>7.6354339172584638</v>
      </c>
      <c r="T46" s="27">
        <v>6.8326845902377809E-4</v>
      </c>
      <c r="U46" s="15"/>
      <c r="V46" s="15">
        <v>31</v>
      </c>
      <c r="W46" s="15">
        <v>30</v>
      </c>
      <c r="X46" s="15">
        <v>132</v>
      </c>
      <c r="Y46" s="53">
        <v>41.931795226959331</v>
      </c>
      <c r="Z46" s="53">
        <v>1207.84075115318</v>
      </c>
      <c r="AA46" s="53">
        <v>7.6354339172584638</v>
      </c>
      <c r="AB46" s="27">
        <v>6.8326845902377809E-4</v>
      </c>
      <c r="AC46" s="27"/>
      <c r="AD46" s="27"/>
      <c r="AE46" s="27"/>
      <c r="AF46" s="27"/>
      <c r="AG46" s="27"/>
    </row>
    <row r="47" spans="6:33" s="21" customFormat="1" ht="14.25" x14ac:dyDescent="0.45">
      <c r="F47" s="94">
        <v>1886</v>
      </c>
      <c r="G47" s="92">
        <v>6.6</v>
      </c>
      <c r="H47" s="54">
        <v>1</v>
      </c>
      <c r="I47" s="92">
        <v>-0.9</v>
      </c>
      <c r="J47"/>
      <c r="K47"/>
      <c r="L47"/>
      <c r="M47"/>
      <c r="N47" s="15">
        <v>32</v>
      </c>
      <c r="O47" s="15">
        <v>31</v>
      </c>
      <c r="P47" s="15">
        <v>131</v>
      </c>
      <c r="Q47" s="53">
        <v>48.326292772185994</v>
      </c>
      <c r="R47" s="53">
        <v>1207.8140823268664</v>
      </c>
      <c r="S47" s="53">
        <v>7.1962476486614504</v>
      </c>
      <c r="T47" s="27">
        <v>1.0208448744346565E-3</v>
      </c>
      <c r="U47" s="15"/>
      <c r="V47" s="15">
        <v>32</v>
      </c>
      <c r="W47" s="15">
        <v>31</v>
      </c>
      <c r="X47" s="15">
        <v>131</v>
      </c>
      <c r="Y47" s="53">
        <v>48.326292772185994</v>
      </c>
      <c r="Z47" s="53">
        <v>1207.8140823268664</v>
      </c>
      <c r="AA47" s="53">
        <v>7.1962476486614504</v>
      </c>
      <c r="AB47" s="27">
        <v>1.0208448744346565E-3</v>
      </c>
      <c r="AC47" s="27"/>
      <c r="AD47" s="27"/>
      <c r="AE47" s="27"/>
      <c r="AF47" s="27"/>
      <c r="AG47" s="27"/>
    </row>
    <row r="48" spans="6:33" s="21" customFormat="1" ht="14.25" x14ac:dyDescent="0.45">
      <c r="F48" s="94">
        <v>1887</v>
      </c>
      <c r="G48" s="92">
        <v>5.93</v>
      </c>
      <c r="H48" s="54">
        <v>1</v>
      </c>
      <c r="I48" s="92">
        <v>-2.0099999999999998</v>
      </c>
      <c r="J48"/>
      <c r="K48"/>
      <c r="L48"/>
      <c r="M48"/>
      <c r="N48" s="15">
        <v>33</v>
      </c>
      <c r="O48" s="15">
        <v>32</v>
      </c>
      <c r="P48" s="15">
        <v>130</v>
      </c>
      <c r="Q48" s="53">
        <v>53.892700862246166</v>
      </c>
      <c r="R48" s="53">
        <v>1207.7989969095383</v>
      </c>
      <c r="S48" s="53">
        <v>6.8169924116479166</v>
      </c>
      <c r="T48" s="27">
        <v>1.4462730920360434E-3</v>
      </c>
      <c r="U48" s="15"/>
      <c r="V48" s="15">
        <v>33</v>
      </c>
      <c r="W48" s="15">
        <v>32</v>
      </c>
      <c r="X48" s="15">
        <v>130</v>
      </c>
      <c r="Y48" s="53">
        <v>53.892700862246166</v>
      </c>
      <c r="Z48" s="53">
        <v>1207.7989969095383</v>
      </c>
      <c r="AA48" s="53">
        <v>6.8169924116479166</v>
      </c>
      <c r="AB48" s="27">
        <v>1.4462730920360434E-3</v>
      </c>
      <c r="AC48" s="27"/>
      <c r="AD48" s="27"/>
      <c r="AE48" s="27"/>
      <c r="AF48" s="27"/>
      <c r="AG48" s="27"/>
    </row>
    <row r="49" spans="6:33" s="21" customFormat="1" ht="14.25" x14ac:dyDescent="0.45">
      <c r="F49" s="94">
        <v>1888</v>
      </c>
      <c r="G49" s="92">
        <v>4.24</v>
      </c>
      <c r="H49" s="54">
        <v>1</v>
      </c>
      <c r="I49" s="92">
        <v>-0.21</v>
      </c>
      <c r="J49"/>
      <c r="K49"/>
      <c r="L49"/>
      <c r="M49"/>
      <c r="N49" s="15">
        <v>34</v>
      </c>
      <c r="O49" s="15">
        <v>33</v>
      </c>
      <c r="P49" s="15">
        <v>129</v>
      </c>
      <c r="Q49" s="53">
        <v>56.273718470033195</v>
      </c>
      <c r="R49" s="53">
        <v>1207.1907681243865</v>
      </c>
      <c r="S49" s="53">
        <v>6.6965811087947502</v>
      </c>
      <c r="T49" s="27">
        <v>1.6159355346458959E-3</v>
      </c>
      <c r="U49" s="15"/>
      <c r="V49" s="15">
        <v>34</v>
      </c>
      <c r="W49" s="15">
        <v>33</v>
      </c>
      <c r="X49" s="15">
        <v>129</v>
      </c>
      <c r="Y49" s="53">
        <v>56.273718470033195</v>
      </c>
      <c r="Z49" s="53">
        <v>1207.1907681243865</v>
      </c>
      <c r="AA49" s="53">
        <v>6.6965811087947502</v>
      </c>
      <c r="AB49" s="27">
        <v>1.6159355346458959E-3</v>
      </c>
      <c r="AC49" s="27"/>
      <c r="AD49" s="27"/>
      <c r="AE49" s="27"/>
      <c r="AF49" s="27"/>
      <c r="AG49" s="27"/>
    </row>
    <row r="50" spans="6:33" s="21" customFormat="1" ht="14.25" x14ac:dyDescent="0.45">
      <c r="F50" s="94">
        <v>1889</v>
      </c>
      <c r="G50" s="92">
        <v>3.35</v>
      </c>
      <c r="H50" s="54">
        <v>1</v>
      </c>
      <c r="I50" s="92">
        <v>0.82</v>
      </c>
      <c r="J50"/>
      <c r="K50"/>
      <c r="L50"/>
      <c r="M50"/>
      <c r="N50" s="15">
        <v>35</v>
      </c>
      <c r="O50" s="15">
        <v>34</v>
      </c>
      <c r="P50" s="15">
        <v>128</v>
      </c>
      <c r="Q50" s="53">
        <v>56.274887869729767</v>
      </c>
      <c r="R50" s="53">
        <v>1202.7073725082994</v>
      </c>
      <c r="S50" s="53">
        <v>7.0016779116564027</v>
      </c>
      <c r="T50" s="27">
        <v>1.2203746447125852E-3</v>
      </c>
      <c r="U50" s="15"/>
      <c r="V50" s="15">
        <v>35</v>
      </c>
      <c r="W50" s="15">
        <v>34</v>
      </c>
      <c r="X50" s="15">
        <v>128</v>
      </c>
      <c r="Y50" s="53">
        <v>56.274887869729767</v>
      </c>
      <c r="Z50" s="53">
        <v>1202.7073725082994</v>
      </c>
      <c r="AA50" s="53">
        <v>7.0016779116564027</v>
      </c>
      <c r="AB50" s="27">
        <v>1.2203746447125852E-3</v>
      </c>
      <c r="AC50" s="27"/>
      <c r="AD50" s="27"/>
      <c r="AE50" s="27"/>
      <c r="AF50" s="27"/>
      <c r="AG50" s="27"/>
    </row>
    <row r="51" spans="6:33" s="21" customFormat="1" ht="14.25" x14ac:dyDescent="0.45">
      <c r="F51" s="94">
        <v>1890</v>
      </c>
      <c r="G51" s="92">
        <v>3.79</v>
      </c>
      <c r="H51" s="54">
        <v>1</v>
      </c>
      <c r="I51" s="92">
        <v>0.41</v>
      </c>
      <c r="J51"/>
      <c r="K51"/>
      <c r="L51"/>
      <c r="M51"/>
      <c r="N51" s="15">
        <v>36</v>
      </c>
      <c r="O51" s="15">
        <v>35</v>
      </c>
      <c r="P51" s="15">
        <v>127</v>
      </c>
      <c r="Q51" s="53">
        <v>56.963378086229561</v>
      </c>
      <c r="R51" s="53">
        <v>1194.7584070865175</v>
      </c>
      <c r="S51" s="53">
        <v>7.5005212309041092</v>
      </c>
      <c r="T51" s="27">
        <v>7.7278909033029475E-4</v>
      </c>
      <c r="U51" s="15"/>
      <c r="V51" s="15">
        <v>36</v>
      </c>
      <c r="W51" s="15">
        <v>35</v>
      </c>
      <c r="X51" s="15">
        <v>127</v>
      </c>
      <c r="Y51" s="53">
        <v>56.963378086229561</v>
      </c>
      <c r="Z51" s="53">
        <v>1194.7584070865175</v>
      </c>
      <c r="AA51" s="53">
        <v>7.5005212309041092</v>
      </c>
      <c r="AB51" s="27">
        <v>7.7278909033029475E-4</v>
      </c>
      <c r="AC51" s="27"/>
      <c r="AD51" s="27"/>
      <c r="AE51" s="27"/>
      <c r="AF51" s="27"/>
      <c r="AG51" s="27"/>
    </row>
    <row r="52" spans="6:33" s="21" customFormat="1" ht="14.25" x14ac:dyDescent="0.45">
      <c r="F52" s="94">
        <v>1891</v>
      </c>
      <c r="G52" s="92">
        <v>4.38</v>
      </c>
      <c r="H52" s="54">
        <v>1</v>
      </c>
      <c r="I52" s="92">
        <v>0.81</v>
      </c>
      <c r="J52"/>
      <c r="K52"/>
      <c r="L52"/>
      <c r="M52"/>
      <c r="N52" s="15">
        <v>37</v>
      </c>
      <c r="O52" s="15">
        <v>36</v>
      </c>
      <c r="P52" s="15">
        <v>126</v>
      </c>
      <c r="Q52" s="53">
        <v>57.125894289123956</v>
      </c>
      <c r="R52" s="53">
        <v>1188.5443090847796</v>
      </c>
      <c r="S52" s="53">
        <v>7.9207488147811294</v>
      </c>
      <c r="T52" s="27">
        <v>5.2697127796796916E-4</v>
      </c>
      <c r="U52" s="15"/>
      <c r="V52" s="15">
        <v>37</v>
      </c>
      <c r="W52" s="15">
        <v>36</v>
      </c>
      <c r="X52" s="15">
        <v>126</v>
      </c>
      <c r="Y52" s="53">
        <v>57.125894289123956</v>
      </c>
      <c r="Z52" s="53">
        <v>1188.5443090847796</v>
      </c>
      <c r="AA52" s="53">
        <v>7.9207488147811294</v>
      </c>
      <c r="AB52" s="27">
        <v>5.2697127796796916E-4</v>
      </c>
      <c r="AC52" s="27"/>
      <c r="AD52" s="27"/>
      <c r="AE52" s="27"/>
      <c r="AF52" s="27"/>
      <c r="AG52" s="27"/>
    </row>
    <row r="53" spans="6:33" s="21" customFormat="1" ht="14.25" x14ac:dyDescent="0.45">
      <c r="F53" s="94">
        <v>1892</v>
      </c>
      <c r="G53" s="92">
        <v>6.55</v>
      </c>
      <c r="H53" s="54">
        <v>1</v>
      </c>
      <c r="I53" s="92">
        <v>0.4</v>
      </c>
      <c r="J53"/>
      <c r="K53"/>
      <c r="L53"/>
      <c r="M53"/>
      <c r="N53" s="15">
        <v>38</v>
      </c>
      <c r="O53" s="15">
        <v>37</v>
      </c>
      <c r="P53" s="15">
        <v>125</v>
      </c>
      <c r="Q53" s="53">
        <v>57.175111702996915</v>
      </c>
      <c r="R53" s="53">
        <v>1185.1563184437007</v>
      </c>
      <c r="S53" s="53">
        <v>8.1543488525723529</v>
      </c>
      <c r="T53" s="27">
        <v>4.2628914264963846E-4</v>
      </c>
      <c r="U53" s="15"/>
      <c r="V53" s="15">
        <v>38</v>
      </c>
      <c r="W53" s="15">
        <v>37</v>
      </c>
      <c r="X53" s="15">
        <v>125</v>
      </c>
      <c r="Y53" s="53">
        <v>57.175111702996915</v>
      </c>
      <c r="Z53" s="53">
        <v>1185.1563184437007</v>
      </c>
      <c r="AA53" s="53">
        <v>8.1543488525723529</v>
      </c>
      <c r="AB53" s="27">
        <v>4.2628914264963846E-4</v>
      </c>
      <c r="AC53" s="27"/>
      <c r="AD53" s="27"/>
      <c r="AE53" s="27"/>
      <c r="AF53" s="27"/>
      <c r="AG53" s="27"/>
    </row>
    <row r="54" spans="6:33" s="21" customFormat="1" ht="14.25" x14ac:dyDescent="0.45">
      <c r="F54" s="94">
        <v>1893</v>
      </c>
      <c r="G54" s="92">
        <v>6.1</v>
      </c>
      <c r="H54" s="54">
        <v>1</v>
      </c>
      <c r="I54" s="92">
        <v>-1.91</v>
      </c>
      <c r="J54"/>
      <c r="K54"/>
      <c r="L54"/>
      <c r="M54"/>
      <c r="N54" s="15">
        <v>39</v>
      </c>
      <c r="O54" s="15">
        <v>38</v>
      </c>
      <c r="P54" s="15">
        <v>124</v>
      </c>
      <c r="Q54" s="53">
        <v>62.569670501967593</v>
      </c>
      <c r="R54" s="53">
        <v>1185.1016795451826</v>
      </c>
      <c r="S54" s="53">
        <v>7.7813361663138734</v>
      </c>
      <c r="T54" s="27">
        <v>5.982186285019564E-4</v>
      </c>
      <c r="U54" s="15"/>
      <c r="V54" s="15">
        <v>39</v>
      </c>
      <c r="W54" s="15">
        <v>38</v>
      </c>
      <c r="X54" s="15">
        <v>124</v>
      </c>
      <c r="Y54" s="53">
        <v>62.569670501967593</v>
      </c>
      <c r="Z54" s="53">
        <v>1185.1016795451826</v>
      </c>
      <c r="AA54" s="53">
        <v>7.7813361663138734</v>
      </c>
      <c r="AB54" s="27">
        <v>5.982186285019564E-4</v>
      </c>
      <c r="AC54" s="27"/>
      <c r="AD54" s="27"/>
      <c r="AE54" s="27"/>
      <c r="AF54" s="27"/>
      <c r="AG54" s="27"/>
    </row>
    <row r="55" spans="6:33" s="21" customFormat="1" ht="14.25" x14ac:dyDescent="0.45">
      <c r="F55" s="94">
        <v>1894</v>
      </c>
      <c r="G55" s="92">
        <v>6.21</v>
      </c>
      <c r="H55" s="54">
        <v>1</v>
      </c>
      <c r="I55" s="92">
        <v>-2.66</v>
      </c>
      <c r="J55"/>
      <c r="K55"/>
      <c r="L55"/>
      <c r="M55"/>
      <c r="N55" s="15">
        <v>40</v>
      </c>
      <c r="O55" s="15">
        <v>39</v>
      </c>
      <c r="P55" s="15">
        <v>123</v>
      </c>
      <c r="Q55" s="53">
        <v>65.252701697544282</v>
      </c>
      <c r="R55" s="53">
        <v>1184.5928882104458</v>
      </c>
      <c r="S55" s="53">
        <v>7.6303707656329349</v>
      </c>
      <c r="T55" s="27">
        <v>6.8643044180505264E-4</v>
      </c>
      <c r="U55" s="15"/>
      <c r="V55" s="15">
        <v>40</v>
      </c>
      <c r="W55" s="15">
        <v>39</v>
      </c>
      <c r="X55" s="15">
        <v>123</v>
      </c>
      <c r="Y55" s="53">
        <v>65.252701697544282</v>
      </c>
      <c r="Z55" s="53">
        <v>1184.5928882104458</v>
      </c>
      <c r="AA55" s="53">
        <v>7.6303707656329349</v>
      </c>
      <c r="AB55" s="27">
        <v>6.8643044180505264E-4</v>
      </c>
      <c r="AC55" s="27"/>
      <c r="AD55" s="27"/>
      <c r="AE55" s="27"/>
      <c r="AF55" s="27"/>
      <c r="AG55" s="27"/>
    </row>
    <row r="56" spans="6:33" s="21" customFormat="1" ht="14.25" x14ac:dyDescent="0.45">
      <c r="F56" s="94">
        <v>1895</v>
      </c>
      <c r="G56" s="92">
        <v>5.74</v>
      </c>
      <c r="H56" s="54">
        <v>1</v>
      </c>
      <c r="I56" s="92">
        <v>-1.37</v>
      </c>
      <c r="J56"/>
      <c r="K56"/>
      <c r="L56"/>
      <c r="M56"/>
      <c r="N56" s="15">
        <v>41</v>
      </c>
      <c r="O56" s="15">
        <v>40</v>
      </c>
      <c r="P56" s="15">
        <v>122</v>
      </c>
      <c r="Q56" s="53">
        <v>67.911328692026657</v>
      </c>
      <c r="R56" s="53">
        <v>1183.988948091988</v>
      </c>
      <c r="S56" s="53">
        <v>7.4881882857835462</v>
      </c>
      <c r="T56" s="27">
        <v>7.8154326945467645E-4</v>
      </c>
      <c r="U56" s="15"/>
      <c r="V56" s="15">
        <v>41</v>
      </c>
      <c r="W56" s="15">
        <v>40</v>
      </c>
      <c r="X56" s="15">
        <v>122</v>
      </c>
      <c r="Y56" s="53">
        <v>67.911328692026657</v>
      </c>
      <c r="Z56" s="53">
        <v>1183.988948091988</v>
      </c>
      <c r="AA56" s="53">
        <v>7.4881882857835462</v>
      </c>
      <c r="AB56" s="27">
        <v>7.8154326945467645E-4</v>
      </c>
      <c r="AC56" s="27"/>
      <c r="AD56" s="27"/>
      <c r="AE56" s="27"/>
      <c r="AF56" s="27"/>
      <c r="AG56" s="27"/>
    </row>
    <row r="57" spans="6:33" s="21" customFormat="1" ht="14.25" x14ac:dyDescent="0.45">
      <c r="F57" s="94">
        <v>1896</v>
      </c>
      <c r="G57" s="92">
        <v>4.99</v>
      </c>
      <c r="H57" s="54">
        <v>1</v>
      </c>
      <c r="I57" s="92">
        <v>-0.21</v>
      </c>
      <c r="J57"/>
      <c r="K57"/>
      <c r="L57"/>
      <c r="M57"/>
      <c r="N57" s="15">
        <v>42</v>
      </c>
      <c r="O57" s="15">
        <v>41</v>
      </c>
      <c r="P57" s="15">
        <v>121</v>
      </c>
      <c r="Q57" s="53">
        <v>69.427128316066586</v>
      </c>
      <c r="R57" s="53">
        <v>1183.0205626084257</v>
      </c>
      <c r="S57" s="53">
        <v>7.450386421805522</v>
      </c>
      <c r="T57" s="27">
        <v>8.0900655877891303E-4</v>
      </c>
      <c r="U57" s="15"/>
      <c r="V57" s="15">
        <v>42</v>
      </c>
      <c r="W57" s="15">
        <v>41</v>
      </c>
      <c r="X57" s="15">
        <v>121</v>
      </c>
      <c r="Y57" s="53">
        <v>69.427128316066586</v>
      </c>
      <c r="Z57" s="53">
        <v>1183.0205626084257</v>
      </c>
      <c r="AA57" s="53">
        <v>7.450386421805522</v>
      </c>
      <c r="AB57" s="27">
        <v>8.0900655877891303E-4</v>
      </c>
      <c r="AC57" s="27"/>
      <c r="AD57" s="27"/>
      <c r="AE57" s="27"/>
      <c r="AF57" s="27"/>
      <c r="AG57" s="27"/>
    </row>
    <row r="58" spans="6:33" s="21" customFormat="1" ht="14.25" x14ac:dyDescent="0.45">
      <c r="F58" s="94">
        <v>1897</v>
      </c>
      <c r="G58" s="92">
        <v>5.16</v>
      </c>
      <c r="H58" s="54">
        <v>1</v>
      </c>
      <c r="I58" s="92">
        <v>2.0299999999999998</v>
      </c>
      <c r="J58"/>
      <c r="K58"/>
      <c r="L58"/>
      <c r="M58"/>
      <c r="N58" s="15">
        <v>43</v>
      </c>
      <c r="O58" s="15">
        <v>42</v>
      </c>
      <c r="P58" s="15">
        <v>120</v>
      </c>
      <c r="Q58" s="53">
        <v>69.747558476872214</v>
      </c>
      <c r="R58" s="53">
        <v>1180.7714410949029</v>
      </c>
      <c r="S58" s="53">
        <v>7.5837199519541141</v>
      </c>
      <c r="T58" s="27">
        <v>7.1627071073876447E-4</v>
      </c>
      <c r="U58" s="15"/>
      <c r="V58" s="15">
        <v>43</v>
      </c>
      <c r="W58" s="15">
        <v>42</v>
      </c>
      <c r="X58" s="15">
        <v>120</v>
      </c>
      <c r="Y58" s="53">
        <v>69.747558476872214</v>
      </c>
      <c r="Z58" s="53">
        <v>1180.7714410949029</v>
      </c>
      <c r="AA58" s="53">
        <v>7.5837199519541141</v>
      </c>
      <c r="AB58" s="27">
        <v>7.1627071073876447E-4</v>
      </c>
      <c r="AC58" s="27"/>
      <c r="AD58" s="27"/>
      <c r="AE58" s="27"/>
      <c r="AF58" s="27"/>
      <c r="AG58" s="27"/>
    </row>
    <row r="59" spans="6:33" s="21" customFormat="1" ht="14.25" x14ac:dyDescent="0.45">
      <c r="F59" s="94">
        <v>1898</v>
      </c>
      <c r="G59" s="92">
        <v>3.81</v>
      </c>
      <c r="H59" s="54">
        <v>1</v>
      </c>
      <c r="I59" s="92">
        <v>1.78</v>
      </c>
      <c r="J59"/>
      <c r="K59"/>
      <c r="L59"/>
      <c r="M59"/>
      <c r="N59" s="15">
        <v>44</v>
      </c>
      <c r="O59" s="15">
        <v>43</v>
      </c>
      <c r="P59" s="15">
        <v>119</v>
      </c>
      <c r="Q59" s="53">
        <v>70.593372699858079</v>
      </c>
      <c r="R59" s="53">
        <v>1180.0420125076489</v>
      </c>
      <c r="S59" s="53">
        <v>7.5756623666580101</v>
      </c>
      <c r="T59" s="27">
        <v>7.2155626635150849E-4</v>
      </c>
      <c r="U59" s="15"/>
      <c r="V59" s="15">
        <v>44</v>
      </c>
      <c r="W59" s="15">
        <v>43</v>
      </c>
      <c r="X59" s="15">
        <v>119</v>
      </c>
      <c r="Y59" s="53">
        <v>70.593372699858079</v>
      </c>
      <c r="Z59" s="53">
        <v>1180.0420125076489</v>
      </c>
      <c r="AA59" s="53">
        <v>7.5756623666580101</v>
      </c>
      <c r="AB59" s="27">
        <v>7.2155626635150849E-4</v>
      </c>
      <c r="AC59" s="27"/>
      <c r="AD59" s="27"/>
      <c r="AE59" s="27"/>
      <c r="AF59" s="27"/>
      <c r="AG59" s="27"/>
    </row>
    <row r="60" spans="6:33" s="21" customFormat="1" ht="14.25" x14ac:dyDescent="0.45">
      <c r="F60" s="94">
        <v>1899</v>
      </c>
      <c r="G60" s="92">
        <v>3.47</v>
      </c>
      <c r="H60" s="54">
        <v>1</v>
      </c>
      <c r="I60" s="92">
        <v>-1.03</v>
      </c>
      <c r="J60"/>
      <c r="K60"/>
      <c r="L60"/>
      <c r="M60"/>
      <c r="N60" s="15">
        <v>45</v>
      </c>
      <c r="O60" s="15">
        <v>44</v>
      </c>
      <c r="P60" s="15">
        <v>118</v>
      </c>
      <c r="Q60" s="53">
        <v>70.806336394541304</v>
      </c>
      <c r="R60" s="53">
        <v>1174.871634442477</v>
      </c>
      <c r="S60" s="53">
        <v>7.9202068177914322</v>
      </c>
      <c r="T60" s="27">
        <v>5.2723093242312835E-4</v>
      </c>
      <c r="U60" s="15"/>
      <c r="V60" s="15">
        <v>45</v>
      </c>
      <c r="W60" s="15">
        <v>44</v>
      </c>
      <c r="X60" s="15">
        <v>118</v>
      </c>
      <c r="Y60" s="53">
        <v>70.806336394541304</v>
      </c>
      <c r="Z60" s="53">
        <v>1174.871634442477</v>
      </c>
      <c r="AA60" s="53">
        <v>7.9202068177914322</v>
      </c>
      <c r="AB60" s="27">
        <v>5.2723093242312835E-4</v>
      </c>
      <c r="AC60" s="27"/>
      <c r="AD60" s="27"/>
      <c r="AE60" s="27"/>
      <c r="AF60" s="27"/>
      <c r="AG60" s="27"/>
    </row>
    <row r="61" spans="6:33" s="21" customFormat="1" ht="14.25" x14ac:dyDescent="0.45">
      <c r="F61" s="94">
        <v>1900</v>
      </c>
      <c r="G61" s="92">
        <v>4.1900000000000004</v>
      </c>
      <c r="H61" s="54">
        <v>1</v>
      </c>
      <c r="I61" s="92">
        <v>4.0599999999999996</v>
      </c>
      <c r="J61"/>
      <c r="K61"/>
      <c r="L61"/>
      <c r="M61"/>
      <c r="N61" s="15">
        <v>46</v>
      </c>
      <c r="O61" s="15">
        <v>45</v>
      </c>
      <c r="P61" s="15">
        <v>117</v>
      </c>
      <c r="Q61" s="53">
        <v>71.875683666197375</v>
      </c>
      <c r="R61" s="53">
        <v>1164.1899766255053</v>
      </c>
      <c r="S61" s="53">
        <v>8.5961450364767629</v>
      </c>
      <c r="T61" s="27">
        <v>2.8590759096935869E-4</v>
      </c>
      <c r="U61" s="15"/>
      <c r="V61" s="15">
        <v>46</v>
      </c>
      <c r="W61" s="15">
        <v>45</v>
      </c>
      <c r="X61" s="15">
        <v>117</v>
      </c>
      <c r="Y61" s="53">
        <v>71.875683666197375</v>
      </c>
      <c r="Z61" s="53">
        <v>1164.1899766255053</v>
      </c>
      <c r="AA61" s="53">
        <v>8.5961450364767629</v>
      </c>
      <c r="AB61" s="27">
        <v>2.8590759096935869E-4</v>
      </c>
      <c r="AC61" s="27"/>
      <c r="AD61" s="27"/>
      <c r="AE61" s="27"/>
      <c r="AF61" s="27"/>
      <c r="AG61" s="27"/>
    </row>
    <row r="62" spans="6:33" s="21" customFormat="1" ht="14.25" x14ac:dyDescent="0.45">
      <c r="F62" s="94">
        <v>1901</v>
      </c>
      <c r="G62" s="92">
        <v>5.09</v>
      </c>
      <c r="H62" s="54">
        <v>1</v>
      </c>
      <c r="I62" s="92">
        <v>-0.3</v>
      </c>
      <c r="J62"/>
      <c r="K62"/>
      <c r="L62"/>
      <c r="M62"/>
      <c r="N62" s="15">
        <v>47</v>
      </c>
      <c r="O62" s="15">
        <v>46</v>
      </c>
      <c r="P62" s="15">
        <v>116</v>
      </c>
      <c r="Q62" s="53">
        <v>71.896106110051264</v>
      </c>
      <c r="R62" s="53">
        <v>1162.1248796427055</v>
      </c>
      <c r="S62" s="53">
        <v>8.7412848756964632</v>
      </c>
      <c r="T62" s="27">
        <v>2.5085629918975005E-4</v>
      </c>
      <c r="U62" s="15"/>
      <c r="V62" s="15">
        <v>47</v>
      </c>
      <c r="W62" s="15">
        <v>46</v>
      </c>
      <c r="X62" s="15">
        <v>116</v>
      </c>
      <c r="Y62" s="53">
        <v>71.896106110051264</v>
      </c>
      <c r="Z62" s="53">
        <v>1162.1248796427055</v>
      </c>
      <c r="AA62" s="53">
        <v>8.7412848756964632</v>
      </c>
      <c r="AB62" s="27">
        <v>2.5085629918975005E-4</v>
      </c>
      <c r="AC62" s="27"/>
      <c r="AD62" s="27"/>
      <c r="AE62" s="27"/>
      <c r="AF62" s="27"/>
      <c r="AG62" s="27"/>
    </row>
    <row r="63" spans="6:33" s="21" customFormat="1" ht="14.25" x14ac:dyDescent="0.45">
      <c r="F63" s="94">
        <v>1902</v>
      </c>
      <c r="G63" s="92">
        <v>5.19</v>
      </c>
      <c r="H63" s="54">
        <v>1</v>
      </c>
      <c r="I63" s="92">
        <v>0</v>
      </c>
      <c r="J63"/>
      <c r="K63"/>
      <c r="L63"/>
      <c r="M63"/>
      <c r="N63" s="15">
        <v>48</v>
      </c>
      <c r="O63" s="15">
        <v>47</v>
      </c>
      <c r="P63" s="15">
        <v>115</v>
      </c>
      <c r="Q63" s="53">
        <v>72.321473650935133</v>
      </c>
      <c r="R63" s="53">
        <v>1159.7773567187319</v>
      </c>
      <c r="S63" s="53">
        <v>8.8781670631362797</v>
      </c>
      <c r="T63" s="27">
        <v>2.2179002269306488E-4</v>
      </c>
      <c r="U63" s="15"/>
      <c r="V63" s="15">
        <v>48</v>
      </c>
      <c r="W63" s="15">
        <v>47</v>
      </c>
      <c r="X63" s="15">
        <v>115</v>
      </c>
      <c r="Y63" s="53">
        <v>72.321473650935133</v>
      </c>
      <c r="Z63" s="53">
        <v>1159.7773567187319</v>
      </c>
      <c r="AA63" s="53">
        <v>8.8781670631362797</v>
      </c>
      <c r="AB63" s="27">
        <v>2.2179002269306488E-4</v>
      </c>
      <c r="AC63" s="27"/>
      <c r="AD63" s="27"/>
      <c r="AE63" s="27"/>
      <c r="AF63" s="27"/>
      <c r="AG63" s="27"/>
    </row>
    <row r="64" spans="6:33" s="21" customFormat="1" ht="14.25" x14ac:dyDescent="0.45">
      <c r="F64" s="94">
        <v>1903</v>
      </c>
      <c r="G64" s="92">
        <v>6.21</v>
      </c>
      <c r="H64" s="54">
        <v>1</v>
      </c>
      <c r="I64" s="92">
        <v>1.1000000000000001</v>
      </c>
      <c r="J64"/>
      <c r="K64"/>
      <c r="L64"/>
      <c r="M64"/>
      <c r="N64" s="15">
        <v>49</v>
      </c>
      <c r="O64" s="15">
        <v>48</v>
      </c>
      <c r="P64" s="15">
        <v>114</v>
      </c>
      <c r="Q64" s="53">
        <v>72.903915278121247</v>
      </c>
      <c r="R64" s="53">
        <v>1157.8621474515833</v>
      </c>
      <c r="S64" s="53">
        <v>8.9733282646575478</v>
      </c>
      <c r="T64" s="27">
        <v>2.036148323778646E-4</v>
      </c>
      <c r="U64" s="15"/>
      <c r="V64" s="15">
        <v>49</v>
      </c>
      <c r="W64" s="15">
        <v>48</v>
      </c>
      <c r="X64" s="15">
        <v>114</v>
      </c>
      <c r="Y64" s="53">
        <v>72.903915278121247</v>
      </c>
      <c r="Z64" s="53">
        <v>1157.8621474515833</v>
      </c>
      <c r="AA64" s="53">
        <v>8.9733282646575478</v>
      </c>
      <c r="AB64" s="27">
        <v>2.036148323778646E-4</v>
      </c>
      <c r="AC64" s="27"/>
      <c r="AD64" s="27"/>
      <c r="AE64" s="27"/>
      <c r="AF64" s="27"/>
      <c r="AG64" s="27"/>
    </row>
    <row r="65" spans="6:33" s="21" customFormat="1" ht="14.25" x14ac:dyDescent="0.45">
      <c r="F65" s="94">
        <v>1904</v>
      </c>
      <c r="G65" s="92">
        <v>7.07</v>
      </c>
      <c r="H65" s="54">
        <v>1</v>
      </c>
      <c r="I65" s="92">
        <v>-0.4</v>
      </c>
      <c r="J65"/>
      <c r="K65"/>
      <c r="L65"/>
      <c r="M65"/>
      <c r="N65" s="15">
        <v>50</v>
      </c>
      <c r="O65" s="15">
        <v>49</v>
      </c>
      <c r="P65" s="15">
        <v>113</v>
      </c>
      <c r="Q65" s="53">
        <v>76.316901461821445</v>
      </c>
      <c r="R65" s="53">
        <v>1157.8469323610916</v>
      </c>
      <c r="S65" s="53">
        <v>8.7311292765174588</v>
      </c>
      <c r="T65" s="27">
        <v>2.5316074227732521E-4</v>
      </c>
      <c r="U65" s="15"/>
      <c r="V65" s="15">
        <v>50</v>
      </c>
      <c r="W65" s="15">
        <v>49</v>
      </c>
      <c r="X65" s="15">
        <v>113</v>
      </c>
      <c r="Y65" s="53">
        <v>76.316901461821445</v>
      </c>
      <c r="Z65" s="53">
        <v>1157.8469323610916</v>
      </c>
      <c r="AA65" s="53">
        <v>8.7311292765174588</v>
      </c>
      <c r="AB65" s="27">
        <v>2.5316074227732521E-4</v>
      </c>
      <c r="AC65" s="27"/>
      <c r="AD65" s="27"/>
      <c r="AE65" s="27"/>
      <c r="AF65" s="27"/>
      <c r="AG65" s="27"/>
    </row>
    <row r="66" spans="6:33" s="21" customFormat="1" ht="14.25" x14ac:dyDescent="0.45">
      <c r="F66" s="94">
        <v>1905</v>
      </c>
      <c r="G66" s="92">
        <v>5.8</v>
      </c>
      <c r="H66" s="54">
        <v>1</v>
      </c>
      <c r="I66" s="92">
        <v>0.4</v>
      </c>
      <c r="J66"/>
      <c r="K66"/>
      <c r="L66"/>
      <c r="M66"/>
      <c r="N66" s="15">
        <v>51</v>
      </c>
      <c r="O66" s="15">
        <v>50</v>
      </c>
      <c r="P66" s="15">
        <v>112</v>
      </c>
      <c r="Q66" s="53">
        <v>82.754963149379648</v>
      </c>
      <c r="R66" s="53">
        <v>1157.6891673941436</v>
      </c>
      <c r="S66" s="53">
        <v>8.2869516550317499</v>
      </c>
      <c r="T66" s="27">
        <v>3.7804491119475259E-4</v>
      </c>
      <c r="U66" s="15"/>
      <c r="V66" s="15">
        <v>51</v>
      </c>
      <c r="W66" s="15">
        <v>50</v>
      </c>
      <c r="X66" s="15">
        <v>112</v>
      </c>
      <c r="Y66" s="53">
        <v>82.754963149379648</v>
      </c>
      <c r="Z66" s="53">
        <v>1157.6891673941436</v>
      </c>
      <c r="AA66" s="53">
        <v>8.2869516550317499</v>
      </c>
      <c r="AB66" s="27">
        <v>3.7804491119475259E-4</v>
      </c>
      <c r="AC66" s="27"/>
      <c r="AD66" s="27"/>
      <c r="AE66" s="27"/>
      <c r="AF66" s="27"/>
      <c r="AG66" s="27"/>
    </row>
    <row r="67" spans="6:33" s="21" customFormat="1" ht="14.25" x14ac:dyDescent="0.45">
      <c r="F67" s="94">
        <v>1906</v>
      </c>
      <c r="G67" s="92">
        <v>4.7</v>
      </c>
      <c r="H67" s="54">
        <v>1</v>
      </c>
      <c r="I67" s="92">
        <v>-0.1</v>
      </c>
      <c r="J67"/>
      <c r="K67"/>
      <c r="L67"/>
      <c r="M67"/>
      <c r="N67" s="15">
        <v>52</v>
      </c>
      <c r="O67" s="15">
        <v>51</v>
      </c>
      <c r="P67" s="15">
        <v>111</v>
      </c>
      <c r="Q67" s="53">
        <v>84.429027830885403</v>
      </c>
      <c r="R67" s="53">
        <v>1157.2095402076814</v>
      </c>
      <c r="S67" s="53">
        <v>8.202982929696871</v>
      </c>
      <c r="T67" s="27">
        <v>4.0790992662698144E-4</v>
      </c>
      <c r="U67" s="15"/>
      <c r="V67" s="15">
        <v>52</v>
      </c>
      <c r="W67" s="15">
        <v>51</v>
      </c>
      <c r="X67" s="15">
        <v>111</v>
      </c>
      <c r="Y67" s="53">
        <v>84.429027830885403</v>
      </c>
      <c r="Z67" s="53">
        <v>1157.2095402076814</v>
      </c>
      <c r="AA67" s="53">
        <v>8.202982929696871</v>
      </c>
      <c r="AB67" s="27">
        <v>4.0790992662698144E-4</v>
      </c>
      <c r="AC67" s="27"/>
      <c r="AD67" s="27"/>
      <c r="AE67" s="27"/>
      <c r="AF67" s="27"/>
      <c r="AG67" s="27"/>
    </row>
    <row r="68" spans="6:33" s="21" customFormat="1" ht="14.25" x14ac:dyDescent="0.45">
      <c r="F68" s="94">
        <v>1907</v>
      </c>
      <c r="G68" s="92">
        <v>5.17</v>
      </c>
      <c r="H68" s="54">
        <v>1</v>
      </c>
      <c r="I68" s="92">
        <v>1.59</v>
      </c>
      <c r="J68"/>
      <c r="K68"/>
      <c r="L68"/>
      <c r="M68"/>
      <c r="N68" s="15">
        <v>53</v>
      </c>
      <c r="O68" s="15">
        <v>52</v>
      </c>
      <c r="P68" s="15">
        <v>110</v>
      </c>
      <c r="Q68" s="53">
        <v>84.448378488237111</v>
      </c>
      <c r="R68" s="53">
        <v>1153.505715682724</v>
      </c>
      <c r="S68" s="53">
        <v>8.4625217230128698</v>
      </c>
      <c r="T68" s="27">
        <v>3.2255414253867798E-4</v>
      </c>
      <c r="U68" s="15"/>
      <c r="V68" s="15">
        <v>53</v>
      </c>
      <c r="W68" s="15">
        <v>52</v>
      </c>
      <c r="X68" s="15">
        <v>110</v>
      </c>
      <c r="Y68" s="53">
        <v>84.448378488237111</v>
      </c>
      <c r="Z68" s="53">
        <v>1153.505715682724</v>
      </c>
      <c r="AA68" s="53">
        <v>8.4625217230128698</v>
      </c>
      <c r="AB68" s="27">
        <v>3.2255414253867798E-4</v>
      </c>
      <c r="AC68" s="27"/>
      <c r="AD68" s="27"/>
      <c r="AE68" s="27"/>
      <c r="AF68" s="27"/>
      <c r="AG68" s="27"/>
    </row>
    <row r="69" spans="6:33" s="21" customFormat="1" ht="14.25" x14ac:dyDescent="0.45">
      <c r="F69" s="94">
        <v>1908</v>
      </c>
      <c r="G69" s="92">
        <v>7.64</v>
      </c>
      <c r="H69" s="54">
        <v>1</v>
      </c>
      <c r="I69" s="92">
        <v>1.27</v>
      </c>
      <c r="J69"/>
      <c r="K69"/>
      <c r="L69"/>
      <c r="M69"/>
      <c r="N69" s="15">
        <v>54</v>
      </c>
      <c r="O69" s="15">
        <v>53</v>
      </c>
      <c r="P69" s="15">
        <v>109</v>
      </c>
      <c r="Q69" s="53">
        <v>84.986431378651275</v>
      </c>
      <c r="R69" s="53">
        <v>1152.3281183013694</v>
      </c>
      <c r="S69" s="53">
        <v>8.5077294464217399</v>
      </c>
      <c r="T69" s="27">
        <v>3.0965164797858158E-4</v>
      </c>
      <c r="U69" s="15"/>
      <c r="V69" s="15">
        <v>54</v>
      </c>
      <c r="W69" s="15">
        <v>53</v>
      </c>
      <c r="X69" s="15">
        <v>109</v>
      </c>
      <c r="Y69" s="53">
        <v>84.986431378651275</v>
      </c>
      <c r="Z69" s="53">
        <v>1152.3281183013694</v>
      </c>
      <c r="AA69" s="53">
        <v>8.5077294464217399</v>
      </c>
      <c r="AB69" s="27">
        <v>3.0965164797858158E-4</v>
      </c>
      <c r="AC69" s="27"/>
      <c r="AD69" s="27"/>
      <c r="AE69" s="27"/>
      <c r="AF69" s="27"/>
      <c r="AG69" s="27"/>
    </row>
    <row r="70" spans="6:33" s="21" customFormat="1" ht="14.25" x14ac:dyDescent="0.45">
      <c r="F70" s="94">
        <v>1909</v>
      </c>
      <c r="G70" s="92">
        <v>6.56</v>
      </c>
      <c r="H70" s="54">
        <v>1</v>
      </c>
      <c r="I70" s="92">
        <v>0.19</v>
      </c>
      <c r="J70"/>
      <c r="K70"/>
      <c r="L70"/>
      <c r="M70"/>
      <c r="N70" s="15">
        <v>55</v>
      </c>
      <c r="O70" s="15">
        <v>54</v>
      </c>
      <c r="P70" s="15">
        <v>108</v>
      </c>
      <c r="Q70" s="53">
        <v>94.800640005900533</v>
      </c>
      <c r="R70" s="53">
        <v>1150.6053247965758</v>
      </c>
      <c r="S70" s="53">
        <v>7.9391908450454158</v>
      </c>
      <c r="T70" s="27">
        <v>5.1821299446142E-4</v>
      </c>
      <c r="U70" s="15"/>
      <c r="V70" s="15">
        <v>55</v>
      </c>
      <c r="W70" s="15">
        <v>54</v>
      </c>
      <c r="X70" s="15">
        <v>108</v>
      </c>
      <c r="Y70" s="53">
        <v>94.800640005900533</v>
      </c>
      <c r="Z70" s="53">
        <v>1150.6053247965758</v>
      </c>
      <c r="AA70" s="53">
        <v>7.9391908450454158</v>
      </c>
      <c r="AB70" s="27">
        <v>5.1821299446142E-4</v>
      </c>
      <c r="AC70" s="27"/>
      <c r="AD70" s="27"/>
      <c r="AE70" s="27"/>
      <c r="AF70" s="27"/>
      <c r="AG70" s="27"/>
    </row>
    <row r="71" spans="6:33" s="21" customFormat="1" ht="14.25" x14ac:dyDescent="0.45">
      <c r="F71" s="94">
        <v>1910</v>
      </c>
      <c r="G71" s="92">
        <v>5.49</v>
      </c>
      <c r="H71" s="54">
        <v>1</v>
      </c>
      <c r="I71" s="92">
        <v>2.12</v>
      </c>
      <c r="J71"/>
      <c r="K71"/>
      <c r="L71"/>
      <c r="M71"/>
      <c r="N71" s="15">
        <v>56</v>
      </c>
      <c r="O71" s="15">
        <v>55</v>
      </c>
      <c r="P71" s="15">
        <v>107</v>
      </c>
      <c r="Q71" s="53">
        <v>98.508609627191206</v>
      </c>
      <c r="R71" s="53">
        <v>1150.605259698953</v>
      </c>
      <c r="S71" s="53">
        <v>7.6811181209051682</v>
      </c>
      <c r="T71" s="27">
        <v>6.5539682980508829E-4</v>
      </c>
      <c r="U71" s="15"/>
      <c r="V71" s="15">
        <v>56</v>
      </c>
      <c r="W71" s="15">
        <v>55</v>
      </c>
      <c r="X71" s="15">
        <v>107</v>
      </c>
      <c r="Y71" s="53">
        <v>98.508609627191206</v>
      </c>
      <c r="Z71" s="53">
        <v>1150.605259698953</v>
      </c>
      <c r="AA71" s="53">
        <v>7.6811181209051682</v>
      </c>
      <c r="AB71" s="27">
        <v>6.5539682980508829E-4</v>
      </c>
      <c r="AC71" s="27"/>
      <c r="AD71" s="27"/>
      <c r="AE71" s="27"/>
      <c r="AF71" s="27"/>
      <c r="AG71" s="27"/>
    </row>
    <row r="72" spans="6:33" s="21" customFormat="1" ht="14.25" x14ac:dyDescent="0.45">
      <c r="F72" s="94">
        <v>1911</v>
      </c>
      <c r="G72" s="92">
        <v>4.0599999999999996</v>
      </c>
      <c r="H72" s="54">
        <v>1</v>
      </c>
      <c r="I72" s="92">
        <v>0.28000000000000003</v>
      </c>
      <c r="J72"/>
      <c r="K72"/>
      <c r="L72"/>
      <c r="M72"/>
      <c r="N72" s="15">
        <v>57</v>
      </c>
      <c r="O72" s="15">
        <v>56</v>
      </c>
      <c r="P72" s="15">
        <v>106</v>
      </c>
      <c r="Q72" s="53">
        <v>99.414107414461213</v>
      </c>
      <c r="R72" s="53">
        <v>1150.1984082991657</v>
      </c>
      <c r="S72" s="53">
        <v>7.6465288175247768</v>
      </c>
      <c r="T72" s="27">
        <v>6.7639106981487451E-4</v>
      </c>
      <c r="U72" s="15"/>
      <c r="V72" s="15">
        <v>57</v>
      </c>
      <c r="W72" s="15">
        <v>56</v>
      </c>
      <c r="X72" s="15">
        <v>106</v>
      </c>
      <c r="Y72" s="53">
        <v>99.414107414461213</v>
      </c>
      <c r="Z72" s="53">
        <v>1150.1984082991657</v>
      </c>
      <c r="AA72" s="53">
        <v>7.6465288175247768</v>
      </c>
      <c r="AB72" s="27">
        <v>6.7639106981487451E-4</v>
      </c>
      <c r="AC72" s="27"/>
      <c r="AD72" s="27"/>
      <c r="AE72" s="27"/>
      <c r="AF72" s="27"/>
      <c r="AG72" s="27"/>
    </row>
    <row r="73" spans="6:33" s="21" customFormat="1" ht="14.25" x14ac:dyDescent="0.45">
      <c r="F73" s="94">
        <v>1912</v>
      </c>
      <c r="G73" s="92">
        <v>3.86</v>
      </c>
      <c r="H73" s="54">
        <v>1</v>
      </c>
      <c r="I73" s="92">
        <v>2.82</v>
      </c>
      <c r="J73"/>
      <c r="K73"/>
      <c r="L73"/>
      <c r="M73"/>
      <c r="N73" s="15">
        <v>58</v>
      </c>
      <c r="O73" s="15">
        <v>57</v>
      </c>
      <c r="P73" s="15">
        <v>105</v>
      </c>
      <c r="Q73" s="53">
        <v>99.774038722425502</v>
      </c>
      <c r="R73" s="53">
        <v>1143.8847644525265</v>
      </c>
      <c r="S73" s="53">
        <v>8.061327895645384</v>
      </c>
      <c r="T73" s="27">
        <v>4.6381260353112186E-4</v>
      </c>
      <c r="U73" s="15"/>
      <c r="V73" s="15">
        <v>58</v>
      </c>
      <c r="W73" s="15">
        <v>57</v>
      </c>
      <c r="X73" s="15">
        <v>105</v>
      </c>
      <c r="Y73" s="53">
        <v>99.774038722425502</v>
      </c>
      <c r="Z73" s="53">
        <v>1143.8847644525265</v>
      </c>
      <c r="AA73" s="53">
        <v>8.061327895645384</v>
      </c>
      <c r="AB73" s="27">
        <v>4.6381260353112186E-4</v>
      </c>
      <c r="AC73" s="27"/>
      <c r="AD73" s="27"/>
      <c r="AE73" s="27"/>
      <c r="AF73" s="27"/>
      <c r="AG73" s="27"/>
    </row>
    <row r="74" spans="6:33" s="21" customFormat="1" ht="14.25" x14ac:dyDescent="0.45">
      <c r="F74" s="94">
        <v>1913</v>
      </c>
      <c r="G74" s="92">
        <v>3.54</v>
      </c>
      <c r="H74" s="54">
        <v>1</v>
      </c>
      <c r="I74" s="92">
        <v>0.64</v>
      </c>
      <c r="J74"/>
      <c r="K74"/>
      <c r="L74"/>
      <c r="M74"/>
      <c r="N74" s="15">
        <v>59</v>
      </c>
      <c r="O74" s="15">
        <v>58</v>
      </c>
      <c r="P74" s="15">
        <v>104</v>
      </c>
      <c r="Q74" s="53">
        <v>100.16562375837772</v>
      </c>
      <c r="R74" s="53">
        <v>1139.2643515131062</v>
      </c>
      <c r="S74" s="53">
        <v>8.3583736183272528</v>
      </c>
      <c r="T74" s="27">
        <v>3.5439007466642192E-4</v>
      </c>
      <c r="U74" s="15"/>
      <c r="V74" s="15">
        <v>59</v>
      </c>
      <c r="W74" s="15">
        <v>58</v>
      </c>
      <c r="X74" s="15">
        <v>104</v>
      </c>
      <c r="Y74" s="53">
        <v>100.16562375837772</v>
      </c>
      <c r="Z74" s="53">
        <v>1139.2643515131062</v>
      </c>
      <c r="AA74" s="53">
        <v>8.3583736183272528</v>
      </c>
      <c r="AB74" s="27">
        <v>3.5439007466642192E-4</v>
      </c>
      <c r="AC74" s="27"/>
      <c r="AD74" s="27"/>
      <c r="AE74" s="27"/>
      <c r="AF74" s="27"/>
      <c r="AG74" s="27"/>
    </row>
    <row r="75" spans="6:33" s="21" customFormat="1" ht="14.25" x14ac:dyDescent="0.45">
      <c r="F75" s="94">
        <v>1914</v>
      </c>
      <c r="G75" s="92">
        <v>2.09</v>
      </c>
      <c r="H75" s="54">
        <v>1</v>
      </c>
      <c r="I75" s="92">
        <v>2.5499999999999998</v>
      </c>
      <c r="J75"/>
      <c r="K75"/>
      <c r="L75"/>
      <c r="M75"/>
      <c r="N75" s="15">
        <v>60</v>
      </c>
      <c r="O75" s="15">
        <v>59</v>
      </c>
      <c r="P75" s="15">
        <v>103</v>
      </c>
      <c r="Q75" s="53">
        <v>101.30798649288506</v>
      </c>
      <c r="R75" s="53">
        <v>1130.1964647614129</v>
      </c>
      <c r="S75" s="53">
        <v>8.9205809960668851</v>
      </c>
      <c r="T75" s="27">
        <v>2.1349456089529828E-4</v>
      </c>
      <c r="U75" s="15"/>
      <c r="V75" s="15">
        <v>60</v>
      </c>
      <c r="W75" s="15">
        <v>59</v>
      </c>
      <c r="X75" s="15">
        <v>103</v>
      </c>
      <c r="Y75" s="53">
        <v>101.30798649288506</v>
      </c>
      <c r="Z75" s="53">
        <v>1130.1964647614129</v>
      </c>
      <c r="AA75" s="53">
        <v>8.9205809960668851</v>
      </c>
      <c r="AB75" s="27">
        <v>2.1349456089529828E-4</v>
      </c>
      <c r="AC75" s="27"/>
      <c r="AD75" s="27"/>
      <c r="AE75" s="27"/>
      <c r="AF75" s="27"/>
      <c r="AG75" s="27"/>
    </row>
    <row r="76" spans="6:33" s="21" customFormat="1" ht="14.25" x14ac:dyDescent="0.45">
      <c r="F76" s="94">
        <v>1915</v>
      </c>
      <c r="G76" s="92">
        <v>0.5</v>
      </c>
      <c r="H76" s="54">
        <v>1</v>
      </c>
      <c r="I76" s="92">
        <v>12.5</v>
      </c>
      <c r="J76"/>
      <c r="K76"/>
      <c r="L76"/>
      <c r="M76"/>
      <c r="N76" s="15">
        <v>61</v>
      </c>
      <c r="O76" s="15">
        <v>60</v>
      </c>
      <c r="P76" s="15">
        <v>102</v>
      </c>
      <c r="Q76" s="53">
        <v>106.8045460142889</v>
      </c>
      <c r="R76" s="53">
        <v>1113.7872162531933</v>
      </c>
      <c r="S76" s="53">
        <v>9.706634110310306</v>
      </c>
      <c r="T76" s="27">
        <v>1.0568376082803531E-4</v>
      </c>
      <c r="U76" s="15"/>
      <c r="V76" s="15">
        <v>61</v>
      </c>
      <c r="W76" s="15">
        <v>60</v>
      </c>
      <c r="X76" s="15">
        <v>102</v>
      </c>
      <c r="Y76" s="53">
        <v>106.8045460142889</v>
      </c>
      <c r="Z76" s="53">
        <v>1113.7872162531933</v>
      </c>
      <c r="AA76" s="53">
        <v>9.706634110310306</v>
      </c>
      <c r="AB76" s="27">
        <v>1.0568376082803531E-4</v>
      </c>
      <c r="AC76" s="27"/>
      <c r="AD76" s="27"/>
      <c r="AE76" s="27"/>
      <c r="AF76" s="27"/>
      <c r="AG76" s="27"/>
    </row>
    <row r="77" spans="6:33" s="21" customFormat="1" ht="14.25" x14ac:dyDescent="0.45">
      <c r="F77" s="94">
        <v>1916</v>
      </c>
      <c r="G77" s="92">
        <v>0.35</v>
      </c>
      <c r="H77" s="54">
        <v>1</v>
      </c>
      <c r="I77" s="92">
        <v>18.100000000000001</v>
      </c>
      <c r="J77"/>
      <c r="K77"/>
      <c r="L77"/>
      <c r="M77"/>
      <c r="N77" s="15">
        <v>62</v>
      </c>
      <c r="O77" s="15">
        <v>61</v>
      </c>
      <c r="P77" s="15">
        <v>101</v>
      </c>
      <c r="Q77" s="53">
        <v>114.0389108039783</v>
      </c>
      <c r="R77" s="53">
        <v>1102.7208147437677</v>
      </c>
      <c r="S77" s="53">
        <v>9.986004862035248</v>
      </c>
      <c r="T77" s="27">
        <v>8.2437573445320658E-5</v>
      </c>
      <c r="U77" s="15"/>
      <c r="V77" s="15">
        <v>62</v>
      </c>
      <c r="W77" s="15">
        <v>61</v>
      </c>
      <c r="X77" s="15">
        <v>101</v>
      </c>
      <c r="Y77" s="53">
        <v>114.0389108039783</v>
      </c>
      <c r="Z77" s="53">
        <v>1102.7208147437677</v>
      </c>
      <c r="AA77" s="53">
        <v>9.986004862035248</v>
      </c>
      <c r="AB77" s="27">
        <v>8.2437573445320658E-5</v>
      </c>
      <c r="AC77" s="27"/>
      <c r="AD77" s="27"/>
      <c r="AE77" s="27"/>
      <c r="AF77" s="27"/>
      <c r="AG77" s="27"/>
    </row>
    <row r="78" spans="6:33" s="21" customFormat="1" ht="14.25" x14ac:dyDescent="0.45">
      <c r="F78" s="94">
        <v>1917</v>
      </c>
      <c r="G78" s="92">
        <v>0.34</v>
      </c>
      <c r="H78" s="54">
        <v>1</v>
      </c>
      <c r="I78" s="92">
        <v>25.2</v>
      </c>
      <c r="J78"/>
      <c r="K78"/>
      <c r="L78"/>
      <c r="M78"/>
      <c r="N78" s="15">
        <v>63</v>
      </c>
      <c r="O78" s="15">
        <v>62</v>
      </c>
      <c r="P78" s="15">
        <v>100</v>
      </c>
      <c r="Q78" s="53">
        <v>115.95890557772553</v>
      </c>
      <c r="R78" s="53">
        <v>1097.4643244296331</v>
      </c>
      <c r="S78" s="53">
        <v>10.230685696419204</v>
      </c>
      <c r="T78" s="27">
        <v>6.6361472531800903E-5</v>
      </c>
      <c r="U78" s="15"/>
      <c r="V78" s="15">
        <v>63</v>
      </c>
      <c r="W78" s="15">
        <v>62</v>
      </c>
      <c r="X78" s="15">
        <v>100</v>
      </c>
      <c r="Y78" s="53">
        <v>115.95890557772553</v>
      </c>
      <c r="Z78" s="53">
        <v>1097.4643244296331</v>
      </c>
      <c r="AA78" s="53">
        <v>10.230685696419204</v>
      </c>
      <c r="AB78" s="27">
        <v>6.6361472531800903E-5</v>
      </c>
      <c r="AC78" s="27"/>
      <c r="AD78" s="27"/>
      <c r="AE78" s="27"/>
      <c r="AF78" s="27"/>
      <c r="AG78" s="27"/>
    </row>
    <row r="79" spans="6:33" s="21" customFormat="1" ht="14.25" x14ac:dyDescent="0.45">
      <c r="F79" s="94">
        <v>1918</v>
      </c>
      <c r="G79" s="92">
        <v>1.56</v>
      </c>
      <c r="H79" s="54">
        <v>1</v>
      </c>
      <c r="I79" s="92">
        <v>22</v>
      </c>
      <c r="J79"/>
      <c r="K79"/>
      <c r="L79"/>
      <c r="M79"/>
      <c r="N79" s="15">
        <v>64</v>
      </c>
      <c r="O79" s="15">
        <v>63</v>
      </c>
      <c r="P79" s="15">
        <v>99</v>
      </c>
      <c r="Q79" s="53">
        <v>115.96170584946185</v>
      </c>
      <c r="R79" s="53">
        <v>1096.7430330013499</v>
      </c>
      <c r="S79" s="53">
        <v>10.283552199296272</v>
      </c>
      <c r="T79" s="27">
        <v>6.3327861746137785E-5</v>
      </c>
      <c r="U79" s="15"/>
      <c r="V79" s="15">
        <v>64</v>
      </c>
      <c r="W79" s="15">
        <v>63</v>
      </c>
      <c r="X79" s="15">
        <v>99</v>
      </c>
      <c r="Y79" s="53">
        <v>115.96170584946185</v>
      </c>
      <c r="Z79" s="53">
        <v>1096.7430330013499</v>
      </c>
      <c r="AA79" s="53">
        <v>10.283552199296272</v>
      </c>
      <c r="AB79" s="27">
        <v>6.3327861746137785E-5</v>
      </c>
      <c r="AC79" s="27"/>
      <c r="AD79" s="27"/>
      <c r="AE79" s="27"/>
      <c r="AF79" s="27"/>
      <c r="AG79" s="27"/>
    </row>
    <row r="80" spans="6:33" s="21" customFormat="1" ht="14.25" x14ac:dyDescent="0.45">
      <c r="F80" s="94">
        <v>1919</v>
      </c>
      <c r="G80" s="92">
        <v>3.08</v>
      </c>
      <c r="H80" s="54">
        <v>1</v>
      </c>
      <c r="I80" s="92">
        <v>10.1</v>
      </c>
      <c r="J80"/>
      <c r="K80"/>
      <c r="L80"/>
      <c r="M80"/>
      <c r="N80" s="15">
        <v>65</v>
      </c>
      <c r="O80" s="15">
        <v>64</v>
      </c>
      <c r="P80" s="15">
        <v>98</v>
      </c>
      <c r="Q80" s="53">
        <v>116.36165195531343</v>
      </c>
      <c r="R80" s="53">
        <v>1096.5708516531863</v>
      </c>
      <c r="S80" s="53">
        <v>10.266786512358461</v>
      </c>
      <c r="T80" s="27">
        <v>6.427440000567E-5</v>
      </c>
      <c r="U80" s="15"/>
      <c r="V80" s="15">
        <v>65</v>
      </c>
      <c r="W80" s="15">
        <v>64</v>
      </c>
      <c r="X80" s="15">
        <v>98</v>
      </c>
      <c r="Y80" s="53">
        <v>116.36165195531343</v>
      </c>
      <c r="Z80" s="53">
        <v>1096.5708516531863</v>
      </c>
      <c r="AA80" s="53">
        <v>10.266786512358461</v>
      </c>
      <c r="AB80" s="27">
        <v>6.427440000567E-5</v>
      </c>
      <c r="AC80" s="27"/>
      <c r="AD80" s="27"/>
      <c r="AE80" s="27"/>
      <c r="AF80" s="27"/>
      <c r="AG80" s="27"/>
    </row>
    <row r="81" spans="6:33" s="21" customFormat="1" ht="14.25" x14ac:dyDescent="0.45">
      <c r="F81" s="94">
        <v>1920</v>
      </c>
      <c r="G81" s="92">
        <v>4.9800000000000004</v>
      </c>
      <c r="H81" s="54">
        <v>1</v>
      </c>
      <c r="I81" s="92">
        <v>15.4</v>
      </c>
      <c r="J81"/>
      <c r="K81"/>
      <c r="L81"/>
      <c r="M81"/>
      <c r="N81" s="15">
        <v>66</v>
      </c>
      <c r="O81" s="15">
        <v>65</v>
      </c>
      <c r="P81" s="15">
        <v>97</v>
      </c>
      <c r="Q81" s="53">
        <v>116.38465929805599</v>
      </c>
      <c r="R81" s="53">
        <v>1094.3180946780783</v>
      </c>
      <c r="S81" s="53">
        <v>10.43118903292322</v>
      </c>
      <c r="T81" s="27">
        <v>5.5578755816035594E-5</v>
      </c>
      <c r="U81" s="15"/>
      <c r="V81" s="15">
        <v>66</v>
      </c>
      <c r="W81" s="15">
        <v>65</v>
      </c>
      <c r="X81" s="15">
        <v>97</v>
      </c>
      <c r="Y81" s="53">
        <v>116.38465929805599</v>
      </c>
      <c r="Z81" s="53">
        <v>1094.3180946780783</v>
      </c>
      <c r="AA81" s="53">
        <v>10.43118903292322</v>
      </c>
      <c r="AB81" s="27">
        <v>5.5578755816035594E-5</v>
      </c>
      <c r="AC81" s="27"/>
      <c r="AD81" s="27"/>
      <c r="AE81" s="27"/>
      <c r="AF81" s="27"/>
      <c r="AG81" s="27"/>
    </row>
    <row r="82" spans="6:33" s="21" customFormat="1" ht="14.25" x14ac:dyDescent="0.45">
      <c r="F82" s="94">
        <v>1921</v>
      </c>
      <c r="G82" s="92">
        <v>11.81</v>
      </c>
      <c r="H82" s="54">
        <v>1</v>
      </c>
      <c r="I82" s="92">
        <v>-8.6</v>
      </c>
      <c r="J82"/>
      <c r="K82"/>
      <c r="L82"/>
      <c r="M82"/>
      <c r="N82" s="15">
        <v>67</v>
      </c>
      <c r="O82" s="15">
        <v>66</v>
      </c>
      <c r="P82" s="15">
        <v>96</v>
      </c>
      <c r="Q82" s="53">
        <v>123.95260213273451</v>
      </c>
      <c r="R82" s="53">
        <v>1091.9145662936417</v>
      </c>
      <c r="S82" s="53">
        <v>10.051328685561682</v>
      </c>
      <c r="T82" s="27">
        <v>7.7794396929900048E-5</v>
      </c>
      <c r="U82" s="15"/>
      <c r="V82" s="15">
        <v>67</v>
      </c>
      <c r="W82" s="15">
        <v>66</v>
      </c>
      <c r="X82" s="15">
        <v>96</v>
      </c>
      <c r="Y82" s="53">
        <v>123.95260213273451</v>
      </c>
      <c r="Z82" s="53">
        <v>1091.9145662936417</v>
      </c>
      <c r="AA82" s="53">
        <v>10.051328685561682</v>
      </c>
      <c r="AB82" s="27">
        <v>7.7794396929900048E-5</v>
      </c>
      <c r="AC82" s="27"/>
      <c r="AD82" s="27"/>
      <c r="AE82" s="27"/>
      <c r="AF82" s="27"/>
      <c r="AG82" s="27"/>
    </row>
    <row r="83" spans="6:33" s="21" customFormat="1" ht="14.25" x14ac:dyDescent="0.45">
      <c r="F83" s="94">
        <v>1922</v>
      </c>
      <c r="G83" s="92">
        <v>8.58</v>
      </c>
      <c r="H83" s="54">
        <v>1</v>
      </c>
      <c r="I83" s="92">
        <v>-14</v>
      </c>
      <c r="J83"/>
      <c r="K83"/>
      <c r="L83"/>
      <c r="M83"/>
      <c r="N83" s="15">
        <v>68</v>
      </c>
      <c r="O83" s="15">
        <v>67</v>
      </c>
      <c r="P83" s="15">
        <v>95</v>
      </c>
      <c r="Q83" s="53">
        <v>158.01394315575533</v>
      </c>
      <c r="R83" s="53">
        <v>1081.0337630113249</v>
      </c>
      <c r="S83" s="53">
        <v>8.3853252902273887</v>
      </c>
      <c r="T83" s="27">
        <v>3.4585825104371803E-4</v>
      </c>
      <c r="U83" s="15"/>
      <c r="V83" s="15">
        <v>68</v>
      </c>
      <c r="W83" s="15">
        <v>67</v>
      </c>
      <c r="X83" s="15">
        <v>95</v>
      </c>
      <c r="Y83" s="53">
        <v>158.01394315575533</v>
      </c>
      <c r="Z83" s="53">
        <v>1081.0337630113249</v>
      </c>
      <c r="AA83" s="53">
        <v>8.3853252902273887</v>
      </c>
      <c r="AB83" s="27">
        <v>3.4585825104371803E-4</v>
      </c>
      <c r="AC83" s="27"/>
      <c r="AD83" s="27"/>
      <c r="AE83" s="27"/>
      <c r="AF83" s="27"/>
      <c r="AG83" s="27"/>
    </row>
    <row r="84" spans="6:33" s="21" customFormat="1" ht="14.25" x14ac:dyDescent="0.45">
      <c r="F84" s="94">
        <v>1923</v>
      </c>
      <c r="G84" s="92">
        <v>7.4</v>
      </c>
      <c r="H84" s="54">
        <v>1</v>
      </c>
      <c r="I84" s="92">
        <v>-6</v>
      </c>
      <c r="J84"/>
      <c r="K84"/>
      <c r="L84"/>
      <c r="M84"/>
      <c r="N84" s="15">
        <v>69</v>
      </c>
      <c r="O84" s="15">
        <v>68</v>
      </c>
      <c r="P84" s="15">
        <v>94</v>
      </c>
      <c r="Q84" s="53">
        <v>160.1121472557225</v>
      </c>
      <c r="R84" s="53">
        <v>1080.0869779334034</v>
      </c>
      <c r="S84" s="53">
        <v>8.3041954750685054</v>
      </c>
      <c r="T84" s="27">
        <v>3.7219125061815905E-4</v>
      </c>
      <c r="U84" s="15"/>
      <c r="V84" s="15">
        <v>69</v>
      </c>
      <c r="W84" s="15">
        <v>68</v>
      </c>
      <c r="X84" s="15">
        <v>94</v>
      </c>
      <c r="Y84" s="53">
        <v>160.1121472557225</v>
      </c>
      <c r="Z84" s="53">
        <v>1080.0869779334034</v>
      </c>
      <c r="AA84" s="53">
        <v>8.3041954750685054</v>
      </c>
      <c r="AB84" s="27">
        <v>3.7219125061815905E-4</v>
      </c>
      <c r="AC84" s="27"/>
      <c r="AD84" s="27"/>
      <c r="AE84" s="27"/>
      <c r="AF84" s="27"/>
      <c r="AG84" s="27"/>
    </row>
    <row r="85" spans="6:33" s="21" customFormat="1" ht="14.25" x14ac:dyDescent="0.45">
      <c r="F85" s="94">
        <v>1924</v>
      </c>
      <c r="G85" s="92">
        <v>7.3</v>
      </c>
      <c r="H85" s="54">
        <v>1</v>
      </c>
      <c r="I85" s="92">
        <v>-0.7</v>
      </c>
      <c r="J85"/>
      <c r="K85"/>
      <c r="L85"/>
      <c r="M85"/>
      <c r="N85" s="15">
        <v>70</v>
      </c>
      <c r="O85" s="15">
        <v>69</v>
      </c>
      <c r="P85" s="15">
        <v>93</v>
      </c>
      <c r="Q85" s="53">
        <v>162.61419137299592</v>
      </c>
      <c r="R85" s="53">
        <v>1079.7626697443056</v>
      </c>
      <c r="S85" s="53">
        <v>8.1511618110355588</v>
      </c>
      <c r="T85" s="27">
        <v>4.2752243328569861E-4</v>
      </c>
      <c r="U85" s="15"/>
      <c r="V85" s="15">
        <v>70</v>
      </c>
      <c r="W85" s="15">
        <v>69</v>
      </c>
      <c r="X85" s="15">
        <v>93</v>
      </c>
      <c r="Y85" s="53">
        <v>162.61419137299592</v>
      </c>
      <c r="Z85" s="53">
        <v>1079.7626697443056</v>
      </c>
      <c r="AA85" s="53">
        <v>8.1511618110355588</v>
      </c>
      <c r="AB85" s="27">
        <v>4.2752243328569861E-4</v>
      </c>
      <c r="AC85" s="27"/>
      <c r="AD85" s="27"/>
      <c r="AE85" s="27"/>
      <c r="AF85" s="27"/>
      <c r="AG85" s="27"/>
    </row>
    <row r="86" spans="6:33" s="21" customFormat="1" ht="14.25" x14ac:dyDescent="0.45">
      <c r="F86" s="94">
        <v>1925</v>
      </c>
      <c r="G86" s="92">
        <v>7.89</v>
      </c>
      <c r="H86" s="54">
        <v>1</v>
      </c>
      <c r="I86" s="92">
        <v>0.3</v>
      </c>
      <c r="J86"/>
      <c r="K86"/>
      <c r="L86"/>
      <c r="M86"/>
      <c r="N86" s="15">
        <v>71</v>
      </c>
      <c r="O86" s="15">
        <v>70</v>
      </c>
      <c r="P86" s="15">
        <v>92</v>
      </c>
      <c r="Q86" s="53">
        <v>168.36341487526613</v>
      </c>
      <c r="R86" s="53">
        <v>1079.5639755755039</v>
      </c>
      <c r="S86" s="53">
        <v>7.7635310211518069</v>
      </c>
      <c r="T86" s="27">
        <v>6.0799495150309912E-4</v>
      </c>
      <c r="U86" s="15"/>
      <c r="V86" s="15">
        <v>71</v>
      </c>
      <c r="W86" s="15">
        <v>70</v>
      </c>
      <c r="X86" s="15">
        <v>92</v>
      </c>
      <c r="Y86" s="53">
        <v>168.36341487526613</v>
      </c>
      <c r="Z86" s="53">
        <v>1079.5639755755039</v>
      </c>
      <c r="AA86" s="53">
        <v>7.7635310211518069</v>
      </c>
      <c r="AB86" s="27">
        <v>6.0799495150309912E-4</v>
      </c>
      <c r="AC86" s="27"/>
      <c r="AD86" s="27"/>
      <c r="AE86" s="27"/>
      <c r="AF86" s="27"/>
      <c r="AG86" s="27"/>
    </row>
    <row r="87" spans="6:33" s="21" customFormat="1" ht="14.25" x14ac:dyDescent="0.45">
      <c r="F87" s="94">
        <v>1926</v>
      </c>
      <c r="G87" s="92">
        <v>8.1199999999999992</v>
      </c>
      <c r="H87" s="54">
        <v>1</v>
      </c>
      <c r="I87" s="92">
        <v>-0.8</v>
      </c>
      <c r="J87"/>
      <c r="K87"/>
      <c r="L87"/>
      <c r="M87"/>
      <c r="N87" s="15">
        <v>72</v>
      </c>
      <c r="O87" s="15">
        <v>71</v>
      </c>
      <c r="P87" s="15">
        <v>91</v>
      </c>
      <c r="Q87" s="53">
        <v>178.15736985934944</v>
      </c>
      <c r="R87" s="53">
        <v>1077.9647501131244</v>
      </c>
      <c r="S87" s="53">
        <v>7.1975003321278059</v>
      </c>
      <c r="T87" s="27">
        <v>1.0196735225195264E-3</v>
      </c>
      <c r="U87" s="15"/>
      <c r="V87" s="15">
        <v>72</v>
      </c>
      <c r="W87" s="15">
        <v>71</v>
      </c>
      <c r="X87" s="15">
        <v>91</v>
      </c>
      <c r="Y87" s="53">
        <v>178.15736985934944</v>
      </c>
      <c r="Z87" s="53">
        <v>1077.9647501131244</v>
      </c>
      <c r="AA87" s="53">
        <v>7.1975003321278059</v>
      </c>
      <c r="AB87" s="27">
        <v>1.0196735225195264E-3</v>
      </c>
      <c r="AC87" s="27"/>
      <c r="AD87" s="27"/>
      <c r="AE87" s="27"/>
      <c r="AF87" s="27"/>
      <c r="AG87" s="27"/>
    </row>
    <row r="88" spans="6:33" s="21" customFormat="1" ht="14.25" x14ac:dyDescent="0.45">
      <c r="F88" s="94">
        <v>1927</v>
      </c>
      <c r="G88" s="92">
        <v>6.81</v>
      </c>
      <c r="H88" s="54">
        <v>1</v>
      </c>
      <c r="I88" s="92">
        <v>-2.4</v>
      </c>
      <c r="J88"/>
      <c r="K88"/>
      <c r="L88"/>
      <c r="M88"/>
      <c r="N88" s="15">
        <v>73</v>
      </c>
      <c r="O88" s="15">
        <v>72</v>
      </c>
      <c r="P88" s="15">
        <v>90</v>
      </c>
      <c r="Q88" s="53">
        <v>187.83648800461341</v>
      </c>
      <c r="R88" s="53">
        <v>1076.2941133657991</v>
      </c>
      <c r="S88" s="53">
        <v>6.6514245728587085</v>
      </c>
      <c r="T88" s="27">
        <v>1.6846417184083196E-3</v>
      </c>
      <c r="U88" s="15"/>
      <c r="V88" s="15">
        <v>73</v>
      </c>
      <c r="W88" s="15">
        <v>72</v>
      </c>
      <c r="X88" s="15">
        <v>90</v>
      </c>
      <c r="Y88" s="53">
        <v>187.83648800461341</v>
      </c>
      <c r="Z88" s="53">
        <v>1076.2941133657991</v>
      </c>
      <c r="AA88" s="53">
        <v>6.6514245728587085</v>
      </c>
      <c r="AB88" s="27">
        <v>1.6846417184083196E-3</v>
      </c>
      <c r="AC88" s="27"/>
      <c r="AD88" s="27"/>
      <c r="AE88" s="27"/>
      <c r="AF88" s="27"/>
      <c r="AG88" s="27"/>
    </row>
    <row r="89" spans="6:33" s="21" customFormat="1" ht="14.25" x14ac:dyDescent="0.45">
      <c r="F89" s="94">
        <v>1928</v>
      </c>
      <c r="G89" s="92">
        <v>7.45</v>
      </c>
      <c r="H89" s="54">
        <v>1</v>
      </c>
      <c r="I89" s="92">
        <v>-0.3</v>
      </c>
      <c r="J89"/>
      <c r="K89"/>
      <c r="L89"/>
      <c r="M89"/>
      <c r="N89" s="15">
        <v>74</v>
      </c>
      <c r="O89" s="15">
        <v>73</v>
      </c>
      <c r="P89" s="15">
        <v>89</v>
      </c>
      <c r="Q89" s="53">
        <v>189.98778097546335</v>
      </c>
      <c r="R89" s="53">
        <v>1076.1809466999869</v>
      </c>
      <c r="S89" s="53">
        <v>6.5135531994230531</v>
      </c>
      <c r="T89" s="27">
        <v>1.9132819723922667E-3</v>
      </c>
      <c r="U89" s="15"/>
      <c r="V89" s="15">
        <v>74</v>
      </c>
      <c r="W89" s="15">
        <v>73</v>
      </c>
      <c r="X89" s="15">
        <v>89</v>
      </c>
      <c r="Y89" s="53">
        <v>189.98778097546335</v>
      </c>
      <c r="Z89" s="53">
        <v>1076.1809466999869</v>
      </c>
      <c r="AA89" s="53">
        <v>6.5135531994230531</v>
      </c>
      <c r="AB89" s="27">
        <v>1.9132819723922667E-3</v>
      </c>
      <c r="AC89" s="27"/>
      <c r="AD89" s="27"/>
      <c r="AE89" s="27"/>
      <c r="AF89" s="27"/>
      <c r="AG89" s="27"/>
    </row>
    <row r="90" spans="6:33" s="21" customFormat="1" ht="14.25" x14ac:dyDescent="0.45">
      <c r="F90" s="94">
        <v>1929</v>
      </c>
      <c r="G90" s="92">
        <v>7.98</v>
      </c>
      <c r="H90" s="54">
        <v>1</v>
      </c>
      <c r="I90" s="92">
        <v>-0.9</v>
      </c>
      <c r="J90"/>
      <c r="K90"/>
      <c r="L90"/>
      <c r="M90"/>
      <c r="N90" s="15">
        <v>75</v>
      </c>
      <c r="O90" s="15">
        <v>74</v>
      </c>
      <c r="P90" s="15">
        <v>88</v>
      </c>
      <c r="Q90" s="53">
        <v>196.09010736803654</v>
      </c>
      <c r="R90" s="53">
        <v>1075.6324273400869</v>
      </c>
      <c r="S90" s="53">
        <v>6.1401024189374764</v>
      </c>
      <c r="T90" s="27">
        <v>2.7035905407924998E-3</v>
      </c>
      <c r="U90" s="15"/>
      <c r="V90" s="15">
        <v>75</v>
      </c>
      <c r="W90" s="15">
        <v>74</v>
      </c>
      <c r="X90" s="15">
        <v>88</v>
      </c>
      <c r="Y90" s="53">
        <v>196.09010736803654</v>
      </c>
      <c r="Z90" s="53">
        <v>1075.6324273400869</v>
      </c>
      <c r="AA90" s="53">
        <v>6.1401024189374764</v>
      </c>
      <c r="AB90" s="27">
        <v>2.7035905407924998E-3</v>
      </c>
      <c r="AC90" s="27"/>
      <c r="AD90" s="27"/>
      <c r="AE90" s="27"/>
      <c r="AF90" s="27"/>
      <c r="AG90" s="27"/>
    </row>
    <row r="91" spans="6:33" s="21" customFormat="1" ht="14.25" x14ac:dyDescent="0.45">
      <c r="F91" s="94">
        <v>1930</v>
      </c>
      <c r="G91" s="92">
        <v>13.67</v>
      </c>
      <c r="H91" s="54">
        <v>1</v>
      </c>
      <c r="I91" s="92">
        <v>-2.8</v>
      </c>
      <c r="J91"/>
      <c r="K91"/>
      <c r="L91"/>
      <c r="M91"/>
      <c r="N91" s="15">
        <v>76</v>
      </c>
      <c r="O91" s="15">
        <v>75</v>
      </c>
      <c r="P91" s="15">
        <v>87</v>
      </c>
      <c r="Q91" s="53">
        <v>204.20398007153457</v>
      </c>
      <c r="R91" s="53">
        <v>1074.2579831260825</v>
      </c>
      <c r="S91" s="53">
        <v>5.6912852868223833</v>
      </c>
      <c r="T91" s="27">
        <v>4.1046962948015908E-3</v>
      </c>
      <c r="U91" s="15"/>
      <c r="V91" s="15">
        <v>76</v>
      </c>
      <c r="W91" s="15">
        <v>75</v>
      </c>
      <c r="X91" s="15">
        <v>87</v>
      </c>
      <c r="Y91" s="53">
        <v>204.20398007153457</v>
      </c>
      <c r="Z91" s="53">
        <v>1074.2579831260825</v>
      </c>
      <c r="AA91" s="53">
        <v>5.6912852868223833</v>
      </c>
      <c r="AB91" s="27">
        <v>4.1046962948015908E-3</v>
      </c>
      <c r="AC91" s="27"/>
      <c r="AD91" s="27"/>
      <c r="AE91" s="27"/>
      <c r="AF91" s="27"/>
      <c r="AG91" s="27"/>
    </row>
    <row r="92" spans="6:33" s="21" customFormat="1" ht="14.25" x14ac:dyDescent="0.45">
      <c r="F92" s="94">
        <v>1931</v>
      </c>
      <c r="G92" s="92">
        <v>15.16</v>
      </c>
      <c r="H92" s="54">
        <v>1</v>
      </c>
      <c r="I92" s="92">
        <v>-4.3</v>
      </c>
      <c r="J92"/>
      <c r="K92"/>
      <c r="L92"/>
      <c r="M92"/>
      <c r="N92" s="15">
        <v>77</v>
      </c>
      <c r="O92" s="15">
        <v>76</v>
      </c>
      <c r="P92" s="15">
        <v>86</v>
      </c>
      <c r="Q92" s="53">
        <v>269.50101184370237</v>
      </c>
      <c r="R92" s="53">
        <v>1030.2470763031044</v>
      </c>
      <c r="S92" s="53">
        <v>4.304286300508692</v>
      </c>
      <c r="T92" s="27">
        <v>1.5129330922467488E-2</v>
      </c>
      <c r="U92" s="15"/>
      <c r="V92" s="15">
        <v>77</v>
      </c>
      <c r="W92" s="15">
        <v>76</v>
      </c>
      <c r="X92" s="15">
        <v>86</v>
      </c>
      <c r="Y92" s="53">
        <v>269.50101184370237</v>
      </c>
      <c r="Z92" s="53">
        <v>1030.2470763031044</v>
      </c>
      <c r="AA92" s="53">
        <v>4.304286300508692</v>
      </c>
      <c r="AB92" s="27">
        <v>1.5129330922467488E-2</v>
      </c>
      <c r="AC92" s="27"/>
      <c r="AD92" s="27"/>
      <c r="AE92" s="27"/>
      <c r="AF92" s="27"/>
      <c r="AG92" s="27"/>
    </row>
    <row r="93" spans="6:33" s="21" customFormat="1" ht="14.25" x14ac:dyDescent="0.45">
      <c r="F93" s="94">
        <v>1932</v>
      </c>
      <c r="G93" s="92">
        <v>15.19</v>
      </c>
      <c r="H93" s="54">
        <v>1</v>
      </c>
      <c r="I93" s="92">
        <v>-2.6</v>
      </c>
      <c r="J93"/>
      <c r="K93"/>
      <c r="L93"/>
      <c r="M93"/>
      <c r="N93" s="15">
        <v>78</v>
      </c>
      <c r="O93" s="15">
        <v>77</v>
      </c>
      <c r="P93" s="15">
        <v>85</v>
      </c>
      <c r="Q93" s="53">
        <v>352.12652429535058</v>
      </c>
      <c r="R93" s="53">
        <v>962.3004386308188</v>
      </c>
      <c r="S93" s="53">
        <v>3.3739849435834537</v>
      </c>
      <c r="T93" s="27">
        <v>3.6738735631767327E-2</v>
      </c>
      <c r="U93" s="15"/>
      <c r="V93" s="15">
        <v>78</v>
      </c>
      <c r="W93" s="15">
        <v>77</v>
      </c>
      <c r="X93" s="15">
        <v>85</v>
      </c>
      <c r="Y93" s="53">
        <v>352.12652429535058</v>
      </c>
      <c r="Z93" s="53">
        <v>962.3004386308188</v>
      </c>
      <c r="AA93" s="53">
        <v>3.3739849435834537</v>
      </c>
      <c r="AB93" s="27">
        <v>3.6738735631767327E-2</v>
      </c>
      <c r="AC93" s="27"/>
      <c r="AD93" s="27"/>
      <c r="AE93" s="27"/>
      <c r="AF93" s="27"/>
      <c r="AG93" s="27"/>
    </row>
    <row r="94" spans="6:33" s="21" customFormat="1" ht="14.25" x14ac:dyDescent="0.45">
      <c r="F94" s="94">
        <v>1933</v>
      </c>
      <c r="G94" s="92">
        <v>12.65</v>
      </c>
      <c r="H94" s="54">
        <v>1</v>
      </c>
      <c r="I94" s="92">
        <v>-2.1</v>
      </c>
      <c r="J94"/>
      <c r="K94"/>
      <c r="L94"/>
      <c r="M94"/>
      <c r="N94" s="15">
        <v>79</v>
      </c>
      <c r="O94" s="15">
        <v>78</v>
      </c>
      <c r="P94" s="15">
        <v>84</v>
      </c>
      <c r="Q94" s="53">
        <v>438.79414435088495</v>
      </c>
      <c r="R94" s="53">
        <v>882.39436167156168</v>
      </c>
      <c r="S94" s="53">
        <v>2.9524135730566505</v>
      </c>
      <c r="T94" s="27">
        <v>5.5101330221834277E-2</v>
      </c>
      <c r="U94" s="15"/>
      <c r="V94" s="15">
        <v>79</v>
      </c>
      <c r="W94" s="15">
        <v>78</v>
      </c>
      <c r="X94" s="15">
        <v>84</v>
      </c>
      <c r="Y94" s="53">
        <v>438.79414435088495</v>
      </c>
      <c r="Z94" s="53">
        <v>882.39436167156168</v>
      </c>
      <c r="AA94" s="53">
        <v>2.9524135730566505</v>
      </c>
      <c r="AB94" s="27">
        <v>5.5101330221834277E-2</v>
      </c>
      <c r="AC94" s="27"/>
      <c r="AD94" s="27"/>
      <c r="AE94" s="27"/>
      <c r="AF94" s="27"/>
      <c r="AG94" s="27"/>
    </row>
    <row r="95" spans="6:33" s="21" customFormat="1" ht="14.25" x14ac:dyDescent="0.45">
      <c r="F95" s="94">
        <v>1934</v>
      </c>
      <c r="G95" s="92">
        <v>11.24</v>
      </c>
      <c r="H95" s="54">
        <v>1</v>
      </c>
      <c r="I95" s="92">
        <v>0</v>
      </c>
      <c r="J95"/>
      <c r="K95"/>
      <c r="L95"/>
      <c r="M95"/>
      <c r="N95" s="15">
        <v>80</v>
      </c>
      <c r="O95" s="15">
        <v>79</v>
      </c>
      <c r="P95" s="15">
        <v>83</v>
      </c>
      <c r="Q95" s="53">
        <v>484.39073161319624</v>
      </c>
      <c r="R95" s="53">
        <v>836.30190246381449</v>
      </c>
      <c r="S95" s="53">
        <v>2.9831837172242559</v>
      </c>
      <c r="T95" s="27">
        <v>5.349123476839901E-2</v>
      </c>
      <c r="U95" s="15"/>
      <c r="V95" s="15">
        <v>80</v>
      </c>
      <c r="W95" s="15">
        <v>79</v>
      </c>
      <c r="X95" s="15">
        <v>83</v>
      </c>
      <c r="Y95" s="53">
        <v>484.39073161319624</v>
      </c>
      <c r="Z95" s="53">
        <v>836.30190246381449</v>
      </c>
      <c r="AA95" s="53">
        <v>2.9831837172242559</v>
      </c>
      <c r="AB95" s="27">
        <v>5.349123476839901E-2</v>
      </c>
      <c r="AC95" s="27"/>
      <c r="AD95" s="27"/>
      <c r="AE95" s="27"/>
      <c r="AF95" s="27"/>
      <c r="AG95" s="27"/>
    </row>
    <row r="96" spans="6:33" s="21" customFormat="1" ht="14.25" x14ac:dyDescent="0.45">
      <c r="F96" s="94">
        <v>1935</v>
      </c>
      <c r="G96" s="92">
        <v>10.09</v>
      </c>
      <c r="H96" s="54">
        <v>1</v>
      </c>
      <c r="I96" s="92">
        <v>0.7</v>
      </c>
      <c r="J96"/>
      <c r="K96"/>
      <c r="L96"/>
      <c r="M96"/>
      <c r="N96" s="15">
        <v>81</v>
      </c>
      <c r="O96" s="15">
        <v>80</v>
      </c>
      <c r="P96" s="15">
        <v>82</v>
      </c>
      <c r="Q96" s="53">
        <v>517.47715973151708</v>
      </c>
      <c r="R96" s="53">
        <v>803.4568296772519</v>
      </c>
      <c r="S96" s="53">
        <v>2.9682041053259272</v>
      </c>
      <c r="T96" s="27">
        <v>5.4269027092570532E-2</v>
      </c>
      <c r="U96" s="15"/>
      <c r="V96" s="15">
        <v>81</v>
      </c>
      <c r="W96" s="15">
        <v>80</v>
      </c>
      <c r="X96" s="15">
        <v>82</v>
      </c>
      <c r="Y96" s="53">
        <v>517.47715973151708</v>
      </c>
      <c r="Z96" s="53">
        <v>803.4568296772519</v>
      </c>
      <c r="AA96" s="53">
        <v>2.9682041053259272</v>
      </c>
      <c r="AB96" s="27">
        <v>5.4269027092570532E-2</v>
      </c>
      <c r="AC96" s="27"/>
      <c r="AD96" s="27"/>
      <c r="AE96" s="27"/>
      <c r="AF96" s="27"/>
      <c r="AG96" s="27"/>
    </row>
    <row r="97" spans="6:33" s="21" customFormat="1" ht="14.25" x14ac:dyDescent="0.45">
      <c r="F97" s="94">
        <v>1936</v>
      </c>
      <c r="G97" s="92">
        <v>8.19</v>
      </c>
      <c r="H97" s="54">
        <v>1</v>
      </c>
      <c r="I97" s="92">
        <v>0.7</v>
      </c>
      <c r="J97"/>
      <c r="K97"/>
      <c r="L97"/>
      <c r="M97"/>
      <c r="N97" s="15">
        <v>82</v>
      </c>
      <c r="O97" s="15">
        <v>81</v>
      </c>
      <c r="P97" s="15">
        <v>81</v>
      </c>
      <c r="Q97" s="53">
        <v>539.60106632419809</v>
      </c>
      <c r="R97" s="53">
        <v>780.91375058083861</v>
      </c>
      <c r="S97" s="53">
        <v>2.9942233645583136</v>
      </c>
      <c r="T97" s="27">
        <v>5.292525214262056E-2</v>
      </c>
      <c r="U97" s="15"/>
      <c r="V97" s="15">
        <v>82</v>
      </c>
      <c r="W97" s="15">
        <v>81</v>
      </c>
      <c r="X97" s="15">
        <v>81</v>
      </c>
      <c r="Y97" s="53">
        <v>539.60106632419809</v>
      </c>
      <c r="Z97" s="53">
        <v>780.91375058083861</v>
      </c>
      <c r="AA97" s="53">
        <v>2.9942233645583136</v>
      </c>
      <c r="AB97" s="27">
        <v>5.292525214262056E-2</v>
      </c>
      <c r="AC97" s="27"/>
      <c r="AD97" s="27"/>
      <c r="AE97" s="27"/>
      <c r="AF97" s="27"/>
      <c r="AG97" s="27"/>
    </row>
    <row r="98" spans="6:33" s="21" customFormat="1" ht="14.25" x14ac:dyDescent="0.45">
      <c r="F98" s="94">
        <v>1937</v>
      </c>
      <c r="G98" s="92">
        <v>8.4</v>
      </c>
      <c r="H98" s="54">
        <v>1</v>
      </c>
      <c r="I98" s="92">
        <v>3.4</v>
      </c>
      <c r="J98"/>
      <c r="K98"/>
      <c r="L98"/>
      <c r="M98"/>
      <c r="N98" s="15">
        <v>83</v>
      </c>
      <c r="O98" s="15">
        <v>82</v>
      </c>
      <c r="P98" s="15">
        <v>80</v>
      </c>
      <c r="Q98" s="53">
        <v>547.20493417421892</v>
      </c>
      <c r="R98" s="53">
        <v>772.25875336517959</v>
      </c>
      <c r="S98" s="53">
        <v>3.0595427339392995</v>
      </c>
      <c r="T98" s="27">
        <v>4.9698341667781087E-2</v>
      </c>
      <c r="U98" s="15"/>
      <c r="V98" s="15">
        <v>83</v>
      </c>
      <c r="W98" s="15">
        <v>82</v>
      </c>
      <c r="X98" s="15">
        <v>80</v>
      </c>
      <c r="Y98" s="53">
        <v>547.20493417421892</v>
      </c>
      <c r="Z98" s="53">
        <v>772.25875336517959</v>
      </c>
      <c r="AA98" s="53">
        <v>3.0595427339392995</v>
      </c>
      <c r="AB98" s="27">
        <v>4.9698341667781087E-2</v>
      </c>
      <c r="AC98" s="27"/>
      <c r="AD98" s="27"/>
      <c r="AE98" s="27"/>
      <c r="AF98" s="27"/>
      <c r="AG98" s="27"/>
    </row>
    <row r="99" spans="6:33" s="21" customFormat="1" ht="14.25" x14ac:dyDescent="0.45">
      <c r="F99" s="94">
        <v>1938</v>
      </c>
      <c r="G99" s="92">
        <v>8.2799999999999994</v>
      </c>
      <c r="H99" s="54">
        <v>1</v>
      </c>
      <c r="I99" s="92">
        <v>1.6</v>
      </c>
      <c r="J99"/>
      <c r="K99"/>
      <c r="L99"/>
      <c r="M99"/>
      <c r="N99" s="15">
        <v>84</v>
      </c>
      <c r="O99" s="15">
        <v>83</v>
      </c>
      <c r="P99" s="15">
        <v>79</v>
      </c>
      <c r="Q99" s="53">
        <v>559.95135583773151</v>
      </c>
      <c r="R99" s="53">
        <v>761.57075083728648</v>
      </c>
      <c r="S99" s="53">
        <v>2.9317257778925216</v>
      </c>
      <c r="T99" s="27">
        <v>5.6211360075201444E-2</v>
      </c>
      <c r="U99" s="15"/>
      <c r="V99" s="15">
        <v>84</v>
      </c>
      <c r="W99" s="15">
        <v>83</v>
      </c>
      <c r="X99" s="15">
        <v>79</v>
      </c>
      <c r="Y99" s="53">
        <v>559.95135583773151</v>
      </c>
      <c r="Z99" s="53">
        <v>761.57075083728648</v>
      </c>
      <c r="AA99" s="53">
        <v>2.9317257778925216</v>
      </c>
      <c r="AB99" s="27">
        <v>5.6211360075201444E-2</v>
      </c>
      <c r="AC99" s="27"/>
      <c r="AD99" s="27"/>
      <c r="AE99" s="27"/>
      <c r="AF99" s="27"/>
      <c r="AG99" s="27"/>
    </row>
    <row r="100" spans="6:33" s="21" customFormat="1" ht="14.25" x14ac:dyDescent="0.45">
      <c r="F100" s="94">
        <v>1939</v>
      </c>
      <c r="G100" s="92">
        <v>4.18</v>
      </c>
      <c r="H100" s="54">
        <v>1</v>
      </c>
      <c r="I100" s="92">
        <v>2.8</v>
      </c>
      <c r="J100"/>
      <c r="K100"/>
      <c r="L100"/>
      <c r="M100"/>
      <c r="N100" s="15">
        <v>85</v>
      </c>
      <c r="O100" s="15">
        <v>84</v>
      </c>
      <c r="P100" s="15">
        <v>78</v>
      </c>
      <c r="Q100" s="53">
        <v>568.83991826659997</v>
      </c>
      <c r="R100" s="53">
        <v>751.49439440878427</v>
      </c>
      <c r="S100" s="53">
        <v>3.0054328771660499</v>
      </c>
      <c r="T100" s="27">
        <v>5.2356764721952165E-2</v>
      </c>
      <c r="U100" s="15"/>
      <c r="V100" s="15">
        <v>85</v>
      </c>
      <c r="W100" s="15">
        <v>84</v>
      </c>
      <c r="X100" s="15">
        <v>78</v>
      </c>
      <c r="Y100" s="53">
        <v>568.83991826659997</v>
      </c>
      <c r="Z100" s="53">
        <v>751.49439440878427</v>
      </c>
      <c r="AA100" s="53">
        <v>3.0054328771660499</v>
      </c>
      <c r="AB100" s="27">
        <v>5.2356764721952165E-2</v>
      </c>
      <c r="AC100" s="27"/>
      <c r="AD100" s="27"/>
      <c r="AE100" s="27"/>
      <c r="AF100" s="27"/>
      <c r="AG100" s="27"/>
    </row>
    <row r="101" spans="6:33" s="21" customFormat="1" ht="14.25" x14ac:dyDescent="0.45">
      <c r="F101" s="94">
        <v>1940</v>
      </c>
      <c r="G101" s="92">
        <v>1.96</v>
      </c>
      <c r="H101" s="54">
        <v>1</v>
      </c>
      <c r="I101" s="92">
        <v>16.8</v>
      </c>
      <c r="J101"/>
      <c r="K101"/>
      <c r="L101"/>
      <c r="M101"/>
      <c r="N101" s="15">
        <v>86</v>
      </c>
      <c r="O101" s="15">
        <v>85</v>
      </c>
      <c r="P101" s="15">
        <v>77</v>
      </c>
      <c r="Q101" s="53">
        <v>569.56125775770215</v>
      </c>
      <c r="R101" s="53">
        <v>750.70678378125695</v>
      </c>
      <c r="S101" s="53">
        <v>3.009549157390087</v>
      </c>
      <c r="T101" s="27">
        <v>5.2149564351763655E-2</v>
      </c>
      <c r="U101" s="15"/>
      <c r="V101" s="15">
        <v>86</v>
      </c>
      <c r="W101" s="15">
        <v>85</v>
      </c>
      <c r="X101" s="15">
        <v>77</v>
      </c>
      <c r="Y101" s="53">
        <v>569.56125775770215</v>
      </c>
      <c r="Z101" s="53">
        <v>750.70678378125695</v>
      </c>
      <c r="AA101" s="53">
        <v>3.009549157390087</v>
      </c>
      <c r="AB101" s="27">
        <v>5.2149564351763655E-2</v>
      </c>
      <c r="AC101" s="27"/>
      <c r="AD101" s="27"/>
      <c r="AE101" s="27"/>
      <c r="AF101" s="27"/>
      <c r="AG101" s="27"/>
    </row>
    <row r="102" spans="6:33" s="21" customFormat="1" ht="14.25" x14ac:dyDescent="0.45">
      <c r="F102" s="94">
        <v>1941</v>
      </c>
      <c r="G102" s="92">
        <v>0.56000000000000005</v>
      </c>
      <c r="H102" s="54">
        <v>1</v>
      </c>
      <c r="I102" s="92">
        <v>10.8</v>
      </c>
      <c r="J102"/>
      <c r="K102"/>
      <c r="L102"/>
      <c r="M102"/>
      <c r="N102" s="15">
        <v>87</v>
      </c>
      <c r="O102" s="15">
        <v>86</v>
      </c>
      <c r="P102" s="15">
        <v>76</v>
      </c>
      <c r="Q102" s="53">
        <v>569.61039191538316</v>
      </c>
      <c r="R102" s="53">
        <v>740.9661545275651</v>
      </c>
      <c r="S102" s="53">
        <v>3.6159961029287273</v>
      </c>
      <c r="T102" s="27">
        <v>2.9138881233488956E-2</v>
      </c>
      <c r="U102" s="15"/>
      <c r="V102" s="15">
        <v>87</v>
      </c>
      <c r="W102" s="15">
        <v>86</v>
      </c>
      <c r="X102" s="15">
        <v>76</v>
      </c>
      <c r="Y102" s="53">
        <v>569.61039191538316</v>
      </c>
      <c r="Z102" s="53">
        <v>740.9661545275651</v>
      </c>
      <c r="AA102" s="53">
        <v>3.6159961029287273</v>
      </c>
      <c r="AB102" s="27">
        <v>2.9138881233488956E-2</v>
      </c>
      <c r="AC102" s="27"/>
      <c r="AD102" s="27"/>
      <c r="AE102" s="27"/>
      <c r="AF102" s="27"/>
      <c r="AG102" s="27"/>
    </row>
    <row r="103" spans="6:33" s="21" customFormat="1" ht="14.25" x14ac:dyDescent="0.45">
      <c r="F103" s="94">
        <v>1942</v>
      </c>
      <c r="G103" s="92">
        <v>0.31</v>
      </c>
      <c r="H103" s="54">
        <v>1</v>
      </c>
      <c r="I103" s="92">
        <v>7.1</v>
      </c>
      <c r="J103"/>
      <c r="K103"/>
      <c r="L103"/>
      <c r="M103"/>
      <c r="N103" s="15">
        <v>88</v>
      </c>
      <c r="O103" s="15">
        <v>87</v>
      </c>
      <c r="P103" s="15">
        <v>75</v>
      </c>
      <c r="Q103" s="53">
        <v>576.06046730809635</v>
      </c>
      <c r="R103" s="53">
        <v>718.853226825364</v>
      </c>
      <c r="S103" s="53">
        <v>4.6152921573482617</v>
      </c>
      <c r="T103" s="27">
        <v>1.1271169969178096E-2</v>
      </c>
      <c r="U103" s="15"/>
      <c r="V103" s="15">
        <v>88</v>
      </c>
      <c r="W103" s="15">
        <v>87</v>
      </c>
      <c r="X103" s="15">
        <v>75</v>
      </c>
      <c r="Y103" s="53">
        <v>576.06046730809635</v>
      </c>
      <c r="Z103" s="53">
        <v>718.853226825364</v>
      </c>
      <c r="AA103" s="53">
        <v>4.6152921573482617</v>
      </c>
      <c r="AB103" s="27">
        <v>1.1271169969178096E-2</v>
      </c>
      <c r="AC103" s="27"/>
      <c r="AD103" s="27"/>
      <c r="AE103" s="27"/>
      <c r="AF103" s="27"/>
      <c r="AG103" s="27"/>
    </row>
    <row r="104" spans="6:33" s="21" customFormat="1" ht="14.25" x14ac:dyDescent="0.45">
      <c r="F104" s="94">
        <v>1943</v>
      </c>
      <c r="G104" s="92">
        <v>0.32</v>
      </c>
      <c r="H104" s="54">
        <v>1</v>
      </c>
      <c r="I104" s="92">
        <v>3.4</v>
      </c>
      <c r="J104"/>
      <c r="K104"/>
      <c r="L104"/>
      <c r="M104"/>
      <c r="N104" s="15">
        <v>89</v>
      </c>
      <c r="O104" s="15">
        <v>88</v>
      </c>
      <c r="P104" s="15">
        <v>74</v>
      </c>
      <c r="Q104" s="53">
        <v>588.95832110302888</v>
      </c>
      <c r="R104" s="53">
        <v>694.27669739293765</v>
      </c>
      <c r="S104" s="53">
        <v>5.3762719166011772</v>
      </c>
      <c r="T104" s="27">
        <v>5.5097759275255509E-3</v>
      </c>
      <c r="U104" s="15"/>
      <c r="V104" s="15">
        <v>89</v>
      </c>
      <c r="W104" s="15">
        <v>88</v>
      </c>
      <c r="X104" s="15">
        <v>74</v>
      </c>
      <c r="Y104" s="53">
        <v>588.95832110302888</v>
      </c>
      <c r="Z104" s="53">
        <v>694.27669739293765</v>
      </c>
      <c r="AA104" s="53">
        <v>5.3762719166011772</v>
      </c>
      <c r="AB104" s="27">
        <v>5.5097759275255509E-3</v>
      </c>
      <c r="AC104" s="27"/>
      <c r="AD104" s="27"/>
      <c r="AE104" s="27"/>
      <c r="AF104" s="27"/>
      <c r="AG104" s="27"/>
    </row>
    <row r="105" spans="6:33" s="21" customFormat="1" ht="14.25" x14ac:dyDescent="0.45">
      <c r="F105" s="94">
        <v>1944</v>
      </c>
      <c r="G105" s="92">
        <v>0.14000000000000001</v>
      </c>
      <c r="H105" s="54">
        <v>1</v>
      </c>
      <c r="I105" s="92">
        <v>2.7</v>
      </c>
      <c r="J105"/>
      <c r="K105"/>
      <c r="L105"/>
      <c r="M105"/>
      <c r="N105" s="15">
        <v>90</v>
      </c>
      <c r="O105" s="15">
        <v>89</v>
      </c>
      <c r="P105" s="15">
        <v>73</v>
      </c>
      <c r="Q105" s="53">
        <v>608.61873004941742</v>
      </c>
      <c r="R105" s="53">
        <v>670.59059581093413</v>
      </c>
      <c r="S105" s="53">
        <v>5.641805422031843</v>
      </c>
      <c r="T105" s="27">
        <v>4.2986458036496922E-3</v>
      </c>
      <c r="U105" s="15"/>
      <c r="V105" s="15">
        <v>90</v>
      </c>
      <c r="W105" s="15">
        <v>89</v>
      </c>
      <c r="X105" s="15">
        <v>73</v>
      </c>
      <c r="Y105" s="53">
        <v>608.61873004941742</v>
      </c>
      <c r="Z105" s="53">
        <v>670.59059581093413</v>
      </c>
      <c r="AA105" s="53">
        <v>5.641805422031843</v>
      </c>
      <c r="AB105" s="27">
        <v>4.2986458036496922E-3</v>
      </c>
      <c r="AC105" s="27"/>
      <c r="AD105" s="27"/>
      <c r="AE105" s="27"/>
      <c r="AF105" s="27"/>
      <c r="AG105" s="27"/>
    </row>
    <row r="106" spans="6:33" s="21" customFormat="1" ht="14.25" x14ac:dyDescent="0.45">
      <c r="F106" s="94">
        <v>1945</v>
      </c>
      <c r="G106" s="92">
        <v>1.25</v>
      </c>
      <c r="H106" s="54">
        <v>1</v>
      </c>
      <c r="I106" s="92">
        <v>2.8</v>
      </c>
      <c r="J106"/>
      <c r="K106"/>
      <c r="L106"/>
      <c r="M106"/>
      <c r="N106" s="15">
        <v>91</v>
      </c>
      <c r="O106" s="15">
        <v>90</v>
      </c>
      <c r="P106" s="15">
        <v>72</v>
      </c>
      <c r="Q106" s="53">
        <v>631.02883487091708</v>
      </c>
      <c r="R106" s="53">
        <v>644.55498563156073</v>
      </c>
      <c r="S106" s="53">
        <v>5.8823770835137141</v>
      </c>
      <c r="T106" s="27">
        <v>3.4352241968484964E-3</v>
      </c>
      <c r="U106" s="15"/>
      <c r="V106" s="15">
        <v>91</v>
      </c>
      <c r="W106" s="15">
        <v>90</v>
      </c>
      <c r="X106" s="15">
        <v>72</v>
      </c>
      <c r="Y106" s="53">
        <v>631.02883487091708</v>
      </c>
      <c r="Z106" s="53">
        <v>644.55498563156073</v>
      </c>
      <c r="AA106" s="53">
        <v>5.8823770835137141</v>
      </c>
      <c r="AB106" s="27">
        <v>3.4352241968484964E-3</v>
      </c>
      <c r="AC106" s="27"/>
      <c r="AD106" s="27"/>
      <c r="AE106" s="27"/>
      <c r="AF106" s="27"/>
      <c r="AG106" s="27"/>
    </row>
    <row r="107" spans="6:33" s="21" customFormat="1" ht="14.25" x14ac:dyDescent="0.45">
      <c r="F107" s="94">
        <v>1946</v>
      </c>
      <c r="G107" s="92">
        <v>1.82</v>
      </c>
      <c r="H107" s="54">
        <v>1</v>
      </c>
      <c r="I107" s="92">
        <v>3.1</v>
      </c>
      <c r="J107"/>
      <c r="K107"/>
      <c r="L107"/>
      <c r="M107"/>
      <c r="N107" s="15">
        <v>92</v>
      </c>
      <c r="O107" s="15">
        <v>91</v>
      </c>
      <c r="P107" s="15">
        <v>71</v>
      </c>
      <c r="Q107" s="53">
        <v>643.62606993510519</v>
      </c>
      <c r="R107" s="53">
        <v>627.94024860001912</v>
      </c>
      <c r="S107" s="53">
        <v>6.1505621651377114</v>
      </c>
      <c r="T107" s="27">
        <v>2.677479592663734E-3</v>
      </c>
      <c r="U107" s="15"/>
      <c r="V107" s="15">
        <v>92</v>
      </c>
      <c r="W107" s="15">
        <v>91</v>
      </c>
      <c r="X107" s="15">
        <v>71</v>
      </c>
      <c r="Y107" s="53">
        <v>643.62606993510519</v>
      </c>
      <c r="Z107" s="53">
        <v>627.94024860001912</v>
      </c>
      <c r="AA107" s="53">
        <v>6.1505621651377114</v>
      </c>
      <c r="AB107" s="27">
        <v>2.677479592663734E-3</v>
      </c>
      <c r="AC107" s="27"/>
      <c r="AD107" s="27"/>
      <c r="AE107" s="27"/>
      <c r="AF107" s="27"/>
      <c r="AG107" s="27"/>
    </row>
    <row r="108" spans="6:33" s="21" customFormat="1" ht="14.25" x14ac:dyDescent="0.45">
      <c r="F108" s="94">
        <v>1947</v>
      </c>
      <c r="G108" s="92">
        <v>1.27</v>
      </c>
      <c r="H108" s="54">
        <v>1</v>
      </c>
      <c r="I108" s="92">
        <v>7</v>
      </c>
      <c r="J108"/>
      <c r="K108"/>
      <c r="L108"/>
      <c r="M108"/>
      <c r="N108" s="15">
        <v>93</v>
      </c>
      <c r="O108" s="15">
        <v>92</v>
      </c>
      <c r="P108" s="15">
        <v>70</v>
      </c>
      <c r="Q108" s="53">
        <v>651.82868346955252</v>
      </c>
      <c r="R108" s="53">
        <v>615.13167028783232</v>
      </c>
      <c r="S108" s="53">
        <v>6.4601223569576067</v>
      </c>
      <c r="T108" s="27">
        <v>2.0101242358082638E-3</v>
      </c>
      <c r="U108" s="15"/>
      <c r="V108" s="15">
        <v>93</v>
      </c>
      <c r="W108" s="15">
        <v>92</v>
      </c>
      <c r="X108" s="15">
        <v>70</v>
      </c>
      <c r="Y108" s="53">
        <v>651.82868346955252</v>
      </c>
      <c r="Z108" s="53">
        <v>615.13167028783232</v>
      </c>
      <c r="AA108" s="53">
        <v>6.4601223569576067</v>
      </c>
      <c r="AB108" s="27">
        <v>2.0101242358082638E-3</v>
      </c>
      <c r="AC108" s="27"/>
      <c r="AD108" s="27"/>
      <c r="AE108" s="27"/>
      <c r="AF108" s="27"/>
      <c r="AG108" s="27"/>
    </row>
    <row r="109" spans="6:33" s="21" customFormat="1" ht="14.25" x14ac:dyDescent="0.45">
      <c r="F109" s="94">
        <v>1948</v>
      </c>
      <c r="G109" s="92">
        <v>1.6</v>
      </c>
      <c r="H109" s="54">
        <v>1</v>
      </c>
      <c r="I109" s="92">
        <v>7.7</v>
      </c>
      <c r="J109"/>
      <c r="K109"/>
      <c r="L109"/>
      <c r="M109"/>
      <c r="N109" s="15">
        <v>94</v>
      </c>
      <c r="O109" s="15">
        <v>93</v>
      </c>
      <c r="P109" s="15">
        <v>69</v>
      </c>
      <c r="Q109" s="53">
        <v>657.420616276994</v>
      </c>
      <c r="R109" s="53">
        <v>596.95686161596836</v>
      </c>
      <c r="S109" s="53">
        <v>7.3173875183046073</v>
      </c>
      <c r="T109" s="27">
        <v>9.1364082641565147E-4</v>
      </c>
      <c r="U109" s="15"/>
      <c r="V109" s="15">
        <v>94</v>
      </c>
      <c r="W109" s="15">
        <v>93</v>
      </c>
      <c r="X109" s="15">
        <v>69</v>
      </c>
      <c r="Y109" s="53">
        <v>657.420616276994</v>
      </c>
      <c r="Z109" s="53">
        <v>596.95686161596836</v>
      </c>
      <c r="AA109" s="53">
        <v>7.3173875183046073</v>
      </c>
      <c r="AB109" s="27">
        <v>9.1364082641565147E-4</v>
      </c>
      <c r="AC109" s="27"/>
      <c r="AD109" s="27"/>
      <c r="AE109" s="27"/>
      <c r="AF109" s="27"/>
      <c r="AG109" s="27"/>
    </row>
    <row r="110" spans="6:33" s="21" customFormat="1" ht="14.25" x14ac:dyDescent="0.45">
      <c r="F110" s="94">
        <v>1949</v>
      </c>
      <c r="G110" s="92">
        <v>1.65</v>
      </c>
      <c r="H110" s="54">
        <v>1</v>
      </c>
      <c r="I110" s="92">
        <v>2.8</v>
      </c>
      <c r="J110"/>
      <c r="K110"/>
      <c r="L110"/>
      <c r="M110"/>
      <c r="N110" s="15">
        <v>95</v>
      </c>
      <c r="O110" s="15">
        <v>94</v>
      </c>
      <c r="P110" s="15">
        <v>68</v>
      </c>
      <c r="Q110" s="53">
        <v>660.67825151958971</v>
      </c>
      <c r="R110" s="53">
        <v>580.72833444133312</v>
      </c>
      <c r="S110" s="53">
        <v>8.2192785812469467</v>
      </c>
      <c r="T110" s="27">
        <v>4.0193283753531261E-4</v>
      </c>
      <c r="U110" s="15"/>
      <c r="V110" s="15">
        <v>95</v>
      </c>
      <c r="W110" s="15">
        <v>94</v>
      </c>
      <c r="X110" s="15">
        <v>68</v>
      </c>
      <c r="Y110" s="53">
        <v>660.67825151958971</v>
      </c>
      <c r="Z110" s="53">
        <v>580.72833444133312</v>
      </c>
      <c r="AA110" s="53">
        <v>8.2192785812469467</v>
      </c>
      <c r="AB110" s="27">
        <v>4.0193283753531261E-4</v>
      </c>
      <c r="AC110" s="27"/>
      <c r="AD110" s="27"/>
      <c r="AE110" s="27"/>
      <c r="AF110" s="27"/>
      <c r="AG110" s="27"/>
    </row>
    <row r="111" spans="6:33" s="21" customFormat="1" ht="14.25" x14ac:dyDescent="0.45">
      <c r="F111" s="94">
        <v>1950</v>
      </c>
      <c r="G111" s="92">
        <v>1.71</v>
      </c>
      <c r="H111" s="54">
        <v>1</v>
      </c>
      <c r="I111" s="92">
        <v>3.92</v>
      </c>
      <c r="J111"/>
      <c r="K111"/>
      <c r="L111"/>
      <c r="M111"/>
      <c r="N111" s="15">
        <v>96</v>
      </c>
      <c r="O111" s="15">
        <v>95</v>
      </c>
      <c r="P111" s="15">
        <v>67</v>
      </c>
      <c r="Q111" s="53">
        <v>669.80195203594315</v>
      </c>
      <c r="R111" s="53">
        <v>565.54200591825713</v>
      </c>
      <c r="S111" s="53">
        <v>8.6473197252927552</v>
      </c>
      <c r="T111" s="27">
        <v>2.7301572810689567E-4</v>
      </c>
      <c r="U111" s="15"/>
      <c r="V111" s="15">
        <v>96</v>
      </c>
      <c r="W111" s="15">
        <v>95</v>
      </c>
      <c r="X111" s="15">
        <v>67</v>
      </c>
      <c r="Y111" s="53">
        <v>669.80195203594315</v>
      </c>
      <c r="Z111" s="53">
        <v>565.54200591825713</v>
      </c>
      <c r="AA111" s="53">
        <v>8.6473197252927552</v>
      </c>
      <c r="AB111" s="27">
        <v>2.7301572810689567E-4</v>
      </c>
      <c r="AC111" s="27"/>
      <c r="AD111" s="27"/>
      <c r="AE111" s="27"/>
      <c r="AF111" s="27"/>
      <c r="AG111" s="27"/>
    </row>
    <row r="112" spans="6:33" s="21" customFormat="1" ht="14.25" x14ac:dyDescent="0.45">
      <c r="F112" s="94">
        <v>1951</v>
      </c>
      <c r="G112" s="92">
        <v>1.86</v>
      </c>
      <c r="H112" s="54">
        <v>1</v>
      </c>
      <c r="I112" s="92">
        <v>9.0500000000000007</v>
      </c>
      <c r="J112"/>
      <c r="K112"/>
      <c r="L112"/>
      <c r="M112"/>
      <c r="N112" s="15">
        <v>97</v>
      </c>
      <c r="O112" s="15">
        <v>96</v>
      </c>
      <c r="P112" s="15">
        <v>66</v>
      </c>
      <c r="Q112" s="53">
        <v>676.70716808002089</v>
      </c>
      <c r="R112" s="53">
        <v>550.07281380127188</v>
      </c>
      <c r="S112" s="53">
        <v>9.2591731628022309</v>
      </c>
      <c r="T112" s="27">
        <v>1.5758384889394972E-4</v>
      </c>
      <c r="U112" s="15"/>
      <c r="V112" s="15">
        <v>97</v>
      </c>
      <c r="W112" s="15">
        <v>96</v>
      </c>
      <c r="X112" s="15">
        <v>66</v>
      </c>
      <c r="Y112" s="53">
        <v>676.70716808002089</v>
      </c>
      <c r="Z112" s="53">
        <v>550.07281380127188</v>
      </c>
      <c r="AA112" s="53">
        <v>9.2591731628022309</v>
      </c>
      <c r="AB112" s="27">
        <v>1.5758384889394972E-4</v>
      </c>
      <c r="AC112" s="27"/>
      <c r="AD112" s="27"/>
      <c r="AE112" s="27"/>
      <c r="AF112" s="27"/>
      <c r="AG112" s="27"/>
    </row>
    <row r="113" spans="6:33" s="21" customFormat="1" ht="14.25" x14ac:dyDescent="0.45">
      <c r="F113" s="94">
        <v>1952</v>
      </c>
      <c r="G113" s="92">
        <v>2.34</v>
      </c>
      <c r="H113" s="54">
        <v>1</v>
      </c>
      <c r="I113" s="92">
        <v>10.65</v>
      </c>
      <c r="J113"/>
      <c r="K113"/>
      <c r="L113"/>
      <c r="M113"/>
      <c r="N113" s="15">
        <v>98</v>
      </c>
      <c r="O113" s="15">
        <v>97</v>
      </c>
      <c r="P113" s="15">
        <v>65</v>
      </c>
      <c r="Q113" s="53">
        <v>677.83975020991227</v>
      </c>
      <c r="R113" s="53">
        <v>534.17543551392657</v>
      </c>
      <c r="S113" s="53">
        <v>10.334348388429417</v>
      </c>
      <c r="T113" s="27">
        <v>6.0545346328606673E-5</v>
      </c>
      <c r="U113" s="15"/>
      <c r="V113" s="15">
        <v>98</v>
      </c>
      <c r="W113" s="15">
        <v>97</v>
      </c>
      <c r="X113" s="15">
        <v>65</v>
      </c>
      <c r="Y113" s="53">
        <v>677.83975020991227</v>
      </c>
      <c r="Z113" s="53">
        <v>534.17543551392657</v>
      </c>
      <c r="AA113" s="53">
        <v>10.334348388429417</v>
      </c>
      <c r="AB113" s="27">
        <v>6.0545346328606673E-5</v>
      </c>
      <c r="AC113" s="27"/>
      <c r="AD113" s="27"/>
      <c r="AE113" s="27"/>
      <c r="AF113" s="27"/>
      <c r="AG113" s="27"/>
    </row>
    <row r="114" spans="6:33" s="21" customFormat="1" ht="14.25" x14ac:dyDescent="0.45">
      <c r="F114" s="94">
        <v>1953</v>
      </c>
      <c r="G114" s="92">
        <v>1.91</v>
      </c>
      <c r="H114" s="54">
        <v>1</v>
      </c>
      <c r="I114" s="92">
        <v>3.63</v>
      </c>
      <c r="J114"/>
      <c r="K114"/>
      <c r="L114"/>
      <c r="M114"/>
      <c r="N114" s="15">
        <v>99</v>
      </c>
      <c r="O114" s="15">
        <v>98</v>
      </c>
      <c r="P114" s="15">
        <v>64</v>
      </c>
      <c r="Q114" s="53">
        <v>677.85717240886356</v>
      </c>
      <c r="R114" s="53">
        <v>520.49199752018455</v>
      </c>
      <c r="S114" s="53">
        <v>11.353120418092447</v>
      </c>
      <c r="T114" s="27">
        <v>2.4719000052689591E-5</v>
      </c>
      <c r="U114" s="15"/>
      <c r="V114" s="15">
        <v>99</v>
      </c>
      <c r="W114" s="15">
        <v>98</v>
      </c>
      <c r="X114" s="15">
        <v>64</v>
      </c>
      <c r="Y114" s="53">
        <v>677.85717240886356</v>
      </c>
      <c r="Z114" s="53">
        <v>520.49199752018455</v>
      </c>
      <c r="AA114" s="53">
        <v>11.353120418092447</v>
      </c>
      <c r="AB114" s="27">
        <v>2.4719000052689591E-5</v>
      </c>
      <c r="AC114" s="27"/>
      <c r="AD114" s="27"/>
      <c r="AE114" s="27"/>
      <c r="AF114" s="27"/>
      <c r="AG114" s="27"/>
    </row>
    <row r="115" spans="6:33" s="21" customFormat="1" ht="14.25" x14ac:dyDescent="0.45">
      <c r="F115" s="94">
        <v>1954</v>
      </c>
      <c r="G115" s="92">
        <v>1.64</v>
      </c>
      <c r="H115" s="54">
        <v>1</v>
      </c>
      <c r="I115" s="92">
        <v>2.29</v>
      </c>
      <c r="J115"/>
      <c r="K115"/>
      <c r="L115"/>
      <c r="M115"/>
      <c r="N115" s="15">
        <v>100</v>
      </c>
      <c r="O115" s="15">
        <v>99</v>
      </c>
      <c r="P115" s="15">
        <v>63</v>
      </c>
      <c r="Q115" s="53">
        <v>683.89405475979822</v>
      </c>
      <c r="R115" s="53">
        <v>505.51137335794033</v>
      </c>
      <c r="S115" s="53">
        <v>12.032531291594504</v>
      </c>
      <c r="T115" s="27">
        <v>1.3677518285412805E-5</v>
      </c>
      <c r="U115" s="15"/>
      <c r="V115" s="15">
        <v>100</v>
      </c>
      <c r="W115" s="15">
        <v>99</v>
      </c>
      <c r="X115" s="15">
        <v>63</v>
      </c>
      <c r="Y115" s="53">
        <v>683.89405475979822</v>
      </c>
      <c r="Z115" s="53">
        <v>505.51137335794033</v>
      </c>
      <c r="AA115" s="53">
        <v>12.032531291594504</v>
      </c>
      <c r="AB115" s="27">
        <v>1.3677518285412805E-5</v>
      </c>
      <c r="AC115" s="27"/>
      <c r="AD115" s="27"/>
      <c r="AE115" s="27"/>
      <c r="AF115" s="27"/>
      <c r="AG115" s="27"/>
    </row>
    <row r="116" spans="6:33" s="21" customFormat="1" ht="14.25" x14ac:dyDescent="0.45">
      <c r="F116" s="94">
        <v>1955</v>
      </c>
      <c r="G116" s="92">
        <v>1.51</v>
      </c>
      <c r="H116" s="54">
        <v>1</v>
      </c>
      <c r="I116" s="92">
        <v>5.07</v>
      </c>
      <c r="J116"/>
      <c r="K116"/>
      <c r="L116"/>
      <c r="M116"/>
      <c r="N116" s="15">
        <v>101</v>
      </c>
      <c r="O116" s="15">
        <v>100</v>
      </c>
      <c r="P116" s="15">
        <v>62</v>
      </c>
      <c r="Q116" s="53">
        <v>693.28358818893332</v>
      </c>
      <c r="R116" s="53">
        <v>488.27262620299558</v>
      </c>
      <c r="S116" s="53">
        <v>12.637270859129096</v>
      </c>
      <c r="T116" s="27">
        <v>8.1066352766762924E-6</v>
      </c>
      <c r="U116" s="15"/>
      <c r="V116" s="15">
        <v>101</v>
      </c>
      <c r="W116" s="15">
        <v>100</v>
      </c>
      <c r="X116" s="15">
        <v>62</v>
      </c>
      <c r="Y116" s="53">
        <v>693.28358818893332</v>
      </c>
      <c r="Z116" s="53">
        <v>488.27262620299558</v>
      </c>
      <c r="AA116" s="53">
        <v>12.637270859129096</v>
      </c>
      <c r="AB116" s="27">
        <v>8.1066352766762924E-6</v>
      </c>
      <c r="AC116" s="27"/>
      <c r="AD116" s="27"/>
      <c r="AE116" s="27"/>
      <c r="AF116" s="27"/>
      <c r="AG116" s="27"/>
    </row>
    <row r="117" spans="6:33" s="21" customFormat="1" ht="14.25" x14ac:dyDescent="0.45">
      <c r="F117" s="94">
        <v>1956</v>
      </c>
      <c r="G117" s="92">
        <v>1.75</v>
      </c>
      <c r="H117" s="54">
        <v>1</v>
      </c>
      <c r="I117" s="92">
        <v>5.16</v>
      </c>
      <c r="J117"/>
      <c r="K117"/>
      <c r="L117"/>
      <c r="M117"/>
      <c r="N117" s="15">
        <v>102</v>
      </c>
      <c r="O117" s="15">
        <v>101</v>
      </c>
      <c r="P117" s="15">
        <v>61</v>
      </c>
      <c r="Q117" s="53">
        <v>699.04197888204362</v>
      </c>
      <c r="R117" s="53">
        <v>468.24847282004089</v>
      </c>
      <c r="S117" s="53">
        <v>13.757193974849892</v>
      </c>
      <c r="T117" s="27">
        <v>3.1051289376683445E-6</v>
      </c>
      <c r="U117" s="15"/>
      <c r="V117" s="15">
        <v>102</v>
      </c>
      <c r="W117" s="15">
        <v>101</v>
      </c>
      <c r="X117" s="15">
        <v>61</v>
      </c>
      <c r="Y117" s="53">
        <v>699.04197888204362</v>
      </c>
      <c r="Z117" s="53">
        <v>468.24847282004089</v>
      </c>
      <c r="AA117" s="53">
        <v>13.757193974849892</v>
      </c>
      <c r="AB117" s="27">
        <v>3.1051289376683445E-6</v>
      </c>
      <c r="AC117" s="27"/>
      <c r="AD117" s="27"/>
      <c r="AE117" s="27"/>
      <c r="AF117" s="27"/>
      <c r="AG117" s="27"/>
    </row>
    <row r="118" spans="6:33" s="21" customFormat="1" ht="14.25" x14ac:dyDescent="0.45">
      <c r="F118" s="94">
        <v>1957</v>
      </c>
      <c r="G118" s="92">
        <v>2.1</v>
      </c>
      <c r="H118" s="54">
        <v>1</v>
      </c>
      <c r="I118" s="92">
        <v>3.84</v>
      </c>
      <c r="J118"/>
      <c r="K118"/>
      <c r="L118"/>
      <c r="M118"/>
      <c r="N118" s="15">
        <v>103</v>
      </c>
      <c r="O118" s="15">
        <v>102</v>
      </c>
      <c r="P118" s="15">
        <v>60</v>
      </c>
      <c r="Q118" s="53">
        <v>703.47062735964778</v>
      </c>
      <c r="R118" s="53">
        <v>449.66601262874303</v>
      </c>
      <c r="S118" s="53">
        <v>14.89571287459086</v>
      </c>
      <c r="T118" s="27">
        <v>1.1844722550501044E-6</v>
      </c>
      <c r="U118" s="15"/>
      <c r="V118" s="15">
        <v>103</v>
      </c>
      <c r="W118" s="15">
        <v>102</v>
      </c>
      <c r="X118" s="15">
        <v>60</v>
      </c>
      <c r="Y118" s="53">
        <v>703.47062735964778</v>
      </c>
      <c r="Z118" s="53">
        <v>449.66601262874303</v>
      </c>
      <c r="AA118" s="53">
        <v>14.89571287459086</v>
      </c>
      <c r="AB118" s="27">
        <v>1.1844722550501044E-6</v>
      </c>
      <c r="AC118" s="27"/>
      <c r="AD118" s="27"/>
      <c r="AE118" s="27"/>
      <c r="AF118" s="27"/>
      <c r="AG118" s="27"/>
    </row>
    <row r="119" spans="6:33" s="21" customFormat="1" ht="14.25" x14ac:dyDescent="0.45">
      <c r="F119" s="94">
        <v>1958</v>
      </c>
      <c r="G119" s="92">
        <v>2.74</v>
      </c>
      <c r="H119" s="54">
        <v>1</v>
      </c>
      <c r="I119" s="92">
        <v>2.88</v>
      </c>
      <c r="J119"/>
      <c r="K119"/>
      <c r="L119"/>
      <c r="M119"/>
      <c r="N119" s="15">
        <v>104</v>
      </c>
      <c r="O119" s="15">
        <v>103</v>
      </c>
      <c r="P119" s="15">
        <v>59</v>
      </c>
      <c r="Q119" s="53">
        <v>707.86758672597773</v>
      </c>
      <c r="R119" s="53">
        <v>433.85483153789232</v>
      </c>
      <c r="S119" s="53">
        <v>15.834423079968312</v>
      </c>
      <c r="T119" s="27">
        <v>5.3979106989946334E-7</v>
      </c>
      <c r="U119" s="15"/>
      <c r="V119" s="15">
        <v>104</v>
      </c>
      <c r="W119" s="15">
        <v>103</v>
      </c>
      <c r="X119" s="15">
        <v>59</v>
      </c>
      <c r="Y119" s="53">
        <v>707.86758672597773</v>
      </c>
      <c r="Z119" s="53">
        <v>433.85483153789232</v>
      </c>
      <c r="AA119" s="53">
        <v>15.834423079968312</v>
      </c>
      <c r="AB119" s="27">
        <v>5.3979106989946334E-7</v>
      </c>
      <c r="AC119" s="27"/>
      <c r="AD119" s="27"/>
      <c r="AE119" s="27"/>
      <c r="AF119" s="27"/>
      <c r="AG119" s="27"/>
    </row>
    <row r="120" spans="6:33" s="21" customFormat="1" ht="14.25" x14ac:dyDescent="0.45">
      <c r="F120" s="94">
        <v>1959</v>
      </c>
      <c r="G120" s="92">
        <v>2.39</v>
      </c>
      <c r="H120" s="54">
        <v>1</v>
      </c>
      <c r="I120" s="92">
        <v>0.6</v>
      </c>
      <c r="J120"/>
      <c r="K120"/>
      <c r="L120"/>
      <c r="M120"/>
      <c r="N120" s="15">
        <v>105</v>
      </c>
      <c r="O120" s="15">
        <v>104</v>
      </c>
      <c r="P120" s="15">
        <v>58</v>
      </c>
      <c r="Q120" s="53">
        <v>710.77720533216075</v>
      </c>
      <c r="R120" s="53">
        <v>422.50454609829455</v>
      </c>
      <c r="S120" s="53">
        <v>16.540748553352813</v>
      </c>
      <c r="T120" s="27">
        <v>3.0035694750397535E-7</v>
      </c>
      <c r="U120" s="15"/>
      <c r="V120" s="15">
        <v>105</v>
      </c>
      <c r="W120" s="15">
        <v>104</v>
      </c>
      <c r="X120" s="15">
        <v>58</v>
      </c>
      <c r="Y120" s="53">
        <v>710.77720533216075</v>
      </c>
      <c r="Z120" s="53">
        <v>422.50454609829455</v>
      </c>
      <c r="AA120" s="53">
        <v>16.540748553352813</v>
      </c>
      <c r="AB120" s="27">
        <v>3.0035694750397535E-7</v>
      </c>
      <c r="AC120" s="27"/>
      <c r="AD120" s="27"/>
      <c r="AE120" s="27"/>
      <c r="AF120" s="27"/>
      <c r="AG120" s="27"/>
    </row>
    <row r="121" spans="6:33" s="21" customFormat="1" ht="14.25" x14ac:dyDescent="0.45">
      <c r="F121" s="94">
        <v>1960</v>
      </c>
      <c r="G121" s="92">
        <v>2.0499999999999998</v>
      </c>
      <c r="H121" s="54">
        <v>1</v>
      </c>
      <c r="I121" s="92">
        <v>0.79</v>
      </c>
      <c r="J121"/>
      <c r="K121"/>
      <c r="L121"/>
      <c r="M121"/>
      <c r="N121" s="15">
        <v>106</v>
      </c>
      <c r="O121" s="15">
        <v>105</v>
      </c>
      <c r="P121" s="15">
        <v>57</v>
      </c>
      <c r="Q121" s="53">
        <v>717.9294616252414</v>
      </c>
      <c r="R121" s="53">
        <v>408.51441402906022</v>
      </c>
      <c r="S121" s="53">
        <v>17.120711553985299</v>
      </c>
      <c r="T121" s="27">
        <v>1.8620829389749867E-7</v>
      </c>
      <c r="U121" s="15"/>
      <c r="V121" s="15">
        <v>106</v>
      </c>
      <c r="W121" s="15">
        <v>105</v>
      </c>
      <c r="X121" s="15">
        <v>57</v>
      </c>
      <c r="Y121" s="53">
        <v>717.9294616252414</v>
      </c>
      <c r="Z121" s="53">
        <v>408.51441402906022</v>
      </c>
      <c r="AA121" s="53">
        <v>17.120711553985299</v>
      </c>
      <c r="AB121" s="27">
        <v>1.8620829389749867E-7</v>
      </c>
      <c r="AC121" s="27"/>
      <c r="AD121" s="27"/>
      <c r="AE121" s="27"/>
      <c r="AF121" s="27"/>
      <c r="AG121" s="27"/>
    </row>
    <row r="122" spans="6:33" s="21" customFormat="1" ht="14.25" x14ac:dyDescent="0.45">
      <c r="F122" s="94">
        <v>1961</v>
      </c>
      <c r="G122" s="92">
        <v>2.2000000000000002</v>
      </c>
      <c r="H122" s="54">
        <v>1</v>
      </c>
      <c r="I122" s="92">
        <v>3.25</v>
      </c>
      <c r="J122"/>
      <c r="K122"/>
      <c r="L122"/>
      <c r="M122"/>
      <c r="N122" s="15">
        <v>107</v>
      </c>
      <c r="O122" s="15">
        <v>106</v>
      </c>
      <c r="P122" s="15">
        <v>56</v>
      </c>
      <c r="Q122" s="53">
        <v>726.53571204281923</v>
      </c>
      <c r="R122" s="53">
        <v>390.7431626763767</v>
      </c>
      <c r="S122" s="53">
        <v>17.909186509709038</v>
      </c>
      <c r="T122" s="27">
        <v>9.7658336634180689E-8</v>
      </c>
      <c r="U122" s="15"/>
      <c r="V122" s="15">
        <v>107</v>
      </c>
      <c r="W122" s="15">
        <v>106</v>
      </c>
      <c r="X122" s="15">
        <v>56</v>
      </c>
      <c r="Y122" s="53">
        <v>726.53571204281923</v>
      </c>
      <c r="Z122" s="53">
        <v>390.7431626763767</v>
      </c>
      <c r="AA122" s="53">
        <v>17.909186509709038</v>
      </c>
      <c r="AB122" s="27">
        <v>9.7658336634180689E-8</v>
      </c>
      <c r="AC122" s="27"/>
      <c r="AD122" s="27"/>
      <c r="AE122" s="27"/>
      <c r="AF122" s="27"/>
      <c r="AG122" s="27"/>
    </row>
    <row r="123" spans="6:33" s="21" customFormat="1" ht="14.25" x14ac:dyDescent="0.45">
      <c r="F123" s="94">
        <v>1962</v>
      </c>
      <c r="G123" s="92">
        <v>2.96</v>
      </c>
      <c r="H123" s="54">
        <v>1</v>
      </c>
      <c r="I123" s="92">
        <v>4.2</v>
      </c>
      <c r="J123"/>
      <c r="K123"/>
      <c r="L123"/>
      <c r="M123"/>
      <c r="N123" s="15">
        <v>108</v>
      </c>
      <c r="O123" s="15">
        <v>107</v>
      </c>
      <c r="P123" s="15">
        <v>55</v>
      </c>
      <c r="Q123" s="53">
        <v>730.82849329704936</v>
      </c>
      <c r="R123" s="53">
        <v>373.19106619788687</v>
      </c>
      <c r="S123" s="53">
        <v>19.073069378456992</v>
      </c>
      <c r="T123" s="27">
        <v>3.8028445626702308E-8</v>
      </c>
      <c r="U123" s="15"/>
      <c r="V123" s="15">
        <v>108</v>
      </c>
      <c r="W123" s="15">
        <v>107</v>
      </c>
      <c r="X123" s="15">
        <v>55</v>
      </c>
      <c r="Y123" s="53">
        <v>730.82849329704936</v>
      </c>
      <c r="Z123" s="53">
        <v>373.19106619788687</v>
      </c>
      <c r="AA123" s="53">
        <v>19.073069378456992</v>
      </c>
      <c r="AB123" s="27">
        <v>3.8028445626702308E-8</v>
      </c>
      <c r="AC123" s="27"/>
      <c r="AD123" s="27"/>
      <c r="AE123" s="27"/>
      <c r="AF123" s="27"/>
      <c r="AG123" s="27"/>
    </row>
    <row r="124" spans="6:33" s="21" customFormat="1" ht="14.25" x14ac:dyDescent="0.45">
      <c r="F124" s="94">
        <v>1963</v>
      </c>
      <c r="G124" s="92">
        <v>2.76</v>
      </c>
      <c r="H124" s="54">
        <v>1</v>
      </c>
      <c r="I124" s="92">
        <v>2.11</v>
      </c>
      <c r="J124"/>
      <c r="K124"/>
      <c r="L124"/>
      <c r="M124"/>
      <c r="N124" s="15">
        <v>109</v>
      </c>
      <c r="O124" s="15">
        <v>108</v>
      </c>
      <c r="P124" s="15">
        <v>54</v>
      </c>
      <c r="Q124" s="53">
        <v>731.88839221393312</v>
      </c>
      <c r="R124" s="53">
        <v>360.90925014450141</v>
      </c>
      <c r="S124" s="53">
        <v>20.080179766719006</v>
      </c>
      <c r="T124" s="27">
        <v>1.6966182234985266E-8</v>
      </c>
      <c r="U124" s="15"/>
      <c r="V124" s="15">
        <v>109</v>
      </c>
      <c r="W124" s="15">
        <v>108</v>
      </c>
      <c r="X124" s="15">
        <v>54</v>
      </c>
      <c r="Y124" s="53">
        <v>731.88839221393312</v>
      </c>
      <c r="Z124" s="53">
        <v>360.90925014450141</v>
      </c>
      <c r="AA124" s="53">
        <v>20.080179766719006</v>
      </c>
      <c r="AB124" s="27">
        <v>1.6966182234985266E-8</v>
      </c>
      <c r="AC124" s="27"/>
      <c r="AD124" s="27"/>
      <c r="AE124" s="27"/>
      <c r="AF124" s="27"/>
      <c r="AG124" s="27"/>
    </row>
    <row r="125" spans="6:33" s="21" customFormat="1" ht="14.25" x14ac:dyDescent="0.45">
      <c r="F125" s="94">
        <v>1964</v>
      </c>
      <c r="G125" s="92">
        <v>2.2200000000000002</v>
      </c>
      <c r="H125" s="54">
        <v>1</v>
      </c>
      <c r="I125" s="92">
        <v>3.23</v>
      </c>
      <c r="J125"/>
      <c r="K125"/>
      <c r="L125"/>
      <c r="M125"/>
      <c r="N125" s="15">
        <v>110</v>
      </c>
      <c r="O125" s="15">
        <v>109</v>
      </c>
      <c r="P125" s="15">
        <v>53</v>
      </c>
      <c r="Q125" s="53">
        <v>735.13805148403412</v>
      </c>
      <c r="R125" s="53">
        <v>346.4753570114014</v>
      </c>
      <c r="S125" s="53">
        <v>21.104700998607601</v>
      </c>
      <c r="T125" s="27">
        <v>7.5272590439814314E-9</v>
      </c>
      <c r="U125" s="15"/>
      <c r="V125" s="15">
        <v>110</v>
      </c>
      <c r="W125" s="15">
        <v>109</v>
      </c>
      <c r="X125" s="15">
        <v>53</v>
      </c>
      <c r="Y125" s="53">
        <v>735.13805148403412</v>
      </c>
      <c r="Z125" s="53">
        <v>346.4753570114014</v>
      </c>
      <c r="AA125" s="53">
        <v>21.104700998607601</v>
      </c>
      <c r="AB125" s="27">
        <v>7.5272590439814314E-9</v>
      </c>
      <c r="AC125" s="27"/>
      <c r="AD125" s="27"/>
      <c r="AE125" s="27"/>
      <c r="AF125" s="27"/>
      <c r="AG125" s="27"/>
    </row>
    <row r="126" spans="6:33" s="21" customFormat="1" ht="14.25" x14ac:dyDescent="0.45">
      <c r="F126" s="94">
        <v>1965</v>
      </c>
      <c r="G126" s="92">
        <v>2.25</v>
      </c>
      <c r="H126" s="54">
        <v>1</v>
      </c>
      <c r="I126" s="92">
        <v>4.26</v>
      </c>
      <c r="J126"/>
      <c r="K126"/>
      <c r="L126"/>
      <c r="M126"/>
      <c r="N126" s="15">
        <v>111</v>
      </c>
      <c r="O126" s="15">
        <v>110</v>
      </c>
      <c r="P126" s="15">
        <v>52</v>
      </c>
      <c r="Q126" s="53">
        <v>739.17644601645009</v>
      </c>
      <c r="R126" s="53">
        <v>326.91650795606887</v>
      </c>
      <c r="S126" s="53">
        <v>22.562050898154084</v>
      </c>
      <c r="T126" s="27">
        <v>2.4030051150365223E-9</v>
      </c>
      <c r="U126" s="15"/>
      <c r="V126" s="15">
        <v>111</v>
      </c>
      <c r="W126" s="15">
        <v>110</v>
      </c>
      <c r="X126" s="15">
        <v>52</v>
      </c>
      <c r="Y126" s="53">
        <v>739.17644601645009</v>
      </c>
      <c r="Z126" s="53">
        <v>326.91650795606887</v>
      </c>
      <c r="AA126" s="53">
        <v>22.562050898154084</v>
      </c>
      <c r="AB126" s="27">
        <v>2.4030051150365223E-9</v>
      </c>
      <c r="AC126" s="27"/>
      <c r="AD126" s="27"/>
      <c r="AE126" s="27"/>
      <c r="AF126" s="27"/>
      <c r="AG126" s="27"/>
    </row>
    <row r="127" spans="6:33" s="21" customFormat="1" ht="14.25" x14ac:dyDescent="0.45">
      <c r="F127" s="94">
        <v>1966</v>
      </c>
      <c r="G127" s="92">
        <v>3.01</v>
      </c>
      <c r="H127" s="54">
        <v>1</v>
      </c>
      <c r="I127" s="92">
        <v>4</v>
      </c>
      <c r="J127"/>
      <c r="K127"/>
      <c r="L127"/>
      <c r="M127"/>
      <c r="N127" s="15">
        <v>112</v>
      </c>
      <c r="O127" s="15">
        <v>111</v>
      </c>
      <c r="P127" s="15">
        <v>51</v>
      </c>
      <c r="Q127" s="53">
        <v>741.9657893034888</v>
      </c>
      <c r="R127" s="53">
        <v>306.98916725687263</v>
      </c>
      <c r="S127" s="53">
        <v>24.221388274444745</v>
      </c>
      <c r="T127" s="27">
        <v>6.6793506417297563E-10</v>
      </c>
      <c r="U127" s="15"/>
      <c r="V127" s="15">
        <v>112</v>
      </c>
      <c r="W127" s="15">
        <v>111</v>
      </c>
      <c r="X127" s="15">
        <v>51</v>
      </c>
      <c r="Y127" s="53">
        <v>741.9657893034888</v>
      </c>
      <c r="Z127" s="53">
        <v>306.98916725687263</v>
      </c>
      <c r="AA127" s="53">
        <v>24.221388274444745</v>
      </c>
      <c r="AB127" s="27">
        <v>6.6793506417297563E-10</v>
      </c>
      <c r="AC127" s="27"/>
      <c r="AD127" s="27"/>
      <c r="AE127" s="27"/>
      <c r="AF127" s="27"/>
      <c r="AG127" s="27"/>
    </row>
    <row r="128" spans="6:33" s="21" customFormat="1" ht="14.25" x14ac:dyDescent="0.45">
      <c r="F128" s="94">
        <v>1967</v>
      </c>
      <c r="G128" s="92">
        <v>3.49</v>
      </c>
      <c r="H128" s="54">
        <v>1</v>
      </c>
      <c r="I128" s="92">
        <v>2.2400000000000002</v>
      </c>
      <c r="J128"/>
      <c r="K128"/>
      <c r="L128"/>
      <c r="M128"/>
      <c r="N128" s="15">
        <v>113</v>
      </c>
      <c r="O128" s="15">
        <v>112</v>
      </c>
      <c r="P128" s="15">
        <v>50</v>
      </c>
      <c r="Q128" s="53">
        <v>742.90602612128714</v>
      </c>
      <c r="R128" s="53">
        <v>292.57795882844965</v>
      </c>
      <c r="S128" s="53">
        <v>25.564231245716591</v>
      </c>
      <c r="T128" s="27">
        <v>2.4058660876124341E-10</v>
      </c>
      <c r="U128" s="15"/>
      <c r="V128" s="15">
        <v>113</v>
      </c>
      <c r="W128" s="15">
        <v>112</v>
      </c>
      <c r="X128" s="15">
        <v>50</v>
      </c>
      <c r="Y128" s="53">
        <v>742.90602612128714</v>
      </c>
      <c r="Z128" s="53">
        <v>292.57795882844965</v>
      </c>
      <c r="AA128" s="53">
        <v>25.564231245716591</v>
      </c>
      <c r="AB128" s="27">
        <v>2.4058660876124341E-10</v>
      </c>
      <c r="AC128" s="27"/>
      <c r="AD128" s="27"/>
      <c r="AE128" s="27"/>
      <c r="AF128" s="27"/>
      <c r="AG128" s="27"/>
    </row>
    <row r="129" spans="6:33" s="21" customFormat="1" ht="14.25" x14ac:dyDescent="0.45">
      <c r="F129" s="94">
        <v>1968</v>
      </c>
      <c r="G129" s="92">
        <v>3.46</v>
      </c>
      <c r="H129" s="54">
        <v>1</v>
      </c>
      <c r="I129" s="92">
        <v>4</v>
      </c>
      <c r="J129"/>
      <c r="K129"/>
      <c r="L129"/>
      <c r="M129"/>
      <c r="N129" s="15">
        <v>114</v>
      </c>
      <c r="O129" s="15">
        <v>113</v>
      </c>
      <c r="P129" s="15">
        <v>49</v>
      </c>
      <c r="Q129" s="53">
        <v>743.86623705748025</v>
      </c>
      <c r="R129" s="53">
        <v>280.61398997522565</v>
      </c>
      <c r="S129" s="53">
        <v>26.687336852879838</v>
      </c>
      <c r="T129" s="27">
        <v>1.0344912078034822E-10</v>
      </c>
      <c r="U129" s="15"/>
      <c r="V129" s="15">
        <v>114</v>
      </c>
      <c r="W129" s="15">
        <v>113</v>
      </c>
      <c r="X129" s="15">
        <v>49</v>
      </c>
      <c r="Y129" s="53">
        <v>743.86623705748025</v>
      </c>
      <c r="Z129" s="53">
        <v>280.61398997522565</v>
      </c>
      <c r="AA129" s="53">
        <v>26.687336852879838</v>
      </c>
      <c r="AB129" s="27">
        <v>1.0344912078034822E-10</v>
      </c>
      <c r="AC129" s="27"/>
      <c r="AD129" s="27"/>
      <c r="AE129" s="27"/>
      <c r="AF129" s="27"/>
      <c r="AG129" s="27"/>
    </row>
    <row r="130" spans="6:33" s="21" customFormat="1" ht="14.25" x14ac:dyDescent="0.45">
      <c r="F130" s="94">
        <v>1969</v>
      </c>
      <c r="G130" s="92">
        <v>3.6</v>
      </c>
      <c r="H130" s="54">
        <v>1</v>
      </c>
      <c r="I130" s="92">
        <v>5.2</v>
      </c>
      <c r="J130"/>
      <c r="K130"/>
      <c r="L130"/>
      <c r="M130"/>
      <c r="N130" s="15">
        <v>115</v>
      </c>
      <c r="O130" s="15">
        <v>114</v>
      </c>
      <c r="P130" s="15">
        <v>48</v>
      </c>
      <c r="Q130" s="53">
        <v>744.11929268127597</v>
      </c>
      <c r="R130" s="53">
        <v>268.3142763601067</v>
      </c>
      <c r="S130" s="53">
        <v>27.944880300679493</v>
      </c>
      <c r="T130" s="27">
        <v>4.0635004570439285E-11</v>
      </c>
      <c r="U130" s="15"/>
      <c r="V130" s="15">
        <v>115</v>
      </c>
      <c r="W130" s="15">
        <v>114</v>
      </c>
      <c r="X130" s="15">
        <v>48</v>
      </c>
      <c r="Y130" s="53">
        <v>744.11929268127597</v>
      </c>
      <c r="Z130" s="53">
        <v>268.3142763601067</v>
      </c>
      <c r="AA130" s="53">
        <v>27.944880300679493</v>
      </c>
      <c r="AB130" s="27">
        <v>4.0635004570439285E-11</v>
      </c>
      <c r="AC130" s="27"/>
      <c r="AD130" s="27"/>
      <c r="AE130" s="27"/>
      <c r="AF130" s="27"/>
      <c r="AG130" s="27"/>
    </row>
    <row r="131" spans="6:33" s="21" customFormat="1" ht="14.25" x14ac:dyDescent="0.45">
      <c r="F131" s="94">
        <v>1970</v>
      </c>
      <c r="G131" s="92">
        <v>3.85</v>
      </c>
      <c r="H131" s="54">
        <v>1</v>
      </c>
      <c r="I131" s="92">
        <v>6.52</v>
      </c>
      <c r="J131"/>
      <c r="K131"/>
      <c r="L131"/>
      <c r="M131"/>
      <c r="N131" s="15">
        <v>116</v>
      </c>
      <c r="O131" s="15">
        <v>115</v>
      </c>
      <c r="P131" s="15">
        <v>47</v>
      </c>
      <c r="Q131" s="53">
        <v>744.11965885542486</v>
      </c>
      <c r="R131" s="53">
        <v>256.82761113041295</v>
      </c>
      <c r="S131" s="53">
        <v>29.172118652216671</v>
      </c>
      <c r="T131" s="27">
        <v>1.6497900476724722E-11</v>
      </c>
      <c r="U131" s="15"/>
      <c r="V131" s="15">
        <v>116</v>
      </c>
      <c r="W131" s="15">
        <v>115</v>
      </c>
      <c r="X131" s="15">
        <v>47</v>
      </c>
      <c r="Y131" s="53">
        <v>744.11965885542486</v>
      </c>
      <c r="Z131" s="53">
        <v>256.82761113041295</v>
      </c>
      <c r="AA131" s="53">
        <v>29.172118652216671</v>
      </c>
      <c r="AB131" s="27">
        <v>1.6497900476724722E-11</v>
      </c>
      <c r="AC131" s="27"/>
      <c r="AD131" s="27"/>
      <c r="AE131" s="27"/>
      <c r="AF131" s="27"/>
      <c r="AG131" s="27"/>
    </row>
    <row r="132" spans="6:33" s="21" customFormat="1" ht="14.25" x14ac:dyDescent="0.45">
      <c r="F132" s="94">
        <v>1971</v>
      </c>
      <c r="G132" s="92">
        <v>4.5</v>
      </c>
      <c r="H132" s="54">
        <v>1</v>
      </c>
      <c r="I132" s="92">
        <v>9.41</v>
      </c>
      <c r="J132"/>
      <c r="K132"/>
      <c r="L132"/>
      <c r="M132"/>
      <c r="N132" s="15">
        <v>117</v>
      </c>
      <c r="O132" s="15">
        <v>116</v>
      </c>
      <c r="P132" s="15">
        <v>46</v>
      </c>
      <c r="Q132" s="53">
        <v>744.48187808309922</v>
      </c>
      <c r="R132" s="53">
        <v>246.89078042489868</v>
      </c>
      <c r="S132" s="53">
        <v>30.216837809983733</v>
      </c>
      <c r="T132" s="27">
        <v>7.7207939249387439E-12</v>
      </c>
      <c r="U132" s="15"/>
      <c r="V132" s="15">
        <v>117</v>
      </c>
      <c r="W132" s="15">
        <v>116</v>
      </c>
      <c r="X132" s="15">
        <v>46</v>
      </c>
      <c r="Y132" s="53">
        <v>744.48187808309922</v>
      </c>
      <c r="Z132" s="53">
        <v>246.89078042489868</v>
      </c>
      <c r="AA132" s="53">
        <v>30.216837809983733</v>
      </c>
      <c r="AB132" s="27">
        <v>7.7207939249387439E-12</v>
      </c>
      <c r="AC132" s="27"/>
      <c r="AD132" s="27"/>
      <c r="AE132" s="27"/>
      <c r="AF132" s="27"/>
      <c r="AG132" s="27"/>
    </row>
    <row r="133" spans="6:33" s="21" customFormat="1" ht="14.25" x14ac:dyDescent="0.45">
      <c r="F133" s="94">
        <v>1972</v>
      </c>
      <c r="G133" s="92">
        <v>4.0999999999999996</v>
      </c>
      <c r="H133" s="54">
        <v>1</v>
      </c>
      <c r="I133" s="92">
        <v>7.19</v>
      </c>
      <c r="J133"/>
      <c r="K133"/>
      <c r="L133"/>
      <c r="M133"/>
      <c r="N133" s="15">
        <v>118</v>
      </c>
      <c r="O133" s="15">
        <v>117</v>
      </c>
      <c r="P133" s="15">
        <v>45</v>
      </c>
      <c r="Q133" s="53">
        <v>748.64990819365642</v>
      </c>
      <c r="R133" s="53">
        <v>240.81519257013051</v>
      </c>
      <c r="S133" s="53">
        <v>30.427393416848346</v>
      </c>
      <c r="T133" s="27">
        <v>6.6310441186548275E-12</v>
      </c>
      <c r="U133" s="15"/>
      <c r="V133" s="15">
        <v>118</v>
      </c>
      <c r="W133" s="15">
        <v>117</v>
      </c>
      <c r="X133" s="15">
        <v>45</v>
      </c>
      <c r="Y133" s="53">
        <v>748.64990819365642</v>
      </c>
      <c r="Z133" s="53">
        <v>240.81519257013051</v>
      </c>
      <c r="AA133" s="53">
        <v>30.427393416848346</v>
      </c>
      <c r="AB133" s="27">
        <v>6.6310441186548275E-12</v>
      </c>
      <c r="AC133" s="27"/>
      <c r="AD133" s="27"/>
      <c r="AE133" s="27"/>
      <c r="AF133" s="27"/>
      <c r="AG133" s="27"/>
    </row>
    <row r="134" spans="6:33" s="21" customFormat="1" ht="14.25" x14ac:dyDescent="0.45">
      <c r="F134" s="94">
        <v>1973</v>
      </c>
      <c r="G134" s="92">
        <v>3.4</v>
      </c>
      <c r="H134" s="54">
        <v>1</v>
      </c>
      <c r="I134" s="92">
        <v>9.35</v>
      </c>
      <c r="J134"/>
      <c r="K134"/>
      <c r="L134"/>
      <c r="M134"/>
      <c r="N134" s="15">
        <v>119</v>
      </c>
      <c r="O134" s="15">
        <v>118</v>
      </c>
      <c r="P134" s="15">
        <v>44</v>
      </c>
      <c r="Q134" s="53">
        <v>749.62745468277956</v>
      </c>
      <c r="R134" s="53">
        <v>231.68918009609737</v>
      </c>
      <c r="S134" s="53">
        <v>31.336035298044493</v>
      </c>
      <c r="T134" s="27">
        <v>3.4503856076095112E-12</v>
      </c>
      <c r="U134" s="15"/>
      <c r="V134" s="15">
        <v>119</v>
      </c>
      <c r="W134" s="15">
        <v>118</v>
      </c>
      <c r="X134" s="15">
        <v>44</v>
      </c>
      <c r="Y134" s="53">
        <v>749.62745468277956</v>
      </c>
      <c r="Z134" s="53">
        <v>231.68918009609737</v>
      </c>
      <c r="AA134" s="53">
        <v>31.336035298044493</v>
      </c>
      <c r="AB134" s="27">
        <v>3.4503856076095112E-12</v>
      </c>
      <c r="AC134" s="27"/>
      <c r="AD134" s="27"/>
      <c r="AE134" s="27"/>
      <c r="AF134" s="27"/>
      <c r="AG134" s="27"/>
    </row>
    <row r="135" spans="6:33" s="21" customFormat="1" ht="14.25" x14ac:dyDescent="0.45">
      <c r="F135" s="94">
        <v>1974</v>
      </c>
      <c r="G135" s="92">
        <v>3.8</v>
      </c>
      <c r="H135" s="54">
        <v>1</v>
      </c>
      <c r="I135" s="92">
        <v>15.73</v>
      </c>
      <c r="J135"/>
      <c r="K135"/>
      <c r="L135"/>
      <c r="M135"/>
      <c r="N135" s="15">
        <v>120</v>
      </c>
      <c r="O135" s="15">
        <v>119</v>
      </c>
      <c r="P135" s="15">
        <v>43</v>
      </c>
      <c r="Q135" s="53">
        <v>750.38504017387015</v>
      </c>
      <c r="R135" s="53">
        <v>217.43728938396708</v>
      </c>
      <c r="S135" s="53">
        <v>32.874445904742771</v>
      </c>
      <c r="T135" s="27">
        <v>1.1555781511738367E-12</v>
      </c>
      <c r="U135" s="15"/>
      <c r="V135" s="15">
        <v>120</v>
      </c>
      <c r="W135" s="15">
        <v>119</v>
      </c>
      <c r="X135" s="15">
        <v>43</v>
      </c>
      <c r="Y135" s="53">
        <v>750.38504017387015</v>
      </c>
      <c r="Z135" s="53">
        <v>217.43728938396708</v>
      </c>
      <c r="AA135" s="53">
        <v>32.874445904742771</v>
      </c>
      <c r="AB135" s="27">
        <v>1.1555781511738367E-12</v>
      </c>
      <c r="AC135" s="27"/>
      <c r="AD135" s="27"/>
      <c r="AE135" s="27"/>
      <c r="AF135" s="27"/>
      <c r="AG135" s="27"/>
    </row>
    <row r="136" spans="6:33" s="21" customFormat="1" ht="14.25" x14ac:dyDescent="0.45">
      <c r="F136" s="94">
        <v>1975</v>
      </c>
      <c r="G136" s="92">
        <v>5.0999999999999996</v>
      </c>
      <c r="H136" s="54">
        <v>1</v>
      </c>
      <c r="I136" s="92">
        <v>22.7</v>
      </c>
      <c r="J136"/>
      <c r="K136"/>
      <c r="L136"/>
      <c r="M136"/>
      <c r="N136" s="15">
        <v>121</v>
      </c>
      <c r="O136" s="15">
        <v>120</v>
      </c>
      <c r="P136" s="15">
        <v>42</v>
      </c>
      <c r="Q136" s="53">
        <v>758.99281027807081</v>
      </c>
      <c r="R136" s="53">
        <v>204.45289616289233</v>
      </c>
      <c r="S136" s="53">
        <v>33.382655431092651</v>
      </c>
      <c r="T136" s="27">
        <v>8.0778602180978073E-13</v>
      </c>
      <c r="U136" s="15"/>
      <c r="V136" s="15">
        <v>121</v>
      </c>
      <c r="W136" s="15">
        <v>120</v>
      </c>
      <c r="X136" s="15">
        <v>42</v>
      </c>
      <c r="Y136" s="53">
        <v>758.99281027807081</v>
      </c>
      <c r="Z136" s="53">
        <v>204.45289616289233</v>
      </c>
      <c r="AA136" s="53">
        <v>33.382655431092651</v>
      </c>
      <c r="AB136" s="27">
        <v>8.0778602180978073E-13</v>
      </c>
      <c r="AC136" s="27"/>
      <c r="AD136" s="27"/>
      <c r="AE136" s="27"/>
      <c r="AF136" s="27"/>
      <c r="AG136" s="27"/>
    </row>
    <row r="137" spans="6:33" s="21" customFormat="1" ht="14.25" x14ac:dyDescent="0.45">
      <c r="F137" s="94">
        <v>1976</v>
      </c>
      <c r="G137" s="92">
        <v>5.5</v>
      </c>
      <c r="H137" s="54">
        <v>1</v>
      </c>
      <c r="I137" s="92">
        <v>15.66</v>
      </c>
      <c r="J137"/>
      <c r="K137"/>
      <c r="L137"/>
      <c r="M137"/>
      <c r="N137" s="15">
        <v>122</v>
      </c>
      <c r="O137" s="15">
        <v>121</v>
      </c>
      <c r="P137" s="15">
        <v>41</v>
      </c>
      <c r="Q137" s="53">
        <v>791.13089675253377</v>
      </c>
      <c r="R137" s="53">
        <v>193.08993398267407</v>
      </c>
      <c r="S137" s="53">
        <v>31.010460531138978</v>
      </c>
      <c r="T137" s="27">
        <v>4.3576824031965343E-12</v>
      </c>
      <c r="U137" s="15"/>
      <c r="V137" s="15">
        <v>122</v>
      </c>
      <c r="W137" s="15">
        <v>121</v>
      </c>
      <c r="X137" s="15">
        <v>41</v>
      </c>
      <c r="Y137" s="53">
        <v>791.13089675253377</v>
      </c>
      <c r="Z137" s="53">
        <v>193.08993398267407</v>
      </c>
      <c r="AA137" s="53">
        <v>31.010460531138978</v>
      </c>
      <c r="AB137" s="27">
        <v>4.3576824031965343E-12</v>
      </c>
      <c r="AC137" s="27"/>
      <c r="AD137" s="27"/>
      <c r="AE137" s="27"/>
      <c r="AF137" s="27"/>
      <c r="AG137" s="27"/>
    </row>
    <row r="138" spans="6:33" s="21" customFormat="1" ht="14.25" x14ac:dyDescent="0.45">
      <c r="F138" s="94">
        <v>1977</v>
      </c>
      <c r="G138" s="92">
        <v>5.7</v>
      </c>
      <c r="H138" s="54">
        <v>1</v>
      </c>
      <c r="I138" s="92">
        <v>14.94</v>
      </c>
      <c r="J138"/>
      <c r="K138"/>
      <c r="L138"/>
      <c r="M138"/>
      <c r="N138" s="15">
        <v>123</v>
      </c>
      <c r="O138" s="15">
        <v>122</v>
      </c>
      <c r="P138" s="15">
        <v>40</v>
      </c>
      <c r="Q138" s="53">
        <v>807.09835911993059</v>
      </c>
      <c r="R138" s="53">
        <v>181.1060729288412</v>
      </c>
      <c r="S138" s="53">
        <v>30.566991749918227</v>
      </c>
      <c r="T138" s="27">
        <v>5.9957141206742708E-12</v>
      </c>
      <c r="U138" s="15"/>
      <c r="V138" s="15">
        <v>123</v>
      </c>
      <c r="W138" s="15">
        <v>122</v>
      </c>
      <c r="X138" s="15">
        <v>40</v>
      </c>
      <c r="Y138" s="53">
        <v>807.09835911993059</v>
      </c>
      <c r="Z138" s="53">
        <v>181.1060729288412</v>
      </c>
      <c r="AA138" s="53">
        <v>30.566991749918227</v>
      </c>
      <c r="AB138" s="27">
        <v>5.9957141206742708E-12</v>
      </c>
      <c r="AC138" s="27"/>
      <c r="AD138" s="27"/>
      <c r="AE138" s="27"/>
      <c r="AF138" s="27"/>
      <c r="AG138" s="27"/>
    </row>
    <row r="139" spans="6:33" s="21" customFormat="1" ht="14.25" x14ac:dyDescent="0.45">
      <c r="F139" s="94">
        <v>1978</v>
      </c>
      <c r="G139" s="92">
        <v>5.3</v>
      </c>
      <c r="H139" s="54">
        <v>1</v>
      </c>
      <c r="I139" s="92">
        <v>7.47</v>
      </c>
      <c r="J139"/>
      <c r="K139"/>
      <c r="L139"/>
      <c r="M139"/>
      <c r="N139" s="15">
        <v>124</v>
      </c>
      <c r="O139" s="15">
        <v>123</v>
      </c>
      <c r="P139" s="15">
        <v>39</v>
      </c>
      <c r="Q139" s="53">
        <v>821.9541290705755</v>
      </c>
      <c r="R139" s="53">
        <v>164.05189550014319</v>
      </c>
      <c r="S139" s="53">
        <v>30.811283253223873</v>
      </c>
      <c r="T139" s="27">
        <v>5.0284002576586989E-12</v>
      </c>
      <c r="U139" s="15"/>
      <c r="V139" s="15">
        <v>124</v>
      </c>
      <c r="W139" s="15">
        <v>123</v>
      </c>
      <c r="X139" s="15">
        <v>39</v>
      </c>
      <c r="Y139" s="53">
        <v>821.9541290705755</v>
      </c>
      <c r="Z139" s="53">
        <v>164.05189550014319</v>
      </c>
      <c r="AA139" s="53">
        <v>30.811283253223873</v>
      </c>
      <c r="AB139" s="27">
        <v>5.0284002576586989E-12</v>
      </c>
      <c r="AC139" s="27"/>
      <c r="AD139" s="27"/>
      <c r="AE139" s="27"/>
      <c r="AF139" s="27"/>
      <c r="AG139" s="27"/>
    </row>
    <row r="140" spans="6:33" s="21" customFormat="1" ht="14.25" x14ac:dyDescent="0.45">
      <c r="F140" s="94">
        <v>1979</v>
      </c>
      <c r="G140" s="92">
        <v>5.6</v>
      </c>
      <c r="H140" s="54">
        <v>1</v>
      </c>
      <c r="I140" s="92">
        <v>11.37</v>
      </c>
      <c r="J140"/>
      <c r="K140"/>
      <c r="L140"/>
      <c r="M140"/>
      <c r="N140" s="15">
        <v>125</v>
      </c>
      <c r="O140" s="15">
        <v>124</v>
      </c>
      <c r="P140" s="15">
        <v>38</v>
      </c>
      <c r="Q140" s="53">
        <v>825.08107723348769</v>
      </c>
      <c r="R140" s="53">
        <v>153.27809135702017</v>
      </c>
      <c r="S140" s="53">
        <v>31.669568323776527</v>
      </c>
      <c r="T140" s="27">
        <v>2.718386170884488E-12</v>
      </c>
      <c r="U140" s="15"/>
      <c r="V140" s="15">
        <v>125</v>
      </c>
      <c r="W140" s="15">
        <v>124</v>
      </c>
      <c r="X140" s="15">
        <v>38</v>
      </c>
      <c r="Y140" s="53">
        <v>825.08107723348769</v>
      </c>
      <c r="Z140" s="53">
        <v>153.27809135702017</v>
      </c>
      <c r="AA140" s="53">
        <v>31.669568323776527</v>
      </c>
      <c r="AB140" s="27">
        <v>2.718386170884488E-12</v>
      </c>
      <c r="AC140" s="27"/>
      <c r="AD140" s="27"/>
      <c r="AE140" s="27"/>
      <c r="AF140" s="27"/>
      <c r="AG140" s="27"/>
    </row>
    <row r="141" spans="6:33" s="21" customFormat="1" ht="14.25" x14ac:dyDescent="0.45">
      <c r="F141" s="94">
        <v>1980</v>
      </c>
      <c r="G141" s="92">
        <v>8.3000000000000007</v>
      </c>
      <c r="H141" s="54">
        <v>1</v>
      </c>
      <c r="I141" s="92">
        <v>15.15</v>
      </c>
      <c r="J141"/>
      <c r="K141"/>
      <c r="L141"/>
      <c r="M141"/>
      <c r="N141" s="15">
        <v>126</v>
      </c>
      <c r="O141" s="15">
        <v>125</v>
      </c>
      <c r="P141" s="15">
        <v>37</v>
      </c>
      <c r="Q141" s="53">
        <v>833.17655675031585</v>
      </c>
      <c r="R141" s="53">
        <v>131.75454655440984</v>
      </c>
      <c r="S141" s="53">
        <v>33.209655676657412</v>
      </c>
      <c r="T141" s="27">
        <v>9.1233022934152241E-13</v>
      </c>
      <c r="U141" s="15"/>
      <c r="V141" s="15">
        <v>126</v>
      </c>
      <c r="W141" s="15">
        <v>125</v>
      </c>
      <c r="X141" s="15">
        <v>37</v>
      </c>
      <c r="Y141" s="53">
        <v>833.17655675031585</v>
      </c>
      <c r="Z141" s="53">
        <v>131.75454655440984</v>
      </c>
      <c r="AA141" s="53">
        <v>33.209655676657412</v>
      </c>
      <c r="AB141" s="27">
        <v>9.1233022934152241E-13</v>
      </c>
      <c r="AC141" s="27"/>
      <c r="AD141" s="27"/>
      <c r="AE141" s="27"/>
      <c r="AF141" s="27"/>
      <c r="AG141" s="27"/>
    </row>
    <row r="142" spans="6:33" s="21" customFormat="1" ht="14.25" x14ac:dyDescent="0.45">
      <c r="F142" s="94">
        <v>1981</v>
      </c>
      <c r="G142" s="92">
        <v>10.3</v>
      </c>
      <c r="H142" s="54">
        <v>1</v>
      </c>
      <c r="I142" s="92">
        <v>11.81</v>
      </c>
      <c r="J142"/>
      <c r="K142"/>
      <c r="L142"/>
      <c r="M142"/>
      <c r="N142" s="15">
        <v>127</v>
      </c>
      <c r="O142" s="15">
        <v>126</v>
      </c>
      <c r="P142" s="15">
        <v>36</v>
      </c>
      <c r="Q142" s="53">
        <v>871.14482680925448</v>
      </c>
      <c r="R142" s="53">
        <v>105.73832757241968</v>
      </c>
      <c r="S142" s="53">
        <v>31.836783670462264</v>
      </c>
      <c r="T142" s="27">
        <v>2.4127423816527817E-12</v>
      </c>
      <c r="U142" s="15"/>
      <c r="V142" s="15">
        <v>127</v>
      </c>
      <c r="W142" s="15">
        <v>126</v>
      </c>
      <c r="X142" s="15">
        <v>36</v>
      </c>
      <c r="Y142" s="53">
        <v>871.14482680925448</v>
      </c>
      <c r="Z142" s="53">
        <v>105.73832757241968</v>
      </c>
      <c r="AA142" s="53">
        <v>31.836783670462264</v>
      </c>
      <c r="AB142" s="27">
        <v>2.4127423816527817E-12</v>
      </c>
      <c r="AC142" s="27"/>
      <c r="AD142" s="27"/>
      <c r="AE142" s="27"/>
      <c r="AF142" s="27"/>
      <c r="AG142" s="27"/>
    </row>
    <row r="143" spans="6:33" s="21" customFormat="1" ht="14.25" x14ac:dyDescent="0.45">
      <c r="F143" s="94">
        <v>1982</v>
      </c>
      <c r="G143" s="92">
        <v>11.2</v>
      </c>
      <c r="H143" s="54">
        <v>1</v>
      </c>
      <c r="I143" s="92">
        <v>8.11</v>
      </c>
      <c r="J143"/>
      <c r="K143"/>
      <c r="L143"/>
      <c r="M143"/>
      <c r="N143" s="15">
        <v>128</v>
      </c>
      <c r="O143" s="15">
        <v>127</v>
      </c>
      <c r="P143" s="15">
        <v>35</v>
      </c>
      <c r="Q143" s="53">
        <v>924.62792641310148</v>
      </c>
      <c r="R143" s="53">
        <v>94.158578620242864</v>
      </c>
      <c r="S143" s="53">
        <v>27.277994769842998</v>
      </c>
      <c r="T143" s="27">
        <v>6.6606318884523407E-11</v>
      </c>
      <c r="U143" s="15"/>
      <c r="V143" s="15">
        <v>128</v>
      </c>
      <c r="W143" s="15">
        <v>127</v>
      </c>
      <c r="X143" s="15">
        <v>35</v>
      </c>
      <c r="Y143" s="53">
        <v>924.62792641310148</v>
      </c>
      <c r="Z143" s="53">
        <v>94.158578620242864</v>
      </c>
      <c r="AA143" s="53">
        <v>27.277994769842998</v>
      </c>
      <c r="AB143" s="27">
        <v>6.6606318884523407E-11</v>
      </c>
      <c r="AC143" s="27"/>
      <c r="AD143" s="27"/>
      <c r="AE143" s="27"/>
      <c r="AF143" s="27"/>
      <c r="AG143" s="27"/>
    </row>
    <row r="144" spans="6:33" s="21" customFormat="1" ht="14.25" x14ac:dyDescent="0.45">
      <c r="F144" s="94">
        <v>1983</v>
      </c>
      <c r="G144" s="92">
        <v>11.7</v>
      </c>
      <c r="H144" s="54">
        <v>1</v>
      </c>
      <c r="I144" s="92">
        <v>4.93</v>
      </c>
      <c r="J144"/>
      <c r="K144"/>
      <c r="L144"/>
      <c r="M144"/>
      <c r="N144" s="15">
        <v>129</v>
      </c>
      <c r="O144" s="15">
        <v>128</v>
      </c>
      <c r="P144" s="15">
        <v>34</v>
      </c>
      <c r="Q144" s="53">
        <v>979.71062726633863</v>
      </c>
      <c r="R144" s="53">
        <v>93.846793650580381</v>
      </c>
      <c r="S144" s="53">
        <v>21.855887858372515</v>
      </c>
      <c r="T144" s="27">
        <v>4.1700466569993536E-9</v>
      </c>
      <c r="U144" s="15"/>
      <c r="V144" s="15">
        <v>129</v>
      </c>
      <c r="W144" s="15">
        <v>128</v>
      </c>
      <c r="X144" s="15">
        <v>34</v>
      </c>
      <c r="Y144" s="53">
        <v>979.71062726633863</v>
      </c>
      <c r="Z144" s="53">
        <v>93.846793650580381</v>
      </c>
      <c r="AA144" s="53">
        <v>21.855887858372515</v>
      </c>
      <c r="AB144" s="27">
        <v>4.1700466569993536E-9</v>
      </c>
      <c r="AC144" s="27"/>
      <c r="AD144" s="27"/>
      <c r="AE144" s="27"/>
      <c r="AF144" s="27"/>
      <c r="AG144" s="27"/>
    </row>
    <row r="145" spans="6:33" s="21" customFormat="1" ht="14.25" x14ac:dyDescent="0.45">
      <c r="F145" s="94">
        <v>1984</v>
      </c>
      <c r="G145" s="92">
        <v>11.6</v>
      </c>
      <c r="H145" s="54">
        <v>1</v>
      </c>
      <c r="I145" s="92">
        <v>4.26</v>
      </c>
      <c r="J145"/>
      <c r="K145"/>
      <c r="L145"/>
      <c r="M145"/>
      <c r="N145" s="15">
        <v>130</v>
      </c>
      <c r="O145" s="15">
        <v>129</v>
      </c>
      <c r="P145" s="15">
        <v>33</v>
      </c>
      <c r="Q145" s="53">
        <v>1033.0840628646538</v>
      </c>
      <c r="R145" s="53">
        <v>87.047508797318798</v>
      </c>
      <c r="S145" s="53">
        <v>17.662382877816903</v>
      </c>
      <c r="T145" s="27">
        <v>1.1945324484007326E-7</v>
      </c>
      <c r="U145" s="15"/>
      <c r="V145" s="15">
        <v>130</v>
      </c>
      <c r="W145" s="15">
        <v>129</v>
      </c>
      <c r="X145" s="15">
        <v>33</v>
      </c>
      <c r="Y145" s="53">
        <v>1033.0840628646538</v>
      </c>
      <c r="Z145" s="53">
        <v>87.047508797318798</v>
      </c>
      <c r="AA145" s="53">
        <v>17.662382877816903</v>
      </c>
      <c r="AB145" s="27">
        <v>1.1945324484007326E-7</v>
      </c>
      <c r="AC145" s="27"/>
      <c r="AD145" s="27"/>
      <c r="AE145" s="27"/>
      <c r="AF145" s="27"/>
      <c r="AG145" s="27"/>
    </row>
    <row r="146" spans="6:33" s="21" customFormat="1" ht="14.25" x14ac:dyDescent="0.45">
      <c r="F146" s="94">
        <v>1985</v>
      </c>
      <c r="G146" s="92">
        <v>11.3</v>
      </c>
      <c r="H146" s="54">
        <v>1</v>
      </c>
      <c r="I146" s="92">
        <v>4.92</v>
      </c>
      <c r="J146"/>
      <c r="K146"/>
      <c r="L146"/>
      <c r="M146"/>
      <c r="N146" s="15">
        <v>131</v>
      </c>
      <c r="O146" s="15">
        <v>130</v>
      </c>
      <c r="P146" s="15">
        <v>32</v>
      </c>
      <c r="Q146" s="53">
        <v>1082.5762791717805</v>
      </c>
      <c r="R146" s="53">
        <v>76.697148078936337</v>
      </c>
      <c r="S146" s="53">
        <v>14.398661875912889</v>
      </c>
      <c r="T146" s="27">
        <v>1.8014762279767436E-6</v>
      </c>
      <c r="U146" s="15"/>
      <c r="V146" s="15">
        <v>131</v>
      </c>
      <c r="W146" s="15">
        <v>130</v>
      </c>
      <c r="X146" s="15">
        <v>32</v>
      </c>
      <c r="Y146" s="53">
        <v>1082.5762791717805</v>
      </c>
      <c r="Z146" s="53">
        <v>76.697148078936337</v>
      </c>
      <c r="AA146" s="53">
        <v>14.398661875912889</v>
      </c>
      <c r="AB146" s="27">
        <v>1.8014762279767436E-6</v>
      </c>
      <c r="AC146" s="27"/>
      <c r="AD146" s="27"/>
      <c r="AE146" s="27"/>
      <c r="AF146" s="27"/>
      <c r="AG146" s="27"/>
    </row>
    <row r="147" spans="6:33" s="21" customFormat="1" ht="14.25" x14ac:dyDescent="0.45">
      <c r="F147" s="94">
        <v>1986</v>
      </c>
      <c r="G147" s="92">
        <v>11.2</v>
      </c>
      <c r="H147" s="54">
        <v>1</v>
      </c>
      <c r="I147" s="92">
        <v>3.33</v>
      </c>
      <c r="J147"/>
      <c r="K147"/>
      <c r="L147"/>
      <c r="M147"/>
      <c r="N147" s="15">
        <v>132</v>
      </c>
      <c r="O147" s="15">
        <v>131</v>
      </c>
      <c r="P147" s="15">
        <v>31</v>
      </c>
      <c r="Q147" s="53">
        <v>1128.6171515942419</v>
      </c>
      <c r="R147" s="53">
        <v>69.705301898415939</v>
      </c>
      <c r="S147" s="53">
        <v>11.355134828643855</v>
      </c>
      <c r="T147" s="27">
        <v>2.4675501422541817E-5</v>
      </c>
      <c r="U147" s="15"/>
      <c r="V147" s="15">
        <v>132</v>
      </c>
      <c r="W147" s="15">
        <v>131</v>
      </c>
      <c r="X147" s="15">
        <v>31</v>
      </c>
      <c r="Y147" s="53">
        <v>1128.6171515942419</v>
      </c>
      <c r="Z147" s="53">
        <v>69.705301898415939</v>
      </c>
      <c r="AA147" s="53">
        <v>11.355134828643855</v>
      </c>
      <c r="AB147" s="27">
        <v>2.4675501422541817E-5</v>
      </c>
      <c r="AC147" s="27"/>
      <c r="AD147" s="27"/>
      <c r="AE147" s="27"/>
      <c r="AF147" s="27"/>
      <c r="AG147" s="27"/>
    </row>
    <row r="148" spans="6:33" s="21" customFormat="1" ht="14.25" x14ac:dyDescent="0.45">
      <c r="F148" s="94">
        <v>1987</v>
      </c>
      <c r="G148" s="92">
        <v>9.5</v>
      </c>
      <c r="H148" s="54">
        <v>1</v>
      </c>
      <c r="I148" s="92">
        <v>3.2</v>
      </c>
      <c r="J148"/>
      <c r="K148"/>
      <c r="L148"/>
      <c r="M148"/>
      <c r="N148" s="15">
        <v>133</v>
      </c>
      <c r="O148" s="15">
        <v>132</v>
      </c>
      <c r="P148" s="15">
        <v>30</v>
      </c>
      <c r="Q148" s="53">
        <v>1169.2879374361919</v>
      </c>
      <c r="R148" s="53">
        <v>55.435246731708844</v>
      </c>
      <c r="S148" s="53">
        <v>9.4073954451055162</v>
      </c>
      <c r="T148" s="27">
        <v>1.380197134208647E-4</v>
      </c>
      <c r="U148" s="15"/>
      <c r="V148" s="15">
        <v>133</v>
      </c>
      <c r="W148" s="15">
        <v>132</v>
      </c>
      <c r="X148" s="15">
        <v>30</v>
      </c>
      <c r="Y148" s="53">
        <v>1169.2879374361919</v>
      </c>
      <c r="Z148" s="53">
        <v>55.435246731708844</v>
      </c>
      <c r="AA148" s="53">
        <v>9.4073954451055162</v>
      </c>
      <c r="AB148" s="27">
        <v>1.380197134208647E-4</v>
      </c>
      <c r="AC148" s="27"/>
      <c r="AD148" s="27"/>
      <c r="AE148" s="27"/>
      <c r="AF148" s="27"/>
      <c r="AG148" s="27"/>
    </row>
    <row r="149" spans="6:33" s="21" customFormat="1" ht="14.25" x14ac:dyDescent="0.45">
      <c r="F149" s="94">
        <v>1988</v>
      </c>
      <c r="G149" s="92">
        <v>7.9</v>
      </c>
      <c r="H149" s="54">
        <v>1</v>
      </c>
      <c r="I149" s="92">
        <v>3.76</v>
      </c>
      <c r="J149"/>
      <c r="K149"/>
      <c r="L149"/>
      <c r="M149"/>
      <c r="N149" s="15">
        <v>134</v>
      </c>
      <c r="O149" s="15">
        <v>133</v>
      </c>
      <c r="P149" s="15">
        <v>29</v>
      </c>
      <c r="Q149" s="53">
        <v>1190.5842921761021</v>
      </c>
      <c r="R149" s="53">
        <v>50.262086279414774</v>
      </c>
      <c r="S149" s="53">
        <v>8.2586556510645064</v>
      </c>
      <c r="T149" s="27">
        <v>3.8785313799383214E-4</v>
      </c>
      <c r="U149" s="15"/>
      <c r="V149" s="15">
        <v>134</v>
      </c>
      <c r="W149" s="15">
        <v>133</v>
      </c>
      <c r="X149" s="15">
        <v>29</v>
      </c>
      <c r="Y149" s="53">
        <v>1190.5842921761021</v>
      </c>
      <c r="Z149" s="53">
        <v>50.262086279414774</v>
      </c>
      <c r="AA149" s="53">
        <v>8.2586556510645064</v>
      </c>
      <c r="AB149" s="27">
        <v>3.8785313799383214E-4</v>
      </c>
      <c r="AC149" s="27"/>
      <c r="AD149" s="27"/>
      <c r="AE149" s="27"/>
      <c r="AF149" s="27"/>
      <c r="AG149" s="27"/>
    </row>
    <row r="150" spans="6:33" s="21" customFormat="1" ht="14.25" x14ac:dyDescent="0.45">
      <c r="F150" s="94">
        <v>1989</v>
      </c>
      <c r="G150" s="92">
        <v>7</v>
      </c>
      <c r="H150" s="54">
        <v>1</v>
      </c>
      <c r="I150" s="92">
        <v>5.24</v>
      </c>
      <c r="J150"/>
      <c r="K150"/>
      <c r="L150"/>
      <c r="M150"/>
      <c r="N150" s="15">
        <v>135</v>
      </c>
      <c r="O150" s="15">
        <v>134</v>
      </c>
      <c r="P150" s="15">
        <v>28</v>
      </c>
      <c r="Q150" s="53">
        <v>1200.0392870694807</v>
      </c>
      <c r="R150" s="53">
        <v>50.113446948188759</v>
      </c>
      <c r="S150" s="53">
        <v>7.6090869597618855</v>
      </c>
      <c r="T150" s="27">
        <v>6.9988526746112001E-4</v>
      </c>
      <c r="U150" s="15"/>
      <c r="V150" s="15">
        <v>135</v>
      </c>
      <c r="W150" s="15">
        <v>134</v>
      </c>
      <c r="X150" s="15">
        <v>28</v>
      </c>
      <c r="Y150" s="53">
        <v>1200.0392870694807</v>
      </c>
      <c r="Z150" s="53">
        <v>50.113446948188759</v>
      </c>
      <c r="AA150" s="53">
        <v>7.6090869597618855</v>
      </c>
      <c r="AB150" s="27">
        <v>6.9988526746112001E-4</v>
      </c>
      <c r="AC150" s="27"/>
      <c r="AD150" s="27"/>
      <c r="AE150" s="27"/>
      <c r="AF150" s="27"/>
      <c r="AG150" s="27"/>
    </row>
    <row r="151" spans="6:33" s="21" customFormat="1" ht="14.25" x14ac:dyDescent="0.45">
      <c r="F151" s="94">
        <v>1990</v>
      </c>
      <c r="G151" s="92">
        <v>7.6</v>
      </c>
      <c r="H151" s="54">
        <v>1</v>
      </c>
      <c r="I151" s="92">
        <v>6.97</v>
      </c>
      <c r="J151"/>
      <c r="K151"/>
      <c r="L151"/>
      <c r="M151"/>
      <c r="N151" s="15">
        <v>136</v>
      </c>
      <c r="O151" s="15">
        <v>135</v>
      </c>
      <c r="P151" s="15">
        <v>27</v>
      </c>
      <c r="Q151" s="53">
        <v>1205.7426176533088</v>
      </c>
      <c r="R151" s="53">
        <v>47.883733005252545</v>
      </c>
      <c r="S151" s="53">
        <v>7.3691057519978393</v>
      </c>
      <c r="T151" s="27">
        <v>8.7141452169781086E-4</v>
      </c>
      <c r="U151" s="15"/>
      <c r="V151" s="15">
        <v>136</v>
      </c>
      <c r="W151" s="15">
        <v>135</v>
      </c>
      <c r="X151" s="15">
        <v>27</v>
      </c>
      <c r="Y151" s="53">
        <v>1205.7426176533088</v>
      </c>
      <c r="Z151" s="53">
        <v>47.883733005252545</v>
      </c>
      <c r="AA151" s="53">
        <v>7.3691057519978393</v>
      </c>
      <c r="AB151" s="27">
        <v>8.7141452169781086E-4</v>
      </c>
      <c r="AC151" s="27"/>
      <c r="AD151" s="27"/>
      <c r="AE151" s="27"/>
      <c r="AF151" s="27"/>
      <c r="AG151" s="27"/>
    </row>
    <row r="152" spans="6:33" s="21" customFormat="1" ht="14.25" x14ac:dyDescent="0.45">
      <c r="F152" s="94">
        <v>1991</v>
      </c>
      <c r="G152" s="92">
        <v>9.5</v>
      </c>
      <c r="H152" s="54">
        <v>1</v>
      </c>
      <c r="I152" s="92">
        <v>7.53</v>
      </c>
      <c r="J152"/>
      <c r="K152"/>
      <c r="L152"/>
      <c r="M152"/>
      <c r="N152" s="15">
        <v>137</v>
      </c>
      <c r="O152" s="15">
        <v>136</v>
      </c>
      <c r="P152" s="15">
        <v>26</v>
      </c>
      <c r="Q152" s="53">
        <v>1216.199490173133</v>
      </c>
      <c r="R152" s="53">
        <v>41.418472070933717</v>
      </c>
      <c r="S152" s="53">
        <v>7.0949748684549068</v>
      </c>
      <c r="T152" s="27">
        <v>1.1201952528860915E-3</v>
      </c>
      <c r="U152" s="15"/>
      <c r="V152" s="15">
        <v>137</v>
      </c>
      <c r="W152" s="15">
        <v>136</v>
      </c>
      <c r="X152" s="15">
        <v>26</v>
      </c>
      <c r="Y152" s="53">
        <v>1216.199490173133</v>
      </c>
      <c r="Z152" s="53">
        <v>41.418472070933717</v>
      </c>
      <c r="AA152" s="53">
        <v>7.0949748684549068</v>
      </c>
      <c r="AB152" s="27">
        <v>1.1201952528860915E-3</v>
      </c>
      <c r="AC152" s="27"/>
      <c r="AD152" s="27"/>
      <c r="AE152" s="27"/>
      <c r="AF152" s="27"/>
      <c r="AG152" s="27"/>
    </row>
    <row r="153" spans="6:33" s="21" customFormat="1" ht="14.25" x14ac:dyDescent="0.45">
      <c r="F153" s="94">
        <v>1992</v>
      </c>
      <c r="G153" s="92">
        <v>10.5</v>
      </c>
      <c r="H153" s="54">
        <v>1</v>
      </c>
      <c r="I153" s="92">
        <v>4.26</v>
      </c>
      <c r="J153"/>
      <c r="K153"/>
      <c r="L153"/>
      <c r="M153"/>
      <c r="N153" s="15">
        <v>138</v>
      </c>
      <c r="O153" s="15">
        <v>137</v>
      </c>
      <c r="P153" s="15">
        <v>25</v>
      </c>
      <c r="Q153" s="53">
        <v>1242.9654199972586</v>
      </c>
      <c r="R153" s="53">
        <v>35.938587894355535</v>
      </c>
      <c r="S153" s="53">
        <v>5.6620123053805997</v>
      </c>
      <c r="T153" s="27">
        <v>4.2183426016725312E-3</v>
      </c>
      <c r="U153" s="15"/>
      <c r="V153" s="15">
        <v>138</v>
      </c>
      <c r="W153" s="15">
        <v>137</v>
      </c>
      <c r="X153" s="15">
        <v>25</v>
      </c>
      <c r="Y153" s="53">
        <v>1242.9654199972586</v>
      </c>
      <c r="Z153" s="53">
        <v>35.938587894355535</v>
      </c>
      <c r="AA153" s="53">
        <v>5.6620123053805997</v>
      </c>
      <c r="AB153" s="27">
        <v>4.2183426016725312E-3</v>
      </c>
      <c r="AC153" s="27"/>
      <c r="AD153" s="27"/>
      <c r="AE153" s="27"/>
      <c r="AF153" s="27"/>
      <c r="AG153" s="27"/>
    </row>
    <row r="154" spans="6:33" s="21" customFormat="1" ht="14.25" x14ac:dyDescent="0.45">
      <c r="F154" s="94">
        <v>1993</v>
      </c>
      <c r="G154" s="92">
        <v>10.3</v>
      </c>
      <c r="H154" s="54">
        <v>1</v>
      </c>
      <c r="I154" s="92">
        <v>2.5099999999999998</v>
      </c>
      <c r="J154"/>
      <c r="K154"/>
      <c r="L154"/>
      <c r="M154"/>
      <c r="N154" s="15">
        <v>139</v>
      </c>
      <c r="O154" s="15">
        <v>138</v>
      </c>
      <c r="P154" s="15">
        <v>24</v>
      </c>
      <c r="Q154" s="53">
        <v>1274.669868117945</v>
      </c>
      <c r="R154" s="53">
        <v>33.58217570579496</v>
      </c>
      <c r="S154" s="53">
        <v>3.7627882292902979</v>
      </c>
      <c r="T154" s="27">
        <v>2.5325979803058285E-2</v>
      </c>
      <c r="U154" s="15"/>
      <c r="V154" s="15">
        <v>139</v>
      </c>
      <c r="W154" s="15">
        <v>138</v>
      </c>
      <c r="X154" s="15">
        <v>24</v>
      </c>
      <c r="Y154" s="53">
        <v>1274.669868117945</v>
      </c>
      <c r="Z154" s="53">
        <v>33.58217570579496</v>
      </c>
      <c r="AA154" s="53">
        <v>3.7627882292902979</v>
      </c>
      <c r="AB154" s="27">
        <v>2.5325979803058285E-2</v>
      </c>
      <c r="AC154" s="27"/>
      <c r="AD154" s="27"/>
      <c r="AE154" s="27"/>
      <c r="AF154" s="27"/>
      <c r="AG154" s="27"/>
    </row>
    <row r="155" spans="6:33" s="21" customFormat="1" ht="14.25" x14ac:dyDescent="0.45">
      <c r="F155" s="94">
        <v>1994</v>
      </c>
      <c r="G155" s="92">
        <v>8.9</v>
      </c>
      <c r="H155" s="54">
        <v>1</v>
      </c>
      <c r="I155" s="92">
        <v>1.98</v>
      </c>
      <c r="J155"/>
      <c r="K155"/>
      <c r="L155"/>
      <c r="M155"/>
      <c r="N155" s="15">
        <v>140</v>
      </c>
      <c r="O155" s="15">
        <v>139</v>
      </c>
      <c r="P155" s="15">
        <v>23</v>
      </c>
      <c r="Q155" s="53">
        <v>1300.9861676208998</v>
      </c>
      <c r="R155" s="53">
        <v>22.022908202799329</v>
      </c>
      <c r="S155" s="53">
        <v>2.8396402807056851</v>
      </c>
      <c r="T155" s="27">
        <v>6.1433743412810271E-2</v>
      </c>
      <c r="U155" s="15"/>
      <c r="V155" s="15">
        <v>140</v>
      </c>
      <c r="W155" s="15">
        <v>139</v>
      </c>
      <c r="X155" s="15">
        <v>23</v>
      </c>
      <c r="Y155" s="53">
        <v>1300.9861676208998</v>
      </c>
      <c r="Z155" s="53">
        <v>22.022908202799329</v>
      </c>
      <c r="AA155" s="53">
        <v>2.8396402807056851</v>
      </c>
      <c r="AB155" s="27">
        <v>6.1433743412810271E-2</v>
      </c>
      <c r="AC155" s="27"/>
      <c r="AD155" s="27"/>
      <c r="AE155" s="27"/>
      <c r="AF155" s="27"/>
      <c r="AG155" s="27"/>
    </row>
    <row r="156" spans="6:33" s="21" customFormat="1" ht="14.25" x14ac:dyDescent="0.45">
      <c r="F156" s="94">
        <v>1995</v>
      </c>
      <c r="G156" s="92">
        <v>8.4</v>
      </c>
      <c r="H156" s="54">
        <v>1</v>
      </c>
      <c r="I156" s="92">
        <v>2.66</v>
      </c>
      <c r="J156"/>
      <c r="K156"/>
      <c r="L156"/>
      <c r="M156"/>
      <c r="N156" s="15">
        <v>141</v>
      </c>
      <c r="O156" s="15">
        <v>140</v>
      </c>
      <c r="P156" s="15">
        <v>22</v>
      </c>
      <c r="Q156" s="53">
        <v>1314.0813540477347</v>
      </c>
      <c r="R156" s="53">
        <v>15.005037160483374</v>
      </c>
      <c r="S156" s="53">
        <v>2.4654243469398529</v>
      </c>
      <c r="T156" s="27">
        <v>8.8236365547033513E-2</v>
      </c>
      <c r="U156" s="15"/>
      <c r="V156" s="15">
        <v>141</v>
      </c>
      <c r="W156" s="15">
        <v>140</v>
      </c>
      <c r="X156" s="15">
        <v>22</v>
      </c>
      <c r="Y156" s="53">
        <v>1314.0813540477347</v>
      </c>
      <c r="Z156" s="53">
        <v>15.005037160483374</v>
      </c>
      <c r="AA156" s="53">
        <v>2.4654243469398529</v>
      </c>
      <c r="AB156" s="27">
        <v>8.8236365547033513E-2</v>
      </c>
      <c r="AC156" s="27"/>
      <c r="AD156" s="27"/>
      <c r="AE156" s="27"/>
      <c r="AF156" s="27"/>
      <c r="AG156" s="27"/>
    </row>
    <row r="157" spans="6:33" s="21" customFormat="1" ht="14.25" x14ac:dyDescent="0.45">
      <c r="F157" s="94">
        <v>1996</v>
      </c>
      <c r="G157" s="92">
        <v>7.7</v>
      </c>
      <c r="H157" s="54">
        <v>1</v>
      </c>
      <c r="I157" s="92">
        <v>2.4</v>
      </c>
      <c r="J157"/>
      <c r="K157"/>
      <c r="L157"/>
      <c r="M157"/>
      <c r="N157" s="15">
        <v>142</v>
      </c>
      <c r="O157" s="15">
        <v>141</v>
      </c>
      <c r="P157" s="15">
        <v>21</v>
      </c>
      <c r="Q157" s="53">
        <v>1324.2966093543282</v>
      </c>
      <c r="R157" s="53">
        <v>12.360695517112308</v>
      </c>
      <c r="S157" s="53">
        <v>2.0039989000278786</v>
      </c>
      <c r="T157" s="27">
        <v>0.13820696931643051</v>
      </c>
      <c r="U157" s="15"/>
      <c r="V157" s="15">
        <v>142</v>
      </c>
      <c r="W157" s="15">
        <v>141</v>
      </c>
      <c r="X157" s="15">
        <v>21</v>
      </c>
      <c r="Y157" s="53">
        <v>1324.2966093543282</v>
      </c>
      <c r="Z157" s="53">
        <v>12.360695517112308</v>
      </c>
      <c r="AA157" s="53">
        <v>2.0039989000278786</v>
      </c>
      <c r="AB157" s="27">
        <v>0.13820696931643051</v>
      </c>
      <c r="AC157" s="27"/>
      <c r="AD157" s="27"/>
      <c r="AE157" s="27"/>
      <c r="AF157" s="27"/>
      <c r="AG157" s="27"/>
    </row>
    <row r="158" spans="6:33" s="21" customFormat="1" ht="14.25" x14ac:dyDescent="0.45">
      <c r="F158" s="94">
        <v>1997</v>
      </c>
      <c r="G158" s="92">
        <v>6.4</v>
      </c>
      <c r="H158" s="54">
        <v>1</v>
      </c>
      <c r="I158" s="92">
        <v>1.82</v>
      </c>
      <c r="J158"/>
      <c r="K158"/>
      <c r="L158"/>
      <c r="M158"/>
      <c r="N158" s="15">
        <v>143</v>
      </c>
      <c r="O158" s="15">
        <v>142</v>
      </c>
      <c r="P158" s="15">
        <v>20</v>
      </c>
      <c r="Q158" s="53">
        <v>1330.2351576962874</v>
      </c>
      <c r="R158" s="53">
        <v>10.79973576750448</v>
      </c>
      <c r="S158" s="53">
        <v>1.7395746234874796</v>
      </c>
      <c r="T158" s="27">
        <v>0.17894110257163232</v>
      </c>
      <c r="U158" s="15"/>
      <c r="V158" s="15">
        <v>143</v>
      </c>
      <c r="W158" s="15">
        <v>142</v>
      </c>
      <c r="X158" s="15">
        <v>20</v>
      </c>
      <c r="Y158" s="53">
        <v>1330.2351576962874</v>
      </c>
      <c r="Z158" s="53">
        <v>10.79973576750448</v>
      </c>
      <c r="AA158" s="53">
        <v>1.7395746234874796</v>
      </c>
      <c r="AB158" s="27">
        <v>0.17894110257163232</v>
      </c>
      <c r="AC158" s="27"/>
      <c r="AD158" s="27"/>
      <c r="AE158" s="27"/>
      <c r="AF158" s="27"/>
      <c r="AG158" s="27"/>
    </row>
    <row r="159" spans="6:33" s="21" customFormat="1" ht="14.25" x14ac:dyDescent="0.45">
      <c r="F159" s="94">
        <v>1998</v>
      </c>
      <c r="G159" s="92">
        <v>6.2</v>
      </c>
      <c r="H159" s="54">
        <v>1</v>
      </c>
      <c r="I159" s="92">
        <v>1.56</v>
      </c>
      <c r="J159"/>
      <c r="K159"/>
      <c r="L159"/>
      <c r="M159"/>
      <c r="N159" s="15">
        <v>144</v>
      </c>
      <c r="O159" s="15">
        <v>143</v>
      </c>
      <c r="P159" s="15">
        <v>19</v>
      </c>
      <c r="Q159" s="53">
        <v>1331.3105666109877</v>
      </c>
      <c r="R159" s="53">
        <v>10.552259307402005</v>
      </c>
      <c r="S159" s="53">
        <v>1.6897581199596603</v>
      </c>
      <c r="T159" s="27">
        <v>0.18788215689715826</v>
      </c>
      <c r="U159" s="15"/>
      <c r="V159" s="15">
        <v>144</v>
      </c>
      <c r="W159" s="15">
        <v>143</v>
      </c>
      <c r="X159" s="15">
        <v>19</v>
      </c>
      <c r="Y159" s="53">
        <v>1331.3105666109877</v>
      </c>
      <c r="Z159" s="53">
        <v>10.552259307402005</v>
      </c>
      <c r="AA159" s="53">
        <v>1.6897581199596603</v>
      </c>
      <c r="AB159" s="27">
        <v>0.18788215689715826</v>
      </c>
      <c r="AC159" s="27"/>
      <c r="AD159" s="27"/>
      <c r="AE159" s="27"/>
      <c r="AF159" s="27"/>
      <c r="AG159" s="27"/>
    </row>
    <row r="160" spans="6:33" s="21" customFormat="1" ht="14.25" x14ac:dyDescent="0.45">
      <c r="F160" s="94">
        <v>1999</v>
      </c>
      <c r="G160" s="92">
        <v>5.9</v>
      </c>
      <c r="H160" s="54">
        <v>1</v>
      </c>
      <c r="I160" s="92">
        <v>1.33</v>
      </c>
      <c r="J160"/>
      <c r="K160"/>
      <c r="L160"/>
      <c r="M160"/>
      <c r="N160" s="15">
        <v>145</v>
      </c>
      <c r="O160" s="15">
        <v>144</v>
      </c>
      <c r="P160" s="15">
        <v>18</v>
      </c>
      <c r="Q160" s="53">
        <v>1331.9363597105366</v>
      </c>
      <c r="R160" s="53">
        <v>10.248694263023646</v>
      </c>
      <c r="S160" s="53">
        <v>1.6703863472266769</v>
      </c>
      <c r="T160" s="27">
        <v>0.19147999120820991</v>
      </c>
      <c r="U160" s="15"/>
      <c r="V160" s="15">
        <v>145</v>
      </c>
      <c r="W160" s="15">
        <v>144</v>
      </c>
      <c r="X160" s="15">
        <v>18</v>
      </c>
      <c r="Y160" s="53">
        <v>1331.9363597105366</v>
      </c>
      <c r="Z160" s="53">
        <v>10.248694263023646</v>
      </c>
      <c r="AA160" s="53">
        <v>1.6703863472266769</v>
      </c>
      <c r="AB160" s="27">
        <v>0.19147999120820991</v>
      </c>
      <c r="AC160" s="27"/>
      <c r="AD160" s="27"/>
      <c r="AE160" s="27"/>
      <c r="AF160" s="27"/>
      <c r="AG160" s="27"/>
    </row>
    <row r="161" spans="6:33" s="21" customFormat="1" ht="14.25" x14ac:dyDescent="0.45">
      <c r="F161" s="94">
        <v>2000</v>
      </c>
      <c r="G161" s="92">
        <v>5.2</v>
      </c>
      <c r="H161" s="54">
        <v>1</v>
      </c>
      <c r="I161" s="92">
        <v>0.8</v>
      </c>
      <c r="J161"/>
      <c r="K161"/>
      <c r="L161"/>
      <c r="M161"/>
      <c r="N161" s="15">
        <v>146</v>
      </c>
      <c r="O161" s="15">
        <v>145</v>
      </c>
      <c r="P161" s="15">
        <v>17</v>
      </c>
      <c r="Q161" s="53">
        <v>1332.1403894932714</v>
      </c>
      <c r="R161" s="53">
        <v>10.011929565619756</v>
      </c>
      <c r="S161" s="53">
        <v>1.6723538871071404</v>
      </c>
      <c r="T161" s="27">
        <v>0.19111140738190358</v>
      </c>
      <c r="U161" s="15"/>
      <c r="V161" s="15">
        <v>146</v>
      </c>
      <c r="W161" s="15">
        <v>145</v>
      </c>
      <c r="X161" s="15">
        <v>17</v>
      </c>
      <c r="Y161" s="53">
        <v>1332.1403894932714</v>
      </c>
      <c r="Z161" s="53">
        <v>10.011929565619756</v>
      </c>
      <c r="AA161" s="53">
        <v>1.6723538871071404</v>
      </c>
      <c r="AB161" s="27">
        <v>0.19111140738190358</v>
      </c>
      <c r="AC161" s="27"/>
      <c r="AD161" s="27"/>
      <c r="AE161" s="27"/>
      <c r="AF161" s="27"/>
      <c r="AG161" s="27"/>
    </row>
    <row r="162" spans="6:33" s="21" customFormat="1" ht="14.25" x14ac:dyDescent="0.45">
      <c r="F162" s="94">
        <v>2001</v>
      </c>
      <c r="G162" s="92">
        <v>5.2</v>
      </c>
      <c r="H162" s="54">
        <v>1</v>
      </c>
      <c r="I162" s="92">
        <v>1.23</v>
      </c>
      <c r="J162"/>
      <c r="K162"/>
      <c r="L162"/>
      <c r="M162"/>
      <c r="N162" s="15">
        <v>147</v>
      </c>
      <c r="O162" s="15">
        <v>146</v>
      </c>
      <c r="P162" s="15">
        <v>16</v>
      </c>
      <c r="Q162" s="53">
        <v>1332.2485747396336</v>
      </c>
      <c r="R162" s="53">
        <v>9.9253612766478359</v>
      </c>
      <c r="S162" s="53">
        <v>1.6710545839469799</v>
      </c>
      <c r="T162" s="27">
        <v>0.19135472821111044</v>
      </c>
      <c r="U162" s="15"/>
      <c r="V162" s="15">
        <v>147</v>
      </c>
      <c r="W162" s="15">
        <v>146</v>
      </c>
      <c r="X162" s="15">
        <v>16</v>
      </c>
      <c r="Y162" s="53">
        <v>1332.2485747396336</v>
      </c>
      <c r="Z162" s="53">
        <v>9.9253612766478359</v>
      </c>
      <c r="AA162" s="53">
        <v>1.6710545839469799</v>
      </c>
      <c r="AB162" s="27">
        <v>0.19135472821111044</v>
      </c>
      <c r="AC162" s="27"/>
      <c r="AD162" s="27"/>
      <c r="AE162" s="27"/>
      <c r="AF162" s="27"/>
      <c r="AG162" s="27"/>
    </row>
    <row r="163" spans="6:33" s="21" customFormat="1" ht="14.25" x14ac:dyDescent="0.45">
      <c r="F163" s="94">
        <v>2002</v>
      </c>
      <c r="G163" s="92">
        <v>5</v>
      </c>
      <c r="H163" s="54">
        <v>1</v>
      </c>
      <c r="I163" s="92">
        <v>1.26</v>
      </c>
      <c r="J163"/>
      <c r="K163"/>
      <c r="L163"/>
      <c r="M163"/>
      <c r="N163" s="15">
        <v>148</v>
      </c>
      <c r="O163" s="15">
        <v>147</v>
      </c>
      <c r="P163" s="15">
        <v>15</v>
      </c>
      <c r="Q163" s="53">
        <v>1332.3170318745549</v>
      </c>
      <c r="R163" s="53">
        <v>9.9193194513893861</v>
      </c>
      <c r="S163" s="53">
        <v>1.66730330061472</v>
      </c>
      <c r="T163" s="27">
        <v>0.19205899383403147</v>
      </c>
      <c r="U163" s="15"/>
      <c r="V163" s="15">
        <v>148</v>
      </c>
      <c r="W163" s="15">
        <v>147</v>
      </c>
      <c r="X163" s="15">
        <v>15</v>
      </c>
      <c r="Y163" s="53">
        <v>1332.3170318745549</v>
      </c>
      <c r="Z163" s="53">
        <v>9.9193194513893861</v>
      </c>
      <c r="AA163" s="53">
        <v>1.66730330061472</v>
      </c>
      <c r="AB163" s="27">
        <v>0.19205899383403147</v>
      </c>
      <c r="AC163" s="27"/>
      <c r="AD163" s="27"/>
      <c r="AE163" s="27"/>
      <c r="AF163" s="27"/>
      <c r="AG163" s="27"/>
    </row>
    <row r="164" spans="6:33" s="21" customFormat="1" ht="14.25" x14ac:dyDescent="0.45">
      <c r="F164" s="94">
        <v>2003</v>
      </c>
      <c r="G164" s="92">
        <v>4.8</v>
      </c>
      <c r="H164" s="54">
        <v>1</v>
      </c>
      <c r="I164" s="92">
        <v>1.36</v>
      </c>
      <c r="J164"/>
      <c r="K164"/>
      <c r="L164"/>
      <c r="M164"/>
      <c r="N164" s="15">
        <v>149</v>
      </c>
      <c r="O164" s="15">
        <v>148</v>
      </c>
      <c r="P164" s="15">
        <v>14</v>
      </c>
      <c r="Q164" s="53">
        <v>1332.5235762775731</v>
      </c>
      <c r="R164" s="53">
        <v>9.8126208068907488</v>
      </c>
      <c r="S164" s="53">
        <v>1.6613030987999566</v>
      </c>
      <c r="T164" s="27">
        <v>0.19319093246476982</v>
      </c>
      <c r="U164" s="15"/>
      <c r="V164" s="15">
        <v>149</v>
      </c>
      <c r="W164" s="15">
        <v>148</v>
      </c>
      <c r="X164" s="15">
        <v>14</v>
      </c>
      <c r="Y164" s="53">
        <v>1332.5235762775731</v>
      </c>
      <c r="Z164" s="53">
        <v>9.8126208068907488</v>
      </c>
      <c r="AA164" s="53">
        <v>1.6613030987999566</v>
      </c>
      <c r="AB164" s="27">
        <v>0.19319093246476982</v>
      </c>
      <c r="AC164" s="27"/>
      <c r="AD164" s="27"/>
      <c r="AE164" s="27"/>
      <c r="AF164" s="27"/>
      <c r="AG164" s="27"/>
    </row>
    <row r="165" spans="6:33" s="21" customFormat="1" ht="14.25" x14ac:dyDescent="0.45">
      <c r="F165" s="94">
        <v>2004</v>
      </c>
      <c r="G165" s="92">
        <v>4.7</v>
      </c>
      <c r="H165" s="54">
        <v>1</v>
      </c>
      <c r="I165" s="92">
        <v>1.34</v>
      </c>
      <c r="J165"/>
      <c r="K165"/>
      <c r="L165"/>
      <c r="M165"/>
      <c r="N165" s="15">
        <v>150</v>
      </c>
      <c r="O165" s="15">
        <v>149</v>
      </c>
      <c r="P165" s="15">
        <v>13</v>
      </c>
      <c r="Q165" s="53">
        <v>1332.9273259040101</v>
      </c>
      <c r="R165" s="53">
        <v>9.3617163760910582</v>
      </c>
      <c r="S165" s="53">
        <v>1.6641367418138344</v>
      </c>
      <c r="T165" s="27">
        <v>0.19265552600158442</v>
      </c>
      <c r="U165" s="15"/>
      <c r="V165" s="15">
        <v>150</v>
      </c>
      <c r="W165" s="15">
        <v>149</v>
      </c>
      <c r="X165" s="15">
        <v>13</v>
      </c>
      <c r="Y165" s="53">
        <v>1332.9273259040101</v>
      </c>
      <c r="Z165" s="53">
        <v>9.3617163760910582</v>
      </c>
      <c r="AA165" s="53">
        <v>1.6641367418138344</v>
      </c>
      <c r="AB165" s="27">
        <v>0.19265552600158442</v>
      </c>
      <c r="AC165" s="27"/>
      <c r="AD165" s="27"/>
      <c r="AE165" s="27"/>
      <c r="AF165" s="27"/>
      <c r="AG165" s="27"/>
    </row>
    <row r="166" spans="6:33" s="21" customFormat="1" ht="14.25" x14ac:dyDescent="0.45">
      <c r="F166" s="94">
        <v>2005</v>
      </c>
      <c r="G166" s="92">
        <v>5.0999999999999996</v>
      </c>
      <c r="H166" s="54">
        <v>1</v>
      </c>
      <c r="I166" s="92">
        <v>2.06</v>
      </c>
      <c r="J166"/>
      <c r="K166"/>
      <c r="L166"/>
      <c r="M166"/>
      <c r="N166" s="15">
        <v>151</v>
      </c>
      <c r="O166" s="15">
        <v>150</v>
      </c>
      <c r="P166" s="15">
        <v>12</v>
      </c>
      <c r="Q166" s="53">
        <v>1333.4653496423982</v>
      </c>
      <c r="R166" s="53">
        <v>8.6413533835356233</v>
      </c>
      <c r="S166" s="53">
        <v>1.6750958097466413</v>
      </c>
      <c r="T166" s="27">
        <v>0.19059895457982323</v>
      </c>
      <c r="U166" s="15"/>
      <c r="V166" s="15">
        <v>151</v>
      </c>
      <c r="W166" s="15">
        <v>150</v>
      </c>
      <c r="X166" s="15">
        <v>12</v>
      </c>
      <c r="Y166" s="53">
        <v>1333.4653496423982</v>
      </c>
      <c r="Z166" s="53">
        <v>8.6413533835356233</v>
      </c>
      <c r="AA166" s="53">
        <v>1.6750958097466413</v>
      </c>
      <c r="AB166" s="27">
        <v>0.19059895457982323</v>
      </c>
      <c r="AC166" s="27"/>
      <c r="AD166" s="27"/>
      <c r="AE166" s="27"/>
      <c r="AF166" s="27"/>
      <c r="AG166" s="27"/>
    </row>
    <row r="167" spans="6:33" s="21" customFormat="1" ht="14.25" x14ac:dyDescent="0.45">
      <c r="F167" s="94">
        <v>2006</v>
      </c>
      <c r="G167" s="92">
        <v>5.5</v>
      </c>
      <c r="H167" s="54">
        <v>1</v>
      </c>
      <c r="I167" s="92">
        <v>2.33</v>
      </c>
      <c r="J167"/>
      <c r="K167"/>
      <c r="L167"/>
      <c r="M167"/>
      <c r="N167" s="15">
        <v>152</v>
      </c>
      <c r="O167" s="15">
        <v>151</v>
      </c>
      <c r="P167" s="15">
        <v>11</v>
      </c>
      <c r="Q167" s="53">
        <v>1333.5145139408385</v>
      </c>
      <c r="R167" s="53">
        <v>7.3492287000143603</v>
      </c>
      <c r="S167" s="53">
        <v>1.7498804019205147</v>
      </c>
      <c r="T167" s="27">
        <v>0.17714588887524196</v>
      </c>
      <c r="U167" s="15"/>
      <c r="V167" s="15">
        <v>152</v>
      </c>
      <c r="W167" s="15">
        <v>151</v>
      </c>
      <c r="X167" s="15">
        <v>11</v>
      </c>
      <c r="Y167" s="53">
        <v>1333.5145139408385</v>
      </c>
      <c r="Z167" s="53">
        <v>7.3492287000143603</v>
      </c>
      <c r="AA167" s="53">
        <v>1.7498804019205147</v>
      </c>
      <c r="AB167" s="27">
        <v>0.17714588887524196</v>
      </c>
      <c r="AC167" s="27"/>
      <c r="AD167" s="27"/>
      <c r="AE167" s="27"/>
      <c r="AF167" s="27"/>
      <c r="AG167" s="27"/>
    </row>
    <row r="168" spans="6:33" s="21" customFormat="1" ht="14.25" x14ac:dyDescent="0.45">
      <c r="F168" s="94">
        <v>2007</v>
      </c>
      <c r="G168" s="92">
        <v>5.2</v>
      </c>
      <c r="H168" s="54">
        <v>1</v>
      </c>
      <c r="I168" s="92">
        <v>2.3199999999999998</v>
      </c>
      <c r="J168"/>
      <c r="K168"/>
      <c r="L168"/>
      <c r="M168"/>
      <c r="N168" s="15">
        <v>153</v>
      </c>
      <c r="O168" s="15">
        <v>152</v>
      </c>
      <c r="P168" s="15">
        <v>10</v>
      </c>
      <c r="Q168" s="53">
        <v>1333.5624424395321</v>
      </c>
      <c r="R168" s="53">
        <v>6.244927678582445</v>
      </c>
      <c r="S168" s="53">
        <v>1.8135477296076921</v>
      </c>
      <c r="T168" s="27">
        <v>0.16645259161607551</v>
      </c>
      <c r="U168" s="15"/>
      <c r="V168" s="15">
        <v>153</v>
      </c>
      <c r="W168" s="15">
        <v>152</v>
      </c>
      <c r="X168" s="15">
        <v>10</v>
      </c>
      <c r="Y168" s="53">
        <v>1333.5624424395321</v>
      </c>
      <c r="Z168" s="53">
        <v>6.244927678582445</v>
      </c>
      <c r="AA168" s="53">
        <v>1.8135477296076921</v>
      </c>
      <c r="AB168" s="27">
        <v>0.16645259161607551</v>
      </c>
      <c r="AC168" s="27"/>
      <c r="AD168" s="27"/>
      <c r="AE168" s="27"/>
      <c r="AF168" s="27"/>
      <c r="AG168" s="27"/>
    </row>
    <row r="169" spans="6:33" s="21" customFormat="1" ht="14.25" x14ac:dyDescent="0.45">
      <c r="F169" s="94">
        <v>2008</v>
      </c>
      <c r="G169" s="92">
        <v>6.5</v>
      </c>
      <c r="H169" s="54">
        <v>1</v>
      </c>
      <c r="I169" s="92">
        <v>3.6</v>
      </c>
      <c r="J169"/>
      <c r="K169"/>
      <c r="L169"/>
      <c r="M169"/>
      <c r="N169" s="15">
        <v>154</v>
      </c>
      <c r="O169" s="15">
        <v>153</v>
      </c>
      <c r="P169" s="15">
        <v>9</v>
      </c>
      <c r="Q169" s="53">
        <v>1333.569336812835</v>
      </c>
      <c r="R169" s="53">
        <v>4.0847785833668118</v>
      </c>
      <c r="S169" s="53">
        <v>1.9436352845596294</v>
      </c>
      <c r="T169" s="27">
        <v>0.14659072711371368</v>
      </c>
      <c r="U169" s="15"/>
      <c r="V169" s="15">
        <v>154</v>
      </c>
      <c r="W169" s="15">
        <v>153</v>
      </c>
      <c r="X169" s="15">
        <v>9</v>
      </c>
      <c r="Y169" s="53">
        <v>1333.569336812835</v>
      </c>
      <c r="Z169" s="53">
        <v>4.0847785833668118</v>
      </c>
      <c r="AA169" s="53">
        <v>1.9436352845596294</v>
      </c>
      <c r="AB169" s="27">
        <v>0.14659072711371368</v>
      </c>
      <c r="AC169" s="27"/>
      <c r="AD169" s="27"/>
      <c r="AE169" s="27"/>
      <c r="AF169" s="27"/>
      <c r="AG169" s="27"/>
    </row>
    <row r="170" spans="6:33" s="21" customFormat="1" ht="14.25" x14ac:dyDescent="0.45">
      <c r="F170" s="94">
        <v>2009</v>
      </c>
      <c r="G170" s="92">
        <v>7.7</v>
      </c>
      <c r="H170" s="54">
        <v>1</v>
      </c>
      <c r="I170" s="92">
        <v>2.17</v>
      </c>
      <c r="J170"/>
      <c r="K170"/>
      <c r="L170"/>
      <c r="M170"/>
      <c r="N170" s="15">
        <v>155</v>
      </c>
      <c r="O170" s="15">
        <v>154</v>
      </c>
      <c r="P170" s="15">
        <v>8</v>
      </c>
      <c r="Q170" s="53">
        <v>1335.5440620050076</v>
      </c>
      <c r="R170" s="53">
        <v>2.1056162323260308</v>
      </c>
      <c r="S170" s="53">
        <v>1.9439037851805165</v>
      </c>
      <c r="T170" s="27">
        <v>0.14655231762233301</v>
      </c>
      <c r="U170" s="15"/>
      <c r="V170" s="15">
        <v>155</v>
      </c>
      <c r="W170" s="15">
        <v>154</v>
      </c>
      <c r="X170" s="15">
        <v>8</v>
      </c>
      <c r="Y170" s="53">
        <v>1335.5440620050076</v>
      </c>
      <c r="Z170" s="53">
        <v>2.1056162323260308</v>
      </c>
      <c r="AA170" s="53">
        <v>1.9439037851805165</v>
      </c>
      <c r="AB170" s="27">
        <v>0.14655231762233301</v>
      </c>
      <c r="AC170" s="27"/>
      <c r="AD170" s="27"/>
      <c r="AE170" s="27"/>
      <c r="AF170" s="27"/>
      <c r="AG170" s="27"/>
    </row>
    <row r="171" spans="6:33" s="21" customFormat="1" ht="14.25" x14ac:dyDescent="0.45">
      <c r="F171" s="94">
        <v>2010</v>
      </c>
      <c r="G171" s="92">
        <v>7.9</v>
      </c>
      <c r="H171" s="54">
        <v>1</v>
      </c>
      <c r="I171" s="92">
        <v>3.3</v>
      </c>
      <c r="J171"/>
      <c r="K171"/>
      <c r="L171"/>
      <c r="M171"/>
      <c r="N171" s="15">
        <v>156</v>
      </c>
      <c r="O171" s="15">
        <v>155</v>
      </c>
      <c r="P171" s="15">
        <v>7</v>
      </c>
      <c r="Q171" s="53">
        <v>1341.1981001232039</v>
      </c>
      <c r="R171" s="53">
        <v>1.1517276536672401</v>
      </c>
      <c r="S171" s="53">
        <v>1.6604840355505985</v>
      </c>
      <c r="T171" s="27">
        <v>0.19334597199642545</v>
      </c>
      <c r="U171" s="15"/>
      <c r="V171" s="15">
        <v>156</v>
      </c>
      <c r="W171" s="15">
        <v>155</v>
      </c>
      <c r="X171" s="15">
        <v>7</v>
      </c>
      <c r="Y171" s="53">
        <v>1341.1981001232039</v>
      </c>
      <c r="Z171" s="53">
        <v>1.1517276536672401</v>
      </c>
      <c r="AA171" s="53">
        <v>1.6604840355505985</v>
      </c>
      <c r="AB171" s="27">
        <v>0.19334597199642545</v>
      </c>
      <c r="AC171" s="27"/>
      <c r="AD171" s="27"/>
      <c r="AE171" s="27"/>
      <c r="AF171" s="27"/>
      <c r="AG171" s="27"/>
    </row>
    <row r="172" spans="6:33" s="21" customFormat="1" ht="14.25" x14ac:dyDescent="0.45">
      <c r="F172" s="94">
        <v>2011</v>
      </c>
      <c r="G172" s="92">
        <v>8.3000000000000007</v>
      </c>
      <c r="H172" s="54">
        <v>1</v>
      </c>
      <c r="I172" s="92">
        <v>4.46</v>
      </c>
      <c r="J172"/>
      <c r="K172"/>
      <c r="L172"/>
      <c r="M172"/>
      <c r="N172" s="15">
        <v>157</v>
      </c>
      <c r="O172" s="15">
        <v>156</v>
      </c>
      <c r="P172" s="15">
        <v>6</v>
      </c>
      <c r="Q172" s="53">
        <v>1348.6587539763468</v>
      </c>
      <c r="R172" s="53">
        <v>1.0892716435614562</v>
      </c>
      <c r="S172" s="53">
        <v>1.2183702426920546</v>
      </c>
      <c r="T172" s="27">
        <v>0.29847454261960382</v>
      </c>
      <c r="U172" s="15"/>
      <c r="V172" s="15">
        <v>157</v>
      </c>
      <c r="W172" s="15">
        <v>156</v>
      </c>
      <c r="X172" s="15">
        <v>6</v>
      </c>
      <c r="Y172" s="53">
        <v>1348.6587539763468</v>
      </c>
      <c r="Z172" s="53">
        <v>1.0892716435614562</v>
      </c>
      <c r="AA172" s="53">
        <v>1.2183702426920546</v>
      </c>
      <c r="AB172" s="27">
        <v>0.29847454261960382</v>
      </c>
      <c r="AC172" s="27"/>
      <c r="AD172" s="27"/>
      <c r="AE172" s="27"/>
      <c r="AF172" s="27"/>
      <c r="AG172" s="27"/>
    </row>
    <row r="173" spans="6:33" s="21" customFormat="1" ht="14.25" x14ac:dyDescent="0.45">
      <c r="F173" s="94">
        <v>2012</v>
      </c>
      <c r="G173" s="92">
        <v>7.8</v>
      </c>
      <c r="H173" s="54">
        <v>1</v>
      </c>
      <c r="I173" s="92">
        <v>2.83</v>
      </c>
      <c r="J173"/>
      <c r="K173"/>
      <c r="L173"/>
      <c r="M173"/>
      <c r="N173" s="15">
        <v>158</v>
      </c>
      <c r="O173" s="15">
        <v>157</v>
      </c>
      <c r="P173" s="15">
        <v>5</v>
      </c>
      <c r="Q173" s="53">
        <v>1359.4551559236554</v>
      </c>
      <c r="R173" s="53">
        <v>0.77164357506805292</v>
      </c>
      <c r="S173" s="53">
        <v>0.60039229738908928</v>
      </c>
      <c r="T173" s="27">
        <v>0.54984309146904953</v>
      </c>
      <c r="U173" s="15"/>
      <c r="V173" s="15">
        <v>158</v>
      </c>
      <c r="W173" s="15">
        <v>157</v>
      </c>
      <c r="X173" s="15">
        <v>5</v>
      </c>
      <c r="Y173" s="53">
        <v>1359.4551559236554</v>
      </c>
      <c r="Z173" s="53">
        <v>0.77164357506805292</v>
      </c>
      <c r="AA173" s="53">
        <v>0.60039229738908928</v>
      </c>
      <c r="AB173" s="27">
        <v>0.54984309146904953</v>
      </c>
      <c r="AC173" s="27"/>
      <c r="AD173" s="27"/>
      <c r="AE173" s="27"/>
      <c r="AF173" s="27"/>
      <c r="AG173" s="27"/>
    </row>
    <row r="174" spans="6:33" s="21" customFormat="1" ht="14.25" x14ac:dyDescent="0.45">
      <c r="F174" s="94">
        <v>2013</v>
      </c>
      <c r="G174" s="92">
        <v>7.2</v>
      </c>
      <c r="H174" s="54">
        <v>1</v>
      </c>
      <c r="I174" s="92">
        <v>2.56</v>
      </c>
      <c r="J174"/>
      <c r="K174"/>
      <c r="L174"/>
      <c r="M174"/>
      <c r="N174" s="15">
        <v>159</v>
      </c>
      <c r="O174" s="15">
        <v>158</v>
      </c>
      <c r="P174" s="15">
        <v>4</v>
      </c>
      <c r="Q174" s="53">
        <v>1365.8204226153655</v>
      </c>
      <c r="R174" s="53">
        <v>0.5904216392704339</v>
      </c>
      <c r="S174" s="53">
        <v>0.24014018827781658</v>
      </c>
      <c r="T174" s="27">
        <v>0.78680413008816763</v>
      </c>
      <c r="U174" s="15"/>
      <c r="V174" s="15">
        <v>159</v>
      </c>
      <c r="W174" s="15">
        <v>158</v>
      </c>
      <c r="X174" s="15">
        <v>4</v>
      </c>
      <c r="Y174" s="53">
        <v>1365.8204226153655</v>
      </c>
      <c r="Z174" s="53">
        <v>0.5904216392704339</v>
      </c>
      <c r="AA174" s="53">
        <v>0.24014018827781658</v>
      </c>
      <c r="AB174" s="27">
        <v>0.78680413008816763</v>
      </c>
      <c r="AC174" s="27"/>
      <c r="AD174" s="27"/>
      <c r="AE174" s="27"/>
      <c r="AF174" s="27"/>
      <c r="AG174" s="27"/>
    </row>
    <row r="175" spans="6:33" s="21" customFormat="1" ht="14.25" x14ac:dyDescent="0.45">
      <c r="F175" s="94">
        <v>2014</v>
      </c>
      <c r="G175" s="92">
        <v>5.7</v>
      </c>
      <c r="H175" s="54">
        <v>1</v>
      </c>
      <c r="I175" s="92">
        <v>1.46</v>
      </c>
      <c r="J175"/>
      <c r="K175"/>
      <c r="L175"/>
      <c r="M175"/>
      <c r="N175" s="15">
        <v>160</v>
      </c>
      <c r="O175" s="15">
        <v>159</v>
      </c>
      <c r="P175" s="15">
        <v>3</v>
      </c>
      <c r="Q175" s="53">
        <v>1369.3123694859958</v>
      </c>
      <c r="R175" s="53">
        <v>0.29058142594054165</v>
      </c>
      <c r="S175" s="53">
        <v>5.5456752211923678E-2</v>
      </c>
      <c r="T175" s="27">
        <v>0.94607134385716729</v>
      </c>
      <c r="U175" s="15"/>
      <c r="V175" s="15">
        <v>160</v>
      </c>
      <c r="W175" s="15">
        <v>159</v>
      </c>
      <c r="X175" s="15">
        <v>3</v>
      </c>
      <c r="Y175" s="53">
        <v>1369.3123694859958</v>
      </c>
      <c r="Z175" s="53">
        <v>0.29058142594054165</v>
      </c>
      <c r="AA175" s="53">
        <v>5.5456752211923678E-2</v>
      </c>
      <c r="AB175" s="27">
        <v>0.94607134385716729</v>
      </c>
      <c r="AC175" s="27"/>
      <c r="AD175" s="27"/>
      <c r="AE175" s="27"/>
      <c r="AF175" s="27"/>
      <c r="AG175" s="27"/>
    </row>
    <row r="176" spans="6:33" s="21" customFormat="1" ht="14.25" x14ac:dyDescent="0.45">
      <c r="F176" s="94">
        <v>2015</v>
      </c>
      <c r="G176" s="92">
        <v>5.0999999999999996</v>
      </c>
      <c r="H176" s="54">
        <v>1</v>
      </c>
      <c r="I176" s="92">
        <v>0.04</v>
      </c>
      <c r="J176"/>
      <c r="K176"/>
      <c r="L176"/>
      <c r="M176"/>
      <c r="N176" s="15">
        <v>161</v>
      </c>
      <c r="O176" s="15" t="str">
        <v/>
      </c>
      <c r="P176" s="15" t="str">
        <v/>
      </c>
      <c r="Q176" s="53" t="str">
        <v/>
      </c>
      <c r="R176" s="53" t="str">
        <v/>
      </c>
      <c r="S176" s="53" t="str">
        <v/>
      </c>
      <c r="T176" s="27" t="str">
        <v/>
      </c>
      <c r="U176" s="15"/>
      <c r="V176" s="15">
        <v>161</v>
      </c>
      <c r="W176" s="15" t="str">
        <v/>
      </c>
      <c r="X176" s="15" t="str">
        <v/>
      </c>
      <c r="Y176" s="53" t="str">
        <v/>
      </c>
      <c r="Z176" s="53" t="str">
        <v/>
      </c>
      <c r="AA176" s="53" t="str">
        <v/>
      </c>
      <c r="AB176" s="27" t="str">
        <v/>
      </c>
      <c r="AC176" s="27"/>
      <c r="AD176" s="27"/>
      <c r="AE176" s="27"/>
      <c r="AF176" s="27"/>
      <c r="AG176" s="27"/>
    </row>
    <row r="177" spans="6:33" s="21" customFormat="1" ht="14.25" x14ac:dyDescent="0.45">
      <c r="F177" s="94">
        <v>2016</v>
      </c>
      <c r="G177" s="92">
        <v>4.7</v>
      </c>
      <c r="H177" s="54">
        <v>1</v>
      </c>
      <c r="I177" s="92">
        <v>0.66</v>
      </c>
      <c r="J177"/>
      <c r="K177"/>
      <c r="L177"/>
      <c r="M177"/>
      <c r="N177" s="15">
        <v>162</v>
      </c>
      <c r="O177" s="15" t="str">
        <v/>
      </c>
      <c r="P177" s="15" t="str">
        <v/>
      </c>
      <c r="Q177" s="53" t="str">
        <v/>
      </c>
      <c r="R177" s="53" t="str">
        <v/>
      </c>
      <c r="S177" s="53" t="str">
        <v/>
      </c>
      <c r="T177" s="27" t="str">
        <v/>
      </c>
      <c r="U177" s="15"/>
      <c r="V177" s="15">
        <v>162</v>
      </c>
      <c r="W177" s="15" t="str">
        <v/>
      </c>
      <c r="X177" s="15" t="str">
        <v/>
      </c>
      <c r="Y177" s="53" t="str">
        <v/>
      </c>
      <c r="Z177" s="53" t="str">
        <v/>
      </c>
      <c r="AA177" s="53" t="str">
        <v/>
      </c>
      <c r="AB177" s="27" t="str">
        <v/>
      </c>
      <c r="AC177" s="27"/>
      <c r="AD177" s="27"/>
      <c r="AE177" s="27"/>
      <c r="AF177" s="27"/>
      <c r="AG177" s="27"/>
    </row>
  </sheetData>
  <mergeCells count="1">
    <mergeCell ref="H15:I15"/>
  </mergeCells>
  <hyperlinks>
    <hyperlink ref="A4" r:id="rId1" xr:uid="{96C7B4E7-F82F-4820-B1BD-4E6B02583845}"/>
  </hyperlinks>
  <pageMargins left="0.511811024" right="0.511811024" top="0.78740157499999996" bottom="0.78740157499999996" header="0.31496062000000002" footer="0.31496062000000002"/>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9348E-C369-4655-86E8-A60A204138F0}">
  <sheetPr codeName="Planilha33">
    <tabColor theme="9" tint="0.59999389629810485"/>
  </sheetPr>
  <dimension ref="A1:AC34"/>
  <sheetViews>
    <sheetView showGridLines="0" workbookViewId="0">
      <pane ySplit="2" topLeftCell="A3" activePane="bottomLeft" state="frozen"/>
      <selection pane="bottomLeft" activeCell="S14" sqref="S14"/>
    </sheetView>
  </sheetViews>
  <sheetFormatPr defaultColWidth="8.796875" defaultRowHeight="18" x14ac:dyDescent="0.55000000000000004"/>
  <cols>
    <col min="1" max="1" width="12.6640625" style="17" customWidth="1"/>
    <col min="2" max="2" width="26.1328125" customWidth="1"/>
    <col min="4" max="4" width="4.6640625" customWidth="1"/>
    <col min="5" max="5" width="4" bestFit="1" customWidth="1"/>
    <col min="6" max="11" width="7.1328125" bestFit="1" customWidth="1"/>
    <col min="12" max="17" width="12.33203125" bestFit="1" customWidth="1"/>
    <col min="19" max="19" width="12.33203125" style="15" bestFit="1" customWidth="1"/>
    <col min="20" max="23" width="9" style="15" customWidth="1"/>
    <col min="24" max="24" width="9.6640625" style="15" customWidth="1"/>
    <col min="25" max="26" width="12.33203125" style="15" bestFit="1" customWidth="1"/>
    <col min="27" max="28" width="8.796875" style="15"/>
    <col min="29" max="29" width="12.33203125" style="15" bestFit="1" customWidth="1"/>
  </cols>
  <sheetData>
    <row r="1" spans="1:29" x14ac:dyDescent="0.55000000000000004">
      <c r="A1" s="83" t="s">
        <v>461</v>
      </c>
      <c r="S1" s="14"/>
      <c r="T1" s="14"/>
      <c r="U1" s="14"/>
      <c r="V1" s="14"/>
      <c r="W1" s="14"/>
      <c r="X1" s="14"/>
      <c r="Y1" s="14"/>
      <c r="Z1" s="14"/>
      <c r="AA1" s="14"/>
      <c r="AB1" s="14"/>
      <c r="AC1" s="14"/>
    </row>
    <row r="2" spans="1:29" x14ac:dyDescent="0.55000000000000004">
      <c r="A2" s="17" t="s">
        <v>462</v>
      </c>
      <c r="S2" s="14"/>
      <c r="T2" s="14"/>
      <c r="U2" s="14"/>
      <c r="V2" s="14"/>
      <c r="W2" s="14"/>
      <c r="X2" s="14"/>
      <c r="Y2" s="14"/>
      <c r="Z2" s="14"/>
      <c r="AA2" s="14"/>
      <c r="AB2" s="14"/>
      <c r="AC2" s="14"/>
    </row>
    <row r="4" spans="1:29" ht="15.75" x14ac:dyDescent="0.5">
      <c r="A4" s="2" t="s">
        <v>15</v>
      </c>
      <c r="B4" s="2" t="s">
        <v>16</v>
      </c>
    </row>
    <row r="5" spans="1:29" ht="15.75" x14ac:dyDescent="0.5">
      <c r="A5" s="23" t="s">
        <v>165</v>
      </c>
      <c r="B5" s="24" t="s">
        <v>167</v>
      </c>
    </row>
    <row r="6" spans="1:29" ht="110.25" x14ac:dyDescent="0.5">
      <c r="A6" s="23" t="s">
        <v>358</v>
      </c>
      <c r="B6" s="24" t="s">
        <v>359</v>
      </c>
    </row>
    <row r="7" spans="1:29" ht="47.25" x14ac:dyDescent="0.5">
      <c r="A7" s="23" t="s">
        <v>207</v>
      </c>
      <c r="B7" s="24" t="s">
        <v>362</v>
      </c>
    </row>
    <row r="8" spans="1:29" ht="15.75" x14ac:dyDescent="0.5">
      <c r="A8" s="23" t="s">
        <v>253</v>
      </c>
      <c r="B8" s="24" t="s">
        <v>338</v>
      </c>
    </row>
    <row r="9" spans="1:29" ht="14.25" x14ac:dyDescent="0.45">
      <c r="A9"/>
    </row>
    <row r="10" spans="1:29" ht="14.25" x14ac:dyDescent="0.45">
      <c r="A10"/>
      <c r="X10" s="60" t="s">
        <v>353</v>
      </c>
    </row>
    <row r="11" spans="1:29" ht="15.75" x14ac:dyDescent="0.45">
      <c r="A11" s="23"/>
      <c r="B11" s="26"/>
      <c r="X11" s="53" t="b" cm="1">
        <f t="array" ref="X11">ISSTATIONARY(F14:F34,$L$14,$M$14,$N$14,$O$14,$P$14)</f>
        <v>0</v>
      </c>
      <c r="Y11" s="53" t="b" cm="1">
        <f t="array" ref="Y11">ISSTATIONARY(G14:G34,$L$14,$M$14,$N$14,$O$14,$P$14)</f>
        <v>1</v>
      </c>
      <c r="Z11" s="53" t="b" cm="1">
        <f t="array" ref="Z11">ISSTATIONARY(H14:H34,$L$14,$M$14,$N$14,$O$14,$P$14)</f>
        <v>0</v>
      </c>
      <c r="AA11" s="53" t="b" cm="1">
        <f t="array" ref="AA11">ISSTATIONARY(I14:I34,$L$14,$M$14,$N$14,$O$14,$P$14)</f>
        <v>0</v>
      </c>
      <c r="AB11" s="53" t="b" cm="1">
        <f t="array" ref="AB11">ISSTATIONARY(J14:J34,$L$14,$M$14,$N$14,$O$14,$P$14)</f>
        <v>0</v>
      </c>
      <c r="AC11" s="53" t="b" cm="1">
        <f t="array" ref="AC11">ISSTATIONARY(K14:K34,$L$14,$M$14,$N$14,$O$14,$P$14)</f>
        <v>1</v>
      </c>
    </row>
    <row r="12" spans="1:29" ht="15.75" x14ac:dyDescent="0.45">
      <c r="A12" s="23"/>
      <c r="B12" s="26"/>
      <c r="F12" t="s">
        <v>346</v>
      </c>
      <c r="G12" t="s">
        <v>347</v>
      </c>
      <c r="H12" t="s">
        <v>348</v>
      </c>
      <c r="I12" t="s">
        <v>463</v>
      </c>
      <c r="J12" t="s">
        <v>464</v>
      </c>
      <c r="K12" t="s">
        <v>465</v>
      </c>
    </row>
    <row r="13" spans="1:29" x14ac:dyDescent="0.55000000000000004">
      <c r="E13" t="s">
        <v>200</v>
      </c>
      <c r="F13" s="13" t="s">
        <v>165</v>
      </c>
      <c r="G13" s="13" t="s">
        <v>165</v>
      </c>
      <c r="H13" s="13" t="s">
        <v>165</v>
      </c>
      <c r="I13" s="13" t="s">
        <v>165</v>
      </c>
      <c r="J13" s="13" t="s">
        <v>165</v>
      </c>
      <c r="K13" s="13" t="s">
        <v>165</v>
      </c>
      <c r="L13" s="13" t="s">
        <v>360</v>
      </c>
      <c r="M13" s="13" t="s">
        <v>211</v>
      </c>
      <c r="N13" s="13" t="s">
        <v>257</v>
      </c>
      <c r="O13" s="13" t="s">
        <v>333</v>
      </c>
      <c r="P13" s="13" t="s">
        <v>201</v>
      </c>
      <c r="Q13" s="13" t="s">
        <v>345</v>
      </c>
      <c r="S13" s="60" t="s">
        <v>249</v>
      </c>
      <c r="X13" s="89" t="s">
        <v>250</v>
      </c>
    </row>
    <row r="14" spans="1:29" ht="18.75" customHeight="1" x14ac:dyDescent="0.55000000000000004">
      <c r="E14" s="94">
        <v>0</v>
      </c>
      <c r="F14" s="52">
        <v>72.400000000000006</v>
      </c>
      <c r="G14" s="101"/>
      <c r="H14" s="52" cm="1">
        <f t="array" ref="H14:H34">_xlfn.BYROW(ADDTREND(F14:F34,1,3),_xlfn.LAMBDA(_xlpm.row,SUM(_xlpm.row)))</f>
        <v>73.400000000000006</v>
      </c>
      <c r="I14" s="101"/>
      <c r="J14" s="101"/>
      <c r="K14" s="101"/>
      <c r="L14" s="92" t="b">
        <v>0</v>
      </c>
      <c r="M14" s="54">
        <v>3</v>
      </c>
      <c r="N14" s="92">
        <v>0.01</v>
      </c>
      <c r="O14" s="102" t="b">
        <v>0</v>
      </c>
      <c r="P14" s="102" t="b">
        <v>0</v>
      </c>
      <c r="Q14" s="54">
        <v>4</v>
      </c>
      <c r="R14" s="95"/>
      <c r="S14" s="28" cm="1">
        <f t="array" ref="S14">_xlfn.LAMBDA(_xlpm.values,_xlop.automatic,_xlop.nLags,_xlop.significance,_xlop.maxDiffs,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IF(ISSTATIONARY(_xlpm.values, _xlpm.automatic, _xlpm.nLags, _xlpm.significance, _xlpm.constant, _xlpm.trend), 0,
IF(_xlpm.maxDiffs = 0, NA(),
1 + IORDER( DIFF(_xlpm.values,1,1), _xlpm.automatic, _xlpm.nLags, _xlpm.significance, _xlpm.maxDiffs - 1)
))
))($F$14:$F$34,$L$14,$M$14,$N$14,$Q$14)</f>
        <v>1</v>
      </c>
      <c r="T14" s="28"/>
      <c r="U14" s="28"/>
      <c r="V14" s="28"/>
      <c r="W14" s="28"/>
      <c r="X14" s="28" cm="1">
        <f t="array" ref="X14">IORDER(F$14:F$34,$L$14,$M$14,$N$14,$Q$14)</f>
        <v>1</v>
      </c>
      <c r="Y14" s="28" cm="1">
        <f t="array" ref="Y14">IORDER(G$14:G$34,$L$14,$M$14,$N$14,$Q$14)</f>
        <v>0</v>
      </c>
      <c r="Z14" s="28" cm="1">
        <f t="array" ref="Z14">IORDER(H$14:H$34,$L$14,$M$14,$N$14,$Q$14)</f>
        <v>3</v>
      </c>
      <c r="AA14" s="28" cm="1">
        <f t="array" ref="AA14">IORDER(I$14:I$34,$L$14,$M$14,$N$14,$Q$14)</f>
        <v>2</v>
      </c>
      <c r="AB14" s="28" cm="1">
        <f t="array" ref="AB14">IORDER(J$14:J$34,$L$14,$M$14,$N$14,$Q$14)</f>
        <v>1</v>
      </c>
      <c r="AC14" s="28" cm="1">
        <f t="array" ref="AC14">IORDER(K$14:K$34,$L$14,$M$14,$N$14,$Q$14)</f>
        <v>0</v>
      </c>
    </row>
    <row r="15" spans="1:29" x14ac:dyDescent="0.55000000000000004">
      <c r="E15" s="94">
        <v>1</v>
      </c>
      <c r="F15" s="52">
        <v>69.7</v>
      </c>
      <c r="G15" s="52" cm="1">
        <f t="array" ref="G15:G34">DIFF($F$14:$F$34,1,1)</f>
        <v>-2.7000000000000028</v>
      </c>
      <c r="H15" s="52">
        <v>77.7</v>
      </c>
      <c r="I15" s="52" cm="1">
        <f t="array" ref="I15:I34">DIFF(_xlfn.ANCHORARRAY(H14),1,1)</f>
        <v>4.2999999999999972</v>
      </c>
      <c r="J15" s="101"/>
      <c r="K15" s="101"/>
      <c r="R15" s="95"/>
      <c r="S15" s="53"/>
      <c r="T15" s="53"/>
      <c r="U15" s="53"/>
      <c r="V15" s="53"/>
      <c r="W15" s="53"/>
      <c r="X15" s="53"/>
      <c r="Y15" s="27"/>
      <c r="Z15" s="27"/>
    </row>
    <row r="16" spans="1:29" x14ac:dyDescent="0.55000000000000004">
      <c r="E16" s="94">
        <v>2</v>
      </c>
      <c r="F16" s="52">
        <v>77.400000000000006</v>
      </c>
      <c r="G16" s="52">
        <v>7.7000000000000028</v>
      </c>
      <c r="H16" s="52">
        <v>104.4</v>
      </c>
      <c r="I16" s="52">
        <v>26.700000000000003</v>
      </c>
      <c r="J16" s="52" cm="1">
        <f t="array" ref="J16:J34">DIFF(_xlfn.ANCHORARRAY($I$15),1,1)</f>
        <v>22.400000000000006</v>
      </c>
      <c r="K16" s="101"/>
      <c r="R16" s="95"/>
      <c r="S16" s="53"/>
      <c r="T16" s="53"/>
      <c r="U16" s="53"/>
      <c r="V16" s="53"/>
      <c r="W16" s="53"/>
      <c r="X16" s="53"/>
      <c r="Y16" s="27"/>
      <c r="Z16" s="27"/>
    </row>
    <row r="17" spans="5:11" x14ac:dyDescent="0.55000000000000004">
      <c r="E17" s="94">
        <v>3</v>
      </c>
      <c r="F17" s="52">
        <v>79.599999999999994</v>
      </c>
      <c r="G17" s="52">
        <v>2.1999999999999886</v>
      </c>
      <c r="H17" s="52">
        <v>143.6</v>
      </c>
      <c r="I17" s="52">
        <v>39.199999999999989</v>
      </c>
      <c r="J17" s="52">
        <v>12.499999999999986</v>
      </c>
      <c r="K17" s="52" cm="1">
        <f t="array" ref="K17:K34">DIFF(_xlfn.ANCHORARRAY(J16),1,1)</f>
        <v>-9.9000000000000199</v>
      </c>
    </row>
    <row r="18" spans="5:11" x14ac:dyDescent="0.55000000000000004">
      <c r="E18" s="94">
        <v>4</v>
      </c>
      <c r="F18" s="52">
        <v>80.400000000000006</v>
      </c>
      <c r="G18" s="52">
        <v>0.80000000000001137</v>
      </c>
      <c r="H18" s="52">
        <v>205.4</v>
      </c>
      <c r="I18" s="52">
        <v>61.800000000000011</v>
      </c>
      <c r="J18" s="52">
        <v>22.600000000000023</v>
      </c>
      <c r="K18" s="52">
        <v>10.100000000000037</v>
      </c>
    </row>
    <row r="19" spans="5:11" x14ac:dyDescent="0.55000000000000004">
      <c r="E19" s="94">
        <v>5</v>
      </c>
      <c r="F19" s="52">
        <v>77.5</v>
      </c>
      <c r="G19" s="52">
        <v>-2.9000000000000057</v>
      </c>
      <c r="H19" s="52">
        <v>293.5</v>
      </c>
      <c r="I19" s="52">
        <v>88.1</v>
      </c>
      <c r="J19" s="52">
        <v>26.299999999999983</v>
      </c>
      <c r="K19" s="52">
        <v>3.6999999999999602</v>
      </c>
    </row>
    <row r="20" spans="5:11" x14ac:dyDescent="0.55000000000000004">
      <c r="E20" s="94">
        <v>6</v>
      </c>
      <c r="F20" s="52">
        <v>83.3</v>
      </c>
      <c r="G20" s="52">
        <v>5.7999999999999972</v>
      </c>
      <c r="H20" s="52">
        <v>426.3</v>
      </c>
      <c r="I20" s="52">
        <v>132.80000000000001</v>
      </c>
      <c r="J20" s="52">
        <v>44.700000000000017</v>
      </c>
      <c r="K20" s="52">
        <v>18.400000000000034</v>
      </c>
    </row>
    <row r="21" spans="5:11" x14ac:dyDescent="0.55000000000000004">
      <c r="E21" s="94">
        <v>7</v>
      </c>
      <c r="F21" s="52">
        <v>83.6</v>
      </c>
      <c r="G21" s="52">
        <v>0.29999999999999716</v>
      </c>
      <c r="H21" s="52">
        <v>595.6</v>
      </c>
      <c r="I21" s="52">
        <v>169.3</v>
      </c>
      <c r="J21" s="52">
        <v>36.5</v>
      </c>
      <c r="K21" s="52">
        <v>-8.2000000000000171</v>
      </c>
    </row>
    <row r="22" spans="5:11" x14ac:dyDescent="0.55000000000000004">
      <c r="E22" s="94">
        <v>8</v>
      </c>
      <c r="F22" s="52">
        <v>82.1</v>
      </c>
      <c r="G22" s="52">
        <v>-1.5</v>
      </c>
      <c r="H22" s="52">
        <v>811.1</v>
      </c>
      <c r="I22" s="52">
        <v>215.5</v>
      </c>
      <c r="J22" s="52">
        <v>46.199999999999989</v>
      </c>
      <c r="K22" s="52">
        <v>9.6999999999999886</v>
      </c>
    </row>
    <row r="23" spans="5:11" x14ac:dyDescent="0.55000000000000004">
      <c r="E23" s="94">
        <v>9</v>
      </c>
      <c r="F23" s="52">
        <v>89.2</v>
      </c>
      <c r="G23" s="52">
        <v>7.1000000000000085</v>
      </c>
      <c r="H23" s="52">
        <v>1089.2</v>
      </c>
      <c r="I23" s="52">
        <v>278.10000000000002</v>
      </c>
      <c r="J23" s="52">
        <v>62.600000000000023</v>
      </c>
      <c r="K23" s="52">
        <v>16.400000000000034</v>
      </c>
    </row>
    <row r="24" spans="5:11" x14ac:dyDescent="0.55000000000000004">
      <c r="E24" s="94">
        <v>10</v>
      </c>
      <c r="F24" s="52">
        <v>83.9</v>
      </c>
      <c r="G24" s="52">
        <v>-5.2999999999999972</v>
      </c>
      <c r="H24" s="52">
        <v>1414.9</v>
      </c>
      <c r="I24" s="52">
        <v>325.70000000000005</v>
      </c>
      <c r="J24" s="52">
        <v>47.600000000000023</v>
      </c>
      <c r="K24" s="52">
        <v>-15</v>
      </c>
    </row>
    <row r="25" spans="5:11" x14ac:dyDescent="0.55000000000000004">
      <c r="E25" s="94">
        <v>11</v>
      </c>
      <c r="F25" s="52">
        <v>74.599999999999994</v>
      </c>
      <c r="G25" s="52">
        <v>-9.3000000000000114</v>
      </c>
      <c r="H25" s="52">
        <v>1802.6</v>
      </c>
      <c r="I25" s="52">
        <v>387.69999999999982</v>
      </c>
      <c r="J25" s="52">
        <v>61.999999999999773</v>
      </c>
      <c r="K25" s="52">
        <v>14.39999999999975</v>
      </c>
    </row>
    <row r="26" spans="5:11" x14ac:dyDescent="0.55000000000000004">
      <c r="E26" s="94">
        <v>12</v>
      </c>
      <c r="F26" s="52">
        <v>74</v>
      </c>
      <c r="G26" s="52">
        <v>-0.59999999999999432</v>
      </c>
      <c r="H26" s="52">
        <v>2271</v>
      </c>
      <c r="I26" s="52">
        <v>468.40000000000009</v>
      </c>
      <c r="J26" s="52">
        <v>80.700000000000273</v>
      </c>
      <c r="K26" s="52">
        <v>18.7000000000005</v>
      </c>
    </row>
    <row r="27" spans="5:11" x14ac:dyDescent="0.55000000000000004">
      <c r="E27" s="94">
        <v>13</v>
      </c>
      <c r="F27" s="52">
        <v>71.8</v>
      </c>
      <c r="G27" s="52">
        <v>-2.2000000000000028</v>
      </c>
      <c r="H27" s="52">
        <v>2815.8</v>
      </c>
      <c r="I27" s="52">
        <v>544.80000000000018</v>
      </c>
      <c r="J27" s="52">
        <v>76.400000000000091</v>
      </c>
      <c r="K27" s="52">
        <v>-4.3000000000001819</v>
      </c>
    </row>
    <row r="28" spans="5:11" x14ac:dyDescent="0.55000000000000004">
      <c r="E28" s="94">
        <v>14</v>
      </c>
      <c r="F28" s="52">
        <v>77.400000000000006</v>
      </c>
      <c r="G28" s="52">
        <v>5.6000000000000085</v>
      </c>
      <c r="H28" s="52">
        <v>3452.4</v>
      </c>
      <c r="I28" s="52">
        <v>636.59999999999991</v>
      </c>
      <c r="J28" s="52">
        <v>91.799999999999727</v>
      </c>
      <c r="K28" s="52">
        <v>15.399999999999636</v>
      </c>
    </row>
    <row r="29" spans="5:11" x14ac:dyDescent="0.55000000000000004">
      <c r="E29" s="94">
        <v>15</v>
      </c>
      <c r="F29" s="52">
        <v>76.5</v>
      </c>
      <c r="G29" s="52">
        <v>-0.90000000000000568</v>
      </c>
      <c r="H29" s="52">
        <v>4172.5</v>
      </c>
      <c r="I29" s="52">
        <v>720.09999999999991</v>
      </c>
      <c r="J29" s="52">
        <v>83.5</v>
      </c>
      <c r="K29" s="52">
        <v>-8.2999999999997272</v>
      </c>
    </row>
    <row r="30" spans="5:11" x14ac:dyDescent="0.55000000000000004">
      <c r="E30" s="94">
        <v>16</v>
      </c>
      <c r="F30" s="52">
        <v>79.7</v>
      </c>
      <c r="G30" s="52">
        <v>3.2000000000000028</v>
      </c>
      <c r="H30" s="52">
        <v>4992.7</v>
      </c>
      <c r="I30" s="52">
        <v>820.19999999999982</v>
      </c>
      <c r="J30" s="52">
        <v>100.09999999999991</v>
      </c>
      <c r="K30" s="52">
        <v>16.599999999999909</v>
      </c>
    </row>
    <row r="31" spans="5:11" x14ac:dyDescent="0.55000000000000004">
      <c r="E31" s="94">
        <v>17</v>
      </c>
      <c r="F31" s="52">
        <v>76.3</v>
      </c>
      <c r="G31" s="52">
        <v>-3.4000000000000057</v>
      </c>
      <c r="H31" s="52">
        <v>5908.3</v>
      </c>
      <c r="I31" s="52">
        <v>915.60000000000036</v>
      </c>
      <c r="J31" s="52">
        <v>95.400000000000546</v>
      </c>
      <c r="K31" s="52">
        <v>-4.6999999999993634</v>
      </c>
    </row>
    <row r="32" spans="5:11" x14ac:dyDescent="0.55000000000000004">
      <c r="E32" s="94">
        <v>18</v>
      </c>
      <c r="F32" s="52">
        <v>81.3</v>
      </c>
      <c r="G32" s="52">
        <v>5</v>
      </c>
      <c r="H32" s="52">
        <v>6940.3</v>
      </c>
      <c r="I32" s="52">
        <v>1032</v>
      </c>
      <c r="J32" s="52">
        <v>116.39999999999964</v>
      </c>
      <c r="K32" s="52">
        <v>20.999999999999091</v>
      </c>
    </row>
    <row r="33" spans="5:11" x14ac:dyDescent="0.55000000000000004">
      <c r="E33" s="94">
        <v>19</v>
      </c>
      <c r="F33" s="52">
        <v>81.599999999999994</v>
      </c>
      <c r="G33" s="52">
        <v>0.29999999999999716</v>
      </c>
      <c r="H33" s="52">
        <v>8081.6</v>
      </c>
      <c r="I33" s="52">
        <v>1141.3000000000002</v>
      </c>
      <c r="J33" s="52">
        <v>109.30000000000018</v>
      </c>
      <c r="K33" s="52">
        <v>-7.0999999999994543</v>
      </c>
    </row>
    <row r="34" spans="5:11" x14ac:dyDescent="0.55000000000000004">
      <c r="E34" s="94">
        <v>20</v>
      </c>
      <c r="F34" s="52">
        <v>85.7</v>
      </c>
      <c r="G34" s="52">
        <v>4.1000000000000085</v>
      </c>
      <c r="H34" s="52">
        <v>9346.7000000000007</v>
      </c>
      <c r="I34" s="52">
        <v>1265.1000000000004</v>
      </c>
      <c r="J34" s="52">
        <v>123.80000000000018</v>
      </c>
      <c r="K34" s="52">
        <v>14.5</v>
      </c>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B7A93-45FE-4EB7-99D1-F43EFF4FA080}">
  <sheetPr codeName="Planilha34">
    <tabColor theme="9" tint="0.59999389629810485"/>
  </sheetPr>
  <dimension ref="A1:AI151"/>
  <sheetViews>
    <sheetView showGridLines="0" workbookViewId="0">
      <selection activeCell="T16" sqref="T16"/>
    </sheetView>
  </sheetViews>
  <sheetFormatPr defaultColWidth="8.796875" defaultRowHeight="18" x14ac:dyDescent="0.55000000000000004"/>
  <cols>
    <col min="1" max="1" width="12.6640625" style="17" customWidth="1"/>
    <col min="2" max="2" width="26.1328125" customWidth="1"/>
    <col min="4" max="4" width="4.6640625" customWidth="1"/>
    <col min="5" max="5" width="10.6640625" bestFit="1" customWidth="1"/>
    <col min="6" max="6" width="8.6640625" bestFit="1" customWidth="1"/>
    <col min="7" max="8" width="12.796875" bestFit="1" customWidth="1"/>
    <col min="9" max="9" width="10.6640625" bestFit="1" customWidth="1"/>
    <col min="10" max="10" width="8.6640625" bestFit="1" customWidth="1"/>
    <col min="11" max="12" width="12.796875" bestFit="1" customWidth="1"/>
    <col min="13" max="18" width="12.33203125" bestFit="1" customWidth="1"/>
    <col min="20" max="20" width="12.33203125" style="15" bestFit="1" customWidth="1"/>
    <col min="21" max="24" width="9" style="15" customWidth="1"/>
    <col min="25" max="25" width="15.33203125" style="15" bestFit="1" customWidth="1"/>
    <col min="26" max="27" width="12.33203125" style="15" bestFit="1" customWidth="1"/>
    <col min="28" max="35" width="8.796875" style="15"/>
  </cols>
  <sheetData>
    <row r="1" spans="1:35" x14ac:dyDescent="0.55000000000000004">
      <c r="A1" s="83" t="s">
        <v>495</v>
      </c>
      <c r="T1" s="14"/>
      <c r="U1" s="14"/>
      <c r="V1" s="14"/>
      <c r="W1" s="14"/>
      <c r="X1" s="14"/>
      <c r="Y1" s="14"/>
      <c r="Z1" s="14"/>
      <c r="AA1" s="14"/>
      <c r="AB1" s="14"/>
      <c r="AC1" s="14"/>
      <c r="AD1" s="14"/>
      <c r="AE1" s="14"/>
      <c r="AF1" s="14"/>
      <c r="AG1" s="14"/>
      <c r="AH1" s="14"/>
      <c r="AI1" s="14"/>
    </row>
    <row r="2" spans="1:35" x14ac:dyDescent="0.55000000000000004">
      <c r="A2" s="17" t="s">
        <v>471</v>
      </c>
      <c r="T2" s="14"/>
      <c r="U2" s="14"/>
      <c r="V2" s="14"/>
      <c r="W2" s="14"/>
      <c r="X2" s="14"/>
      <c r="Y2" s="14"/>
      <c r="Z2" s="14"/>
      <c r="AA2" s="14"/>
      <c r="AB2" s="14"/>
      <c r="AC2" s="14"/>
      <c r="AD2" s="14"/>
      <c r="AE2" s="14"/>
      <c r="AF2" s="14"/>
      <c r="AG2" s="14"/>
      <c r="AH2" s="14"/>
      <c r="AI2" s="14"/>
    </row>
    <row r="3" spans="1:35" ht="15.75" x14ac:dyDescent="0.5">
      <c r="A3" s="43" t="s">
        <v>476</v>
      </c>
      <c r="T3" s="14"/>
      <c r="U3" s="14"/>
      <c r="V3" s="14"/>
      <c r="W3" s="14"/>
      <c r="X3" s="14"/>
      <c r="Y3" s="14"/>
      <c r="Z3" s="14"/>
      <c r="AA3" s="14"/>
      <c r="AB3" s="14"/>
      <c r="AC3" s="14"/>
      <c r="AD3" s="14"/>
      <c r="AE3" s="14"/>
      <c r="AF3" s="14"/>
      <c r="AG3" s="14"/>
      <c r="AH3" s="14"/>
      <c r="AI3" s="14"/>
    </row>
    <row r="5" spans="1:35" ht="15.75" x14ac:dyDescent="0.5">
      <c r="A5" s="2" t="s">
        <v>15</v>
      </c>
      <c r="B5" s="2" t="s">
        <v>16</v>
      </c>
    </row>
    <row r="6" spans="1:35" ht="15.75" x14ac:dyDescent="0.5">
      <c r="A6" s="23" t="s">
        <v>472</v>
      </c>
      <c r="B6" s="24" t="s">
        <v>474</v>
      </c>
    </row>
    <row r="7" spans="1:35" ht="15.75" x14ac:dyDescent="0.5">
      <c r="A7" s="23" t="s">
        <v>473</v>
      </c>
      <c r="B7" s="24" t="s">
        <v>475</v>
      </c>
    </row>
    <row r="8" spans="1:35" ht="110.25" x14ac:dyDescent="0.5">
      <c r="A8" s="23" t="s">
        <v>358</v>
      </c>
      <c r="B8" s="24" t="s">
        <v>359</v>
      </c>
      <c r="Y8" s="104" t="s">
        <v>88</v>
      </c>
    </row>
    <row r="9" spans="1:35" ht="47.25" x14ac:dyDescent="0.5">
      <c r="A9" s="23" t="s">
        <v>207</v>
      </c>
      <c r="B9" s="24" t="s">
        <v>362</v>
      </c>
    </row>
    <row r="10" spans="1:35" ht="15.75" x14ac:dyDescent="0.5">
      <c r="A10" s="23" t="s">
        <v>253</v>
      </c>
      <c r="B10" s="24" t="s">
        <v>338</v>
      </c>
      <c r="Y10" s="53"/>
      <c r="Z10" s="27"/>
      <c r="AA10" s="27"/>
    </row>
    <row r="11" spans="1:35" ht="14.25" x14ac:dyDescent="0.45">
      <c r="A11"/>
      <c r="Y11" s="28" cm="1">
        <f t="array" ref="Y11">IORDER(F$16:F$121,$M$16,$N$16,$O$16,$R$16)</f>
        <v>1</v>
      </c>
      <c r="Z11" s="28" cm="1">
        <f t="array" ref="Z11">IORDER(G$16:G$121,$M$16,$N$16,$O$16,$R$16)</f>
        <v>1</v>
      </c>
      <c r="AA11" s="28" cm="1">
        <f t="array" ref="AA11">IORDER(H$16:H$121,$M$16,$N$16,$O$16,$R$16)</f>
        <v>0</v>
      </c>
      <c r="AC11" s="28" cm="1">
        <f t="array" ref="AC11">IORDER(J$16:J$151,$M$16,$N$16,$O$16,$R$16)</f>
        <v>1</v>
      </c>
      <c r="AD11" s="28" cm="1">
        <f t="array" ref="AD11">IORDER(K$16:K$151,$M$16,$N$16,$O$16,$R$16)</f>
        <v>1</v>
      </c>
      <c r="AE11" s="28" cm="1">
        <f t="array" ref="AE11">IORDER(L$16:L$151,$M$16,$N$16,$O$16,$R$16)</f>
        <v>1</v>
      </c>
      <c r="AF11" s="28"/>
      <c r="AG11" s="28"/>
      <c r="AH11" s="28"/>
      <c r="AI11" s="28"/>
    </row>
    <row r="12" spans="1:35" ht="14.25" x14ac:dyDescent="0.45">
      <c r="A12"/>
      <c r="Y12" s="60" t="s">
        <v>353</v>
      </c>
    </row>
    <row r="13" spans="1:35" ht="15.75" x14ac:dyDescent="0.45">
      <c r="A13" s="23"/>
      <c r="B13" s="26"/>
      <c r="Y13" s="53" t="b" cm="1">
        <f t="array" ref="Y13">ISSTATIONARY(F$16:F$121,$M$16,$N$16,$O$16,$P$16,$Q$16)</f>
        <v>0</v>
      </c>
      <c r="Z13" s="53" t="b" cm="1">
        <f t="array" ref="Z13">ISSTATIONARY(G$16:G$121,$M$16,$N$16,$O$16,$P$16,$Q$16)</f>
        <v>0</v>
      </c>
      <c r="AA13" s="53" t="b" cm="1">
        <f t="array" ref="AA13">ISSTATIONARY(H$16:H$121,$M$16,$N$16,$O$16,$P$16,$Q$16)</f>
        <v>1</v>
      </c>
      <c r="AC13" s="53" t="b" cm="1">
        <f t="array" ref="AC13">ISSTATIONARY(J$16:J$121,$M$16,$N$16,$O$16,$P$16,$Q$16)</f>
        <v>0</v>
      </c>
      <c r="AD13" s="53" t="b" cm="1">
        <f t="array" ref="AD13">ISSTATIONARY(K$16:K$121,$M$16,$N$16,$O$16,$P$16,$Q$16)</f>
        <v>0</v>
      </c>
      <c r="AE13" s="53" t="b" cm="1">
        <f t="array" ref="AE13">ISSTATIONARY(L$16:L$121,$M$16,$N$16,$O$16,$P$16,$Q$16)</f>
        <v>0</v>
      </c>
      <c r="AF13" s="53"/>
      <c r="AG13" s="53"/>
      <c r="AH13" s="53"/>
      <c r="AI13" s="53"/>
    </row>
    <row r="14" spans="1:35" ht="15.75" x14ac:dyDescent="0.45">
      <c r="A14" s="23"/>
      <c r="B14" s="26"/>
      <c r="F14" t="s">
        <v>308</v>
      </c>
      <c r="J14" t="s">
        <v>307</v>
      </c>
    </row>
    <row r="15" spans="1:35" x14ac:dyDescent="0.55000000000000004">
      <c r="E15" t="s">
        <v>200</v>
      </c>
      <c r="F15" s="13" t="s">
        <v>466</v>
      </c>
      <c r="G15" s="13" t="s">
        <v>467</v>
      </c>
      <c r="H15" s="13" t="s">
        <v>468</v>
      </c>
      <c r="I15" t="s">
        <v>200</v>
      </c>
      <c r="J15" s="13" t="s">
        <v>469</v>
      </c>
      <c r="K15" s="13" t="s">
        <v>470</v>
      </c>
      <c r="L15" s="13" t="s">
        <v>468</v>
      </c>
      <c r="M15" s="13" t="s">
        <v>360</v>
      </c>
      <c r="N15" s="13" t="s">
        <v>211</v>
      </c>
      <c r="O15" s="13" t="s">
        <v>257</v>
      </c>
      <c r="P15" s="13" t="s">
        <v>333</v>
      </c>
      <c r="Q15" s="13" t="s">
        <v>201</v>
      </c>
      <c r="R15" s="13" t="s">
        <v>345</v>
      </c>
      <c r="T15" s="60" t="s">
        <v>249</v>
      </c>
      <c r="Y15" s="89" t="s">
        <v>250</v>
      </c>
    </row>
    <row r="16" spans="1:35" ht="18.75" customHeight="1" x14ac:dyDescent="0.55000000000000004">
      <c r="E16" s="103">
        <v>35065</v>
      </c>
      <c r="F16" s="52">
        <v>175528</v>
      </c>
      <c r="G16" s="52">
        <v>110899</v>
      </c>
      <c r="H16" s="54" cm="1">
        <f t="array" ref="H16:H121">OLS_RESIDUALS($F$16:$F$121,ADDCONST($G$16:$G$121))</f>
        <v>-8161.4722316855041</v>
      </c>
      <c r="I16" s="103">
        <v>40603</v>
      </c>
      <c r="J16" s="52">
        <v>11.62</v>
      </c>
      <c r="K16" s="52">
        <v>27.35</v>
      </c>
      <c r="L16" s="52" cm="1">
        <f t="array" ref="L16:L151">OLS_RESIDUALS($J$16:$J$151,ADDCONST($K$16:$K$151))</f>
        <v>0.9223026636246221</v>
      </c>
      <c r="M16" s="92" t="b">
        <v>0</v>
      </c>
      <c r="N16" s="54">
        <v>4</v>
      </c>
      <c r="O16" s="92">
        <v>0.05</v>
      </c>
      <c r="P16" s="102" t="b">
        <v>0</v>
      </c>
      <c r="Q16" s="102" t="b">
        <v>0</v>
      </c>
      <c r="R16" s="54">
        <v>4</v>
      </c>
      <c r="S16" s="95"/>
      <c r="T16" s="28" t="b" cm="1">
        <f t="array" ref="T16">_xlfn.LAMBDA(_xlpm.valuesA,_xlpm.valuesB,_xlop.automatic,_xlop.nLags,_xlop.significance,_xlop.maxDiffs,
_xlfn.LET(
_xlpm.automatic, IF(_xlfn.ISOMITTED(_xlpm.automatic), FALSE, _xlpm.automatic),
_xlpm.nLags,IF(_xlfn.ISOMITTED(_xlpm.nLags), 0, _xlpm.nLags),
_xlpm.significance, IF(_xlfn.ISOMITTED(_xlpm.significance), FALSE, _xlpm.significance),
_xlpm.constant, FALSE,
_xlpm.trend, FALSE,
_xlpm.maxDiffs, IF(OR( _xlfn.ISOMITTED(_xlpm.maxDiffs), ISBLANK(_xlpm.maxDiffs)), 2, _xlpm.maxDiffs ),
_xlpm.orderA, IORDER(_xlpm.valuesA, _xlpm.automatic, _xlpm.nLags, _xlpm.significance, _xlpm.maxDiffs),
_xlpm.orderB, IORDER(_xlpm.valuesB, _xlpm.automatic, _xlpm.nLags, _xlpm.significance, _xlpm.maxDiffs),
IF(_xlpm.orderA&lt;&gt;_xlpm.orderB, "# both series must be integrated at the same order: valuesA is I("&amp; _xlpm.orderA &amp; ") and valuesB is I(" &amp; _xlpm.orderB &amp; ")",
_xlfn.LET(_xlpm.orderC, IORDER(OLS_RESIDUALS(_xlpm.valuesA, ADDCONST(_xlpm.valuesB)), _xlpm.automatic, _xlpm.nLags, _xlpm.significance, _xlpm.maxDiffs), IF(AND(_xlpm.orderA&gt;_xlpm.orderC, _xlpm.orderB&gt;_xlpm.orderC), TRUE, FALSE) )
)))($F$16:$F$121,$G$16:$G$121,$M$16,$N$16,$O$16,$R$16)</f>
        <v>1</v>
      </c>
      <c r="U16" s="28"/>
      <c r="V16" s="28"/>
      <c r="W16" s="28"/>
      <c r="X16" s="28"/>
      <c r="Y16" s="15" t="b" cm="1">
        <f t="array" ref="Y16">ISCOINTEGRATED($F$16:$F$121,$G$16:$G$121,$M$16,$N$16,$O$16,$R$16)</f>
        <v>1</v>
      </c>
      <c r="AC16" s="15" t="b" cm="1">
        <f t="array" ref="AC16">ISCOINTEGRATED($J$16:$J$151,$K$16:$K$151,$M$16,$N$16,$O$16,$R$16)</f>
        <v>0</v>
      </c>
    </row>
    <row r="17" spans="5:12" x14ac:dyDescent="0.55000000000000004">
      <c r="E17" s="103">
        <v>35156</v>
      </c>
      <c r="F17" s="52">
        <v>177502</v>
      </c>
      <c r="G17" s="52">
        <v>113427</v>
      </c>
      <c r="H17" s="54">
        <v>-9503.2918967638107</v>
      </c>
      <c r="I17" s="103">
        <v>40634</v>
      </c>
      <c r="J17" s="52">
        <v>11.74</v>
      </c>
      <c r="K17" s="52">
        <v>27.94</v>
      </c>
      <c r="L17" s="52">
        <v>0.57059635041156831</v>
      </c>
    </row>
    <row r="18" spans="5:12" x14ac:dyDescent="0.55000000000000004">
      <c r="E18" s="103">
        <v>35247</v>
      </c>
      <c r="F18" s="52">
        <v>184128</v>
      </c>
      <c r="G18" s="52">
        <v>116861</v>
      </c>
      <c r="H18" s="54">
        <v>-7381.4551601652638</v>
      </c>
      <c r="I18" s="103">
        <v>40664</v>
      </c>
      <c r="J18" s="52">
        <v>11.92</v>
      </c>
      <c r="K18" s="52">
        <v>27.86</v>
      </c>
      <c r="L18" s="52">
        <v>0.81455652847435722</v>
      </c>
    </row>
    <row r="19" spans="5:12" x14ac:dyDescent="0.55000000000000004">
      <c r="E19" s="103">
        <v>35339</v>
      </c>
      <c r="F19" s="52">
        <v>182357</v>
      </c>
      <c r="G19" s="52">
        <v>122759</v>
      </c>
      <c r="H19" s="54">
        <v>-16888.493286997429</v>
      </c>
      <c r="I19" s="103">
        <v>40695</v>
      </c>
      <c r="J19" s="52">
        <v>12.1</v>
      </c>
      <c r="K19" s="52">
        <v>27.62</v>
      </c>
      <c r="L19" s="52">
        <v>1.1864370626627174</v>
      </c>
    </row>
    <row r="20" spans="5:12" x14ac:dyDescent="0.55000000000000004">
      <c r="E20" s="103">
        <v>35431</v>
      </c>
      <c r="F20" s="52">
        <v>184248</v>
      </c>
      <c r="G20" s="52">
        <v>119659</v>
      </c>
      <c r="H20" s="54">
        <v>-10931.41695719416</v>
      </c>
      <c r="I20" s="103">
        <v>40725</v>
      </c>
      <c r="J20" s="52">
        <v>12.25</v>
      </c>
      <c r="K20" s="52">
        <v>27.81</v>
      </c>
      <c r="L20" s="52">
        <v>1.1845316397635983</v>
      </c>
    </row>
    <row r="21" spans="5:12" x14ac:dyDescent="0.55000000000000004">
      <c r="E21" s="103">
        <v>35521</v>
      </c>
      <c r="F21" s="52">
        <v>185273</v>
      </c>
      <c r="G21" s="52">
        <v>120224</v>
      </c>
      <c r="H21" s="54">
        <v>-10647.492159238929</v>
      </c>
      <c r="I21" s="103">
        <v>40756</v>
      </c>
      <c r="J21" s="52">
        <v>12.42</v>
      </c>
      <c r="K21" s="52">
        <v>27.23</v>
      </c>
      <c r="L21" s="52">
        <v>1.8182429307188048</v>
      </c>
    </row>
    <row r="22" spans="5:12" x14ac:dyDescent="0.55000000000000004">
      <c r="E22" s="103">
        <v>35612</v>
      </c>
      <c r="F22" s="52">
        <v>187587</v>
      </c>
      <c r="G22" s="52">
        <v>119282</v>
      </c>
      <c r="H22" s="54">
        <v>-7097.9296099890489</v>
      </c>
      <c r="I22" s="103">
        <v>40787</v>
      </c>
      <c r="J22" s="52">
        <v>11.91</v>
      </c>
      <c r="K22" s="52">
        <v>27.2</v>
      </c>
      <c r="L22" s="52">
        <v>1.3322279974923532</v>
      </c>
    </row>
    <row r="23" spans="5:12" x14ac:dyDescent="0.55000000000000004">
      <c r="E23" s="103">
        <v>35704</v>
      </c>
      <c r="F23" s="52">
        <v>189150</v>
      </c>
      <c r="G23" s="52">
        <v>119244</v>
      </c>
      <c r="H23" s="54">
        <v>-5485.0873840108106</v>
      </c>
      <c r="I23" s="103">
        <v>40817</v>
      </c>
      <c r="J23" s="52">
        <v>11.7</v>
      </c>
      <c r="K23" s="52">
        <v>27.45</v>
      </c>
      <c r="L23" s="52">
        <v>0.92235244104614011</v>
      </c>
    </row>
    <row r="24" spans="5:12" x14ac:dyDescent="0.55000000000000004">
      <c r="E24" s="103">
        <v>35796</v>
      </c>
      <c r="F24" s="52">
        <v>185427</v>
      </c>
      <c r="G24" s="52">
        <v>119078</v>
      </c>
      <c r="H24" s="54">
        <v>-8990.3555547374708</v>
      </c>
      <c r="I24" s="103">
        <v>40848</v>
      </c>
      <c r="J24" s="52">
        <v>11.4</v>
      </c>
      <c r="K24" s="52">
        <v>26.66</v>
      </c>
      <c r="L24" s="52">
        <v>1.2539591994161636</v>
      </c>
    </row>
    <row r="25" spans="5:12" x14ac:dyDescent="0.55000000000000004">
      <c r="E25" s="103">
        <v>35886</v>
      </c>
      <c r="F25" s="52">
        <v>188539</v>
      </c>
      <c r="G25" s="52">
        <v>118897</v>
      </c>
      <c r="H25" s="54">
        <v>-5640.9491625779774</v>
      </c>
      <c r="I25" s="103">
        <v>40878</v>
      </c>
      <c r="J25" s="52">
        <v>10.9</v>
      </c>
      <c r="K25" s="52">
        <v>25.82</v>
      </c>
      <c r="L25" s="52">
        <v>1.4255410690754307</v>
      </c>
    </row>
    <row r="26" spans="5:12" x14ac:dyDescent="0.55000000000000004">
      <c r="E26" s="103">
        <v>35977</v>
      </c>
      <c r="F26" s="52">
        <v>188547</v>
      </c>
      <c r="G26" s="52">
        <v>119368</v>
      </c>
      <c r="H26" s="54">
        <v>-6250.7304372029321</v>
      </c>
      <c r="I26" s="103">
        <v>40909</v>
      </c>
      <c r="J26" s="52">
        <v>10.7</v>
      </c>
      <c r="K26" s="52">
        <v>26.8</v>
      </c>
      <c r="L26" s="52">
        <v>0.44202888780628413</v>
      </c>
    </row>
    <row r="27" spans="5:12" x14ac:dyDescent="0.55000000000000004">
      <c r="E27" s="103">
        <v>36069</v>
      </c>
      <c r="F27" s="52">
        <v>186374</v>
      </c>
      <c r="G27" s="52">
        <v>117666</v>
      </c>
      <c r="H27" s="54">
        <v>-6191.3233683883736</v>
      </c>
      <c r="I27" s="103">
        <v>40940</v>
      </c>
      <c r="J27" s="52">
        <v>10.4</v>
      </c>
      <c r="K27" s="52">
        <v>26.86</v>
      </c>
      <c r="L27" s="52">
        <v>9.4058754259195965E-2</v>
      </c>
    </row>
    <row r="28" spans="5:12" x14ac:dyDescent="0.55000000000000004">
      <c r="E28" s="103">
        <v>36161</v>
      </c>
      <c r="F28" s="52">
        <v>186713</v>
      </c>
      <c r="G28" s="52">
        <v>117950</v>
      </c>
      <c r="H28" s="54">
        <v>-6224.8284256993793</v>
      </c>
      <c r="I28" s="103">
        <v>40969</v>
      </c>
      <c r="J28" s="52">
        <v>9.82</v>
      </c>
      <c r="K28" s="52">
        <v>26.54</v>
      </c>
      <c r="L28" s="52">
        <v>-0.23010053348965442</v>
      </c>
    </row>
    <row r="29" spans="5:12" x14ac:dyDescent="0.55000000000000004">
      <c r="E29" s="103">
        <v>36251</v>
      </c>
      <c r="F29" s="52">
        <v>187665</v>
      </c>
      <c r="G29" s="52">
        <v>118127</v>
      </c>
      <c r="H29" s="54">
        <v>-5504.9882677558926</v>
      </c>
      <c r="I29" s="103">
        <v>41000</v>
      </c>
      <c r="J29" s="52">
        <v>9.35</v>
      </c>
      <c r="K29" s="52">
        <v>25.96</v>
      </c>
      <c r="L29" s="52">
        <v>-0.23638924253444848</v>
      </c>
    </row>
    <row r="30" spans="5:12" x14ac:dyDescent="0.55000000000000004">
      <c r="E30" s="103">
        <v>36342</v>
      </c>
      <c r="F30" s="52">
        <v>187707</v>
      </c>
      <c r="G30" s="52">
        <v>119301</v>
      </c>
      <c r="H30" s="54">
        <v>-7002.8507229781535</v>
      </c>
      <c r="I30" s="103">
        <v>41030</v>
      </c>
      <c r="J30" s="52">
        <v>8.8699999999999992</v>
      </c>
      <c r="K30" s="52">
        <v>24.36</v>
      </c>
      <c r="L30" s="52">
        <v>0.56281431872129595</v>
      </c>
    </row>
    <row r="31" spans="5:12" x14ac:dyDescent="0.55000000000000004">
      <c r="E31" s="103">
        <v>36434</v>
      </c>
      <c r="F31" s="52">
        <v>190360</v>
      </c>
      <c r="G31" s="52">
        <v>121311</v>
      </c>
      <c r="H31" s="54">
        <v>-6986.2421497215691</v>
      </c>
      <c r="I31" s="103">
        <v>41061</v>
      </c>
      <c r="J31" s="52">
        <v>8.39</v>
      </c>
      <c r="K31" s="52">
        <v>23.62</v>
      </c>
      <c r="L31" s="52">
        <v>0.67444596580207872</v>
      </c>
    </row>
    <row r="32" spans="5:12" x14ac:dyDescent="0.55000000000000004">
      <c r="E32" s="103">
        <v>36526</v>
      </c>
      <c r="F32" s="52">
        <v>192374</v>
      </c>
      <c r="G32" s="52">
        <v>121439</v>
      </c>
      <c r="H32" s="54">
        <v>-5140.1317530166707</v>
      </c>
      <c r="I32" s="103">
        <v>41091</v>
      </c>
      <c r="J32" s="52">
        <v>8.07</v>
      </c>
      <c r="K32" s="52">
        <v>23.03</v>
      </c>
      <c r="L32" s="52">
        <v>0.82615227901513322</v>
      </c>
    </row>
    <row r="33" spans="5:12" x14ac:dyDescent="0.55000000000000004">
      <c r="E33" s="103">
        <v>36617</v>
      </c>
      <c r="F33" s="52">
        <v>195058</v>
      </c>
      <c r="G33" s="52">
        <v>123093</v>
      </c>
      <c r="H33" s="54">
        <v>-4625.5802205955843</v>
      </c>
      <c r="I33" s="103">
        <v>41122</v>
      </c>
      <c r="J33" s="52">
        <v>7.85</v>
      </c>
      <c r="K33" s="52">
        <v>22.54</v>
      </c>
      <c r="L33" s="52">
        <v>0.99790836964970531</v>
      </c>
    </row>
    <row r="34" spans="5:12" x14ac:dyDescent="0.55000000000000004">
      <c r="E34" s="103">
        <v>36708</v>
      </c>
      <c r="F34" s="52">
        <v>197337</v>
      </c>
      <c r="G34" s="52">
        <v>125087</v>
      </c>
      <c r="H34" s="54">
        <v>-4961.9854469271377</v>
      </c>
      <c r="I34" s="103">
        <v>41153</v>
      </c>
      <c r="J34" s="52">
        <v>7.39</v>
      </c>
      <c r="K34" s="52">
        <v>22.3</v>
      </c>
      <c r="L34" s="52">
        <v>0.72978890383806583</v>
      </c>
    </row>
    <row r="35" spans="5:12" x14ac:dyDescent="0.55000000000000004">
      <c r="E35" s="103">
        <v>36800</v>
      </c>
      <c r="F35" s="52">
        <v>199746</v>
      </c>
      <c r="G35" s="52">
        <v>126257</v>
      </c>
      <c r="H35" s="54">
        <v>-4087.6013520464185</v>
      </c>
      <c r="I35" s="103">
        <v>41183</v>
      </c>
      <c r="J35" s="52">
        <v>7.23</v>
      </c>
      <c r="K35" s="52">
        <v>21.72</v>
      </c>
      <c r="L35" s="52">
        <v>1.0335001947932767</v>
      </c>
    </row>
    <row r="36" spans="5:12" x14ac:dyDescent="0.55000000000000004">
      <c r="E36" s="103">
        <v>36892</v>
      </c>
      <c r="F36" s="52">
        <v>200577</v>
      </c>
      <c r="G36" s="52">
        <v>126235</v>
      </c>
      <c r="H36" s="54">
        <v>-3227.7453264800715</v>
      </c>
      <c r="I36" s="103">
        <v>41214</v>
      </c>
      <c r="J36" s="52">
        <v>7.14</v>
      </c>
      <c r="K36" s="52">
        <v>21.47</v>
      </c>
      <c r="L36" s="52">
        <v>1.1433757512394847</v>
      </c>
    </row>
    <row r="37" spans="5:12" x14ac:dyDescent="0.55000000000000004">
      <c r="E37" s="103">
        <v>36982</v>
      </c>
      <c r="F37" s="52">
        <v>199542</v>
      </c>
      <c r="G37" s="52">
        <v>126890</v>
      </c>
      <c r="H37" s="54">
        <v>-5121.867905841762</v>
      </c>
      <c r="I37" s="103">
        <v>41244</v>
      </c>
      <c r="J37" s="52">
        <v>7.16</v>
      </c>
      <c r="K37" s="52">
        <v>20.39</v>
      </c>
      <c r="L37" s="52">
        <v>2.0268381550871126</v>
      </c>
    </row>
    <row r="38" spans="5:12" x14ac:dyDescent="0.55000000000000004">
      <c r="E38" s="103">
        <v>37073</v>
      </c>
      <c r="F38" s="52">
        <v>198477</v>
      </c>
      <c r="G38" s="52">
        <v>122915</v>
      </c>
      <c r="H38" s="54">
        <v>-973.1087410133332</v>
      </c>
      <c r="I38" s="103">
        <v>41275</v>
      </c>
      <c r="J38" s="52">
        <v>7.11</v>
      </c>
      <c r="K38" s="52">
        <v>20.84</v>
      </c>
      <c r="L38" s="52">
        <v>1.6170621534839329</v>
      </c>
    </row>
    <row r="39" spans="5:12" x14ac:dyDescent="0.55000000000000004">
      <c r="E39" s="103">
        <v>37165</v>
      </c>
      <c r="F39" s="52">
        <v>197956</v>
      </c>
      <c r="G39" s="52">
        <v>123882</v>
      </c>
      <c r="H39" s="54">
        <v>-2762.4622284068319</v>
      </c>
      <c r="I39" s="103">
        <v>41306</v>
      </c>
      <c r="J39" s="52">
        <v>7.12</v>
      </c>
      <c r="K39" s="52">
        <v>21.18</v>
      </c>
      <c r="L39" s="52">
        <v>1.3552313967170901</v>
      </c>
    </row>
    <row r="40" spans="5:12" x14ac:dyDescent="0.55000000000000004">
      <c r="E40" s="103">
        <v>37257</v>
      </c>
      <c r="F40" s="52">
        <v>202731</v>
      </c>
      <c r="G40" s="52">
        <v>126457</v>
      </c>
      <c r="H40" s="54">
        <v>-1364.9288571950165</v>
      </c>
      <c r="I40" s="103">
        <v>41334</v>
      </c>
      <c r="J40" s="52">
        <v>7.15</v>
      </c>
      <c r="K40" s="52">
        <v>20.93</v>
      </c>
      <c r="L40" s="52">
        <v>1.5851069531632991</v>
      </c>
    </row>
    <row r="41" spans="5:12" x14ac:dyDescent="0.55000000000000004">
      <c r="E41" s="103">
        <v>37347</v>
      </c>
      <c r="F41" s="52">
        <v>203437</v>
      </c>
      <c r="G41" s="52">
        <v>127792</v>
      </c>
      <c r="H41" s="54">
        <v>-2409.9649540619284</v>
      </c>
      <c r="I41" s="103">
        <v>41365</v>
      </c>
      <c r="J41" s="52">
        <v>7.26</v>
      </c>
      <c r="K41" s="52">
        <v>20.83</v>
      </c>
      <c r="L41" s="52">
        <v>1.7750571757417841</v>
      </c>
    </row>
    <row r="42" spans="5:12" x14ac:dyDescent="0.55000000000000004">
      <c r="E42" s="103">
        <v>37438</v>
      </c>
      <c r="F42" s="52">
        <v>206179</v>
      </c>
      <c r="G42" s="52">
        <v>126346</v>
      </c>
      <c r="H42" s="54">
        <v>2228.662908162456</v>
      </c>
      <c r="I42" s="103">
        <v>41395</v>
      </c>
      <c r="J42" s="52">
        <v>7.42</v>
      </c>
      <c r="K42" s="52">
        <v>20.57</v>
      </c>
      <c r="L42" s="52">
        <v>2.1429277544458412</v>
      </c>
    </row>
    <row r="43" spans="5:12" x14ac:dyDescent="0.55000000000000004">
      <c r="E43" s="103">
        <v>37530</v>
      </c>
      <c r="F43" s="52">
        <v>208262</v>
      </c>
      <c r="G43" s="52">
        <v>125845</v>
      </c>
      <c r="H43" s="54">
        <v>4968.7933085596887</v>
      </c>
      <c r="I43" s="103">
        <v>41426</v>
      </c>
      <c r="J43" s="52">
        <v>7.9</v>
      </c>
      <c r="K43" s="52">
        <v>20.85</v>
      </c>
      <c r="L43" s="52">
        <v>2.3990671312260847</v>
      </c>
    </row>
    <row r="44" spans="5:12" x14ac:dyDescent="0.55000000000000004">
      <c r="E44" s="103">
        <v>37622</v>
      </c>
      <c r="F44" s="52">
        <v>207329</v>
      </c>
      <c r="G44" s="52">
        <v>126385</v>
      </c>
      <c r="H44" s="54">
        <v>3327.5090446584509</v>
      </c>
      <c r="I44" s="103">
        <v>41456</v>
      </c>
      <c r="J44" s="52">
        <v>8.23</v>
      </c>
      <c r="K44" s="52">
        <v>21.28</v>
      </c>
      <c r="L44" s="52">
        <v>2.3852811741386049</v>
      </c>
    </row>
    <row r="45" spans="5:12" x14ac:dyDescent="0.55000000000000004">
      <c r="E45" s="103">
        <v>37712</v>
      </c>
      <c r="F45" s="52">
        <v>205607</v>
      </c>
      <c r="G45" s="52">
        <v>125199</v>
      </c>
      <c r="H45" s="54">
        <v>3161.1111501896521</v>
      </c>
      <c r="I45" s="103">
        <v>41487</v>
      </c>
      <c r="J45" s="52">
        <v>8.4499999999999993</v>
      </c>
      <c r="K45" s="52">
        <v>21.46</v>
      </c>
      <c r="L45" s="52">
        <v>2.4613707734973325</v>
      </c>
    </row>
    <row r="46" spans="5:12" x14ac:dyDescent="0.55000000000000004">
      <c r="E46" s="103">
        <v>37803</v>
      </c>
      <c r="F46" s="52">
        <v>207530</v>
      </c>
      <c r="G46" s="52">
        <v>125492</v>
      </c>
      <c r="H46" s="54">
        <v>4699.8013551469485</v>
      </c>
      <c r="I46" s="103">
        <v>41518</v>
      </c>
      <c r="J46" s="52">
        <v>8.9</v>
      </c>
      <c r="K46" s="52">
        <v>21.61</v>
      </c>
      <c r="L46" s="52">
        <v>2.7914454396296069</v>
      </c>
    </row>
    <row r="47" spans="5:12" x14ac:dyDescent="0.55000000000000004">
      <c r="E47" s="103">
        <v>37895</v>
      </c>
      <c r="F47" s="52">
        <v>209685</v>
      </c>
      <c r="G47" s="52">
        <v>126554</v>
      </c>
      <c r="H47" s="54">
        <v>5461.8423028078978</v>
      </c>
      <c r="I47" s="103">
        <v>41548</v>
      </c>
      <c r="J47" s="52">
        <v>9.25</v>
      </c>
      <c r="K47" s="52">
        <v>21.98</v>
      </c>
      <c r="L47" s="52">
        <v>2.8456296160892158</v>
      </c>
    </row>
    <row r="48" spans="5:12" x14ac:dyDescent="0.55000000000000004">
      <c r="E48" s="103">
        <v>37987</v>
      </c>
      <c r="F48" s="52">
        <v>212590</v>
      </c>
      <c r="G48" s="52">
        <v>127481</v>
      </c>
      <c r="H48" s="54">
        <v>7150.954316444142</v>
      </c>
      <c r="I48" s="103">
        <v>41579</v>
      </c>
      <c r="J48" s="52">
        <v>9.4499999999999993</v>
      </c>
      <c r="K48" s="52">
        <v>22.21</v>
      </c>
      <c r="L48" s="52">
        <v>2.8617441041587028</v>
      </c>
    </row>
    <row r="49" spans="5:12" x14ac:dyDescent="0.55000000000000004">
      <c r="E49" s="103">
        <v>38078</v>
      </c>
      <c r="F49" s="52">
        <v>218480</v>
      </c>
      <c r="G49" s="52">
        <v>129113</v>
      </c>
      <c r="H49" s="54">
        <v>10900.361874431575</v>
      </c>
      <c r="I49" s="103">
        <v>41609</v>
      </c>
      <c r="J49" s="52">
        <v>9.9</v>
      </c>
      <c r="K49" s="52">
        <v>21.87</v>
      </c>
      <c r="L49" s="52">
        <v>3.5835748609255464</v>
      </c>
    </row>
    <row r="50" spans="5:12" x14ac:dyDescent="0.55000000000000004">
      <c r="E50" s="103">
        <v>38169</v>
      </c>
      <c r="F50" s="52">
        <v>221209</v>
      </c>
      <c r="G50" s="52">
        <v>131668</v>
      </c>
      <c r="H50" s="54">
        <v>10278.127996158233</v>
      </c>
      <c r="I50" s="103">
        <v>41640</v>
      </c>
      <c r="J50" s="52">
        <v>10.17</v>
      </c>
      <c r="K50" s="52">
        <v>22.84</v>
      </c>
      <c r="L50" s="52">
        <v>3.0780577019142523</v>
      </c>
    </row>
    <row r="51" spans="5:12" x14ac:dyDescent="0.55000000000000004">
      <c r="E51" s="103">
        <v>38261</v>
      </c>
      <c r="F51" s="52">
        <v>222910</v>
      </c>
      <c r="G51" s="52">
        <v>134910</v>
      </c>
      <c r="H51" s="54">
        <v>7726.7991376994178</v>
      </c>
      <c r="I51" s="103">
        <v>41671</v>
      </c>
      <c r="J51" s="52">
        <v>10.43</v>
      </c>
      <c r="K51" s="52">
        <v>23.38</v>
      </c>
      <c r="L51" s="52">
        <v>2.9063264999904419</v>
      </c>
    </row>
    <row r="52" spans="5:12" x14ac:dyDescent="0.55000000000000004">
      <c r="E52" s="103">
        <v>38353</v>
      </c>
      <c r="F52" s="52">
        <v>224747</v>
      </c>
      <c r="G52" s="52">
        <v>134255</v>
      </c>
      <c r="H52" s="54">
        <v>10422.921717061108</v>
      </c>
      <c r="I52" s="103">
        <v>41699</v>
      </c>
      <c r="J52" s="52">
        <v>10.65</v>
      </c>
      <c r="K52" s="52">
        <v>23.53</v>
      </c>
      <c r="L52" s="52">
        <v>3.0064011661227124</v>
      </c>
    </row>
    <row r="53" spans="5:12" x14ac:dyDescent="0.55000000000000004">
      <c r="E53" s="103">
        <v>38443</v>
      </c>
      <c r="F53" s="52">
        <v>227413</v>
      </c>
      <c r="G53" s="52">
        <v>135298</v>
      </c>
      <c r="H53" s="54">
        <v>11720.883777711162</v>
      </c>
      <c r="I53" s="103">
        <v>41730</v>
      </c>
      <c r="J53" s="52">
        <v>10.87</v>
      </c>
      <c r="K53" s="52">
        <v>23.41</v>
      </c>
      <c r="L53" s="52">
        <v>3.3223414332168932</v>
      </c>
    </row>
    <row r="54" spans="5:12" x14ac:dyDescent="0.55000000000000004">
      <c r="E54" s="103">
        <v>38534</v>
      </c>
      <c r="F54" s="52">
        <v>225926</v>
      </c>
      <c r="G54" s="52">
        <v>137416</v>
      </c>
      <c r="H54" s="54">
        <v>7455.8354981874872</v>
      </c>
      <c r="I54" s="103">
        <v>41760</v>
      </c>
      <c r="J54" s="52">
        <v>10.9</v>
      </c>
      <c r="K54" s="52">
        <v>23.59</v>
      </c>
      <c r="L54" s="52">
        <v>3.2084310325756231</v>
      </c>
    </row>
    <row r="55" spans="5:12" x14ac:dyDescent="0.55000000000000004">
      <c r="E55" s="103">
        <v>38626</v>
      </c>
      <c r="F55" s="52">
        <v>228736</v>
      </c>
      <c r="G55" s="52">
        <v>139408</v>
      </c>
      <c r="H55" s="54">
        <v>7653.0535469074384</v>
      </c>
      <c r="I55" s="103">
        <v>41791</v>
      </c>
      <c r="J55" s="52">
        <v>10.9</v>
      </c>
      <c r="K55" s="52">
        <v>23.46</v>
      </c>
      <c r="L55" s="52">
        <v>3.3123663219276533</v>
      </c>
    </row>
    <row r="56" spans="5:12" x14ac:dyDescent="0.55000000000000004">
      <c r="E56" s="103">
        <v>38718</v>
      </c>
      <c r="F56" s="52">
        <v>232628</v>
      </c>
      <c r="G56" s="52">
        <v>140918</v>
      </c>
      <c r="H56" s="54">
        <v>9564.4808830355178</v>
      </c>
      <c r="I56" s="103">
        <v>41821</v>
      </c>
      <c r="J56" s="52">
        <v>10.9</v>
      </c>
      <c r="K56" s="52">
        <v>23.7</v>
      </c>
      <c r="L56" s="52">
        <v>3.1204857877392929</v>
      </c>
    </row>
    <row r="57" spans="5:12" x14ac:dyDescent="0.55000000000000004">
      <c r="E57" s="103">
        <v>38808</v>
      </c>
      <c r="F57" s="52">
        <v>233263</v>
      </c>
      <c r="G57" s="52">
        <v>143104</v>
      </c>
      <c r="H57" s="54">
        <v>7332.2412517613266</v>
      </c>
      <c r="I57" s="103">
        <v>41852</v>
      </c>
      <c r="J57" s="52">
        <v>10.9</v>
      </c>
      <c r="K57" s="52">
        <v>23.61</v>
      </c>
      <c r="L57" s="52">
        <v>3.1924409880599267</v>
      </c>
    </row>
    <row r="58" spans="5:12" x14ac:dyDescent="0.55000000000000004">
      <c r="E58" s="103">
        <v>38899</v>
      </c>
      <c r="F58" s="52">
        <v>237002</v>
      </c>
      <c r="G58" s="52">
        <v>144584</v>
      </c>
      <c r="H58" s="54">
        <v>9130.017713661684</v>
      </c>
      <c r="I58" s="103">
        <v>41883</v>
      </c>
      <c r="J58" s="52">
        <v>10.9</v>
      </c>
      <c r="K58" s="52">
        <v>23.26</v>
      </c>
      <c r="L58" s="52">
        <v>3.472266767084621</v>
      </c>
    </row>
    <row r="59" spans="5:12" x14ac:dyDescent="0.55000000000000004">
      <c r="E59" s="103">
        <v>38991</v>
      </c>
      <c r="F59" s="52">
        <v>239834</v>
      </c>
      <c r="G59" s="52">
        <v>146671</v>
      </c>
      <c r="H59" s="54">
        <v>9224.630197436054</v>
      </c>
      <c r="I59" s="103">
        <v>41913</v>
      </c>
      <c r="J59" s="52">
        <v>10.92</v>
      </c>
      <c r="K59" s="52">
        <v>23.79</v>
      </c>
      <c r="L59" s="52">
        <v>3.068530587418655</v>
      </c>
    </row>
    <row r="60" spans="5:12" x14ac:dyDescent="0.55000000000000004">
      <c r="E60" s="103">
        <v>39083</v>
      </c>
      <c r="F60" s="52">
        <v>244548</v>
      </c>
      <c r="G60" s="52">
        <v>149916</v>
      </c>
      <c r="H60" s="54">
        <v>9682.3664264000545</v>
      </c>
      <c r="I60" s="103">
        <v>41944</v>
      </c>
      <c r="J60" s="52">
        <v>11.15</v>
      </c>
      <c r="K60" s="52">
        <v>23.87</v>
      </c>
      <c r="L60" s="52">
        <v>3.2345704093558663</v>
      </c>
    </row>
    <row r="61" spans="5:12" x14ac:dyDescent="0.55000000000000004">
      <c r="E61" s="103">
        <v>39173</v>
      </c>
      <c r="F61" s="52">
        <v>248523</v>
      </c>
      <c r="G61" s="52">
        <v>151883</v>
      </c>
      <c r="H61" s="54">
        <v>11077.375413263566</v>
      </c>
      <c r="I61" s="103">
        <v>41974</v>
      </c>
      <c r="J61" s="52">
        <v>11.58</v>
      </c>
      <c r="K61" s="52">
        <v>23.39</v>
      </c>
      <c r="L61" s="52">
        <v>4.0483314777325905</v>
      </c>
    </row>
    <row r="62" spans="5:12" x14ac:dyDescent="0.55000000000000004">
      <c r="E62" s="103">
        <v>39264</v>
      </c>
      <c r="F62" s="52">
        <v>250953</v>
      </c>
      <c r="G62" s="52">
        <v>152842</v>
      </c>
      <c r="H62" s="54">
        <v>12249.515026076057</v>
      </c>
      <c r="I62" s="103">
        <v>42005</v>
      </c>
      <c r="J62" s="52">
        <v>11.82</v>
      </c>
      <c r="K62" s="52">
        <v>24.6</v>
      </c>
      <c r="L62" s="52">
        <v>3.320933784532933</v>
      </c>
    </row>
    <row r="63" spans="5:12" x14ac:dyDescent="0.55000000000000004">
      <c r="E63" s="103">
        <v>39356</v>
      </c>
      <c r="F63" s="52">
        <v>254918</v>
      </c>
      <c r="G63" s="52">
        <v>157284</v>
      </c>
      <c r="H63" s="54">
        <v>10388.221136725653</v>
      </c>
      <c r="I63" s="103">
        <v>42036</v>
      </c>
      <c r="J63" s="52">
        <v>12.15</v>
      </c>
      <c r="K63" s="52">
        <v>25.32</v>
      </c>
      <c r="L63" s="52">
        <v>3.0752921819678516</v>
      </c>
    </row>
    <row r="64" spans="5:12" x14ac:dyDescent="0.55000000000000004">
      <c r="E64" s="103">
        <v>39448</v>
      </c>
      <c r="F64" s="52">
        <v>258056</v>
      </c>
      <c r="G64" s="52">
        <v>160679</v>
      </c>
      <c r="H64" s="54">
        <v>9073.2117368282052</v>
      </c>
      <c r="I64" s="103">
        <v>42064</v>
      </c>
      <c r="J64" s="52">
        <v>12.58</v>
      </c>
      <c r="K64" s="52">
        <v>25.51</v>
      </c>
      <c r="L64" s="52">
        <v>3.3533867590687283</v>
      </c>
    </row>
    <row r="65" spans="5:12" x14ac:dyDescent="0.55000000000000004">
      <c r="E65" s="103">
        <v>39539</v>
      </c>
      <c r="F65" s="52">
        <v>263463</v>
      </c>
      <c r="G65" s="52">
        <v>162514</v>
      </c>
      <c r="H65" s="54">
        <v>12073.356877089798</v>
      </c>
      <c r="I65" s="103">
        <v>42095</v>
      </c>
      <c r="J65" s="52">
        <v>12.68</v>
      </c>
      <c r="K65" s="52">
        <v>26.13</v>
      </c>
      <c r="L65" s="52">
        <v>2.9576953790821321</v>
      </c>
    </row>
    <row r="66" spans="5:12" x14ac:dyDescent="0.55000000000000004">
      <c r="E66" s="103">
        <v>39630</v>
      </c>
      <c r="F66" s="52">
        <v>267615</v>
      </c>
      <c r="G66" s="52">
        <v>165550</v>
      </c>
      <c r="H66" s="54">
        <v>12243.225348934066</v>
      </c>
      <c r="I66" s="103">
        <v>42125</v>
      </c>
      <c r="J66" s="52">
        <v>13.15</v>
      </c>
      <c r="K66" s="52">
        <v>26.73</v>
      </c>
      <c r="L66" s="52">
        <v>2.9479940436112262</v>
      </c>
    </row>
    <row r="67" spans="5:12" x14ac:dyDescent="0.55000000000000004">
      <c r="E67" s="103">
        <v>39722</v>
      </c>
      <c r="F67" s="52">
        <v>257534</v>
      </c>
      <c r="G67" s="52">
        <v>162886</v>
      </c>
      <c r="H67" s="54">
        <v>5656.4277175134048</v>
      </c>
      <c r="I67" s="103">
        <v>42156</v>
      </c>
      <c r="J67" s="52">
        <v>13.58</v>
      </c>
      <c r="K67" s="52">
        <v>27.25</v>
      </c>
      <c r="L67" s="52">
        <v>2.9622528862031086</v>
      </c>
    </row>
    <row r="68" spans="5:12" x14ac:dyDescent="0.55000000000000004">
      <c r="E68" s="103">
        <v>39814</v>
      </c>
      <c r="F68" s="52">
        <v>253940</v>
      </c>
      <c r="G68" s="52">
        <v>164299</v>
      </c>
      <c r="H68" s="54">
        <v>209.08389363854076</v>
      </c>
      <c r="I68" s="103">
        <v>42186</v>
      </c>
      <c r="J68" s="52">
        <v>13.69</v>
      </c>
      <c r="K68" s="52">
        <v>28.05</v>
      </c>
      <c r="L68" s="52">
        <v>2.4326511055752373</v>
      </c>
    </row>
    <row r="69" spans="5:12" x14ac:dyDescent="0.55000000000000004">
      <c r="E69" s="103">
        <v>39904</v>
      </c>
      <c r="F69" s="52">
        <v>258488</v>
      </c>
      <c r="G69" s="52">
        <v>169014</v>
      </c>
      <c r="H69" s="54">
        <v>-1427.2870402396657</v>
      </c>
      <c r="I69" s="103">
        <v>42217</v>
      </c>
      <c r="J69" s="52">
        <v>14.15</v>
      </c>
      <c r="K69" s="52">
        <v>28.55</v>
      </c>
      <c r="L69" s="52">
        <v>2.4928999926828173</v>
      </c>
    </row>
    <row r="70" spans="5:12" x14ac:dyDescent="0.55000000000000004">
      <c r="E70" s="103">
        <v>39995</v>
      </c>
      <c r="F70" s="52">
        <v>264566</v>
      </c>
      <c r="G70" s="52">
        <v>172926</v>
      </c>
      <c r="H70" s="54">
        <v>-480.41304094623774</v>
      </c>
      <c r="I70" s="103">
        <v>42248</v>
      </c>
      <c r="J70" s="52">
        <v>14.15</v>
      </c>
      <c r="K70" s="52">
        <v>29.06</v>
      </c>
      <c r="L70" s="52">
        <v>2.0851538575325481</v>
      </c>
    </row>
    <row r="71" spans="5:12" x14ac:dyDescent="0.55000000000000004">
      <c r="E71" s="103">
        <v>40087</v>
      </c>
      <c r="F71" s="52">
        <v>271334</v>
      </c>
      <c r="G71" s="52">
        <v>174170</v>
      </c>
      <c r="H71" s="54">
        <v>4655.9098770294804</v>
      </c>
      <c r="I71" s="103">
        <v>42278</v>
      </c>
      <c r="J71" s="52">
        <v>14.15</v>
      </c>
      <c r="K71" s="52">
        <v>29.85</v>
      </c>
      <c r="L71" s="52">
        <v>1.4535470991625257</v>
      </c>
    </row>
    <row r="72" spans="5:12" x14ac:dyDescent="0.55000000000000004">
      <c r="E72" s="103">
        <v>40179</v>
      </c>
      <c r="F72" s="52">
        <v>277127</v>
      </c>
      <c r="G72" s="52">
        <v>176537</v>
      </c>
      <c r="H72" s="54">
        <v>7344.2638535957667</v>
      </c>
      <c r="I72" s="103">
        <v>42309</v>
      </c>
      <c r="J72" s="52">
        <v>14.15</v>
      </c>
      <c r="K72" s="52">
        <v>30.13</v>
      </c>
      <c r="L72" s="52">
        <v>1.2296864759427724</v>
      </c>
    </row>
    <row r="73" spans="5:12" x14ac:dyDescent="0.55000000000000004">
      <c r="E73" s="103">
        <v>40269</v>
      </c>
      <c r="F73" s="52">
        <v>280479</v>
      </c>
      <c r="G73" s="52">
        <v>178218</v>
      </c>
      <c r="H73" s="54">
        <v>8491.4011728217592</v>
      </c>
      <c r="I73" s="103">
        <v>42339</v>
      </c>
      <c r="J73" s="52">
        <v>14.15</v>
      </c>
      <c r="K73" s="52">
        <v>29.38</v>
      </c>
      <c r="L73" s="52">
        <v>1.829313145281402</v>
      </c>
    </row>
    <row r="74" spans="5:12" x14ac:dyDescent="0.55000000000000004">
      <c r="E74" s="103">
        <v>40360</v>
      </c>
      <c r="F74" s="52">
        <v>283006</v>
      </c>
      <c r="G74" s="52">
        <v>182109</v>
      </c>
      <c r="H74" s="54">
        <v>5914.8195601557964</v>
      </c>
      <c r="I74" s="103">
        <v>42370</v>
      </c>
      <c r="J74" s="52">
        <v>14.15</v>
      </c>
      <c r="K74" s="52">
        <v>31.03</v>
      </c>
      <c r="L74" s="52">
        <v>0.51013447273641255</v>
      </c>
    </row>
    <row r="75" spans="5:12" x14ac:dyDescent="0.55000000000000004">
      <c r="E75" s="103">
        <v>40452</v>
      </c>
      <c r="F75" s="52">
        <v>286939</v>
      </c>
      <c r="G75" s="52">
        <v>185966</v>
      </c>
      <c r="H75" s="54">
        <v>4788.8336233650334</v>
      </c>
      <c r="I75" s="103">
        <v>42401</v>
      </c>
      <c r="J75" s="52">
        <v>14.15</v>
      </c>
      <c r="K75" s="52">
        <v>31.52</v>
      </c>
      <c r="L75" s="52">
        <v>0.11837838210184337</v>
      </c>
    </row>
    <row r="76" spans="5:12" x14ac:dyDescent="0.55000000000000004">
      <c r="E76" s="103">
        <v>40544</v>
      </c>
      <c r="F76" s="52">
        <v>291050</v>
      </c>
      <c r="G76" s="52">
        <v>187699</v>
      </c>
      <c r="H76" s="54">
        <v>6626.7657912524883</v>
      </c>
      <c r="I76" s="103">
        <v>42430</v>
      </c>
      <c r="J76" s="52">
        <v>14.15</v>
      </c>
      <c r="K76" s="52">
        <v>31.71</v>
      </c>
      <c r="L76" s="52">
        <v>-3.3527040797279639E-2</v>
      </c>
    </row>
    <row r="77" spans="5:12" x14ac:dyDescent="0.55000000000000004">
      <c r="E77" s="103">
        <v>40634</v>
      </c>
      <c r="F77" s="52">
        <v>293790</v>
      </c>
      <c r="G77" s="52">
        <v>190212</v>
      </c>
      <c r="H77" s="54">
        <v>6070.6206890603062</v>
      </c>
      <c r="I77" s="103">
        <v>42461</v>
      </c>
      <c r="J77" s="52">
        <v>14.15</v>
      </c>
      <c r="K77" s="52">
        <v>32.130000000000003</v>
      </c>
      <c r="L77" s="52">
        <v>-0.36931797562691138</v>
      </c>
    </row>
    <row r="78" spans="5:12" x14ac:dyDescent="0.55000000000000004">
      <c r="E78" s="103">
        <v>40725</v>
      </c>
      <c r="F78" s="52">
        <v>293200</v>
      </c>
      <c r="G78" s="52">
        <v>189488</v>
      </c>
      <c r="H78" s="54">
        <v>6430.2462576982798</v>
      </c>
      <c r="I78" s="103">
        <v>42491</v>
      </c>
      <c r="J78" s="52">
        <v>14.15</v>
      </c>
      <c r="K78" s="52">
        <v>32.229999999999997</v>
      </c>
      <c r="L78" s="52">
        <v>-0.44926819820539343</v>
      </c>
    </row>
    <row r="79" spans="5:12" x14ac:dyDescent="0.55000000000000004">
      <c r="E79" s="103">
        <v>40817</v>
      </c>
      <c r="F79" s="52">
        <v>295631</v>
      </c>
      <c r="G79" s="52">
        <v>190477</v>
      </c>
      <c r="H79" s="54">
        <v>7564.0367447384633</v>
      </c>
      <c r="I79" s="103">
        <v>42522</v>
      </c>
      <c r="J79" s="52">
        <v>14.15</v>
      </c>
      <c r="K79" s="52">
        <v>32.08</v>
      </c>
      <c r="L79" s="52">
        <v>-0.3293428643376668</v>
      </c>
    </row>
    <row r="80" spans="5:12" x14ac:dyDescent="0.55000000000000004">
      <c r="E80" s="103">
        <v>40909</v>
      </c>
      <c r="F80" s="52">
        <v>291791</v>
      </c>
      <c r="G80" s="52">
        <v>193125</v>
      </c>
      <c r="H80" s="54">
        <v>250.8205765709863</v>
      </c>
      <c r="I80" s="103">
        <v>42552</v>
      </c>
      <c r="J80" s="52">
        <v>14.15</v>
      </c>
      <c r="K80" s="52">
        <v>32.54</v>
      </c>
      <c r="L80" s="52">
        <v>-0.69711388819869491</v>
      </c>
    </row>
    <row r="81" spans="5:12" x14ac:dyDescent="0.55000000000000004">
      <c r="E81" s="103">
        <v>41000</v>
      </c>
      <c r="F81" s="52">
        <v>296859</v>
      </c>
      <c r="G81" s="52">
        <v>194617</v>
      </c>
      <c r="H81" s="54">
        <v>3361.8573881624034</v>
      </c>
      <c r="I81" s="103">
        <v>42583</v>
      </c>
      <c r="J81" s="52">
        <v>14.15</v>
      </c>
      <c r="K81" s="52">
        <v>32.69</v>
      </c>
      <c r="L81" s="52">
        <v>-0.81703922206641799</v>
      </c>
    </row>
    <row r="82" spans="5:12" x14ac:dyDescent="0.55000000000000004">
      <c r="E82" s="103">
        <v>41091</v>
      </c>
      <c r="F82" s="52">
        <v>301930</v>
      </c>
      <c r="G82" s="52">
        <v>197195</v>
      </c>
      <c r="H82" s="54">
        <v>5051.4558467969764</v>
      </c>
      <c r="I82" s="103">
        <v>42614</v>
      </c>
      <c r="J82" s="52">
        <v>14.15</v>
      </c>
      <c r="K82" s="52">
        <v>32.71</v>
      </c>
      <c r="L82" s="52">
        <v>-0.83302926658211796</v>
      </c>
    </row>
    <row r="83" spans="5:12" x14ac:dyDescent="0.55000000000000004">
      <c r="E83" s="103">
        <v>41183</v>
      </c>
      <c r="F83" s="52">
        <v>301992</v>
      </c>
      <c r="G83" s="52">
        <v>199345</v>
      </c>
      <c r="H83" s="54">
        <v>2293.4351664495189</v>
      </c>
      <c r="I83" s="103">
        <v>42644</v>
      </c>
      <c r="J83" s="52">
        <v>14.05</v>
      </c>
      <c r="K83" s="52">
        <v>32.99</v>
      </c>
      <c r="L83" s="52">
        <v>-1.1568898898018745</v>
      </c>
    </row>
    <row r="84" spans="5:12" x14ac:dyDescent="0.55000000000000004">
      <c r="E84" s="103">
        <v>41275</v>
      </c>
      <c r="F84" s="52">
        <v>303650</v>
      </c>
      <c r="G84" s="52">
        <v>200312</v>
      </c>
      <c r="H84" s="54">
        <v>2683.0816790560493</v>
      </c>
      <c r="I84" s="103">
        <v>42675</v>
      </c>
      <c r="J84" s="52">
        <v>13.9</v>
      </c>
      <c r="K84" s="52">
        <v>32.799999999999997</v>
      </c>
      <c r="L84" s="52">
        <v>-1.1549844669027518</v>
      </c>
    </row>
    <row r="85" spans="5:12" x14ac:dyDescent="0.55000000000000004">
      <c r="E85" s="103">
        <v>41365</v>
      </c>
      <c r="F85" s="52">
        <v>308049</v>
      </c>
      <c r="G85" s="52">
        <v>202908</v>
      </c>
      <c r="H85" s="54">
        <v>3677.0706622272264</v>
      </c>
      <c r="I85" s="103">
        <v>42705</v>
      </c>
      <c r="J85" s="52">
        <v>13.65</v>
      </c>
      <c r="K85" s="52">
        <v>31.81</v>
      </c>
      <c r="L85" s="52">
        <v>-0.61347726337576169</v>
      </c>
    </row>
    <row r="86" spans="5:12" x14ac:dyDescent="0.55000000000000004">
      <c r="E86" s="103">
        <v>41456</v>
      </c>
      <c r="F86" s="52">
        <v>309415</v>
      </c>
      <c r="G86" s="52">
        <v>204254</v>
      </c>
      <c r="H86" s="54">
        <v>3277.6065525771701</v>
      </c>
      <c r="I86" s="103">
        <v>42736</v>
      </c>
      <c r="J86" s="52">
        <v>13.17</v>
      </c>
      <c r="K86" s="52">
        <v>32.54</v>
      </c>
      <c r="L86" s="52">
        <v>-1.6771138881986953</v>
      </c>
    </row>
    <row r="87" spans="5:12" x14ac:dyDescent="0.55000000000000004">
      <c r="E87" s="103">
        <v>41548</v>
      </c>
      <c r="F87" s="52">
        <v>309812</v>
      </c>
      <c r="G87" s="52">
        <v>204060</v>
      </c>
      <c r="H87" s="54">
        <v>3929.0642325713416</v>
      </c>
      <c r="I87" s="103">
        <v>42767</v>
      </c>
      <c r="J87" s="52">
        <v>12.82</v>
      </c>
      <c r="K87" s="52">
        <v>31.78</v>
      </c>
      <c r="L87" s="52">
        <v>-1.4194921966022171</v>
      </c>
    </row>
    <row r="88" spans="5:12" x14ac:dyDescent="0.55000000000000004">
      <c r="E88" s="103">
        <v>41640</v>
      </c>
      <c r="F88" s="52">
        <v>312525</v>
      </c>
      <c r="G88" s="52">
        <v>207390</v>
      </c>
      <c r="H88" s="54">
        <v>2274.3112718471675</v>
      </c>
      <c r="I88" s="103">
        <v>42795</v>
      </c>
      <c r="J88" s="52">
        <v>12.15</v>
      </c>
      <c r="K88" s="52">
        <v>31.72</v>
      </c>
      <c r="L88" s="52">
        <v>-2.0415220630551243</v>
      </c>
    </row>
    <row r="89" spans="5:12" x14ac:dyDescent="0.55000000000000004">
      <c r="E89" s="103">
        <v>41730</v>
      </c>
      <c r="F89" s="52">
        <v>307822</v>
      </c>
      <c r="G89" s="52">
        <v>206268</v>
      </c>
      <c r="H89" s="54">
        <v>-957.03142426919658</v>
      </c>
      <c r="I89" s="103">
        <v>42826</v>
      </c>
      <c r="J89" s="52">
        <v>11.59</v>
      </c>
      <c r="K89" s="52">
        <v>29.82</v>
      </c>
      <c r="L89" s="52">
        <v>-1.0824678340639302</v>
      </c>
    </row>
    <row r="90" spans="5:12" x14ac:dyDescent="0.55000000000000004">
      <c r="E90" s="103">
        <v>41821</v>
      </c>
      <c r="F90" s="52">
        <v>307733</v>
      </c>
      <c r="G90" s="52">
        <v>206575</v>
      </c>
      <c r="H90" s="54">
        <v>-1448.704144672316</v>
      </c>
      <c r="I90" s="103">
        <v>42856</v>
      </c>
      <c r="J90" s="52">
        <v>11.15</v>
      </c>
      <c r="K90" s="52">
        <v>28.74</v>
      </c>
      <c r="L90" s="52">
        <v>-0.6590054302163022</v>
      </c>
    </row>
    <row r="91" spans="5:12" x14ac:dyDescent="0.55000000000000004">
      <c r="E91" s="103">
        <v>41913</v>
      </c>
      <c r="F91" s="52">
        <v>309305</v>
      </c>
      <c r="G91" s="52">
        <v>209584</v>
      </c>
      <c r="H91" s="54">
        <v>-3823.4214596329839</v>
      </c>
      <c r="I91" s="103">
        <v>42887</v>
      </c>
      <c r="J91" s="52">
        <v>10.15</v>
      </c>
      <c r="K91" s="52">
        <v>28.52</v>
      </c>
      <c r="L91" s="52">
        <v>-1.4831149405436381</v>
      </c>
    </row>
    <row r="92" spans="5:12" x14ac:dyDescent="0.55000000000000004">
      <c r="E92" s="103">
        <v>42005</v>
      </c>
      <c r="F92" s="52">
        <v>306840</v>
      </c>
      <c r="G92" s="52">
        <v>206003</v>
      </c>
      <c r="H92" s="54">
        <v>-1591.4474799472955</v>
      </c>
      <c r="I92" s="103">
        <v>42917</v>
      </c>
      <c r="J92" s="52">
        <v>10.01</v>
      </c>
      <c r="K92" s="52">
        <v>28.95</v>
      </c>
      <c r="L92" s="52">
        <v>-1.9669008976311186</v>
      </c>
    </row>
    <row r="93" spans="5:12" x14ac:dyDescent="0.55000000000000004">
      <c r="E93" s="103">
        <v>42095</v>
      </c>
      <c r="F93" s="52">
        <v>299543</v>
      </c>
      <c r="G93" s="52">
        <v>202079</v>
      </c>
      <c r="H93" s="54">
        <v>-3741.5818289318122</v>
      </c>
      <c r="I93" s="103">
        <v>42948</v>
      </c>
      <c r="J93" s="52">
        <v>9.15</v>
      </c>
      <c r="K93" s="52">
        <v>28.47</v>
      </c>
      <c r="L93" s="52">
        <v>-2.4431398292543935</v>
      </c>
    </row>
    <row r="94" spans="5:12" x14ac:dyDescent="0.55000000000000004">
      <c r="E94" s="103">
        <v>42186</v>
      </c>
      <c r="F94" s="52">
        <v>294788</v>
      </c>
      <c r="G94" s="52">
        <v>198448</v>
      </c>
      <c r="H94" s="54">
        <v>-3734.0259729590034</v>
      </c>
      <c r="I94" s="103">
        <v>42979</v>
      </c>
      <c r="J94" s="52">
        <v>8.35</v>
      </c>
      <c r="K94" s="52">
        <v>26.85</v>
      </c>
      <c r="L94" s="52">
        <v>-1.9479462234829565</v>
      </c>
    </row>
    <row r="95" spans="5:12" x14ac:dyDescent="0.55000000000000004">
      <c r="E95" s="103">
        <v>42278</v>
      </c>
      <c r="F95" s="52">
        <v>292448</v>
      </c>
      <c r="G95" s="52">
        <v>196912</v>
      </c>
      <c r="H95" s="54">
        <v>-4059.3507334177848</v>
      </c>
      <c r="I95" s="103">
        <v>43009</v>
      </c>
      <c r="J95" s="52">
        <v>8.01</v>
      </c>
      <c r="K95" s="52">
        <v>27.36</v>
      </c>
      <c r="L95" s="52">
        <v>-2.695692358633222</v>
      </c>
    </row>
    <row r="96" spans="5:12" x14ac:dyDescent="0.55000000000000004">
      <c r="E96" s="103">
        <v>42370</v>
      </c>
      <c r="F96" s="52">
        <v>288021</v>
      </c>
      <c r="G96" s="52">
        <v>194431</v>
      </c>
      <c r="H96" s="54">
        <v>-5232.1780320493854</v>
      </c>
      <c r="I96" s="103">
        <v>43040</v>
      </c>
      <c r="J96" s="52">
        <v>7.4</v>
      </c>
      <c r="K96" s="52">
        <v>26.82</v>
      </c>
      <c r="L96" s="52">
        <v>-2.8739611567094112</v>
      </c>
    </row>
    <row r="97" spans="5:12" x14ac:dyDescent="0.55000000000000004">
      <c r="E97" s="103">
        <v>42461</v>
      </c>
      <c r="F97" s="52">
        <v>289087</v>
      </c>
      <c r="G97" s="52">
        <v>193295</v>
      </c>
      <c r="H97" s="54">
        <v>-2676.1578028053045</v>
      </c>
      <c r="I97" s="103">
        <v>43070</v>
      </c>
      <c r="J97" s="52">
        <v>7</v>
      </c>
      <c r="K97" s="52">
        <v>25.49</v>
      </c>
      <c r="L97" s="52">
        <v>-2.2106231964155718</v>
      </c>
    </row>
    <row r="98" spans="5:12" x14ac:dyDescent="0.55000000000000004">
      <c r="E98" s="103">
        <v>42552</v>
      </c>
      <c r="F98" s="52">
        <v>287640</v>
      </c>
      <c r="G98" s="52">
        <v>192681</v>
      </c>
      <c r="H98" s="54">
        <v>-3317.8123619991238</v>
      </c>
      <c r="I98" s="103">
        <v>43101</v>
      </c>
      <c r="J98" s="52">
        <v>6.9</v>
      </c>
      <c r="K98" s="52">
        <v>25.98</v>
      </c>
      <c r="L98" s="52">
        <v>-2.7023792870501442</v>
      </c>
    </row>
    <row r="99" spans="5:12" x14ac:dyDescent="0.55000000000000004">
      <c r="E99" s="103">
        <v>42644</v>
      </c>
      <c r="F99" s="52">
        <v>287013</v>
      </c>
      <c r="G99" s="52">
        <v>191993</v>
      </c>
      <c r="H99" s="54">
        <v>-3042.4057442879421</v>
      </c>
      <c r="I99" s="103">
        <v>43132</v>
      </c>
      <c r="J99" s="52">
        <v>6.72</v>
      </c>
      <c r="K99" s="52">
        <v>26.56</v>
      </c>
      <c r="L99" s="52">
        <v>-3.3460905780053514</v>
      </c>
    </row>
    <row r="100" spans="5:12" x14ac:dyDescent="0.55000000000000004">
      <c r="E100" s="103">
        <v>42736</v>
      </c>
      <c r="F100" s="52">
        <v>290171</v>
      </c>
      <c r="G100" s="52">
        <v>193424</v>
      </c>
      <c r="H100" s="54">
        <v>-1761.3590436261729</v>
      </c>
      <c r="I100" s="103">
        <v>43160</v>
      </c>
      <c r="J100" s="52">
        <v>6.58</v>
      </c>
      <c r="K100" s="52">
        <v>25.88</v>
      </c>
      <c r="L100" s="52">
        <v>-2.9424290644716589</v>
      </c>
    </row>
    <row r="101" spans="5:12" x14ac:dyDescent="0.55000000000000004">
      <c r="E101" s="103">
        <v>42826</v>
      </c>
      <c r="F101" s="52">
        <v>292416</v>
      </c>
      <c r="G101" s="52">
        <v>196608</v>
      </c>
      <c r="H101" s="54">
        <v>-3692.6129255918786</v>
      </c>
      <c r="I101" s="103">
        <v>43191</v>
      </c>
      <c r="J101" s="52">
        <v>6.4</v>
      </c>
      <c r="K101" s="52">
        <v>25.61</v>
      </c>
      <c r="L101" s="52">
        <v>-2.9065634635097535</v>
      </c>
    </row>
    <row r="102" spans="5:12" x14ac:dyDescent="0.55000000000000004">
      <c r="E102" s="103">
        <v>42917</v>
      </c>
      <c r="F102" s="52">
        <v>293328</v>
      </c>
      <c r="G102" s="52">
        <v>198577</v>
      </c>
      <c r="H102" s="54">
        <v>-5363.2272137798136</v>
      </c>
      <c r="I102" s="103">
        <v>43221</v>
      </c>
      <c r="J102" s="52">
        <v>6.4</v>
      </c>
      <c r="K102" s="52">
        <v>24.64</v>
      </c>
      <c r="L102" s="52">
        <v>-2.1310463044984598</v>
      </c>
    </row>
    <row r="103" spans="5:12" x14ac:dyDescent="0.55000000000000004">
      <c r="E103" s="103">
        <v>43009</v>
      </c>
      <c r="F103" s="52">
        <v>294518</v>
      </c>
      <c r="G103" s="52">
        <v>198797</v>
      </c>
      <c r="H103" s="54">
        <v>-4461.787469443283</v>
      </c>
      <c r="I103" s="103">
        <v>43252</v>
      </c>
      <c r="J103" s="52">
        <v>6.4</v>
      </c>
      <c r="K103" s="52">
        <v>24.31</v>
      </c>
      <c r="L103" s="52">
        <v>-1.8672105699894583</v>
      </c>
    </row>
    <row r="104" spans="5:12" x14ac:dyDescent="0.55000000000000004">
      <c r="E104" s="103">
        <v>43101</v>
      </c>
      <c r="F104" s="52">
        <v>296385</v>
      </c>
      <c r="G104" s="52">
        <v>200553</v>
      </c>
      <c r="H104" s="54">
        <v>-4898.0229646479711</v>
      </c>
      <c r="I104" s="103">
        <v>43282</v>
      </c>
      <c r="J104" s="52">
        <v>6.4</v>
      </c>
      <c r="K104" s="52">
        <v>24.14</v>
      </c>
      <c r="L104" s="52">
        <v>-1.7312951916060388</v>
      </c>
    </row>
    <row r="105" spans="5:12" x14ac:dyDescent="0.55000000000000004">
      <c r="E105" s="103">
        <v>43191</v>
      </c>
      <c r="F105" s="52">
        <v>296231</v>
      </c>
      <c r="G105" s="52">
        <v>201053</v>
      </c>
      <c r="H105" s="54">
        <v>-5707.8417275194661</v>
      </c>
      <c r="I105" s="103">
        <v>43313</v>
      </c>
      <c r="J105" s="52">
        <v>6.4</v>
      </c>
      <c r="K105" s="52">
        <v>24.1</v>
      </c>
      <c r="L105" s="52">
        <v>-1.699315102574646</v>
      </c>
    </row>
    <row r="106" spans="5:12" x14ac:dyDescent="0.55000000000000004">
      <c r="E106" s="103">
        <v>43282</v>
      </c>
      <c r="F106" s="52">
        <v>299292</v>
      </c>
      <c r="G106" s="52">
        <v>202323</v>
      </c>
      <c r="H106" s="54">
        <v>-4312.6213852131041</v>
      </c>
      <c r="I106" s="103">
        <v>43344</v>
      </c>
      <c r="J106" s="52">
        <v>6.4</v>
      </c>
      <c r="K106" s="52">
        <v>23.96</v>
      </c>
      <c r="L106" s="52">
        <v>-1.5873847909647676</v>
      </c>
    </row>
    <row r="107" spans="5:12" x14ac:dyDescent="0.55000000000000004">
      <c r="E107" s="103">
        <v>43374</v>
      </c>
      <c r="F107" s="52">
        <v>298262</v>
      </c>
      <c r="G107" s="52">
        <v>202195</v>
      </c>
      <c r="H107" s="54">
        <v>-5174.7317819179734</v>
      </c>
      <c r="I107" s="103">
        <v>43374</v>
      </c>
      <c r="J107" s="52">
        <v>6.4</v>
      </c>
      <c r="K107" s="52">
        <v>24.25</v>
      </c>
      <c r="L107" s="52">
        <v>-1.8192404364423691</v>
      </c>
    </row>
    <row r="108" spans="5:12" x14ac:dyDescent="0.55000000000000004">
      <c r="E108" s="103">
        <v>43466</v>
      </c>
      <c r="F108" s="52">
        <v>299482</v>
      </c>
      <c r="G108" s="52">
        <v>205674</v>
      </c>
      <c r="H108" s="54">
        <v>-8517.9187339778873</v>
      </c>
      <c r="I108" s="103">
        <v>43405</v>
      </c>
      <c r="J108" s="52">
        <v>6.4</v>
      </c>
      <c r="K108" s="52">
        <v>24.24</v>
      </c>
      <c r="L108" s="52">
        <v>-1.8112454141845209</v>
      </c>
    </row>
    <row r="109" spans="5:12" x14ac:dyDescent="0.55000000000000004">
      <c r="E109" s="103">
        <v>43556</v>
      </c>
      <c r="F109" s="52">
        <v>301159</v>
      </c>
      <c r="G109" s="52">
        <v>206556</v>
      </c>
      <c r="H109" s="54">
        <v>-7997.7830316831823</v>
      </c>
      <c r="I109" s="103">
        <v>43435</v>
      </c>
      <c r="J109" s="52">
        <v>6.4</v>
      </c>
      <c r="K109" s="52">
        <v>22.93</v>
      </c>
      <c r="L109" s="52">
        <v>-0.7638974984063811</v>
      </c>
    </row>
    <row r="110" spans="5:12" x14ac:dyDescent="0.55000000000000004">
      <c r="E110" s="103">
        <v>43647</v>
      </c>
      <c r="F110" s="52">
        <v>301480</v>
      </c>
      <c r="G110" s="52">
        <v>207474</v>
      </c>
      <c r="H110" s="54">
        <v>-8880.8662803152693</v>
      </c>
      <c r="I110" s="103">
        <v>43466</v>
      </c>
      <c r="J110" s="52">
        <v>6.4</v>
      </c>
      <c r="K110" s="52">
        <v>24.33</v>
      </c>
      <c r="L110" s="52">
        <v>-1.8832006145051547</v>
      </c>
    </row>
    <row r="111" spans="5:12" x14ac:dyDescent="0.55000000000000004">
      <c r="E111" s="103">
        <v>43739</v>
      </c>
      <c r="F111" s="52">
        <v>302539</v>
      </c>
      <c r="G111" s="52">
        <v>207375</v>
      </c>
      <c r="H111" s="54">
        <v>-7692.014165266708</v>
      </c>
      <c r="I111" s="103">
        <v>43497</v>
      </c>
      <c r="J111" s="52">
        <v>6.4</v>
      </c>
      <c r="K111" s="52">
        <v>24.65</v>
      </c>
      <c r="L111" s="52">
        <v>-2.1390413267563044</v>
      </c>
    </row>
    <row r="112" spans="5:12" x14ac:dyDescent="0.55000000000000004">
      <c r="E112" s="103">
        <v>43831</v>
      </c>
      <c r="F112" s="52">
        <v>295396</v>
      </c>
      <c r="G112" s="52">
        <v>204776</v>
      </c>
      <c r="H112" s="54">
        <v>-11426.068235860672</v>
      </c>
      <c r="I112" s="103">
        <v>43525</v>
      </c>
      <c r="J112" s="52">
        <v>6.4</v>
      </c>
      <c r="K112" s="52">
        <v>24.92</v>
      </c>
      <c r="L112" s="52">
        <v>-2.3549069277182131</v>
      </c>
    </row>
    <row r="113" spans="5:12" x14ac:dyDescent="0.55000000000000004">
      <c r="E113" s="103">
        <v>43922</v>
      </c>
      <c r="F113" s="52">
        <v>268915</v>
      </c>
      <c r="G113" s="52">
        <v>181601</v>
      </c>
      <c r="H113" s="54">
        <v>-7509.8685767667484</v>
      </c>
      <c r="I113" s="103">
        <v>43556</v>
      </c>
      <c r="J113" s="52">
        <v>6.4</v>
      </c>
      <c r="K113" s="52">
        <v>24.99</v>
      </c>
      <c r="L113" s="52">
        <v>-2.4108720835231505</v>
      </c>
    </row>
    <row r="114" spans="5:12" x14ac:dyDescent="0.55000000000000004">
      <c r="E114" s="103">
        <v>44013</v>
      </c>
      <c r="F114" s="52">
        <v>290404</v>
      </c>
      <c r="G114" s="52">
        <v>194704</v>
      </c>
      <c r="H114" s="54">
        <v>-3207.2550765771884</v>
      </c>
      <c r="I114" s="103">
        <v>43586</v>
      </c>
      <c r="J114" s="52">
        <v>6.4</v>
      </c>
      <c r="K114" s="52">
        <v>24.83</v>
      </c>
      <c r="L114" s="52">
        <v>-2.2829517273975757</v>
      </c>
    </row>
    <row r="115" spans="5:12" x14ac:dyDescent="0.55000000000000004">
      <c r="E115" s="103">
        <v>44105</v>
      </c>
      <c r="F115" s="52">
        <v>299623</v>
      </c>
      <c r="G115" s="52">
        <v>200720</v>
      </c>
      <c r="H115" s="54">
        <v>-1879.0664314470487</v>
      </c>
      <c r="I115" s="103">
        <v>43617</v>
      </c>
      <c r="J115" s="52">
        <v>6.4</v>
      </c>
      <c r="K115" s="52">
        <v>24.72</v>
      </c>
      <c r="L115" s="52">
        <v>-2.1950064825612454</v>
      </c>
    </row>
    <row r="116" spans="5:12" x14ac:dyDescent="0.55000000000000004">
      <c r="E116" s="103">
        <v>44197</v>
      </c>
      <c r="F116" s="52">
        <v>302823</v>
      </c>
      <c r="G116" s="52">
        <v>201441</v>
      </c>
      <c r="H116" s="54">
        <v>375.24291249224916</v>
      </c>
      <c r="I116" s="103">
        <v>43647</v>
      </c>
      <c r="J116" s="52">
        <v>6.4</v>
      </c>
      <c r="K116" s="52">
        <v>24.61</v>
      </c>
      <c r="L116" s="52">
        <v>-2.1070612377249116</v>
      </c>
    </row>
    <row r="117" spans="5:12" x14ac:dyDescent="0.55000000000000004">
      <c r="E117" s="103">
        <v>44287</v>
      </c>
      <c r="F117" s="52">
        <v>301977</v>
      </c>
      <c r="G117" s="52">
        <v>200796</v>
      </c>
      <c r="H117" s="54">
        <v>375.24911659647478</v>
      </c>
      <c r="I117" s="103">
        <v>43678</v>
      </c>
      <c r="J117" s="52">
        <v>5.9</v>
      </c>
      <c r="K117" s="52">
        <v>24.7</v>
      </c>
      <c r="L117" s="52">
        <v>-2.679016438045549</v>
      </c>
    </row>
    <row r="118" spans="5:12" x14ac:dyDescent="0.55000000000000004">
      <c r="E118" s="103">
        <v>44378</v>
      </c>
      <c r="F118" s="52">
        <v>302157</v>
      </c>
      <c r="G118" s="52">
        <v>202890</v>
      </c>
      <c r="H118" s="54">
        <v>-2191.3198623093776</v>
      </c>
      <c r="I118" s="103">
        <v>43709</v>
      </c>
      <c r="J118" s="52">
        <v>5.71</v>
      </c>
      <c r="K118" s="52">
        <v>23.91</v>
      </c>
      <c r="L118" s="52">
        <v>-2.237409679675527</v>
      </c>
    </row>
    <row r="119" spans="5:12" x14ac:dyDescent="0.55000000000000004">
      <c r="E119" s="103">
        <v>44470</v>
      </c>
      <c r="F119" s="52">
        <v>304498</v>
      </c>
      <c r="G119" s="52">
        <v>204883</v>
      </c>
      <c r="H119" s="54">
        <v>-2464.4134511151351</v>
      </c>
      <c r="I119" s="103">
        <v>43739</v>
      </c>
      <c r="J119" s="52">
        <v>5.38</v>
      </c>
      <c r="K119" s="52">
        <v>23.42</v>
      </c>
      <c r="L119" s="52">
        <v>-2.1756535890409543</v>
      </c>
    </row>
    <row r="120" spans="5:12" x14ac:dyDescent="0.55000000000000004">
      <c r="E120" s="103">
        <v>44562</v>
      </c>
      <c r="F120" s="52">
        <v>307915</v>
      </c>
      <c r="G120" s="52">
        <v>205962</v>
      </c>
      <c r="H120" s="54">
        <v>-462.67034139187308</v>
      </c>
      <c r="I120" s="103">
        <v>43770</v>
      </c>
      <c r="J120" s="52">
        <v>4.9000000000000004</v>
      </c>
      <c r="K120" s="52">
        <v>23.51</v>
      </c>
      <c r="L120" s="52">
        <v>-2.7276087893615912</v>
      </c>
    </row>
    <row r="121" spans="5:12" x14ac:dyDescent="0.55000000000000004">
      <c r="E121" s="103">
        <v>44652</v>
      </c>
      <c r="F121" s="52">
        <v>311711</v>
      </c>
      <c r="G121" s="52">
        <v>211400</v>
      </c>
      <c r="H121" s="54">
        <v>-3799.3552063822863</v>
      </c>
      <c r="I121" s="103">
        <v>43800</v>
      </c>
      <c r="J121" s="52">
        <v>4.59</v>
      </c>
      <c r="K121" s="52">
        <v>22.51</v>
      </c>
      <c r="L121" s="52">
        <v>-2.2381065635767499</v>
      </c>
    </row>
    <row r="122" spans="5:12" x14ac:dyDescent="0.55000000000000004">
      <c r="I122" s="103">
        <v>43831</v>
      </c>
      <c r="J122" s="52">
        <v>4.4000000000000004</v>
      </c>
      <c r="K122" s="52">
        <v>23.02</v>
      </c>
      <c r="L122" s="52">
        <v>-2.8358526987270185</v>
      </c>
    </row>
    <row r="123" spans="5:12" x14ac:dyDescent="0.55000000000000004">
      <c r="I123" s="103">
        <v>43862</v>
      </c>
      <c r="J123" s="52">
        <v>4.1900000000000004</v>
      </c>
      <c r="K123" s="52">
        <v>22.98</v>
      </c>
      <c r="L123" s="52">
        <v>-3.0138726096956221</v>
      </c>
    </row>
    <row r="124" spans="5:12" x14ac:dyDescent="0.55000000000000004">
      <c r="I124" s="103">
        <v>43891</v>
      </c>
      <c r="J124" s="52">
        <v>3.95</v>
      </c>
      <c r="K124" s="52">
        <v>22.61</v>
      </c>
      <c r="L124" s="52">
        <v>-2.9580567861552316</v>
      </c>
    </row>
    <row r="125" spans="5:12" x14ac:dyDescent="0.55000000000000004">
      <c r="I125" s="103">
        <v>43922</v>
      </c>
      <c r="J125" s="52">
        <v>3.65</v>
      </c>
      <c r="K125" s="52">
        <v>21.45</v>
      </c>
      <c r="L125" s="52">
        <v>-2.3306342042448187</v>
      </c>
    </row>
    <row r="126" spans="5:12" x14ac:dyDescent="0.55000000000000004">
      <c r="I126" s="103">
        <v>43952</v>
      </c>
      <c r="J126" s="52">
        <v>3.01</v>
      </c>
      <c r="K126" s="52">
        <v>20.58</v>
      </c>
      <c r="L126" s="52">
        <v>-2.2750672678120072</v>
      </c>
    </row>
    <row r="127" spans="5:12" x14ac:dyDescent="0.55000000000000004">
      <c r="I127" s="103">
        <v>43983</v>
      </c>
      <c r="J127" s="52">
        <v>2.58</v>
      </c>
      <c r="K127" s="52">
        <v>19.25</v>
      </c>
      <c r="L127" s="52">
        <v>-1.6417293075181707</v>
      </c>
    </row>
    <row r="128" spans="5:12" x14ac:dyDescent="0.55000000000000004">
      <c r="I128" s="103">
        <v>44013</v>
      </c>
      <c r="J128" s="52">
        <v>2.15</v>
      </c>
      <c r="K128" s="52">
        <v>19.02</v>
      </c>
      <c r="L128" s="52">
        <v>-1.8878437955876568</v>
      </c>
    </row>
    <row r="129" spans="9:12" x14ac:dyDescent="0.55000000000000004">
      <c r="I129" s="103">
        <v>44044</v>
      </c>
      <c r="J129" s="52">
        <v>1.94</v>
      </c>
      <c r="K129" s="52">
        <v>18.57</v>
      </c>
      <c r="L129" s="52">
        <v>-1.7380677939844786</v>
      </c>
    </row>
    <row r="130" spans="9:12" x14ac:dyDescent="0.55000000000000004">
      <c r="I130" s="103">
        <v>44075</v>
      </c>
      <c r="J130" s="52">
        <v>1.9</v>
      </c>
      <c r="K130" s="52">
        <v>18.02</v>
      </c>
      <c r="L130" s="52">
        <v>-1.3383415698028167</v>
      </c>
    </row>
    <row r="131" spans="9:12" x14ac:dyDescent="0.55000000000000004">
      <c r="I131" s="103">
        <v>44105</v>
      </c>
      <c r="J131" s="52">
        <v>1.9</v>
      </c>
      <c r="K131" s="52">
        <v>18.59</v>
      </c>
      <c r="L131" s="52">
        <v>-1.7940578385001751</v>
      </c>
    </row>
    <row r="132" spans="9:12" x14ac:dyDescent="0.55000000000000004">
      <c r="I132" s="103">
        <v>44136</v>
      </c>
      <c r="J132" s="52">
        <v>1.9</v>
      </c>
      <c r="K132" s="52">
        <v>18.46</v>
      </c>
      <c r="L132" s="52">
        <v>-1.6901225491481466</v>
      </c>
    </row>
    <row r="133" spans="9:12" x14ac:dyDescent="0.55000000000000004">
      <c r="I133" s="103">
        <v>44166</v>
      </c>
      <c r="J133" s="52">
        <v>1.9</v>
      </c>
      <c r="K133" s="52">
        <v>18.309999999999999</v>
      </c>
      <c r="L133" s="52">
        <v>-1.57019721528042</v>
      </c>
    </row>
    <row r="134" spans="9:12" x14ac:dyDescent="0.55000000000000004">
      <c r="I134" s="103">
        <v>44197</v>
      </c>
      <c r="J134" s="52">
        <v>1.9</v>
      </c>
      <c r="K134" s="52">
        <v>20.05</v>
      </c>
      <c r="L134" s="52">
        <v>-2.9613310881460415</v>
      </c>
    </row>
    <row r="135" spans="9:12" x14ac:dyDescent="0.55000000000000004">
      <c r="I135" s="103">
        <v>44228</v>
      </c>
      <c r="J135" s="52">
        <v>1.9</v>
      </c>
      <c r="K135" s="52">
        <v>19.760000000000002</v>
      </c>
      <c r="L135" s="52">
        <v>-2.72947544266844</v>
      </c>
    </row>
    <row r="136" spans="9:12" x14ac:dyDescent="0.55000000000000004">
      <c r="I136" s="103">
        <v>44256</v>
      </c>
      <c r="J136" s="52">
        <v>2.23</v>
      </c>
      <c r="K136" s="52">
        <v>19.920000000000002</v>
      </c>
      <c r="L136" s="52">
        <v>-2.5273957987940148</v>
      </c>
    </row>
    <row r="137" spans="9:12" x14ac:dyDescent="0.55000000000000004">
      <c r="I137" s="103">
        <v>44287</v>
      </c>
      <c r="J137" s="52">
        <v>2.65</v>
      </c>
      <c r="K137" s="52">
        <v>20.41</v>
      </c>
      <c r="L137" s="52">
        <v>-2.499151889428584</v>
      </c>
    </row>
    <row r="138" spans="9:12" x14ac:dyDescent="0.55000000000000004">
      <c r="I138" s="103">
        <v>44317</v>
      </c>
      <c r="J138" s="52">
        <v>3.29</v>
      </c>
      <c r="K138" s="52">
        <v>19.91</v>
      </c>
      <c r="L138" s="52">
        <v>-1.4594007765361647</v>
      </c>
    </row>
    <row r="139" spans="9:12" x14ac:dyDescent="0.55000000000000004">
      <c r="I139" s="103">
        <v>44348</v>
      </c>
      <c r="J139" s="52">
        <v>3.76</v>
      </c>
      <c r="K139" s="52">
        <v>20.03</v>
      </c>
      <c r="L139" s="52">
        <v>-1.0853410436303452</v>
      </c>
    </row>
    <row r="140" spans="9:12" x14ac:dyDescent="0.55000000000000004">
      <c r="I140" s="103">
        <v>44378</v>
      </c>
      <c r="J140" s="52">
        <v>4.1500000000000004</v>
      </c>
      <c r="K140" s="52">
        <v>20.41</v>
      </c>
      <c r="L140" s="52">
        <v>-0.99915188942858357</v>
      </c>
    </row>
    <row r="141" spans="9:12" x14ac:dyDescent="0.55000000000000004">
      <c r="I141" s="103">
        <v>44409</v>
      </c>
      <c r="J141" s="52">
        <v>5.01</v>
      </c>
      <c r="K141" s="52">
        <v>21.08</v>
      </c>
      <c r="L141" s="52">
        <v>-0.67481838070442812</v>
      </c>
    </row>
    <row r="142" spans="9:12" x14ac:dyDescent="0.55000000000000004">
      <c r="I142" s="103">
        <v>44440</v>
      </c>
      <c r="J142" s="52">
        <v>5.43</v>
      </c>
      <c r="K142" s="52">
        <v>21.57</v>
      </c>
      <c r="L142" s="52">
        <v>-0.64657447133900092</v>
      </c>
    </row>
    <row r="143" spans="9:12" x14ac:dyDescent="0.55000000000000004">
      <c r="I143" s="103">
        <v>44470</v>
      </c>
      <c r="J143" s="52">
        <v>6.3</v>
      </c>
      <c r="K143" s="52">
        <v>23.01</v>
      </c>
      <c r="L143" s="52">
        <v>-0.92785767646917083</v>
      </c>
    </row>
    <row r="144" spans="9:12" x14ac:dyDescent="0.55000000000000004">
      <c r="I144" s="103">
        <v>44501</v>
      </c>
      <c r="J144" s="52">
        <v>7.65</v>
      </c>
      <c r="K144" s="52">
        <v>24.01</v>
      </c>
      <c r="L144" s="52">
        <v>-0.37735990225400862</v>
      </c>
    </row>
    <row r="145" spans="9:12" x14ac:dyDescent="0.55000000000000004">
      <c r="I145" s="103">
        <v>44531</v>
      </c>
      <c r="J145" s="52">
        <v>8.76</v>
      </c>
      <c r="K145" s="52">
        <v>24.31</v>
      </c>
      <c r="L145" s="52">
        <v>0.4927894300105411</v>
      </c>
    </row>
    <row r="146" spans="9:12" x14ac:dyDescent="0.55000000000000004">
      <c r="I146" s="103">
        <v>44562</v>
      </c>
      <c r="J146" s="52">
        <v>9.15</v>
      </c>
      <c r="K146" s="52">
        <v>25.32</v>
      </c>
      <c r="L146" s="52">
        <v>7.529218196785159E-2</v>
      </c>
    </row>
    <row r="147" spans="9:12" x14ac:dyDescent="0.55000000000000004">
      <c r="I147" s="103">
        <v>44593</v>
      </c>
      <c r="J147" s="52">
        <v>10.49</v>
      </c>
      <c r="K147" s="52">
        <v>25.73</v>
      </c>
      <c r="L147" s="52">
        <v>1.0874962693960644</v>
      </c>
    </row>
    <row r="148" spans="9:12" x14ac:dyDescent="0.55000000000000004">
      <c r="I148" s="103">
        <v>44621</v>
      </c>
      <c r="J148" s="52">
        <v>11.15</v>
      </c>
      <c r="K148" s="52">
        <v>26.67</v>
      </c>
      <c r="L148" s="52">
        <v>0.99596417715831542</v>
      </c>
    </row>
    <row r="149" spans="9:12" x14ac:dyDescent="0.55000000000000004">
      <c r="I149" s="103">
        <v>44652</v>
      </c>
      <c r="J149" s="52">
        <v>11.65</v>
      </c>
      <c r="K149" s="52">
        <v>27.57</v>
      </c>
      <c r="L149" s="52">
        <v>0.77641217395195916</v>
      </c>
    </row>
    <row r="150" spans="9:12" x14ac:dyDescent="0.55000000000000004">
      <c r="I150" s="103">
        <v>44682</v>
      </c>
      <c r="J150" s="52">
        <v>12.51</v>
      </c>
      <c r="K150" s="52">
        <v>27.59</v>
      </c>
      <c r="L150" s="52">
        <v>1.6204221294362622</v>
      </c>
    </row>
    <row r="151" spans="9:12" x14ac:dyDescent="0.55000000000000004">
      <c r="I151" s="103">
        <v>44713</v>
      </c>
      <c r="J151" s="52">
        <v>12.89</v>
      </c>
      <c r="K151" s="52">
        <v>28.13</v>
      </c>
      <c r="L151" s="52">
        <v>1.5686909275124528</v>
      </c>
    </row>
  </sheetData>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D4359-06C0-403F-B329-D942B2CC57DA}">
  <sheetPr codeName="Planilha35">
    <tabColor theme="9" tint="0.59999389629810485"/>
  </sheetPr>
  <dimension ref="A1:P13"/>
  <sheetViews>
    <sheetView showGridLines="0" workbookViewId="0">
      <selection activeCell="J13" sqref="J13"/>
    </sheetView>
  </sheetViews>
  <sheetFormatPr defaultColWidth="8.796875" defaultRowHeight="18" x14ac:dyDescent="0.55000000000000004"/>
  <cols>
    <col min="1" max="1" width="12.6640625" style="17" customWidth="1"/>
    <col min="2" max="2" width="30.6640625" customWidth="1"/>
    <col min="4" max="4" width="4.6640625" customWidth="1"/>
    <col min="5" max="5" width="11" bestFit="1" customWidth="1"/>
    <col min="6" max="6" width="12.33203125" customWidth="1"/>
    <col min="7" max="8" width="12.33203125" bestFit="1" customWidth="1"/>
    <col min="10" max="16" width="9" style="15" customWidth="1"/>
  </cols>
  <sheetData>
    <row r="1" spans="1:16" x14ac:dyDescent="0.55000000000000004">
      <c r="A1" s="16" t="s">
        <v>334</v>
      </c>
      <c r="J1" s="14"/>
      <c r="K1" s="14"/>
      <c r="L1" s="14"/>
      <c r="M1" s="14"/>
      <c r="N1" s="14"/>
      <c r="O1" s="14"/>
      <c r="P1" s="14"/>
    </row>
    <row r="2" spans="1:16" x14ac:dyDescent="0.55000000000000004">
      <c r="A2" s="17" t="s">
        <v>335</v>
      </c>
      <c r="J2" s="14"/>
      <c r="K2" s="14"/>
      <c r="L2" s="14"/>
      <c r="M2" s="14"/>
      <c r="N2" s="14"/>
      <c r="O2" s="14"/>
      <c r="P2" s="14"/>
    </row>
    <row r="4" spans="1:16" ht="15.75" x14ac:dyDescent="0.5">
      <c r="A4" s="2" t="s">
        <v>15</v>
      </c>
      <c r="B4" s="2" t="s">
        <v>16</v>
      </c>
    </row>
    <row r="5" spans="1:16" ht="15.75" x14ac:dyDescent="0.5">
      <c r="A5" s="23" t="s">
        <v>344</v>
      </c>
      <c r="B5" s="24" t="s">
        <v>343</v>
      </c>
    </row>
    <row r="6" spans="1:16" ht="15.75" x14ac:dyDescent="0.5">
      <c r="A6" s="23" t="s">
        <v>253</v>
      </c>
      <c r="B6" s="24" t="s">
        <v>338</v>
      </c>
    </row>
    <row r="7" spans="1:16" ht="31.5" x14ac:dyDescent="0.5">
      <c r="A7" s="23" t="s">
        <v>331</v>
      </c>
      <c r="B7" s="24" t="s">
        <v>339</v>
      </c>
    </row>
    <row r="8" spans="1:16" ht="47.25" x14ac:dyDescent="0.5">
      <c r="A8" s="23" t="s">
        <v>332</v>
      </c>
      <c r="B8" s="24" t="s">
        <v>340</v>
      </c>
    </row>
    <row r="9" spans="1:16" ht="15.75" x14ac:dyDescent="0.5">
      <c r="A9" s="93" t="s">
        <v>337</v>
      </c>
      <c r="B9" s="24"/>
    </row>
    <row r="10" spans="1:16" ht="15.75" x14ac:dyDescent="0.45">
      <c r="A10" s="23" t="s">
        <v>341</v>
      </c>
      <c r="B10" s="26"/>
    </row>
    <row r="11" spans="1:16" ht="15.75" x14ac:dyDescent="0.45">
      <c r="A11" s="23"/>
      <c r="B11" s="26"/>
    </row>
    <row r="12" spans="1:16" x14ac:dyDescent="0.55000000000000004">
      <c r="E12" s="48" t="s">
        <v>336</v>
      </c>
      <c r="F12" s="48" t="s">
        <v>257</v>
      </c>
      <c r="G12" s="48" t="s">
        <v>333</v>
      </c>
      <c r="H12" s="48" t="s">
        <v>201</v>
      </c>
      <c r="J12" s="60" t="s">
        <v>249</v>
      </c>
      <c r="M12" s="89" t="s">
        <v>250</v>
      </c>
      <c r="N12" s="89"/>
      <c r="O12" s="89"/>
      <c r="P12" s="89"/>
    </row>
    <row r="13" spans="1:16" ht="18.75" customHeight="1" x14ac:dyDescent="0.55000000000000004">
      <c r="E13" s="54">
        <v>20</v>
      </c>
      <c r="F13" s="92">
        <v>0.05</v>
      </c>
      <c r="G13" s="54" t="b">
        <v>1</v>
      </c>
      <c r="H13" s="54" t="b">
        <v>0</v>
      </c>
      <c r="J13" s="62" cm="1">
        <f t="array" ref="J13">_xlfn.LAMBDA(_xlpm.nObs,_xlop.significance,_xlop.constant,_xlop.trend,
_xlfn.LET(
_xlpm.significance,IF(_xlfn.ISOMITTED(_xlpm.significance),FALSE,_xlpm.significance),
_xlpm.constant,IF(_xlfn.ISOMITTED(_xlpm.constant),FALSE,_xlpm.constant),
_xlpm.trend,IF(_xlfn.ISOMITTED(_xlpm.trend),FALSE,_xlpm.trend),
_xlpm.noConstant_noTrend,
{-2.56574,-2.22213,-1.941,-1.61682;-2.2358,-1.15384,-0.2686,0.2656;-3.627,-3.4829,-3.365,-2.714;0,17.17265,31.223,25.364},
_xlpm.constant_noTrend,
{-3.43035,-3.1175,-2.86154,-256677;-6.5393,-4.53235,-2.8903,-1.5384;-16.786,-9.8824,-4.234,-2.809;-79.433,-57.7669,-40.04,0},
_xlpm.constant_trend,
{-3.95877,-3.65722,-3.41049,-3.12705;-9.0531,-6.48862,-4.3904,-2.5856;-28.428,-17.7624,-9.036,-3.925;-134.155,-85.3255,-45.374,-22.38},
_xlpm.matrix, _xlfn.IFS( AND(_xlpm.constant,_xlpm.trend), _xlpm.constant_trend, _xlpm.constant, _xlpm.constant_noTrend, _xlpm.trend, #VALUE!, TRUE, _xlpm.noConstant_noTrend ),
_xlpm.colIdx, _xlfn.IFS(_xlpm.significance = 0.01, 1, _xlpm.significance = 0.025, 2, _xlpm.significance = 0.05, 3, _xlpm.significance = 0.1, 4, TRUE, #VALUE!),
_xlpm.N, _xlpm.nObs,
SLICE(_xlpm.matrix,1,1,_xlpm.colIdx,_xlpm.colIdx) + SLICE(_xlpm.matrix,2,2,_xlpm.colIdx,_xlpm.colIdx)/_xlpm.N + SLICE(_xlpm.matrix,3,3,_xlpm.colIdx,_xlpm.colIdx)/(_xlpm.N^2) + SLICE(_xlpm.matrix,4,4,_xlpm.colIdx,_xlpm.colIdx)/(_xlpm.N^3)
))($E$13,$F$13,$G$13,$H$13)</f>
        <v>-3.0216450000000004</v>
      </c>
      <c r="K13" s="53"/>
      <c r="L13" s="53"/>
      <c r="M13" s="62" cm="1">
        <f t="array" ref="M13">DFTABLE($E$13,$F$13,$G$13,$H$13)</f>
        <v>-3.0216450000000004</v>
      </c>
      <c r="N13" s="62"/>
      <c r="O13" s="62"/>
      <c r="P13" s="62"/>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92F56-1854-4FE6-98FC-B064FFDBAE21}">
  <sheetPr codeName="Planilha36">
    <tabColor theme="9" tint="0.59999389629810485"/>
  </sheetPr>
  <dimension ref="A1:AB239"/>
  <sheetViews>
    <sheetView showGridLines="0" workbookViewId="0">
      <selection activeCell="M5" sqref="M5"/>
    </sheetView>
  </sheetViews>
  <sheetFormatPr defaultColWidth="8.796875" defaultRowHeight="18" x14ac:dyDescent="0.55000000000000004"/>
  <cols>
    <col min="1" max="1" width="19.33203125" style="17" bestFit="1" customWidth="1"/>
    <col min="2" max="2" width="31.796875" customWidth="1"/>
    <col min="4" max="4" width="44.33203125" bestFit="1" customWidth="1"/>
    <col min="5" max="5" width="4.6640625" customWidth="1"/>
    <col min="6" max="6" width="7.1328125" bestFit="1" customWidth="1"/>
    <col min="7" max="7" width="9" bestFit="1" customWidth="1"/>
    <col min="8" max="8" width="10.1328125" bestFit="1" customWidth="1"/>
    <col min="9" max="9" width="10.6640625" bestFit="1" customWidth="1"/>
    <col min="10" max="10" width="10.1328125" customWidth="1"/>
    <col min="11" max="11" width="12.796875" bestFit="1" customWidth="1"/>
    <col min="12" max="12" width="10.33203125" customWidth="1"/>
    <col min="13" max="13" width="10.33203125" style="15" bestFit="1" customWidth="1"/>
    <col min="14" max="14" width="9" style="15" customWidth="1"/>
    <col min="15" max="16" width="13.33203125" style="15" customWidth="1"/>
    <col min="17" max="28" width="8.796875" style="15"/>
  </cols>
  <sheetData>
    <row r="1" spans="1:28" x14ac:dyDescent="0.55000000000000004">
      <c r="A1" s="16" t="s">
        <v>217</v>
      </c>
      <c r="M1" s="14"/>
      <c r="N1" s="14"/>
      <c r="O1" s="14"/>
      <c r="P1" s="14"/>
      <c r="Q1" s="14"/>
      <c r="R1" s="14"/>
      <c r="S1" s="14"/>
      <c r="T1" s="14"/>
      <c r="U1" s="14"/>
      <c r="V1" s="14"/>
      <c r="W1" s="14"/>
      <c r="X1" s="14"/>
      <c r="Y1" s="14"/>
      <c r="Z1" s="14"/>
      <c r="AA1" s="14"/>
      <c r="AB1" s="14"/>
    </row>
    <row r="2" spans="1:28" x14ac:dyDescent="0.55000000000000004">
      <c r="A2" s="17" t="s">
        <v>218</v>
      </c>
      <c r="M2" s="14"/>
      <c r="N2" s="14"/>
      <c r="O2" s="14"/>
      <c r="P2" s="14"/>
      <c r="Q2" s="14"/>
      <c r="R2" s="14"/>
      <c r="S2" s="14"/>
      <c r="T2" s="14"/>
      <c r="U2" s="14"/>
      <c r="V2" s="14"/>
      <c r="W2" s="14"/>
      <c r="X2" s="14"/>
      <c r="Y2" s="14"/>
      <c r="Z2" s="14"/>
      <c r="AA2" s="14"/>
      <c r="AB2" s="14"/>
    </row>
    <row r="4" spans="1:28" ht="15.75" x14ac:dyDescent="0.5">
      <c r="A4" s="2" t="s">
        <v>15</v>
      </c>
      <c r="B4" s="2" t="s">
        <v>16</v>
      </c>
    </row>
    <row r="5" spans="1:28" ht="15.75" x14ac:dyDescent="0.5">
      <c r="A5" s="23" t="s">
        <v>219</v>
      </c>
      <c r="B5" s="24" t="s">
        <v>237</v>
      </c>
    </row>
    <row r="6" spans="1:28" ht="15.75" x14ac:dyDescent="0.5">
      <c r="A6" s="23" t="s">
        <v>220</v>
      </c>
      <c r="B6" s="24" t="s">
        <v>238</v>
      </c>
    </row>
    <row r="7" spans="1:28" ht="15.75" x14ac:dyDescent="0.5">
      <c r="A7" s="23" t="s">
        <v>221</v>
      </c>
      <c r="B7" s="24" t="s">
        <v>239</v>
      </c>
      <c r="Q7" s="60"/>
    </row>
    <row r="8" spans="1:28" ht="47.25" x14ac:dyDescent="0.5">
      <c r="A8" s="23" t="s">
        <v>243</v>
      </c>
      <c r="B8" s="24" t="s">
        <v>264</v>
      </c>
      <c r="Q8" s="60" t="s">
        <v>235</v>
      </c>
    </row>
    <row r="9" spans="1:28" x14ac:dyDescent="0.55000000000000004">
      <c r="D9" s="1" t="s">
        <v>17</v>
      </c>
      <c r="F9" t="s">
        <v>230</v>
      </c>
      <c r="G9" s="13" t="s">
        <v>231</v>
      </c>
      <c r="H9" s="13" t="s">
        <v>234</v>
      </c>
      <c r="I9" s="13" t="s">
        <v>236</v>
      </c>
      <c r="J9" s="13" t="s">
        <v>221</v>
      </c>
      <c r="K9" s="13" t="s">
        <v>242</v>
      </c>
      <c r="M9" s="60" t="s">
        <v>249</v>
      </c>
      <c r="O9" s="60" t="s">
        <v>233</v>
      </c>
      <c r="P9" s="60" t="s">
        <v>232</v>
      </c>
      <c r="Q9" s="15">
        <v>1</v>
      </c>
      <c r="R9" s="15">
        <v>2</v>
      </c>
      <c r="S9" s="15">
        <v>3</v>
      </c>
      <c r="T9" s="15">
        <v>4</v>
      </c>
      <c r="U9" s="15">
        <v>5</v>
      </c>
      <c r="V9" s="15">
        <v>6</v>
      </c>
      <c r="W9" s="15">
        <v>7</v>
      </c>
      <c r="X9" s="15">
        <v>8</v>
      </c>
      <c r="Y9" s="15">
        <v>9</v>
      </c>
      <c r="Z9" s="15">
        <v>10</v>
      </c>
      <c r="AA9" s="15">
        <v>11</v>
      </c>
      <c r="AB9" s="15">
        <v>12</v>
      </c>
    </row>
    <row r="10" spans="1:28" x14ac:dyDescent="0.55000000000000004">
      <c r="D10" t="s">
        <v>195</v>
      </c>
      <c r="F10" s="49">
        <v>37622</v>
      </c>
      <c r="G10" s="52" t="e">
        <v>#N/A</v>
      </c>
      <c r="H10" s="52">
        <v>0.12547051442910201</v>
      </c>
      <c r="I10" s="52">
        <v>0.27312454479242276</v>
      </c>
      <c r="J10" s="54">
        <v>1</v>
      </c>
      <c r="K10" s="54" t="b">
        <v>1</v>
      </c>
      <c r="M10" s="58" cm="1">
        <f t="array" ref="M10">_xlfn.LAMBDA(_xlpm.predicted,_xlpm.predictors,_xlpm.nLags,_xlop.returnPValue,
_xlfn.LET(
_xlpm.returnPValue, IF( _xlfn.ISOMITTED(_xlpm.returnPValue), TRUE, FALSE),
_xlpm.dataRestrictedBeforeCleaning, _xlfn.HSTACK(_xlpm.predicted, ADDCONST( LAG(_xlpm.predicted, _xlpm.nLags, TRUE, TRUE) ) ),
_xlpm.dataUnrestrictedBeforeCleaning, _xlfn.HSTACK( _xlpm.dataRestrictedBeforeCleaning, LAG(_xlpm.predictors, _xlpm.nLags, TRUE, TRUE) ),
_xlpm.dataUnrestricted, RMMISSING(_xlpm.dataUnrestrictedBeforeCleaning, 1),
_xlpm.dataRestricted, SLICE( _xlpm.dataUnrestricted, 0, 0, 1, 2 + _xlpm.nLags ),
_xlpm.sumSquaredResidRes, SUM(OLS_RESIDUALS( SLICE(_xlpm.dataRestricted, 0, 0, 1, 1), SLICE(_xlpm.dataRestricted, 0, 0, 2, -1) )^2),
_xlpm.sumSquaredResidUnr, SUM(OLS_RESIDUALS( SLICE(_xlpm.dataUnrestricted, 0, 0, 1, 1), SLICE(_xlpm.dataUnrestricted, 0, 0, 2, -1) )^2),
_xlpm.m, _xlpm.nLags,
_xlpm.N, DIM(_xlpm.dataUnrestricted,1),
_xlpm.k, 1 + 2* _xlpm.nLags,
_xlpm.Fstat, ( (_xlpm.sumSquaredResidRes - _xlpm.sumSquaredResidUnr)/ _xlpm.m) / (_xlpm.sumSquaredResidUnr / (_xlpm.N-_xlpm.k) ),
_xlpm.pValue, FDIST(_xlpm.Fstat, _xlpm.m, _xlpm.N-_xlpm.k),
IF(_xlpm.returnPValue, _xlpm.pValue, _xlpm.Fstat)
))($G$10:$G$239,$H$10:$H$239,$J$10)</f>
        <v>0.54972593627806643</v>
      </c>
      <c r="N10" s="53"/>
      <c r="O10" s="15" t="s">
        <v>234</v>
      </c>
      <c r="P10" s="15" t="s">
        <v>231</v>
      </c>
      <c r="Q10" s="90" cm="1">
        <f t="array" ref="Q10">GRANGER($G$10:$G$239,$H$10:$H$239,Q$9)</f>
        <v>0.54972593627806643</v>
      </c>
      <c r="R10" s="90" cm="1">
        <f t="array" ref="R10">GRANGER($G$10:$G$239,$H$10:$H$239,R$9)</f>
        <v>0.8447783042115059</v>
      </c>
      <c r="S10" s="90" cm="1">
        <f t="array" ref="S10">GRANGER($G$10:$G$239,$H$10:$H$239,S$9)</f>
        <v>0.98130859628104705</v>
      </c>
      <c r="T10" s="90" cm="1">
        <f t="array" ref="T10">GRANGER($G$10:$G$239,$H$10:$H$239,T$9)</f>
        <v>0.90126632039850296</v>
      </c>
      <c r="U10" s="90" cm="1">
        <f t="array" ref="U10">GRANGER($G$10:$G$239,$H$10:$H$239,U$9)</f>
        <v>0.9399037507584449</v>
      </c>
      <c r="V10" s="90" cm="1">
        <f t="array" ref="V10">GRANGER($G$10:$G$239,$H$10:$H$239,V$9)</f>
        <v>0.97779949501639618</v>
      </c>
      <c r="W10" s="90" cm="1">
        <f t="array" ref="W10">GRANGER($G$10:$G$239,$H$10:$H$239,W$9)</f>
        <v>0.96437622893054997</v>
      </c>
      <c r="X10" s="90" cm="1">
        <f t="array" ref="X10">GRANGER($G$10:$G$239,$H$10:$H$239,X$9)</f>
        <v>0.95807741913894262</v>
      </c>
      <c r="Y10" s="90" cm="1">
        <f t="array" ref="Y10">GRANGER($G$10:$G$239,$H$10:$H$239,Y$9)</f>
        <v>0.9696377950950581</v>
      </c>
      <c r="Z10" s="90" cm="1">
        <f t="array" ref="Z10">GRANGER($G$10:$G$239,$H$10:$H$239,Z$9)</f>
        <v>0.99148848315318561</v>
      </c>
      <c r="AA10" s="90" cm="1">
        <f t="array" ref="AA10">GRANGER($G$10:$G$239,$H$10:$H$239,AA$9)</f>
        <v>0.98230198386909184</v>
      </c>
      <c r="AB10" s="90" cm="1">
        <f t="array" ref="AB10">GRANGER($G$10:$G$239,$H$10:$H$239,AB$9)</f>
        <v>0.96787985029768309</v>
      </c>
    </row>
    <row r="11" spans="1:28" x14ac:dyDescent="0.55000000000000004">
      <c r="D11" t="s">
        <v>222</v>
      </c>
      <c r="F11" s="49">
        <v>37653</v>
      </c>
      <c r="G11" s="52">
        <v>1.4932802389248383</v>
      </c>
      <c r="H11" s="52">
        <v>-0.37593984962405663</v>
      </c>
      <c r="I11" s="52">
        <v>1.0532050118031564</v>
      </c>
      <c r="M11" s="59"/>
      <c r="N11" s="53"/>
      <c r="O11" s="15" t="s">
        <v>231</v>
      </c>
      <c r="P11" s="15" t="s">
        <v>234</v>
      </c>
      <c r="Q11" s="90" cm="1">
        <f t="array" ref="Q11">GRANGER($H$10:$H$239,$G$10:$G$239,Q$9)</f>
        <v>5.1624531291754091E-3</v>
      </c>
      <c r="R11" s="90" cm="1">
        <f t="array" ref="R11">GRANGER($H$10:$H$239,$G$10:$G$239,R$9)</f>
        <v>1.7880490902237867E-3</v>
      </c>
      <c r="S11" s="90" cm="1">
        <f t="array" ref="S11">GRANGER($H$10:$H$239,$G$10:$G$239,S$9)</f>
        <v>5.4608254747030866E-3</v>
      </c>
      <c r="T11" s="90" cm="1">
        <f t="array" ref="T11">GRANGER($H$10:$H$239,$G$10:$G$239,T$9)</f>
        <v>1.4004145833793256E-2</v>
      </c>
      <c r="U11" s="90" cm="1">
        <f t="array" ref="U11">GRANGER($H$10:$H$239,$G$10:$G$239,U$9)</f>
        <v>1.1783917941776665E-2</v>
      </c>
      <c r="V11" s="90" cm="1">
        <f t="array" ref="V11">GRANGER($H$10:$H$239,$G$10:$G$239,V$9)</f>
        <v>2.7650894764679954E-2</v>
      </c>
      <c r="W11" s="90" cm="1">
        <f t="array" ref="W11">GRANGER($H$10:$H$239,$G$10:$G$239,W$9)</f>
        <v>1.4923116402252032E-2</v>
      </c>
      <c r="X11" s="90" cm="1">
        <f t="array" ref="X11">GRANGER($H$10:$H$239,$G$10:$G$239,X$9)</f>
        <v>2.7593939492914367E-2</v>
      </c>
      <c r="Y11" s="90" cm="1">
        <f t="array" ref="Y11">GRANGER($H$10:$H$239,$G$10:$G$239,Y$9)</f>
        <v>4.1693926962677992E-2</v>
      </c>
      <c r="Z11" s="90" cm="1">
        <f t="array" ref="Z11">GRANGER($H$10:$H$239,$G$10:$G$239,Z$9)</f>
        <v>6.3601004833073946E-2</v>
      </c>
      <c r="AA11" s="90" cm="1">
        <f t="array" ref="AA11">GRANGER($H$10:$H$239,$G$10:$G$239,AA$9)</f>
        <v>9.3078763656952418E-2</v>
      </c>
      <c r="AB11" s="90" cm="1">
        <f t="array" ref="AB11">GRANGER($H$10:$H$239,$G$10:$G$239,AB$9)</f>
        <v>0.12534292685708717</v>
      </c>
    </row>
    <row r="12" spans="1:28" ht="18.75" customHeight="1" x14ac:dyDescent="0.55000000000000004">
      <c r="F12" s="49">
        <v>37681</v>
      </c>
      <c r="G12" s="52">
        <v>7.8469838155957122E-2</v>
      </c>
      <c r="H12" s="52">
        <v>-0.12578616352200545</v>
      </c>
      <c r="I12" s="52">
        <v>-2.3539982030547981</v>
      </c>
      <c r="M12" s="59"/>
      <c r="N12" s="53"/>
      <c r="O12" s="15" t="s">
        <v>236</v>
      </c>
      <c r="P12" s="15" t="s">
        <v>231</v>
      </c>
      <c r="Q12" s="90" cm="1">
        <f t="array" ref="Q12">GRANGER($G$10:$G$239,$I$10:$I$239,Q$9)</f>
        <v>5.6171151429618262E-3</v>
      </c>
      <c r="R12" s="90" cm="1">
        <f t="array" ref="R12">GRANGER($G$10:$G$239,$I$10:$I$239,R$9)</f>
        <v>2.0351794072524076E-2</v>
      </c>
      <c r="S12" s="90" cm="1">
        <f t="array" ref="S12">GRANGER($G$10:$G$239,$I$10:$I$239,S$9)</f>
        <v>4.1668250806052489E-3</v>
      </c>
      <c r="T12" s="90" cm="1">
        <f t="array" ref="T12">GRANGER($G$10:$G$239,$I$10:$I$239,T$9)</f>
        <v>2.9426065456621205E-3</v>
      </c>
      <c r="U12" s="90" cm="1">
        <f t="array" ref="U12">GRANGER($G$10:$G$239,$I$10:$I$239,U$9)</f>
        <v>1.6296202681381133E-3</v>
      </c>
      <c r="V12" s="90" cm="1">
        <f t="array" ref="V12">GRANGER($G$10:$G$239,$I$10:$I$239,V$9)</f>
        <v>2.9527508885524231E-3</v>
      </c>
      <c r="W12" s="90" cm="1">
        <f t="array" ref="W12">GRANGER($G$10:$G$239,$I$10:$I$239,W$9)</f>
        <v>3.1120239795264272E-3</v>
      </c>
      <c r="X12" s="90" cm="1">
        <f t="array" ref="X12">GRANGER($G$10:$G$239,$I$10:$I$239,X$9)</f>
        <v>3.100482389548916E-3</v>
      </c>
      <c r="Y12" s="90" cm="1">
        <f t="array" ref="Y12">GRANGER($G$10:$G$239,$I$10:$I$239,Y$9)</f>
        <v>2.9780759033151863E-3</v>
      </c>
      <c r="Z12" s="90" cm="1">
        <f t="array" ref="Z12">GRANGER($G$10:$G$239,$I$10:$I$239,Z$9)</f>
        <v>5.2741820348500019E-3</v>
      </c>
      <c r="AA12" s="90" cm="1">
        <f t="array" ref="AA12">GRANGER($G$10:$G$239,$I$10:$I$239,AA$9)</f>
        <v>6.0528608153609127E-3</v>
      </c>
      <c r="AB12" s="90" cm="1">
        <f t="array" ref="AB12">GRANGER($G$10:$G$239,$I$10:$I$239,AB$9)</f>
        <v>6.2005901482876805E-3</v>
      </c>
    </row>
    <row r="13" spans="1:28" x14ac:dyDescent="0.55000000000000004">
      <c r="D13" t="s">
        <v>223</v>
      </c>
      <c r="F13" s="49">
        <v>37712</v>
      </c>
      <c r="G13" s="52">
        <v>-1.087915319023816</v>
      </c>
      <c r="H13" s="52">
        <v>-0.12594458438288228</v>
      </c>
      <c r="I13" s="52">
        <v>9.2013249907981515E-2</v>
      </c>
      <c r="M13" s="59"/>
      <c r="N13" s="53"/>
      <c r="O13" s="15" t="s">
        <v>231</v>
      </c>
      <c r="P13" s="15" t="s">
        <v>236</v>
      </c>
      <c r="Q13" s="90" cm="1">
        <f t="array" ref="Q13">GRANGER($I$10:$I$239,$G$10:$G$239,Q$9)</f>
        <v>0.44967248124221926</v>
      </c>
      <c r="R13" s="90" cm="1">
        <f t="array" ref="R13">GRANGER($I$10:$I$239,$G$10:$G$239,R$9)</f>
        <v>0.53556710500045168</v>
      </c>
      <c r="S13" s="90" cm="1">
        <f t="array" ref="S13">GRANGER($I$10:$I$239,$G$10:$G$239,S$9)</f>
        <v>0.61945757076882435</v>
      </c>
      <c r="T13" s="90" cm="1">
        <f t="array" ref="T13">GRANGER($I$10:$I$239,$G$10:$G$239,T$9)</f>
        <v>0.78165284339635444</v>
      </c>
      <c r="U13" s="90" cm="1">
        <f t="array" ref="U13">GRANGER($I$10:$I$239,$G$10:$G$239,U$9)</f>
        <v>0.60791523062395658</v>
      </c>
      <c r="V13" s="90" cm="1">
        <f t="array" ref="V13">GRANGER($I$10:$I$239,$G$10:$G$239,V$9)</f>
        <v>0.60535042989626064</v>
      </c>
      <c r="W13" s="90" cm="1">
        <f t="array" ref="W13">GRANGER($I$10:$I$239,$G$10:$G$239,W$9)</f>
        <v>0.4728104235403745</v>
      </c>
      <c r="X13" s="90" cm="1">
        <f t="array" ref="X13">GRANGER($I$10:$I$239,$G$10:$G$239,X$9)</f>
        <v>0.58231219130519762</v>
      </c>
      <c r="Y13" s="90" cm="1">
        <f t="array" ref="Y13">GRANGER($I$10:$I$239,$G$10:$G$239,Y$9)</f>
        <v>0.48700402086726446</v>
      </c>
      <c r="Z13" s="90" cm="1">
        <f t="array" ref="Z13">GRANGER($I$10:$I$239,$G$10:$G$239,Z$9)</f>
        <v>0.51522548810169722</v>
      </c>
      <c r="AA13" s="90" cm="1">
        <f t="array" ref="AA13">GRANGER($I$10:$I$239,$G$10:$G$239,AA$9)</f>
        <v>0.51170055071507781</v>
      </c>
      <c r="AB13" s="90" cm="1">
        <f t="array" ref="AB13">GRANGER($I$10:$I$239,$G$10:$G$239,AB$9)</f>
        <v>0.62912533599316478</v>
      </c>
    </row>
    <row r="14" spans="1:28" x14ac:dyDescent="0.55000000000000004">
      <c r="D14" t="s">
        <v>224</v>
      </c>
      <c r="F14" s="49">
        <v>37742</v>
      </c>
      <c r="G14" s="52">
        <v>-1.0206103844629422</v>
      </c>
      <c r="H14" s="52">
        <v>-1.5132408575031562</v>
      </c>
      <c r="I14" s="52">
        <v>0.29417172274314501</v>
      </c>
      <c r="M14" s="59"/>
      <c r="N14" s="53"/>
      <c r="O14" s="15" t="s">
        <v>236</v>
      </c>
      <c r="P14" s="15" t="s">
        <v>234</v>
      </c>
      <c r="Q14" s="90" cm="1">
        <f t="array" ref="Q14">GRANGER($H$10:$H$239,$I$10:$I$239,Q$9)</f>
        <v>1.7521755869695454E-3</v>
      </c>
      <c r="R14" s="90" cm="1">
        <f t="array" ref="R14">GRANGER($H$10:$H$239,$I$10:$I$239,R$9)</f>
        <v>9.6364513233900828E-3</v>
      </c>
      <c r="S14" s="90" cm="1">
        <f t="array" ref="S14">GRANGER($H$10:$H$239,$I$10:$I$239,S$9)</f>
        <v>8.9740739617251066E-3</v>
      </c>
      <c r="T14" s="90" cm="1">
        <f t="array" ref="T14">GRANGER($H$10:$H$239,$I$10:$I$239,T$9)</f>
        <v>1.2881429553772734E-2</v>
      </c>
      <c r="U14" s="90" cm="1">
        <f t="array" ref="U14">GRANGER($H$10:$H$239,$I$10:$I$239,U$9)</f>
        <v>5.4972486938780363E-3</v>
      </c>
      <c r="V14" s="90" cm="1">
        <f t="array" ref="V14">GRANGER($H$10:$H$239,$I$10:$I$239,V$9)</f>
        <v>5.3247215777824132E-3</v>
      </c>
      <c r="W14" s="90" cm="1">
        <f t="array" ref="W14">GRANGER($H$10:$H$239,$I$10:$I$239,W$9)</f>
        <v>6.0437973057327439E-3</v>
      </c>
      <c r="X14" s="90" cm="1">
        <f t="array" ref="X14">GRANGER($H$10:$H$239,$I$10:$I$239,X$9)</f>
        <v>1.186732195186435E-2</v>
      </c>
      <c r="Y14" s="90" cm="1">
        <f t="array" ref="Y14">GRANGER($H$10:$H$239,$I$10:$I$239,Y$9)</f>
        <v>6.4235245510122609E-3</v>
      </c>
      <c r="Z14" s="90" cm="1">
        <f t="array" ref="Z14">GRANGER($H$10:$H$239,$I$10:$I$239,Z$9)</f>
        <v>1.0490742103907616E-2</v>
      </c>
      <c r="AA14" s="90" cm="1">
        <f t="array" ref="AA14">GRANGER($H$10:$H$239,$I$10:$I$239,AA$9)</f>
        <v>1.5218099365060604E-2</v>
      </c>
      <c r="AB14" s="90" cm="1">
        <f t="array" ref="AB14">GRANGER($H$10:$H$239,$I$10:$I$239,AB$9)</f>
        <v>1.910761018669567E-2</v>
      </c>
    </row>
    <row r="15" spans="1:28" x14ac:dyDescent="0.55000000000000004">
      <c r="F15" s="49">
        <v>37773</v>
      </c>
      <c r="G15" s="52">
        <v>0.39042947241966219</v>
      </c>
      <c r="H15" s="52">
        <v>0.38412291933420156</v>
      </c>
      <c r="I15" s="52">
        <v>-0.87992667277726289</v>
      </c>
      <c r="M15" s="53"/>
      <c r="N15" s="53"/>
      <c r="O15" s="15" t="s">
        <v>234</v>
      </c>
      <c r="P15" s="15" t="s">
        <v>236</v>
      </c>
      <c r="Q15" s="90" cm="1">
        <f t="array" ref="Q15">GRANGER($I$10:$I$239,$H$10:$H$239,Q$9)</f>
        <v>0.11473926714435931</v>
      </c>
      <c r="R15" s="90" cm="1">
        <f t="array" ref="R15">GRANGER($I$10:$I$239,$H$10:$H$239,R$9)</f>
        <v>0.47176345232158412</v>
      </c>
      <c r="S15" s="90" cm="1">
        <f t="array" ref="S15">GRANGER($I$10:$I$239,$H$10:$H$239,S$9)</f>
        <v>0.42249335032676982</v>
      </c>
      <c r="T15" s="90" cm="1">
        <f t="array" ref="T15">GRANGER($I$10:$I$239,$H$10:$H$239,T$9)</f>
        <v>0.67136594273787764</v>
      </c>
      <c r="U15" s="90" cm="1">
        <f t="array" ref="U15">GRANGER($I$10:$I$239,$H$10:$H$239,U$9)</f>
        <v>0.55856320794355108</v>
      </c>
      <c r="V15" s="90" cm="1">
        <f t="array" ref="V15">GRANGER($I$10:$I$239,$H$10:$H$239,V$9)</f>
        <v>0.47359059971690576</v>
      </c>
      <c r="W15" s="90" cm="1">
        <f t="array" ref="W15">GRANGER($I$10:$I$239,$H$10:$H$239,W$9)</f>
        <v>0.37499341227757493</v>
      </c>
      <c r="X15" s="90" cm="1">
        <f t="array" ref="X15">GRANGER($I$10:$I$239,$H$10:$H$239,X$9)</f>
        <v>0.43796198777644357</v>
      </c>
      <c r="Y15" s="90" cm="1">
        <f t="array" ref="Y15">GRANGER($I$10:$I$239,$H$10:$H$239,Y$9)</f>
        <v>0.49250486944345562</v>
      </c>
      <c r="Z15" s="90" cm="1">
        <f t="array" ref="Z15">GRANGER($I$10:$I$239,$H$10:$H$239,Z$9)</f>
        <v>0.56395517453235788</v>
      </c>
      <c r="AA15" s="90" cm="1">
        <f t="array" ref="AA15">GRANGER($I$10:$I$239,$H$10:$H$239,AA$9)</f>
        <v>0.5818308367871674</v>
      </c>
      <c r="AB15" s="90" cm="1">
        <f t="array" ref="AB15">GRANGER($I$10:$I$239,$H$10:$H$239,AB$9)</f>
        <v>0.67777278101991234</v>
      </c>
    </row>
    <row r="16" spans="1:28" x14ac:dyDescent="0.55000000000000004">
      <c r="D16" t="s">
        <v>225</v>
      </c>
      <c r="F16" s="49">
        <v>37803</v>
      </c>
      <c r="G16" s="52">
        <v>-1.2066214599122538</v>
      </c>
      <c r="H16" s="52">
        <v>-0.89285714285714646</v>
      </c>
      <c r="I16" s="52">
        <v>0.42537451451821134</v>
      </c>
      <c r="M16" s="53"/>
      <c r="N16" s="53"/>
      <c r="P16" s="53"/>
    </row>
    <row r="17" spans="4:9" x14ac:dyDescent="0.55000000000000004">
      <c r="D17" t="s">
        <v>226</v>
      </c>
      <c r="F17" s="49">
        <v>37834</v>
      </c>
      <c r="G17" s="52">
        <v>0.66619561925912074</v>
      </c>
      <c r="H17" s="52">
        <v>1.544401544401548</v>
      </c>
      <c r="I17" s="52">
        <v>0.88397790055249359</v>
      </c>
    </row>
    <row r="18" spans="4:9" x14ac:dyDescent="0.55000000000000004">
      <c r="F18" s="49">
        <v>37865</v>
      </c>
      <c r="G18" s="52">
        <v>1.9853604732778398</v>
      </c>
      <c r="H18" s="52">
        <v>2.9150823827629875</v>
      </c>
      <c r="I18" s="52">
        <v>-0.18254837531946225</v>
      </c>
    </row>
    <row r="19" spans="4:9" x14ac:dyDescent="0.55000000000000004">
      <c r="F19" s="49">
        <v>37895</v>
      </c>
      <c r="G19" s="52">
        <v>0.16714187395536498</v>
      </c>
      <c r="H19" s="52">
        <v>0.2463054187192153</v>
      </c>
      <c r="I19" s="52">
        <v>0</v>
      </c>
    </row>
    <row r="20" spans="4:9" x14ac:dyDescent="0.55000000000000004">
      <c r="F20" s="49">
        <v>37926</v>
      </c>
      <c r="G20" s="52">
        <v>8.8339222614844337E-2</v>
      </c>
      <c r="H20" s="52">
        <v>1.3513513513513442</v>
      </c>
      <c r="I20" s="52">
        <v>1.1521580102414093</v>
      </c>
    </row>
    <row r="21" spans="4:9" x14ac:dyDescent="0.55000000000000004">
      <c r="F21" s="49">
        <v>37956</v>
      </c>
      <c r="G21" s="52">
        <v>-0.38246543100912089</v>
      </c>
      <c r="H21" s="52">
        <v>-1.5757575757575724</v>
      </c>
      <c r="I21" s="52">
        <v>0.6327969625745693</v>
      </c>
    </row>
    <row r="22" spans="4:9" x14ac:dyDescent="0.55000000000000004">
      <c r="F22" s="49">
        <v>37987</v>
      </c>
      <c r="G22" s="52">
        <v>1.9590470565071814</v>
      </c>
      <c r="H22" s="52">
        <v>1.8472906403940885</v>
      </c>
      <c r="I22" s="52">
        <v>0.233560905497669</v>
      </c>
    </row>
    <row r="23" spans="4:9" x14ac:dyDescent="0.55000000000000004">
      <c r="F23" s="49">
        <v>38018</v>
      </c>
      <c r="G23" s="52">
        <v>0.88828811431881993</v>
      </c>
      <c r="H23" s="52">
        <v>1.5719467956469131</v>
      </c>
      <c r="I23" s="52">
        <v>1.7565872020075355</v>
      </c>
    </row>
    <row r="24" spans="4:9" x14ac:dyDescent="0.55000000000000004">
      <c r="F24" s="49">
        <v>38047</v>
      </c>
      <c r="G24" s="52">
        <v>1.4259737773949748</v>
      </c>
      <c r="H24" s="52">
        <v>0.47619047619048299</v>
      </c>
      <c r="I24" s="52">
        <v>1.144970935353177</v>
      </c>
    </row>
    <row r="25" spans="4:9" x14ac:dyDescent="0.55000000000000004">
      <c r="F25" s="49">
        <v>38078</v>
      </c>
      <c r="G25" s="52">
        <v>0.40573693149650175</v>
      </c>
      <c r="H25" s="52">
        <v>0.82938388625591075</v>
      </c>
      <c r="I25" s="52">
        <v>0.62695924764890187</v>
      </c>
    </row>
    <row r="26" spans="4:9" x14ac:dyDescent="0.55000000000000004">
      <c r="F26" s="49">
        <v>38108</v>
      </c>
      <c r="G26" s="52">
        <v>2.8192839018890269E-2</v>
      </c>
      <c r="H26" s="52">
        <v>1.0575793184488904</v>
      </c>
      <c r="I26" s="52">
        <v>0.65766701280719186</v>
      </c>
    </row>
    <row r="27" spans="4:9" x14ac:dyDescent="0.55000000000000004">
      <c r="F27" s="49">
        <v>38139</v>
      </c>
      <c r="G27" s="52">
        <v>0.73280721533258286</v>
      </c>
      <c r="H27" s="52">
        <v>0.23255813953488702</v>
      </c>
      <c r="I27" s="52">
        <v>0.75653370013755994</v>
      </c>
    </row>
    <row r="28" spans="4:9" x14ac:dyDescent="0.55000000000000004">
      <c r="F28" s="49">
        <v>38169</v>
      </c>
      <c r="G28" s="52">
        <v>0.55959709009512615</v>
      </c>
      <c r="H28" s="52">
        <v>0.69605568445474975</v>
      </c>
      <c r="I28" s="52">
        <v>0.40955631399317743</v>
      </c>
    </row>
    <row r="29" spans="4:9" x14ac:dyDescent="0.55000000000000004">
      <c r="F29" s="49">
        <v>38200</v>
      </c>
      <c r="G29" s="52">
        <v>0.34316453348173304</v>
      </c>
      <c r="H29" s="52">
        <v>1.0368663594470111</v>
      </c>
      <c r="I29" s="52">
        <v>3.3990482664847076E-2</v>
      </c>
    </row>
    <row r="30" spans="4:9" x14ac:dyDescent="0.55000000000000004">
      <c r="F30" s="49">
        <v>38231</v>
      </c>
      <c r="G30" s="52">
        <v>1.1738608004436604</v>
      </c>
      <c r="H30" s="52">
        <v>0.5701254275940707</v>
      </c>
      <c r="I30" s="52">
        <v>0.50968399592252323</v>
      </c>
    </row>
    <row r="31" spans="4:9" x14ac:dyDescent="0.55000000000000004">
      <c r="F31" s="49">
        <v>38261</v>
      </c>
      <c r="G31" s="52">
        <v>-0.66691028686277165</v>
      </c>
      <c r="H31" s="52">
        <v>-0.68027210884354705</v>
      </c>
      <c r="I31" s="52">
        <v>1.622718052738338</v>
      </c>
    </row>
    <row r="32" spans="4:9" x14ac:dyDescent="0.55000000000000004">
      <c r="F32" s="49">
        <v>38292</v>
      </c>
      <c r="G32" s="52">
        <v>0.81854134093626474</v>
      </c>
      <c r="H32" s="52">
        <v>0</v>
      </c>
      <c r="I32" s="52">
        <v>0.58216899534265043</v>
      </c>
    </row>
    <row r="33" spans="6:9" x14ac:dyDescent="0.55000000000000004">
      <c r="F33" s="49">
        <v>38322</v>
      </c>
      <c r="G33" s="52">
        <v>-0.75716110198868658</v>
      </c>
      <c r="H33" s="52">
        <v>0.57077625570776258</v>
      </c>
      <c r="I33" s="52">
        <v>2.3317347445014116</v>
      </c>
    </row>
    <row r="34" spans="6:9" x14ac:dyDescent="0.55000000000000004">
      <c r="F34" s="49">
        <v>38353</v>
      </c>
      <c r="G34" s="52">
        <v>0.76293777001562491</v>
      </c>
      <c r="H34" s="52">
        <v>0.56753688989784346</v>
      </c>
      <c r="I34" s="52">
        <v>-2.4886877828054281</v>
      </c>
    </row>
    <row r="35" spans="6:9" x14ac:dyDescent="0.55000000000000004">
      <c r="F35" s="49">
        <v>38384</v>
      </c>
      <c r="G35" s="52">
        <v>0.47436599160736725</v>
      </c>
      <c r="H35" s="52">
        <v>-1.3544018058690619</v>
      </c>
      <c r="I35" s="52">
        <v>-3.9111700364600703</v>
      </c>
    </row>
    <row r="36" spans="6:9" x14ac:dyDescent="0.55000000000000004">
      <c r="F36" s="49">
        <v>38412</v>
      </c>
      <c r="G36" s="52">
        <v>0.26330125295079559</v>
      </c>
      <c r="H36" s="52">
        <v>0.91533180778031709</v>
      </c>
      <c r="I36" s="52">
        <v>1.586754053121769</v>
      </c>
    </row>
    <row r="37" spans="6:9" x14ac:dyDescent="0.55000000000000004">
      <c r="F37" s="49">
        <v>38443</v>
      </c>
      <c r="G37" s="52">
        <v>0.47088653445621304</v>
      </c>
      <c r="H37" s="52">
        <v>0.11337868480724977</v>
      </c>
      <c r="I37" s="52">
        <v>-0.33955857385398258</v>
      </c>
    </row>
    <row r="38" spans="6:9" x14ac:dyDescent="0.55000000000000004">
      <c r="F38" s="49">
        <v>38473</v>
      </c>
      <c r="G38" s="52">
        <v>3.6052275799902694E-2</v>
      </c>
      <c r="H38" s="52">
        <v>3.171007927519816</v>
      </c>
      <c r="I38" s="52">
        <v>1.5332197614991459</v>
      </c>
    </row>
    <row r="39" spans="6:9" x14ac:dyDescent="0.55000000000000004">
      <c r="F39" s="49">
        <v>38504</v>
      </c>
      <c r="G39" s="52">
        <v>-0.32435354536444677</v>
      </c>
      <c r="H39" s="52">
        <v>-1.7563117453347907</v>
      </c>
      <c r="I39" s="52">
        <v>0.13422818791946023</v>
      </c>
    </row>
    <row r="40" spans="6:9" x14ac:dyDescent="0.55000000000000004">
      <c r="F40" s="49">
        <v>38534</v>
      </c>
      <c r="G40" s="52">
        <v>0</v>
      </c>
      <c r="H40" s="52">
        <v>-0.6703910614525076</v>
      </c>
      <c r="I40" s="52">
        <v>1.508042895442357</v>
      </c>
    </row>
    <row r="41" spans="6:9" x14ac:dyDescent="0.55000000000000004">
      <c r="F41" s="49">
        <v>38565</v>
      </c>
      <c r="G41" s="52">
        <v>0.59658320527886721</v>
      </c>
      <c r="H41" s="52">
        <v>0.11248593925758639</v>
      </c>
      <c r="I41" s="52">
        <v>8.2535490260819189E-2</v>
      </c>
    </row>
    <row r="42" spans="6:9" x14ac:dyDescent="0.55000000000000004">
      <c r="F42" s="49">
        <v>38596</v>
      </c>
      <c r="G42" s="52">
        <v>-0.38637793153024241</v>
      </c>
      <c r="H42" s="52">
        <v>-0.5617977528089888</v>
      </c>
      <c r="I42" s="52">
        <v>-0.19792182088075957</v>
      </c>
    </row>
    <row r="43" spans="6:9" x14ac:dyDescent="0.55000000000000004">
      <c r="F43" s="49">
        <v>38626</v>
      </c>
      <c r="G43" s="52">
        <v>0.17138733537795212</v>
      </c>
      <c r="H43" s="52">
        <v>-0.67796610169490878</v>
      </c>
      <c r="I43" s="52">
        <v>0.77673111882333312</v>
      </c>
    </row>
    <row r="44" spans="6:9" x14ac:dyDescent="0.55000000000000004">
      <c r="F44" s="49">
        <v>38657</v>
      </c>
      <c r="G44" s="52">
        <v>0.68437640702386771</v>
      </c>
      <c r="H44" s="52">
        <v>1.0238907849829255</v>
      </c>
      <c r="I44" s="52">
        <v>-0.11479173499508082</v>
      </c>
    </row>
    <row r="45" spans="6:9" x14ac:dyDescent="0.55000000000000004">
      <c r="F45" s="49">
        <v>38687</v>
      </c>
      <c r="G45" s="52">
        <v>0.4561309364099731</v>
      </c>
      <c r="H45" s="52">
        <v>1.6891891891891893</v>
      </c>
      <c r="I45" s="52">
        <v>1.0343129207026802</v>
      </c>
    </row>
    <row r="46" spans="6:9" x14ac:dyDescent="0.55000000000000004">
      <c r="F46" s="49">
        <v>38718</v>
      </c>
      <c r="G46" s="52">
        <v>0.94373219373219586</v>
      </c>
      <c r="H46" s="52">
        <v>0.33222591362125931</v>
      </c>
      <c r="I46" s="52">
        <v>3.8836529086772842</v>
      </c>
    </row>
    <row r="47" spans="6:9" x14ac:dyDescent="0.55000000000000004">
      <c r="F47" s="49">
        <v>38749</v>
      </c>
      <c r="G47" s="52">
        <v>0.20285764685130003</v>
      </c>
      <c r="H47" s="52">
        <v>0.88300220750553138</v>
      </c>
      <c r="I47" s="52">
        <v>-2.3776005005474787</v>
      </c>
    </row>
    <row r="48" spans="6:9" x14ac:dyDescent="0.55000000000000004">
      <c r="F48" s="49">
        <v>38777</v>
      </c>
      <c r="G48" s="52">
        <v>-5.281225244256868E-2</v>
      </c>
      <c r="H48" s="52">
        <v>-0.65645514223195678</v>
      </c>
      <c r="I48" s="52">
        <v>0.94536132030123932</v>
      </c>
    </row>
    <row r="49" spans="6:9" x14ac:dyDescent="0.55000000000000004">
      <c r="F49" s="49">
        <v>38808</v>
      </c>
      <c r="G49" s="52">
        <v>0.59885512989872902</v>
      </c>
      <c r="H49" s="52">
        <v>0.55066079295154191</v>
      </c>
      <c r="I49" s="52">
        <v>1.6507936507936607</v>
      </c>
    </row>
    <row r="50" spans="6:9" x14ac:dyDescent="0.55000000000000004">
      <c r="F50" s="49">
        <v>38838</v>
      </c>
      <c r="G50" s="52">
        <v>1.2518602818874136</v>
      </c>
      <c r="H50" s="52">
        <v>0.65717415115006417</v>
      </c>
      <c r="I50" s="52">
        <v>-0.46845721424110592</v>
      </c>
    </row>
    <row r="51" spans="6:9" x14ac:dyDescent="0.55000000000000004">
      <c r="F51" s="49">
        <v>38869</v>
      </c>
      <c r="G51" s="52">
        <v>-0.81272695832612629</v>
      </c>
      <c r="H51" s="52">
        <v>-1.4145810663765084</v>
      </c>
      <c r="I51" s="52">
        <v>1.7100721681832385</v>
      </c>
    </row>
    <row r="52" spans="6:9" x14ac:dyDescent="0.55000000000000004">
      <c r="F52" s="49">
        <v>38899</v>
      </c>
      <c r="G52" s="52">
        <v>1.9351464435146435</v>
      </c>
      <c r="H52" s="52">
        <v>0.88300220750553138</v>
      </c>
      <c r="I52" s="52">
        <v>-0.38562393953416629</v>
      </c>
    </row>
    <row r="53" spans="6:9" x14ac:dyDescent="0.55000000000000004">
      <c r="F53" s="49">
        <v>38930</v>
      </c>
      <c r="G53" s="52">
        <v>-0.27364460407045765</v>
      </c>
      <c r="H53" s="52">
        <v>-0.10940919037200057</v>
      </c>
      <c r="I53" s="52">
        <v>0.68132548776710711</v>
      </c>
    </row>
    <row r="54" spans="6:9" x14ac:dyDescent="0.55000000000000004">
      <c r="F54" s="49">
        <v>38961</v>
      </c>
      <c r="G54" s="52">
        <v>0.17149717029668035</v>
      </c>
      <c r="H54" s="52">
        <v>-0.76670317634173368</v>
      </c>
      <c r="I54" s="52">
        <v>1.8455859735466054</v>
      </c>
    </row>
    <row r="55" spans="6:9" x14ac:dyDescent="0.55000000000000004">
      <c r="F55" s="49">
        <v>38991</v>
      </c>
      <c r="G55" s="52">
        <v>1.0700222564629345</v>
      </c>
      <c r="H55" s="52">
        <v>0.44150110375276569</v>
      </c>
      <c r="I55" s="52">
        <v>0.39263062518877245</v>
      </c>
    </row>
    <row r="56" spans="6:9" x14ac:dyDescent="0.55000000000000004">
      <c r="F56" s="49">
        <v>39022</v>
      </c>
      <c r="G56" s="52">
        <v>0.67756415685611193</v>
      </c>
      <c r="H56" s="52">
        <v>1.3186813186813218</v>
      </c>
      <c r="I56" s="52">
        <v>0.10529482551142175</v>
      </c>
    </row>
    <row r="57" spans="6:9" x14ac:dyDescent="0.55000000000000004">
      <c r="F57" s="49">
        <v>39052</v>
      </c>
      <c r="G57" s="52">
        <v>0.84125515268781026</v>
      </c>
      <c r="H57" s="52">
        <v>0.86767895878524637</v>
      </c>
      <c r="I57" s="52">
        <v>-0.16528925619834625</v>
      </c>
    </row>
    <row r="58" spans="6:9" x14ac:dyDescent="0.55000000000000004">
      <c r="F58" s="49">
        <v>39083</v>
      </c>
      <c r="G58" s="52">
        <v>-0.17518978893802281</v>
      </c>
      <c r="H58" s="52">
        <v>-0.32258064516128726</v>
      </c>
      <c r="I58" s="52">
        <v>0.49668874172185173</v>
      </c>
    </row>
    <row r="59" spans="6:9" x14ac:dyDescent="0.55000000000000004">
      <c r="F59" s="49">
        <v>39114</v>
      </c>
      <c r="G59" s="52">
        <v>0.42620758816647591</v>
      </c>
      <c r="H59" s="52">
        <v>1.2944983818770257</v>
      </c>
      <c r="I59" s="52">
        <v>1.3628875243372935</v>
      </c>
    </row>
    <row r="60" spans="6:9" x14ac:dyDescent="0.55000000000000004">
      <c r="F60" s="49">
        <v>39142</v>
      </c>
      <c r="G60" s="52">
        <v>-0.64075892485645003</v>
      </c>
      <c r="H60" s="52">
        <v>1.2779552715654829</v>
      </c>
      <c r="I60" s="52">
        <v>1.0933806146572027</v>
      </c>
    </row>
    <row r="61" spans="6:9" x14ac:dyDescent="0.55000000000000004">
      <c r="F61" s="49">
        <v>39173</v>
      </c>
      <c r="G61" s="52">
        <v>1.490787269681743</v>
      </c>
      <c r="H61" s="52">
        <v>0.94637223974764018</v>
      </c>
      <c r="I61" s="52">
        <v>0.70154925460392281</v>
      </c>
    </row>
    <row r="62" spans="6:9" x14ac:dyDescent="0.55000000000000004">
      <c r="F62" s="49">
        <v>39203</v>
      </c>
      <c r="G62" s="52">
        <v>0.99026241954116889</v>
      </c>
      <c r="H62" s="52">
        <v>0.312499999999997</v>
      </c>
      <c r="I62" s="52">
        <v>-0.13062409288824878</v>
      </c>
    </row>
    <row r="63" spans="6:9" x14ac:dyDescent="0.55000000000000004">
      <c r="F63" s="49">
        <v>39234</v>
      </c>
      <c r="G63" s="52">
        <v>0.84164079097891908</v>
      </c>
      <c r="H63" s="52">
        <v>0.62305295950156647</v>
      </c>
      <c r="I63" s="52">
        <v>0.49411422758320506</v>
      </c>
    </row>
    <row r="64" spans="6:9" x14ac:dyDescent="0.55000000000000004">
      <c r="F64" s="49">
        <v>39264</v>
      </c>
      <c r="G64" s="52">
        <v>0.66445182724253093</v>
      </c>
      <c r="H64" s="52">
        <v>-0.41279669762642485</v>
      </c>
      <c r="I64" s="52">
        <v>0.49168474331162565</v>
      </c>
    </row>
    <row r="65" spans="6:9" x14ac:dyDescent="0.55000000000000004">
      <c r="F65" s="49">
        <v>39295</v>
      </c>
      <c r="G65" s="52">
        <v>8.854543990984419E-2</v>
      </c>
      <c r="H65" s="52">
        <v>1.3471502590673545</v>
      </c>
      <c r="I65" s="52">
        <v>-1.3671031803136979</v>
      </c>
    </row>
    <row r="66" spans="6:9" x14ac:dyDescent="0.55000000000000004">
      <c r="F66" s="49">
        <v>39326</v>
      </c>
      <c r="G66" s="52">
        <v>0.81228888531445309</v>
      </c>
      <c r="H66" s="52">
        <v>-0.5112474437627812</v>
      </c>
      <c r="I66" s="52">
        <v>3.7058651882112512</v>
      </c>
    </row>
    <row r="67" spans="6:9" x14ac:dyDescent="0.55000000000000004">
      <c r="F67" s="49">
        <v>39356</v>
      </c>
      <c r="G67" s="52">
        <v>0.77383326685281129</v>
      </c>
      <c r="H67" s="52">
        <v>2.2610483042137748</v>
      </c>
      <c r="I67" s="52">
        <v>-1.9555430500844129</v>
      </c>
    </row>
    <row r="68" spans="6:9" x14ac:dyDescent="0.55000000000000004">
      <c r="F68" s="49">
        <v>39387</v>
      </c>
      <c r="G68" s="52">
        <v>-0.11874604179859997</v>
      </c>
      <c r="H68" s="52">
        <v>-0.90452261306533233</v>
      </c>
      <c r="I68" s="52">
        <v>1.3918783182666077</v>
      </c>
    </row>
    <row r="69" spans="6:9" x14ac:dyDescent="0.55000000000000004">
      <c r="F69" s="49">
        <v>39417</v>
      </c>
      <c r="G69" s="52">
        <v>0.62613933581674885</v>
      </c>
      <c r="H69" s="52">
        <v>0.30425963488844965</v>
      </c>
      <c r="I69" s="52">
        <v>1.1746391168978183</v>
      </c>
    </row>
    <row r="70" spans="6:9" x14ac:dyDescent="0.55000000000000004">
      <c r="F70" s="49">
        <v>39448</v>
      </c>
      <c r="G70" s="52">
        <v>0.20478890989288367</v>
      </c>
      <c r="H70" s="52">
        <v>1.6177957532861418</v>
      </c>
      <c r="I70" s="52">
        <v>0.71338648762065349</v>
      </c>
    </row>
    <row r="71" spans="6:9" x14ac:dyDescent="0.55000000000000004">
      <c r="F71" s="49">
        <v>39479</v>
      </c>
      <c r="G71" s="52">
        <v>-0.30655557302311004</v>
      </c>
      <c r="H71" s="52">
        <v>-0.29850746268656436</v>
      </c>
      <c r="I71" s="52">
        <v>-2.0694444444444371</v>
      </c>
    </row>
    <row r="72" spans="6:9" x14ac:dyDescent="0.55000000000000004">
      <c r="F72" s="49">
        <v>39508</v>
      </c>
      <c r="G72" s="52">
        <v>-0.30749822597177368</v>
      </c>
      <c r="H72" s="52">
        <v>0.39920159680637868</v>
      </c>
      <c r="I72" s="52">
        <v>1.3615090058147692</v>
      </c>
    </row>
    <row r="73" spans="6:9" x14ac:dyDescent="0.55000000000000004">
      <c r="F73" s="49">
        <v>39539</v>
      </c>
      <c r="G73" s="52">
        <v>0.99652008857956753</v>
      </c>
      <c r="H73" s="52">
        <v>0</v>
      </c>
      <c r="I73" s="52">
        <v>0.5176997341541969</v>
      </c>
    </row>
    <row r="74" spans="6:9" x14ac:dyDescent="0.55000000000000004">
      <c r="F74" s="49">
        <v>39569</v>
      </c>
      <c r="G74" s="52">
        <v>1.3312451057165253</v>
      </c>
      <c r="H74" s="52">
        <v>0.59642147117297073</v>
      </c>
      <c r="I74" s="52">
        <v>1.1275055679287336</v>
      </c>
    </row>
    <row r="75" spans="6:9" x14ac:dyDescent="0.55000000000000004">
      <c r="F75" s="49">
        <v>39600</v>
      </c>
      <c r="G75" s="52">
        <v>1.3833075734157589</v>
      </c>
      <c r="H75" s="52">
        <v>1.5810276679841841</v>
      </c>
      <c r="I75" s="52">
        <v>-0.5092911218169367</v>
      </c>
    </row>
    <row r="76" spans="6:9" x14ac:dyDescent="0.55000000000000004">
      <c r="F76" s="49">
        <v>39630</v>
      </c>
      <c r="G76" s="52">
        <v>-0.1981858373351558</v>
      </c>
      <c r="H76" s="52">
        <v>0.29182879377431631</v>
      </c>
      <c r="I76" s="52">
        <v>-0.12451577199779111</v>
      </c>
    </row>
    <row r="77" spans="6:9" x14ac:dyDescent="0.55000000000000004">
      <c r="F77" s="49">
        <v>39661</v>
      </c>
      <c r="G77" s="52">
        <v>4.5826013900559286E-2</v>
      </c>
      <c r="H77" s="52">
        <v>-1.0669253152279286</v>
      </c>
      <c r="I77" s="52">
        <v>0.81728771297964187</v>
      </c>
    </row>
    <row r="78" spans="6:9" x14ac:dyDescent="0.55000000000000004">
      <c r="F78" s="49">
        <v>39692</v>
      </c>
      <c r="G78" s="52">
        <v>-4.5805023284221903E-2</v>
      </c>
      <c r="H78" s="52">
        <v>1.2745098039215659</v>
      </c>
      <c r="I78" s="52">
        <v>0.83814234679857025</v>
      </c>
    </row>
    <row r="79" spans="6:9" x14ac:dyDescent="0.55000000000000004">
      <c r="F79" s="49">
        <v>39722</v>
      </c>
      <c r="G79" s="52">
        <v>-2.0927213014588015</v>
      </c>
      <c r="H79" s="52">
        <v>-3.0977734753146207</v>
      </c>
      <c r="I79" s="52">
        <v>0.21801335331788607</v>
      </c>
    </row>
    <row r="80" spans="6:9" x14ac:dyDescent="0.55000000000000004">
      <c r="F80" s="49">
        <v>39753</v>
      </c>
      <c r="G80" s="52">
        <v>-2.5274982447928815</v>
      </c>
      <c r="H80" s="52">
        <v>-5.6943056943056831</v>
      </c>
      <c r="I80" s="52">
        <v>0.67980965329707677</v>
      </c>
    </row>
    <row r="81" spans="6:9" x14ac:dyDescent="0.55000000000000004">
      <c r="F81" s="49">
        <v>39783</v>
      </c>
      <c r="G81" s="52">
        <v>-3.2172869147659031</v>
      </c>
      <c r="H81" s="52">
        <v>-11.228813559322044</v>
      </c>
      <c r="I81" s="52">
        <v>1.5124915597569273</v>
      </c>
    </row>
    <row r="82" spans="6:9" x14ac:dyDescent="0.55000000000000004">
      <c r="F82" s="49">
        <v>39814</v>
      </c>
      <c r="G82" s="52">
        <v>-9.0961713387921639E-2</v>
      </c>
      <c r="H82" s="52">
        <v>2.0286396181384285</v>
      </c>
      <c r="I82" s="52">
        <v>-0.30597312757749634</v>
      </c>
    </row>
    <row r="83" spans="6:9" x14ac:dyDescent="0.55000000000000004">
      <c r="F83" s="49">
        <v>39845</v>
      </c>
      <c r="G83" s="52">
        <v>1.1339182254593647</v>
      </c>
      <c r="H83" s="52">
        <v>2.4561403508771864</v>
      </c>
      <c r="I83" s="52">
        <v>2.8823058446757361</v>
      </c>
    </row>
    <row r="84" spans="6:9" x14ac:dyDescent="0.55000000000000004">
      <c r="F84" s="49">
        <v>39873</v>
      </c>
      <c r="G84" s="52">
        <v>0.63835011048367385</v>
      </c>
      <c r="H84" s="52">
        <v>0.45662100456621652</v>
      </c>
      <c r="I84" s="52">
        <v>-0.79118028534370877</v>
      </c>
    </row>
    <row r="85" spans="6:9" x14ac:dyDescent="0.55000000000000004">
      <c r="F85" s="49">
        <v>39904</v>
      </c>
      <c r="G85" s="52">
        <v>0.5448483369927638</v>
      </c>
      <c r="H85" s="52">
        <v>1.2499999999999936</v>
      </c>
      <c r="I85" s="52">
        <v>1.0458883514185011</v>
      </c>
    </row>
    <row r="86" spans="6:9" x14ac:dyDescent="0.55000000000000004">
      <c r="F86" s="49">
        <v>39934</v>
      </c>
      <c r="G86" s="52">
        <v>0.9948236816564251</v>
      </c>
      <c r="H86" s="52">
        <v>1.4590347923681386</v>
      </c>
      <c r="I86" s="52">
        <v>0.75042049424246116</v>
      </c>
    </row>
    <row r="87" spans="6:9" x14ac:dyDescent="0.55000000000000004">
      <c r="F87" s="49">
        <v>39965</v>
      </c>
      <c r="G87" s="52">
        <v>0.84888283815167964</v>
      </c>
      <c r="H87" s="52">
        <v>1.1061946902654867</v>
      </c>
      <c r="I87" s="52">
        <v>0.34673173237446514</v>
      </c>
    </row>
    <row r="88" spans="6:9" x14ac:dyDescent="0.55000000000000004">
      <c r="F88" s="49">
        <v>39995</v>
      </c>
      <c r="G88" s="52">
        <v>0.28587310410545491</v>
      </c>
      <c r="H88" s="52">
        <v>1.3129102844638825</v>
      </c>
      <c r="I88" s="52">
        <v>0.78065011517788507</v>
      </c>
    </row>
    <row r="89" spans="6:9" x14ac:dyDescent="0.55000000000000004">
      <c r="F89" s="49">
        <v>40026</v>
      </c>
      <c r="G89" s="52">
        <v>1.4252909969118672</v>
      </c>
      <c r="H89" s="52">
        <v>1.6198704103671708</v>
      </c>
      <c r="I89" s="52">
        <v>1.0920634920634913</v>
      </c>
    </row>
    <row r="90" spans="6:9" x14ac:dyDescent="0.55000000000000004">
      <c r="F90" s="49">
        <v>40057</v>
      </c>
      <c r="G90" s="52">
        <v>0.80412210164728015</v>
      </c>
      <c r="H90" s="52">
        <v>1.5940488841657812</v>
      </c>
      <c r="I90" s="52">
        <v>2.5122472051244845E-2</v>
      </c>
    </row>
    <row r="91" spans="6:9" x14ac:dyDescent="0.55000000000000004">
      <c r="F91" s="49">
        <v>40087</v>
      </c>
      <c r="G91" s="52">
        <v>0.51889714993803238</v>
      </c>
      <c r="H91" s="52">
        <v>1.8828451882845307</v>
      </c>
      <c r="I91" s="52">
        <v>1.8962702499058208</v>
      </c>
    </row>
    <row r="92" spans="6:9" x14ac:dyDescent="0.55000000000000004">
      <c r="F92" s="49">
        <v>40118</v>
      </c>
      <c r="G92" s="52">
        <v>0.17720933816165976</v>
      </c>
      <c r="H92" s="52">
        <v>1.4373716632443443</v>
      </c>
      <c r="I92" s="52">
        <v>0.69016514666009643</v>
      </c>
    </row>
    <row r="93" spans="6:9" x14ac:dyDescent="0.55000000000000004">
      <c r="F93" s="49">
        <v>40148</v>
      </c>
      <c r="G93" s="52">
        <v>0.98446392862636589</v>
      </c>
      <c r="H93" s="52">
        <v>0.30364372469635342</v>
      </c>
      <c r="I93" s="52">
        <v>0.30599755201958384</v>
      </c>
    </row>
    <row r="94" spans="6:9" x14ac:dyDescent="0.55000000000000004">
      <c r="F94" s="49">
        <v>40179</v>
      </c>
      <c r="G94" s="52">
        <v>1.6527037319116429</v>
      </c>
      <c r="H94" s="52">
        <v>1.6145307769929451</v>
      </c>
      <c r="I94" s="52">
        <v>0.79316656497863502</v>
      </c>
    </row>
    <row r="95" spans="6:9" x14ac:dyDescent="0.55000000000000004">
      <c r="F95" s="49">
        <v>40210</v>
      </c>
      <c r="G95" s="52">
        <v>1.2736944631752369</v>
      </c>
      <c r="H95" s="52">
        <v>-0.19860973187686479</v>
      </c>
      <c r="I95" s="52">
        <v>3.4866828087167194</v>
      </c>
    </row>
    <row r="96" spans="6:9" x14ac:dyDescent="0.55000000000000004">
      <c r="F96" s="49">
        <v>40238</v>
      </c>
      <c r="G96" s="52">
        <v>1.0505289635274218</v>
      </c>
      <c r="H96" s="52">
        <v>2.1890547263681621</v>
      </c>
      <c r="I96" s="52">
        <v>-1.1581656527842876</v>
      </c>
    </row>
    <row r="97" spans="6:9" x14ac:dyDescent="0.55000000000000004">
      <c r="F97" s="49">
        <v>40269</v>
      </c>
      <c r="G97" s="52">
        <v>0.33677428801523385</v>
      </c>
      <c r="H97" s="52">
        <v>0.38948393378772295</v>
      </c>
      <c r="I97" s="52">
        <v>-0.28405728488577925</v>
      </c>
    </row>
    <row r="98" spans="6:9" x14ac:dyDescent="0.55000000000000004">
      <c r="F98" s="49">
        <v>40299</v>
      </c>
      <c r="G98" s="52">
        <v>-0.40860999635169809</v>
      </c>
      <c r="H98" s="52">
        <v>-0.19398642095052246</v>
      </c>
      <c r="I98" s="52">
        <v>0.99703264094955901</v>
      </c>
    </row>
    <row r="99" spans="6:9" x14ac:dyDescent="0.55000000000000004">
      <c r="F99" s="49">
        <v>40330</v>
      </c>
      <c r="G99" s="52">
        <v>-0.19049014579824111</v>
      </c>
      <c r="H99" s="52">
        <v>-0.48590864917395532</v>
      </c>
      <c r="I99" s="52">
        <v>1.7393348219532139</v>
      </c>
    </row>
    <row r="100" spans="6:9" x14ac:dyDescent="0.55000000000000004">
      <c r="F100" s="49">
        <v>40360</v>
      </c>
      <c r="G100" s="52">
        <v>0.51383689348896511</v>
      </c>
      <c r="H100" s="52">
        <v>-0.58593750000000833</v>
      </c>
      <c r="I100" s="52">
        <v>-1.1435832274459916</v>
      </c>
    </row>
    <row r="101" spans="6:9" x14ac:dyDescent="0.55000000000000004">
      <c r="F101" s="49">
        <v>40391</v>
      </c>
      <c r="G101" s="52">
        <v>0.54042211348862979</v>
      </c>
      <c r="H101" s="52">
        <v>-0.29469548133595008</v>
      </c>
      <c r="I101" s="52">
        <v>1.4723066136947944</v>
      </c>
    </row>
    <row r="102" spans="6:9" x14ac:dyDescent="0.55000000000000004">
      <c r="F102" s="49">
        <v>40422</v>
      </c>
      <c r="G102" s="52">
        <v>1.2638919154499959</v>
      </c>
      <c r="H102" s="52">
        <v>0.19704433497537227</v>
      </c>
      <c r="I102" s="52">
        <v>-0.19576232151082645</v>
      </c>
    </row>
    <row r="103" spans="6:9" x14ac:dyDescent="0.55000000000000004">
      <c r="F103" s="49">
        <v>40452</v>
      </c>
      <c r="G103" s="52">
        <v>-0.49494297396169407</v>
      </c>
      <c r="H103" s="52">
        <v>-0.1966568338249782</v>
      </c>
      <c r="I103" s="52">
        <v>5.7690088842733536E-2</v>
      </c>
    </row>
    <row r="104" spans="6:9" x14ac:dyDescent="0.55000000000000004">
      <c r="F104" s="49">
        <v>40483</v>
      </c>
      <c r="G104" s="52">
        <v>0.98760092272203326</v>
      </c>
      <c r="H104" s="52">
        <v>0.59113300492610277</v>
      </c>
      <c r="I104" s="52">
        <v>-0.96863468634686734</v>
      </c>
    </row>
    <row r="105" spans="6:9" x14ac:dyDescent="0.55000000000000004">
      <c r="F105" s="49">
        <v>40513</v>
      </c>
      <c r="G105" s="52">
        <v>-1.2848882861017996</v>
      </c>
      <c r="H105" s="52">
        <v>0.48971596474045059</v>
      </c>
      <c r="I105" s="52">
        <v>0.62878435025617874</v>
      </c>
    </row>
    <row r="106" spans="6:9" x14ac:dyDescent="0.55000000000000004">
      <c r="F106" s="49">
        <v>40544</v>
      </c>
      <c r="G106" s="52">
        <v>1.3377684575891202</v>
      </c>
      <c r="H106" s="52">
        <v>0.38986354775829019</v>
      </c>
      <c r="I106" s="52">
        <v>0.24299930571626216</v>
      </c>
    </row>
    <row r="107" spans="6:9" x14ac:dyDescent="0.55000000000000004">
      <c r="F107" s="49">
        <v>40575</v>
      </c>
      <c r="G107" s="52">
        <v>0.41387184244328001</v>
      </c>
      <c r="H107" s="52">
        <v>1.0679611650485381</v>
      </c>
      <c r="I107" s="52">
        <v>0.99272769248528159</v>
      </c>
    </row>
    <row r="108" spans="6:9" x14ac:dyDescent="0.55000000000000004">
      <c r="F108" s="49">
        <v>40603</v>
      </c>
      <c r="G108" s="52">
        <v>0.27003979533825717</v>
      </c>
      <c r="H108" s="52">
        <v>0.48030739673390976</v>
      </c>
      <c r="I108" s="52">
        <v>0.76580180592067859</v>
      </c>
    </row>
    <row r="109" spans="6:9" x14ac:dyDescent="0.55000000000000004">
      <c r="F109" s="49">
        <v>40634</v>
      </c>
      <c r="G109" s="52">
        <v>-0.18426647767540105</v>
      </c>
      <c r="H109" s="52">
        <v>-2.4856596558317348</v>
      </c>
      <c r="I109" s="52">
        <v>0.60117967332123545</v>
      </c>
    </row>
    <row r="110" spans="6:9" x14ac:dyDescent="0.55000000000000004">
      <c r="F110" s="49">
        <v>40664</v>
      </c>
      <c r="G110" s="52">
        <v>0.30531099119568789</v>
      </c>
      <c r="H110" s="52">
        <v>2.9411764705882351</v>
      </c>
      <c r="I110" s="52">
        <v>0.24805502311421676</v>
      </c>
    </row>
    <row r="111" spans="6:9" x14ac:dyDescent="0.55000000000000004">
      <c r="F111" s="49">
        <v>40695</v>
      </c>
      <c r="G111" s="52">
        <v>0.67247115452678463</v>
      </c>
      <c r="H111" s="52">
        <v>-1.9047619047619049</v>
      </c>
      <c r="I111" s="52">
        <v>-0.4836351366550361</v>
      </c>
    </row>
    <row r="112" spans="6:9" x14ac:dyDescent="0.55000000000000004">
      <c r="F112" s="49">
        <v>40725</v>
      </c>
      <c r="G112" s="52">
        <v>2.1094079594994472E-2</v>
      </c>
      <c r="H112" s="52">
        <v>0</v>
      </c>
      <c r="I112" s="52">
        <v>1.548372513562376</v>
      </c>
    </row>
    <row r="113" spans="6:9" x14ac:dyDescent="0.55000000000000004">
      <c r="F113" s="49">
        <v>40756</v>
      </c>
      <c r="G113" s="52">
        <v>-0.20386643233742852</v>
      </c>
      <c r="H113" s="52">
        <v>-1.0679611650485381</v>
      </c>
      <c r="I113" s="52">
        <v>-0.11129660545352733</v>
      </c>
    </row>
    <row r="114" spans="6:9" x14ac:dyDescent="0.55000000000000004">
      <c r="F114" s="49">
        <v>40787</v>
      </c>
      <c r="G114" s="52">
        <v>-0.11975204282897711</v>
      </c>
      <c r="H114" s="52">
        <v>-1.4720314033366044</v>
      </c>
      <c r="I114" s="52">
        <v>-0.40111420612813303</v>
      </c>
    </row>
    <row r="115" spans="6:9" x14ac:dyDescent="0.55000000000000004">
      <c r="F115" s="49">
        <v>40817</v>
      </c>
      <c r="G115" s="52">
        <v>-0.14810635446786061</v>
      </c>
      <c r="H115" s="52">
        <v>-0.99601593625498008</v>
      </c>
      <c r="I115" s="52">
        <v>0.14543013759927895</v>
      </c>
    </row>
    <row r="116" spans="6:9" x14ac:dyDescent="0.55000000000000004">
      <c r="F116" s="49">
        <v>40848</v>
      </c>
      <c r="G116" s="52">
        <v>0.47323068229975102</v>
      </c>
      <c r="H116" s="52">
        <v>0.50301810865191143</v>
      </c>
      <c r="I116" s="52">
        <v>1.016532618409306</v>
      </c>
    </row>
    <row r="117" spans="6:9" x14ac:dyDescent="0.55000000000000004">
      <c r="F117" s="49">
        <v>40878</v>
      </c>
      <c r="G117" s="52">
        <v>-1.2653778558875299</v>
      </c>
      <c r="H117" s="52">
        <v>2.5025025025025025</v>
      </c>
      <c r="I117" s="52">
        <v>-1.4154594714143547</v>
      </c>
    </row>
    <row r="118" spans="6:9" x14ac:dyDescent="0.55000000000000004">
      <c r="F118" s="49">
        <v>40909</v>
      </c>
      <c r="G118" s="52">
        <v>-1.1249555001779881</v>
      </c>
      <c r="H118" s="52">
        <v>-4.1992187500000107</v>
      </c>
      <c r="I118" s="52">
        <v>7.874369040942228</v>
      </c>
    </row>
    <row r="119" spans="6:9" x14ac:dyDescent="0.55000000000000004">
      <c r="F119" s="49">
        <v>40940</v>
      </c>
      <c r="G119" s="52">
        <v>1.1665586519766722</v>
      </c>
      <c r="H119" s="52">
        <v>0.81549439347605657</v>
      </c>
      <c r="I119" s="52">
        <v>-0.35354060517833358</v>
      </c>
    </row>
    <row r="120" spans="6:9" x14ac:dyDescent="0.55000000000000004">
      <c r="F120" s="49">
        <v>40969</v>
      </c>
      <c r="G120" s="52">
        <v>-0.30607160652004184</v>
      </c>
      <c r="H120" s="52">
        <v>-0.60667340748231402</v>
      </c>
      <c r="I120" s="52">
        <v>1.0539497025983566</v>
      </c>
    </row>
    <row r="121" spans="6:9" x14ac:dyDescent="0.55000000000000004">
      <c r="F121" s="49">
        <v>41000</v>
      </c>
      <c r="G121" s="52">
        <v>0.69970012851634289</v>
      </c>
      <c r="H121" s="52">
        <v>0.10172939979654987</v>
      </c>
      <c r="I121" s="52">
        <v>-1.0532837670384245</v>
      </c>
    </row>
    <row r="122" spans="6:9" x14ac:dyDescent="0.55000000000000004">
      <c r="F122" s="49">
        <v>41030</v>
      </c>
      <c r="G122" s="52">
        <v>1.1557005104934739</v>
      </c>
      <c r="H122" s="52">
        <v>0.50813008130081294</v>
      </c>
      <c r="I122" s="52">
        <v>0.24003339595074516</v>
      </c>
    </row>
    <row r="123" spans="6:9" x14ac:dyDescent="0.55000000000000004">
      <c r="F123" s="49">
        <v>41061</v>
      </c>
      <c r="G123" s="52">
        <v>0.62381720053270828</v>
      </c>
      <c r="H123" s="52">
        <v>0.20222446916075693</v>
      </c>
      <c r="I123" s="52">
        <v>1.0619469026548631</v>
      </c>
    </row>
    <row r="124" spans="6:9" x14ac:dyDescent="0.55000000000000004">
      <c r="F124" s="49">
        <v>41091</v>
      </c>
      <c r="G124" s="52">
        <v>0.32738924491501731</v>
      </c>
      <c r="H124" s="52">
        <v>1.3118062563067725</v>
      </c>
      <c r="I124" s="52">
        <v>0.64901617389513722</v>
      </c>
    </row>
    <row r="125" spans="6:9" x14ac:dyDescent="0.55000000000000004">
      <c r="F125" s="49">
        <v>41122</v>
      </c>
      <c r="G125" s="52">
        <v>0.22217593556897397</v>
      </c>
      <c r="H125" s="52">
        <v>1.8924302788844536</v>
      </c>
      <c r="I125" s="52">
        <v>-1.2998976458546529</v>
      </c>
    </row>
    <row r="126" spans="6:9" x14ac:dyDescent="0.55000000000000004">
      <c r="F126" s="49">
        <v>41153</v>
      </c>
      <c r="G126" s="52">
        <v>-0.44336681676479833</v>
      </c>
      <c r="H126" s="52">
        <v>-1.5640273704789778</v>
      </c>
      <c r="I126" s="52">
        <v>1.6177538110546386</v>
      </c>
    </row>
    <row r="127" spans="6:9" x14ac:dyDescent="0.55000000000000004">
      <c r="F127" s="49">
        <v>41183</v>
      </c>
      <c r="G127" s="52">
        <v>0.80022267065618657</v>
      </c>
      <c r="H127" s="52">
        <v>1.2909632571995999</v>
      </c>
      <c r="I127" s="52">
        <v>-0.80620471476680489</v>
      </c>
    </row>
    <row r="128" spans="6:9" x14ac:dyDescent="0.55000000000000004">
      <c r="F128" s="49">
        <v>41214</v>
      </c>
      <c r="G128" s="52">
        <v>-0.19329007317409991</v>
      </c>
      <c r="H128" s="52">
        <v>-1.3725490196078487</v>
      </c>
      <c r="I128" s="52">
        <v>4.1152263374477409E-2</v>
      </c>
    </row>
    <row r="129" spans="6:9" x14ac:dyDescent="0.55000000000000004">
      <c r="F129" s="49">
        <v>41244</v>
      </c>
      <c r="G129" s="52">
        <v>-0.29049661087288414</v>
      </c>
      <c r="H129" s="52">
        <v>0.69582504970179215</v>
      </c>
      <c r="I129" s="52">
        <v>9.2554504319213707E-2</v>
      </c>
    </row>
    <row r="130" spans="6:9" x14ac:dyDescent="0.55000000000000004">
      <c r="F130" s="49">
        <v>41275</v>
      </c>
      <c r="G130" s="52">
        <v>0.57574916759157369</v>
      </c>
      <c r="H130" s="52">
        <v>0.98716683119447179</v>
      </c>
      <c r="I130" s="52">
        <v>0.10274324463167422</v>
      </c>
    </row>
    <row r="131" spans="6:9" x14ac:dyDescent="0.55000000000000004">
      <c r="F131" s="49">
        <v>41306</v>
      </c>
      <c r="G131" s="52">
        <v>-0.84143734050624097</v>
      </c>
      <c r="H131" s="52">
        <v>-2.737047898338218</v>
      </c>
      <c r="I131" s="52">
        <v>-0.6363543056553469</v>
      </c>
    </row>
    <row r="132" spans="6:9" x14ac:dyDescent="0.55000000000000004">
      <c r="F132" s="49">
        <v>41334</v>
      </c>
      <c r="G132" s="52">
        <v>0.82075537316545744</v>
      </c>
      <c r="H132" s="52">
        <v>1.9095477386934729</v>
      </c>
      <c r="I132" s="52">
        <v>0.36153289949384809</v>
      </c>
    </row>
    <row r="133" spans="6:9" x14ac:dyDescent="0.55000000000000004">
      <c r="F133" s="49">
        <v>41365</v>
      </c>
      <c r="G133" s="52">
        <v>0.88996205588135258</v>
      </c>
      <c r="H133" s="52">
        <v>1.5779092702169568</v>
      </c>
      <c r="I133" s="52">
        <v>-2.1099217785096722</v>
      </c>
    </row>
    <row r="134" spans="6:9" x14ac:dyDescent="0.55000000000000004">
      <c r="F134" s="49">
        <v>41395</v>
      </c>
      <c r="G134" s="52">
        <v>0.40344638949672007</v>
      </c>
      <c r="H134" s="52">
        <v>-0.2912621359223273</v>
      </c>
      <c r="I134" s="52">
        <v>3.3960677110713955</v>
      </c>
    </row>
    <row r="135" spans="6:9" x14ac:dyDescent="0.55000000000000004">
      <c r="F135" s="49">
        <v>41426</v>
      </c>
      <c r="G135" s="52">
        <v>-0.32690866989036171</v>
      </c>
      <c r="H135" s="52">
        <v>0.5842259006815913</v>
      </c>
      <c r="I135" s="52">
        <v>-0.9558673988204166</v>
      </c>
    </row>
    <row r="136" spans="6:9" x14ac:dyDescent="0.55000000000000004">
      <c r="F136" s="49">
        <v>41456</v>
      </c>
      <c r="G136" s="52">
        <v>0.57396651861974957</v>
      </c>
      <c r="H136" s="52">
        <v>-0.67763794772507535</v>
      </c>
      <c r="I136" s="52">
        <v>2.5770020533880809</v>
      </c>
    </row>
    <row r="137" spans="6:9" x14ac:dyDescent="0.55000000000000004">
      <c r="F137" s="49">
        <v>41487</v>
      </c>
      <c r="G137" s="52">
        <v>-5.4351518445535763E-2</v>
      </c>
      <c r="H137" s="52">
        <v>9.7465886939579471E-2</v>
      </c>
      <c r="I137" s="52">
        <v>0.52046842157943174</v>
      </c>
    </row>
    <row r="138" spans="6:9" x14ac:dyDescent="0.55000000000000004">
      <c r="F138" s="49">
        <v>41518</v>
      </c>
      <c r="G138" s="52">
        <v>0.70015634559171547</v>
      </c>
      <c r="H138" s="52">
        <v>0.5842259006815913</v>
      </c>
      <c r="I138" s="52">
        <v>0.58747386239170485</v>
      </c>
    </row>
    <row r="139" spans="6:9" x14ac:dyDescent="0.55000000000000004">
      <c r="F139" s="49">
        <v>41548</v>
      </c>
      <c r="G139" s="52">
        <v>-0.10125556905628277</v>
      </c>
      <c r="H139" s="52">
        <v>-1.0648596321393942</v>
      </c>
      <c r="I139" s="52">
        <v>-1.5343496337358911</v>
      </c>
    </row>
    <row r="140" spans="6:9" x14ac:dyDescent="0.55000000000000004">
      <c r="F140" s="49">
        <v>41579</v>
      </c>
      <c r="G140" s="52">
        <v>0.23650246638285988</v>
      </c>
      <c r="H140" s="52">
        <v>0.58708414872797876</v>
      </c>
      <c r="I140" s="52">
        <v>1.0555946516537622</v>
      </c>
    </row>
    <row r="141" spans="6:9" x14ac:dyDescent="0.55000000000000004">
      <c r="F141" s="49">
        <v>41609</v>
      </c>
      <c r="G141" s="52">
        <v>0.1820142914925241</v>
      </c>
      <c r="H141" s="52">
        <v>-3.5992217898832717</v>
      </c>
      <c r="I141" s="52">
        <v>1.1042578591325105</v>
      </c>
    </row>
    <row r="142" spans="6:9" x14ac:dyDescent="0.55000000000000004">
      <c r="F142" s="49">
        <v>41640</v>
      </c>
      <c r="G142" s="52">
        <v>-0.22878675728416889</v>
      </c>
      <c r="H142" s="52">
        <v>1.7154389505549978</v>
      </c>
      <c r="I142" s="52">
        <v>0.10823575715831885</v>
      </c>
    </row>
    <row r="143" spans="6:9" x14ac:dyDescent="0.55000000000000004">
      <c r="F143" s="49">
        <v>41671</v>
      </c>
      <c r="G143" s="52">
        <v>-0.28326701288191536</v>
      </c>
      <c r="H143" s="52">
        <v>0.49603174603174599</v>
      </c>
      <c r="I143" s="52">
        <v>-0.16709258895223286</v>
      </c>
    </row>
    <row r="144" spans="6:9" x14ac:dyDescent="0.55000000000000004">
      <c r="F144" s="49">
        <v>41699</v>
      </c>
      <c r="G144" s="52">
        <v>2.7054447074732528E-2</v>
      </c>
      <c r="H144" s="52">
        <v>-0.29615004935833872</v>
      </c>
      <c r="I144" s="52">
        <v>-0.25598109678053649</v>
      </c>
    </row>
    <row r="145" spans="6:9" x14ac:dyDescent="0.55000000000000004">
      <c r="F145" s="49">
        <v>41730</v>
      </c>
      <c r="G145" s="52">
        <v>-0.68294002299005407</v>
      </c>
      <c r="H145" s="52">
        <v>-0.79207920792078934</v>
      </c>
      <c r="I145" s="52">
        <v>-2.8328891521073976</v>
      </c>
    </row>
    <row r="146" spans="6:9" x14ac:dyDescent="0.55000000000000004">
      <c r="F146" s="49">
        <v>41760</v>
      </c>
      <c r="G146" s="52">
        <v>-0.39488017429192818</v>
      </c>
      <c r="H146" s="52">
        <v>-1.0978043912175734</v>
      </c>
      <c r="I146" s="52">
        <v>1.1072734660707064</v>
      </c>
    </row>
    <row r="147" spans="6:9" x14ac:dyDescent="0.55000000000000004">
      <c r="F147" s="49">
        <v>41791</v>
      </c>
      <c r="G147" s="52">
        <v>-1.8386876281613107</v>
      </c>
      <c r="H147" s="52">
        <v>-2.9263370332996885</v>
      </c>
      <c r="I147" s="52">
        <v>0.7635888676780922</v>
      </c>
    </row>
    <row r="148" spans="6:9" x14ac:dyDescent="0.55000000000000004">
      <c r="F148" s="49">
        <v>41821</v>
      </c>
      <c r="G148" s="52">
        <v>0.83559640693544224</v>
      </c>
      <c r="H148" s="52">
        <v>2.5987525987525983</v>
      </c>
      <c r="I148" s="52">
        <v>-0.81762887625885672</v>
      </c>
    </row>
    <row r="149" spans="6:9" x14ac:dyDescent="0.55000000000000004">
      <c r="F149" s="49">
        <v>41852</v>
      </c>
      <c r="G149" s="52">
        <v>0.53173123403080602</v>
      </c>
      <c r="H149" s="52">
        <v>0.40526849037486473</v>
      </c>
      <c r="I149" s="52">
        <v>-0.38202473107469131</v>
      </c>
    </row>
    <row r="150" spans="6:9" x14ac:dyDescent="0.55000000000000004">
      <c r="F150" s="49">
        <v>41883</v>
      </c>
      <c r="G150" s="52">
        <v>0.45335897788157475</v>
      </c>
      <c r="H150" s="52">
        <v>0.10090817356206713</v>
      </c>
      <c r="I150" s="52">
        <v>-7.0642849934410529E-2</v>
      </c>
    </row>
    <row r="151" spans="6:9" x14ac:dyDescent="0.55000000000000004">
      <c r="F151" s="49">
        <v>41913</v>
      </c>
      <c r="G151" s="52">
        <v>-0.56072210065646988</v>
      </c>
      <c r="H151" s="52">
        <v>0.1008064516128975</v>
      </c>
      <c r="I151" s="52">
        <v>1.4138557867097614</v>
      </c>
    </row>
    <row r="152" spans="6:9" x14ac:dyDescent="0.55000000000000004">
      <c r="F152" s="49">
        <v>41944</v>
      </c>
      <c r="G152" s="52">
        <v>9.6272864805401454E-2</v>
      </c>
      <c r="H152" s="52">
        <v>-0.80563947633433763</v>
      </c>
      <c r="I152" s="52">
        <v>-0.64728141804422001</v>
      </c>
    </row>
    <row r="153" spans="6:9" x14ac:dyDescent="0.55000000000000004">
      <c r="F153" s="49">
        <v>41974</v>
      </c>
      <c r="G153" s="52">
        <v>0.44655125034350485</v>
      </c>
      <c r="H153" s="52">
        <v>-2.9441624365482291</v>
      </c>
      <c r="I153" s="52">
        <v>0.63145234038289033</v>
      </c>
    </row>
    <row r="154" spans="6:9" x14ac:dyDescent="0.55000000000000004">
      <c r="F154" s="49">
        <v>42005</v>
      </c>
      <c r="G154" s="52">
        <v>-0.85493468299021946</v>
      </c>
      <c r="H154" s="52">
        <v>0.62761506276151524</v>
      </c>
      <c r="I154" s="52">
        <v>-0.12948207171315701</v>
      </c>
    </row>
    <row r="155" spans="6:9" x14ac:dyDescent="0.55000000000000004">
      <c r="F155" s="49">
        <v>42036</v>
      </c>
      <c r="G155" s="52">
        <v>-0.6760485651214253</v>
      </c>
      <c r="H155" s="52">
        <v>-0.72765072765073058</v>
      </c>
      <c r="I155" s="52">
        <v>-0.45876134437019422</v>
      </c>
    </row>
    <row r="156" spans="6:9" x14ac:dyDescent="0.55000000000000004">
      <c r="F156" s="49">
        <v>42064</v>
      </c>
      <c r="G156" s="52">
        <v>-0.17363522711487708</v>
      </c>
      <c r="H156" s="52">
        <v>-0.62827225130889452</v>
      </c>
      <c r="I156" s="52">
        <v>-0.99188458070334551</v>
      </c>
    </row>
    <row r="157" spans="6:9" x14ac:dyDescent="0.55000000000000004">
      <c r="F157" s="49">
        <v>42095</v>
      </c>
      <c r="G157" s="52">
        <v>-0.93926111458985206</v>
      </c>
      <c r="H157" s="52">
        <v>-1.8967334035827306</v>
      </c>
      <c r="I157" s="52">
        <v>-0.25298522566282128</v>
      </c>
    </row>
    <row r="158" spans="6:9" x14ac:dyDescent="0.55000000000000004">
      <c r="F158" s="49">
        <v>42125</v>
      </c>
      <c r="G158" s="52">
        <v>-0.91304958561594529</v>
      </c>
      <c r="H158" s="52">
        <v>-0.96670247046185998</v>
      </c>
      <c r="I158" s="52">
        <v>-0.89276656183422487</v>
      </c>
    </row>
    <row r="159" spans="6:9" x14ac:dyDescent="0.55000000000000004">
      <c r="F159" s="49">
        <v>42156</v>
      </c>
      <c r="G159" s="52">
        <v>-1.0632265381343917</v>
      </c>
      <c r="H159" s="52">
        <v>-0.97613882863341173</v>
      </c>
      <c r="I159" s="52">
        <v>6.1418773671821345E-2</v>
      </c>
    </row>
    <row r="160" spans="6:9" x14ac:dyDescent="0.55000000000000004">
      <c r="F160" s="49">
        <v>42186</v>
      </c>
      <c r="G160" s="52">
        <v>-0.65195586760282631</v>
      </c>
      <c r="H160" s="52">
        <v>-1.7524644030668064</v>
      </c>
      <c r="I160" s="52">
        <v>-1.4526854219948866</v>
      </c>
    </row>
    <row r="161" spans="6:9" x14ac:dyDescent="0.55000000000000004">
      <c r="F161" s="49">
        <v>42217</v>
      </c>
      <c r="G161" s="52">
        <v>0.18749549289681933</v>
      </c>
      <c r="H161" s="52">
        <v>0.55741360089186176</v>
      </c>
      <c r="I161" s="52">
        <v>-1.3910515934807468</v>
      </c>
    </row>
    <row r="162" spans="6:9" x14ac:dyDescent="0.55000000000000004">
      <c r="F162" s="49">
        <v>42248</v>
      </c>
      <c r="G162" s="52">
        <v>-0.97891024256820969</v>
      </c>
      <c r="H162" s="52">
        <v>-2.3281596452328253</v>
      </c>
      <c r="I162" s="52">
        <v>1.5264764712074985</v>
      </c>
    </row>
    <row r="163" spans="6:9" x14ac:dyDescent="0.55000000000000004">
      <c r="F163" s="49">
        <v>42278</v>
      </c>
      <c r="G163" s="52">
        <v>0.68328850766882154</v>
      </c>
      <c r="H163" s="52">
        <v>-0.22701475595912446</v>
      </c>
      <c r="I163" s="52">
        <v>1.9805060141020288</v>
      </c>
    </row>
    <row r="164" spans="6:9" x14ac:dyDescent="0.55000000000000004">
      <c r="F164" s="49">
        <v>42309</v>
      </c>
      <c r="G164" s="52">
        <v>-1.3212042451808419</v>
      </c>
      <c r="H164" s="52">
        <v>-1.7064846416382253</v>
      </c>
      <c r="I164" s="52">
        <v>-2.6537874936451442</v>
      </c>
    </row>
    <row r="165" spans="6:9" x14ac:dyDescent="0.55000000000000004">
      <c r="F165" s="49">
        <v>42339</v>
      </c>
      <c r="G165" s="52">
        <v>-0.27070529704419416</v>
      </c>
      <c r="H165" s="52">
        <v>-1.5046296296296426</v>
      </c>
      <c r="I165" s="52">
        <v>0.31334865260080569</v>
      </c>
    </row>
    <row r="166" spans="6:9" x14ac:dyDescent="0.55000000000000004">
      <c r="F166" s="49">
        <v>42370</v>
      </c>
      <c r="G166" s="52">
        <v>-0.57956129410901036</v>
      </c>
      <c r="H166" s="52">
        <v>1.0575793184488904</v>
      </c>
      <c r="I166" s="52">
        <v>-1.1349437734277419</v>
      </c>
    </row>
    <row r="167" spans="6:9" x14ac:dyDescent="0.55000000000000004">
      <c r="F167" s="49">
        <v>42401</v>
      </c>
      <c r="G167" s="52">
        <v>-7.3789846517261851E-3</v>
      </c>
      <c r="H167" s="52">
        <v>-1.2790697674418539</v>
      </c>
      <c r="I167" s="52">
        <v>0.62137967351237855</v>
      </c>
    </row>
    <row r="168" spans="6:9" x14ac:dyDescent="0.55000000000000004">
      <c r="F168" s="49">
        <v>42430</v>
      </c>
      <c r="G168" s="52">
        <v>-0.66415762674339707</v>
      </c>
      <c r="H168" s="52">
        <v>0.58892815076560656</v>
      </c>
      <c r="I168" s="52">
        <v>-1.1304165794431782</v>
      </c>
    </row>
    <row r="169" spans="6:9" x14ac:dyDescent="0.55000000000000004">
      <c r="F169" s="49">
        <v>42461</v>
      </c>
      <c r="G169" s="52">
        <v>8.9146422999759389E-2</v>
      </c>
      <c r="H169" s="52">
        <v>0.11709601873535634</v>
      </c>
      <c r="I169" s="52">
        <v>0.39170019055685429</v>
      </c>
    </row>
    <row r="170" spans="6:9" x14ac:dyDescent="0.55000000000000004">
      <c r="F170" s="49">
        <v>42491</v>
      </c>
      <c r="G170" s="52">
        <v>-0.32657908409411252</v>
      </c>
      <c r="H170" s="52">
        <v>0.23391812865497411</v>
      </c>
      <c r="I170" s="52">
        <v>0.37962670041126167</v>
      </c>
    </row>
    <row r="171" spans="6:9" x14ac:dyDescent="0.55000000000000004">
      <c r="F171" s="49">
        <v>42522</v>
      </c>
      <c r="G171" s="52">
        <v>0.40956139697670069</v>
      </c>
      <c r="H171" s="52">
        <v>-1.1668611435239207</v>
      </c>
      <c r="I171" s="52">
        <v>-1.2081100955982682</v>
      </c>
    </row>
    <row r="172" spans="6:9" x14ac:dyDescent="0.55000000000000004">
      <c r="F172" s="49">
        <v>42552</v>
      </c>
      <c r="G172" s="52">
        <v>-0.1705725304064</v>
      </c>
      <c r="H172" s="52">
        <v>0.70838252656433798</v>
      </c>
      <c r="I172" s="52">
        <v>0.85070182900892932</v>
      </c>
    </row>
    <row r="173" spans="6:9" x14ac:dyDescent="0.55000000000000004">
      <c r="F173" s="49">
        <v>42583</v>
      </c>
      <c r="G173" s="52">
        <v>-0.45316098358221046</v>
      </c>
      <c r="H173" s="52">
        <v>-1.9929660023446694</v>
      </c>
      <c r="I173" s="52">
        <v>-0.20033741037536662</v>
      </c>
    </row>
    <row r="174" spans="6:9" x14ac:dyDescent="0.55000000000000004">
      <c r="F174" s="49">
        <v>42614</v>
      </c>
      <c r="G174" s="52">
        <v>-0.18656716417910446</v>
      </c>
      <c r="H174" s="52">
        <v>1.0765550239234518</v>
      </c>
      <c r="I174" s="52">
        <v>-1.1727416798732164</v>
      </c>
    </row>
    <row r="175" spans="6:9" x14ac:dyDescent="0.55000000000000004">
      <c r="F175" s="49">
        <v>42644</v>
      </c>
      <c r="G175" s="52">
        <v>-0.33644859813083261</v>
      </c>
      <c r="H175" s="52">
        <v>-1.3017751479289872</v>
      </c>
      <c r="I175" s="52">
        <v>1.0690613641213282E-2</v>
      </c>
    </row>
    <row r="176" spans="6:9" x14ac:dyDescent="0.55000000000000004">
      <c r="F176" s="49">
        <v>42675</v>
      </c>
      <c r="G176" s="52">
        <v>-0.21005251312828291</v>
      </c>
      <c r="H176" s="52">
        <v>0.95923261390886938</v>
      </c>
      <c r="I176" s="52">
        <v>-0.67343666488508336</v>
      </c>
    </row>
    <row r="177" spans="6:9" x14ac:dyDescent="0.55000000000000004">
      <c r="F177" s="49">
        <v>42705</v>
      </c>
      <c r="G177" s="52">
        <v>-0.49616599007667755</v>
      </c>
      <c r="H177" s="52">
        <v>1.543942992874106</v>
      </c>
      <c r="I177" s="52">
        <v>-2.0017219113215661</v>
      </c>
    </row>
    <row r="178" spans="6:9" x14ac:dyDescent="0.55000000000000004">
      <c r="F178" s="49">
        <v>42736</v>
      </c>
      <c r="G178" s="52">
        <v>0.76307041402235631</v>
      </c>
      <c r="H178" s="52">
        <v>0.81871345029240106</v>
      </c>
      <c r="I178" s="52">
        <v>8.8732703711838319</v>
      </c>
    </row>
    <row r="179" spans="6:9" x14ac:dyDescent="0.55000000000000004">
      <c r="F179" s="49">
        <v>42767</v>
      </c>
      <c r="G179" s="52">
        <v>1.5220814276074088</v>
      </c>
      <c r="H179" s="52">
        <v>1.3921113689095159</v>
      </c>
      <c r="I179" s="52">
        <v>-1.1902360298567751</v>
      </c>
    </row>
    <row r="180" spans="6:9" x14ac:dyDescent="0.55000000000000004">
      <c r="F180" s="49">
        <v>42795</v>
      </c>
      <c r="G180" s="52">
        <v>0.18463810930576069</v>
      </c>
      <c r="H180" s="52">
        <v>-1.9450800915331838</v>
      </c>
      <c r="I180" s="52">
        <v>-6.5843201306655663</v>
      </c>
    </row>
    <row r="181" spans="6:9" x14ac:dyDescent="0.55000000000000004">
      <c r="F181" s="49">
        <v>42826</v>
      </c>
      <c r="G181" s="52">
        <v>8.8462956137120935E-2</v>
      </c>
      <c r="H181" s="52">
        <v>0.23337222870478744</v>
      </c>
      <c r="I181" s="52">
        <v>2.1418424215932612</v>
      </c>
    </row>
    <row r="182" spans="6:9" x14ac:dyDescent="0.55000000000000004">
      <c r="F182" s="49">
        <v>42856</v>
      </c>
      <c r="G182" s="52">
        <v>-0.44192384179128136</v>
      </c>
      <c r="H182" s="52">
        <v>0.23282887077996348</v>
      </c>
      <c r="I182" s="52">
        <v>0.97357440890124802</v>
      </c>
    </row>
    <row r="183" spans="6:9" x14ac:dyDescent="0.55000000000000004">
      <c r="F183" s="49">
        <v>42887</v>
      </c>
      <c r="G183" s="52">
        <v>0.6436339424428531</v>
      </c>
      <c r="H183" s="52">
        <v>0.81300813008130424</v>
      </c>
      <c r="I183" s="52">
        <v>1.3668150031786463</v>
      </c>
    </row>
    <row r="184" spans="6:9" x14ac:dyDescent="0.55000000000000004">
      <c r="F184" s="49">
        <v>42917</v>
      </c>
      <c r="G184" s="52">
        <v>0.33078506321671353</v>
      </c>
      <c r="H184" s="52">
        <v>0.34562211981566493</v>
      </c>
      <c r="I184" s="52">
        <v>0.20905194940943123</v>
      </c>
    </row>
    <row r="185" spans="6:9" x14ac:dyDescent="0.55000000000000004">
      <c r="F185" s="49">
        <v>42948</v>
      </c>
      <c r="G185" s="52">
        <v>-0.49820499670306012</v>
      </c>
      <c r="H185" s="52">
        <v>0</v>
      </c>
      <c r="I185" s="52">
        <v>-0.76144779388756023</v>
      </c>
    </row>
    <row r="186" spans="6:9" x14ac:dyDescent="0.55000000000000004">
      <c r="F186" s="49">
        <v>42979</v>
      </c>
      <c r="G186" s="52">
        <v>-0.23562329725351092</v>
      </c>
      <c r="H186" s="52">
        <v>0.45924225028703292</v>
      </c>
      <c r="I186" s="52">
        <v>2.5331091023754433</v>
      </c>
    </row>
    <row r="187" spans="6:9" x14ac:dyDescent="0.55000000000000004">
      <c r="F187" s="49">
        <v>43009</v>
      </c>
      <c r="G187" s="52">
        <v>0.20665731788323946</v>
      </c>
      <c r="H187" s="52">
        <v>0.80000000000000326</v>
      </c>
      <c r="I187" s="52">
        <v>0.24602767811379711</v>
      </c>
    </row>
    <row r="188" spans="6:9" x14ac:dyDescent="0.55000000000000004">
      <c r="F188" s="49">
        <v>43040</v>
      </c>
      <c r="G188" s="52">
        <v>-0.14730794726376742</v>
      </c>
      <c r="H188" s="52">
        <v>0.45351473922901525</v>
      </c>
      <c r="I188" s="52">
        <v>0.48062174046425893</v>
      </c>
    </row>
    <row r="189" spans="6:9" x14ac:dyDescent="0.55000000000000004">
      <c r="F189" s="49">
        <v>43070</v>
      </c>
      <c r="G189" s="52">
        <v>1.3719849524231127</v>
      </c>
      <c r="H189" s="52">
        <v>2.934537246049671</v>
      </c>
      <c r="I189" s="52">
        <v>0.42743741095054111</v>
      </c>
    </row>
    <row r="190" spans="6:9" x14ac:dyDescent="0.55000000000000004">
      <c r="F190" s="49">
        <v>43101</v>
      </c>
      <c r="G190" s="52">
        <v>-0.42203303499964523</v>
      </c>
      <c r="H190" s="52">
        <v>-2.5219298245614001</v>
      </c>
      <c r="I190" s="52">
        <v>3.5974868261045776</v>
      </c>
    </row>
    <row r="191" spans="6:9" x14ac:dyDescent="0.55000000000000004">
      <c r="F191" s="49">
        <v>43132</v>
      </c>
      <c r="G191" s="52">
        <v>-0.15345268542200072</v>
      </c>
      <c r="H191" s="52">
        <v>-0.33745781777279116</v>
      </c>
      <c r="I191" s="52">
        <v>-2.2009194952557953</v>
      </c>
    </row>
    <row r="192" spans="6:9" x14ac:dyDescent="0.55000000000000004">
      <c r="F192" s="49">
        <v>43160</v>
      </c>
      <c r="G192" s="52">
        <v>0.45374707259953501</v>
      </c>
      <c r="H192" s="52">
        <v>1.241534988713328</v>
      </c>
      <c r="I192" s="52">
        <v>-0.54010802160432714</v>
      </c>
    </row>
    <row r="193" spans="6:9" x14ac:dyDescent="0.55000000000000004">
      <c r="F193" s="49">
        <v>43191</v>
      </c>
      <c r="G193" s="52">
        <v>0.80139880518725248</v>
      </c>
      <c r="H193" s="52">
        <v>0.33444816053511389</v>
      </c>
      <c r="I193" s="52">
        <v>1.5486725663716878</v>
      </c>
    </row>
    <row r="194" spans="6:9" x14ac:dyDescent="0.55000000000000004">
      <c r="F194" s="49">
        <v>43221</v>
      </c>
      <c r="G194" s="52">
        <v>-3.592078635443789</v>
      </c>
      <c r="H194" s="52">
        <v>-10.888888888888886</v>
      </c>
      <c r="I194" s="52">
        <v>0.35650623885917943</v>
      </c>
    </row>
    <row r="195" spans="6:9" x14ac:dyDescent="0.55000000000000004">
      <c r="F195" s="49">
        <v>43252</v>
      </c>
      <c r="G195" s="52">
        <v>3.0362096109153698</v>
      </c>
      <c r="H195" s="52">
        <v>12.344139650872807</v>
      </c>
      <c r="I195" s="52">
        <v>-3.4635879218472518</v>
      </c>
    </row>
    <row r="196" spans="6:9" x14ac:dyDescent="0.55000000000000004">
      <c r="F196" s="49">
        <v>43282</v>
      </c>
      <c r="G196" s="52">
        <v>0.43655413271245225</v>
      </c>
      <c r="H196" s="52">
        <v>-0.22197558268589193</v>
      </c>
      <c r="I196" s="52">
        <v>1.1346212818153936</v>
      </c>
    </row>
    <row r="197" spans="6:9" x14ac:dyDescent="0.55000000000000004">
      <c r="F197" s="49">
        <v>43313</v>
      </c>
      <c r="G197" s="52">
        <v>0.92726745870762195</v>
      </c>
      <c r="H197" s="52">
        <v>-1.0011123470522865</v>
      </c>
      <c r="I197" s="52">
        <v>1.0915706488781063</v>
      </c>
    </row>
    <row r="198" spans="6:9" x14ac:dyDescent="0.55000000000000004">
      <c r="F198" s="49">
        <v>43344</v>
      </c>
      <c r="G198" s="52">
        <v>-0.95463680734997425</v>
      </c>
      <c r="H198" s="52">
        <v>-2.6966292134831522</v>
      </c>
      <c r="I198" s="52">
        <v>-0.91981603679264323</v>
      </c>
    </row>
    <row r="199" spans="6:9" x14ac:dyDescent="0.55000000000000004">
      <c r="F199" s="49">
        <v>43374</v>
      </c>
      <c r="G199" s="52">
        <v>5.0728313645911426E-2</v>
      </c>
      <c r="H199" s="52">
        <v>1.1547344110854503</v>
      </c>
      <c r="I199" s="52">
        <v>0.21190716448033095</v>
      </c>
    </row>
    <row r="200" spans="6:9" x14ac:dyDescent="0.55000000000000004">
      <c r="F200" s="49">
        <v>43405</v>
      </c>
      <c r="G200" s="52">
        <v>-0.14486455164420442</v>
      </c>
      <c r="H200" s="52">
        <v>-0.11415525114154602</v>
      </c>
      <c r="I200" s="52">
        <v>1.963548484543352</v>
      </c>
    </row>
    <row r="201" spans="6:9" x14ac:dyDescent="0.55000000000000004">
      <c r="F201" s="49">
        <v>43435</v>
      </c>
      <c r="G201" s="52">
        <v>0.48600029014941781</v>
      </c>
      <c r="H201" s="52">
        <v>0.22857142857143184</v>
      </c>
      <c r="I201" s="52">
        <v>0.64191190993481273</v>
      </c>
    </row>
    <row r="202" spans="6:9" x14ac:dyDescent="0.55000000000000004">
      <c r="F202" s="49">
        <v>43466</v>
      </c>
      <c r="G202" s="52">
        <v>-3.6093264996759813E-2</v>
      </c>
      <c r="H202" s="52">
        <v>-0.68415051311289454</v>
      </c>
      <c r="I202" s="52">
        <v>3.0222745559807658</v>
      </c>
    </row>
    <row r="203" spans="6:9" x14ac:dyDescent="0.55000000000000004">
      <c r="F203" s="49">
        <v>43497</v>
      </c>
      <c r="G203" s="52">
        <v>-0.79433853264008847</v>
      </c>
      <c r="H203" s="52">
        <v>0.22962112514351646</v>
      </c>
      <c r="I203" s="52">
        <v>-2.7240689589484708</v>
      </c>
    </row>
    <row r="204" spans="6:9" x14ac:dyDescent="0.55000000000000004">
      <c r="F204" s="49">
        <v>43525</v>
      </c>
      <c r="G204" s="52">
        <v>0.75702431212694132</v>
      </c>
      <c r="H204" s="52">
        <v>-0.22909507445590246</v>
      </c>
      <c r="I204" s="52">
        <v>-2.0855772055223691</v>
      </c>
    </row>
    <row r="205" spans="6:9" x14ac:dyDescent="0.55000000000000004">
      <c r="F205" s="49">
        <v>43556</v>
      </c>
      <c r="G205" s="52">
        <v>-0.23840485478975876</v>
      </c>
      <c r="H205" s="52">
        <v>0.34443168771528287</v>
      </c>
      <c r="I205" s="52">
        <v>-2.3700000000000045</v>
      </c>
    </row>
    <row r="206" spans="6:9" x14ac:dyDescent="0.55000000000000004">
      <c r="F206" s="49">
        <v>43586</v>
      </c>
      <c r="G206" s="52">
        <v>0.63002389745818277</v>
      </c>
      <c r="H206" s="52">
        <v>0</v>
      </c>
      <c r="I206" s="52">
        <v>1.7207825463484656</v>
      </c>
    </row>
    <row r="207" spans="6:9" x14ac:dyDescent="0.55000000000000004">
      <c r="F207" s="49">
        <v>43617</v>
      </c>
      <c r="G207" s="52">
        <v>2.1588946459413599E-2</v>
      </c>
      <c r="H207" s="52">
        <v>-0.91533180778033341</v>
      </c>
      <c r="I207" s="52">
        <v>-0.16111167052663034</v>
      </c>
    </row>
    <row r="208" spans="6:9" x14ac:dyDescent="0.55000000000000004">
      <c r="F208" s="49">
        <v>43647</v>
      </c>
      <c r="G208" s="52">
        <v>-0.30937477516368572</v>
      </c>
      <c r="H208" s="52">
        <v>-0.57736720554272514</v>
      </c>
      <c r="I208" s="52">
        <v>0.67574382249116238</v>
      </c>
    </row>
    <row r="209" spans="6:9" x14ac:dyDescent="0.55000000000000004">
      <c r="F209" s="49">
        <v>43678</v>
      </c>
      <c r="G209" s="52">
        <v>2.1651270207853013E-2</v>
      </c>
      <c r="H209" s="52">
        <v>0.92915214866435702</v>
      </c>
      <c r="I209" s="52">
        <v>1.3424163494289756</v>
      </c>
    </row>
    <row r="210" spans="6:9" x14ac:dyDescent="0.55000000000000004">
      <c r="F210" s="49">
        <v>43709</v>
      </c>
      <c r="G210" s="52">
        <v>0.36077639079298651</v>
      </c>
      <c r="H210" s="52">
        <v>-0.11507479861911221</v>
      </c>
      <c r="I210" s="52">
        <v>0.84025306445236114</v>
      </c>
    </row>
    <row r="211" spans="6:9" x14ac:dyDescent="0.55000000000000004">
      <c r="F211" s="49">
        <v>43739</v>
      </c>
      <c r="G211" s="52">
        <v>0.6254942842763711</v>
      </c>
      <c r="H211" s="52">
        <v>2.1889400921659052</v>
      </c>
      <c r="I211" s="52">
        <v>-0.5587687481619521</v>
      </c>
    </row>
    <row r="212" spans="6:9" x14ac:dyDescent="0.55000000000000004">
      <c r="F212" s="49">
        <v>43770</v>
      </c>
      <c r="G212" s="52">
        <v>-0.83595312946557288</v>
      </c>
      <c r="H212" s="52">
        <v>-2.254791431792559</v>
      </c>
      <c r="I212" s="52">
        <v>0.53233438485805029</v>
      </c>
    </row>
    <row r="213" spans="6:9" x14ac:dyDescent="0.55000000000000004">
      <c r="F213" s="49">
        <v>43800</v>
      </c>
      <c r="G213" s="52">
        <v>-0.50435910368181325</v>
      </c>
      <c r="H213" s="52">
        <v>-0.80738177623991092</v>
      </c>
      <c r="I213" s="52">
        <v>-0.7942733869386176</v>
      </c>
    </row>
    <row r="214" spans="6:9" x14ac:dyDescent="0.55000000000000004">
      <c r="F214" s="49">
        <v>43831</v>
      </c>
      <c r="G214" s="52">
        <v>0.53588239553914774</v>
      </c>
      <c r="H214" s="52">
        <v>0.93023255813953154</v>
      </c>
      <c r="I214" s="52">
        <v>0.45468024117820866</v>
      </c>
    </row>
    <row r="215" spans="6:9" x14ac:dyDescent="0.55000000000000004">
      <c r="F215" s="49">
        <v>43862</v>
      </c>
      <c r="G215" s="52">
        <v>0.38176186703162218</v>
      </c>
      <c r="H215" s="52">
        <v>0.69124423963134629</v>
      </c>
      <c r="I215" s="52">
        <v>-0.34438650004919252</v>
      </c>
    </row>
    <row r="216" spans="6:9" x14ac:dyDescent="0.55000000000000004">
      <c r="F216" s="49">
        <v>43891</v>
      </c>
      <c r="G216" s="52">
        <v>-5.1880022962112635</v>
      </c>
      <c r="H216" s="52">
        <v>-7.8947368421052699</v>
      </c>
      <c r="I216" s="52">
        <v>13.892180094786724</v>
      </c>
    </row>
    <row r="217" spans="6:9" x14ac:dyDescent="0.55000000000000004">
      <c r="F217" s="49">
        <v>43922</v>
      </c>
      <c r="G217" s="52">
        <v>-9.9523196851585496</v>
      </c>
      <c r="H217" s="52">
        <v>-19.378881987577632</v>
      </c>
      <c r="I217" s="52">
        <v>-11.382748157780664</v>
      </c>
    </row>
    <row r="218" spans="6:9" x14ac:dyDescent="0.55000000000000004">
      <c r="F218" s="49">
        <v>43952</v>
      </c>
      <c r="G218" s="52">
        <v>2.0927887039838584</v>
      </c>
      <c r="H218" s="52">
        <v>8.0123266563944355</v>
      </c>
      <c r="I218" s="52">
        <v>6.4370964586186643</v>
      </c>
    </row>
    <row r="219" spans="6:9" x14ac:dyDescent="0.55000000000000004">
      <c r="F219" s="49">
        <v>43983</v>
      </c>
      <c r="G219" s="52">
        <v>5.0629785132131433</v>
      </c>
      <c r="H219" s="52">
        <v>9.5577746077032852</v>
      </c>
      <c r="I219" s="52">
        <v>0.5974264705882405</v>
      </c>
    </row>
    <row r="220" spans="6:9" x14ac:dyDescent="0.55000000000000004">
      <c r="F220" s="49">
        <v>44013</v>
      </c>
      <c r="G220" s="52">
        <v>3.2440056417489318</v>
      </c>
      <c r="H220" s="52">
        <v>9.2447916666666785</v>
      </c>
      <c r="I220" s="52">
        <v>-0.19186843307447049</v>
      </c>
    </row>
    <row r="221" spans="6:9" x14ac:dyDescent="0.55000000000000004">
      <c r="F221" s="49">
        <v>44044</v>
      </c>
      <c r="G221" s="52">
        <v>2.0795385549483982</v>
      </c>
      <c r="H221" s="52">
        <v>2.7413587604290788</v>
      </c>
      <c r="I221" s="52">
        <v>-2.0322226290735985</v>
      </c>
    </row>
    <row r="222" spans="6:9" x14ac:dyDescent="0.55000000000000004">
      <c r="F222" s="49">
        <v>44075</v>
      </c>
      <c r="G222" s="52">
        <v>1.442379182156132</v>
      </c>
      <c r="H222" s="52">
        <v>2.668213457076563</v>
      </c>
      <c r="I222" s="52">
        <v>-0.10278452625677391</v>
      </c>
    </row>
    <row r="223" spans="6:9" x14ac:dyDescent="0.55000000000000004">
      <c r="F223" s="49">
        <v>44105</v>
      </c>
      <c r="G223" s="52">
        <v>1.4072119613016827</v>
      </c>
      <c r="H223" s="52">
        <v>1.3559322033898338</v>
      </c>
      <c r="I223" s="52">
        <v>1.0663174632868775</v>
      </c>
    </row>
    <row r="224" spans="6:9" x14ac:dyDescent="0.55000000000000004">
      <c r="F224" s="49">
        <v>44136</v>
      </c>
      <c r="G224" s="52">
        <v>-0.33246603064470071</v>
      </c>
      <c r="H224" s="52">
        <v>0.44593088071347986</v>
      </c>
      <c r="I224" s="52">
        <v>-2.9986117538176726</v>
      </c>
    </row>
    <row r="225" spans="6:9" x14ac:dyDescent="0.55000000000000004">
      <c r="F225" s="49">
        <v>44166</v>
      </c>
      <c r="G225" s="52">
        <v>0.21029731689629588</v>
      </c>
      <c r="H225" s="52">
        <v>0.22197558268590772</v>
      </c>
      <c r="I225" s="52">
        <v>6.6787520274776427E-2</v>
      </c>
    </row>
    <row r="226" spans="6:9" x14ac:dyDescent="0.55000000000000004">
      <c r="F226" s="49">
        <v>44197</v>
      </c>
      <c r="G226" s="52">
        <v>0.59338591793906448</v>
      </c>
      <c r="H226" s="52">
        <v>0.55370985603543743</v>
      </c>
      <c r="I226" s="52">
        <v>-1.2490465293668978</v>
      </c>
    </row>
    <row r="227" spans="6:9" x14ac:dyDescent="0.55000000000000004">
      <c r="F227" s="49">
        <v>44228</v>
      </c>
      <c r="G227" s="52">
        <v>1.5034889576289501</v>
      </c>
      <c r="H227" s="52">
        <v>-1.5418502202643078</v>
      </c>
      <c r="I227" s="52">
        <v>-0.28965916771265537</v>
      </c>
    </row>
    <row r="228" spans="6:9" x14ac:dyDescent="0.55000000000000004">
      <c r="F228" s="49">
        <v>44256</v>
      </c>
      <c r="G228" s="52">
        <v>-1.5946137491141037</v>
      </c>
      <c r="H228" s="52">
        <v>-2.2371364653243844</v>
      </c>
      <c r="I228" s="52">
        <v>3.4085407185049004</v>
      </c>
    </row>
    <row r="229" spans="6:9" x14ac:dyDescent="0.55000000000000004">
      <c r="F229" s="49">
        <v>44287</v>
      </c>
      <c r="G229" s="52">
        <v>0.27367662945624449</v>
      </c>
      <c r="H229" s="52">
        <v>-1.4874141876430336</v>
      </c>
      <c r="I229" s="52">
        <v>-2.5657833130443009</v>
      </c>
    </row>
    <row r="230" spans="6:9" x14ac:dyDescent="0.55000000000000004">
      <c r="F230" s="49">
        <v>44317</v>
      </c>
      <c r="G230" s="52">
        <v>3.5911800617691135E-2</v>
      </c>
      <c r="H230" s="52">
        <v>1.2775842044134826</v>
      </c>
      <c r="I230" s="52">
        <v>0.92263334935128105</v>
      </c>
    </row>
    <row r="231" spans="6:9" x14ac:dyDescent="0.55000000000000004">
      <c r="F231" s="49">
        <v>44348</v>
      </c>
      <c r="G231" s="52">
        <v>0.17949454336588169</v>
      </c>
      <c r="H231" s="52">
        <v>-0.57339449541284393</v>
      </c>
      <c r="I231" s="52">
        <v>3.8091610322818818E-2</v>
      </c>
    </row>
    <row r="232" spans="6:9" x14ac:dyDescent="0.55000000000000004">
      <c r="F232" s="49">
        <v>44378</v>
      </c>
      <c r="G232" s="52">
        <v>-0.12183759764924208</v>
      </c>
      <c r="H232" s="52">
        <v>-1.3840830449827022</v>
      </c>
      <c r="I232" s="52">
        <v>0.11423131841980443</v>
      </c>
    </row>
    <row r="233" spans="6:9" x14ac:dyDescent="0.55000000000000004">
      <c r="F233" s="49">
        <v>44409</v>
      </c>
      <c r="G233" s="52">
        <v>0.10045924225027722</v>
      </c>
      <c r="H233" s="52">
        <v>-0.58479532163742687</v>
      </c>
      <c r="I233" s="52">
        <v>-0.94133307977559644</v>
      </c>
    </row>
    <row r="234" spans="6:9" x14ac:dyDescent="0.55000000000000004">
      <c r="F234" s="49">
        <v>44440</v>
      </c>
      <c r="G234" s="52">
        <v>-0.57347670250896876</v>
      </c>
      <c r="H234" s="52">
        <v>-0.47058823529412436</v>
      </c>
      <c r="I234" s="52">
        <v>-0.86388942215396969</v>
      </c>
    </row>
    <row r="235" spans="6:9" x14ac:dyDescent="0.55000000000000004">
      <c r="F235" s="49">
        <v>44470</v>
      </c>
      <c r="G235" s="52">
        <v>5.0468637346807219E-2</v>
      </c>
      <c r="H235" s="52">
        <v>-0.59101654846335705</v>
      </c>
      <c r="I235" s="52">
        <v>2.9047250193649433E-2</v>
      </c>
    </row>
    <row r="236" spans="6:9" x14ac:dyDescent="0.55000000000000004">
      <c r="F236" s="49">
        <v>44501</v>
      </c>
      <c r="G236" s="52">
        <v>0.45398861425379794</v>
      </c>
      <c r="H236" s="52">
        <v>0.11890606420928482</v>
      </c>
      <c r="I236" s="52">
        <v>0.75500919562481961</v>
      </c>
    </row>
    <row r="237" spans="6:9" x14ac:dyDescent="0.55000000000000004">
      <c r="F237" s="49">
        <v>44531</v>
      </c>
      <c r="G237" s="52">
        <v>0.32281205164992011</v>
      </c>
      <c r="H237" s="52">
        <v>2.6128266033254191</v>
      </c>
      <c r="I237" s="52">
        <v>-0.45153232779325475</v>
      </c>
    </row>
    <row r="238" spans="6:9" x14ac:dyDescent="0.55000000000000004">
      <c r="F238" s="49">
        <v>44562</v>
      </c>
      <c r="G238" s="52">
        <v>-0.72935287808364813</v>
      </c>
      <c r="H238" s="52">
        <v>-2.1990740740740802</v>
      </c>
      <c r="I238" s="52">
        <v>0.19301293186642407</v>
      </c>
    </row>
    <row r="239" spans="6:9" x14ac:dyDescent="0.55000000000000004">
      <c r="F239" s="49">
        <v>44593</v>
      </c>
      <c r="G239" s="52">
        <v>0.33854354246200308</v>
      </c>
      <c r="H239" s="52">
        <v>0.71005917159762644</v>
      </c>
      <c r="I239" s="52">
        <v>1.1365825467154758</v>
      </c>
    </row>
  </sheetData>
  <conditionalFormatting sqref="Q10:AB15">
    <cfRule type="cellIs" dxfId="0" priority="3" operator="lessThanOrEqual">
      <formula>0.05</formula>
    </cfRule>
  </conditionalFormatting>
  <pageMargins left="0.511811024" right="0.511811024" top="0.78740157499999996" bottom="0.78740157499999996" header="0.31496062000000002" footer="0.31496062000000002"/>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0AD2E-64D3-469C-912B-7709DB31BF5D}">
  <sheetPr codeName="Planilha37">
    <tabColor theme="9" tint="0.59999389629810485"/>
  </sheetPr>
  <dimension ref="A1:AA21"/>
  <sheetViews>
    <sheetView showGridLines="0" workbookViewId="0"/>
  </sheetViews>
  <sheetFormatPr defaultColWidth="8.796875" defaultRowHeight="18" x14ac:dyDescent="0.55000000000000004"/>
  <cols>
    <col min="1" max="1" width="14" style="17" customWidth="1"/>
    <col min="2" max="2" width="33.6640625" customWidth="1"/>
    <col min="4" max="4" width="8.1328125" bestFit="1" customWidth="1"/>
    <col min="5" max="5" width="4.6640625" customWidth="1"/>
    <col min="6" max="6" width="4.6640625" bestFit="1" customWidth="1"/>
    <col min="7" max="10" width="4.33203125" bestFit="1" customWidth="1"/>
    <col min="12" max="12" width="16.33203125" style="15" customWidth="1"/>
    <col min="13" max="14" width="9" style="15" customWidth="1"/>
    <col min="15" max="20" width="8.796875" style="15"/>
    <col min="21" max="21" width="16.33203125" style="15" customWidth="1"/>
    <col min="22" max="23" width="9" style="15" customWidth="1"/>
    <col min="24" max="27" width="8.796875" style="15"/>
  </cols>
  <sheetData>
    <row r="1" spans="1:27" s="56" customFormat="1" x14ac:dyDescent="0.55000000000000004">
      <c r="A1" s="83" t="s">
        <v>204</v>
      </c>
      <c r="L1" s="57"/>
      <c r="M1" s="57"/>
      <c r="N1" s="57"/>
      <c r="O1" s="57"/>
      <c r="P1" s="57"/>
      <c r="Q1" s="57"/>
      <c r="R1" s="57"/>
      <c r="S1" s="57"/>
      <c r="T1" s="57"/>
      <c r="U1" s="57"/>
      <c r="V1" s="57"/>
      <c r="W1" s="57"/>
      <c r="X1" s="57"/>
      <c r="Y1" s="57"/>
      <c r="Z1" s="57"/>
      <c r="AA1" s="57"/>
    </row>
    <row r="2" spans="1:27" s="56" customFormat="1" x14ac:dyDescent="0.55000000000000004">
      <c r="A2" s="84" t="s">
        <v>260</v>
      </c>
      <c r="L2" s="57"/>
      <c r="M2" s="57"/>
      <c r="N2" s="57"/>
      <c r="O2" s="57"/>
      <c r="P2" s="57"/>
      <c r="Q2" s="57"/>
      <c r="R2" s="57"/>
      <c r="S2" s="57"/>
      <c r="T2" s="57"/>
      <c r="U2" s="57"/>
      <c r="V2" s="57"/>
      <c r="W2" s="57"/>
      <c r="X2" s="57"/>
      <c r="Y2" s="57"/>
      <c r="Z2" s="57"/>
      <c r="AA2" s="57"/>
    </row>
    <row r="4" spans="1:27" ht="15.75" x14ac:dyDescent="0.5">
      <c r="A4" s="2" t="s">
        <v>15</v>
      </c>
      <c r="B4" s="2" t="s">
        <v>16</v>
      </c>
    </row>
    <row r="5" spans="1:27" ht="15.75" x14ac:dyDescent="0.5">
      <c r="A5" s="23" t="s">
        <v>251</v>
      </c>
      <c r="B5" s="24" t="s">
        <v>254</v>
      </c>
    </row>
    <row r="6" spans="1:27" ht="31.5" x14ac:dyDescent="0.5">
      <c r="A6" s="23" t="s">
        <v>252</v>
      </c>
      <c r="B6" s="24" t="s">
        <v>255</v>
      </c>
    </row>
    <row r="7" spans="1:27" ht="31.5" x14ac:dyDescent="0.5">
      <c r="A7" s="23" t="s">
        <v>253</v>
      </c>
      <c r="B7" s="24" t="s">
        <v>256</v>
      </c>
      <c r="L7" s="60" t="s">
        <v>249</v>
      </c>
      <c r="U7" s="60" t="s">
        <v>250</v>
      </c>
    </row>
    <row r="8" spans="1:27" ht="18.399999999999999" thickBot="1" x14ac:dyDescent="0.6">
      <c r="E8" s="82" t="s">
        <v>251</v>
      </c>
      <c r="F8" s="79" t="s">
        <v>244</v>
      </c>
      <c r="G8" s="79" t="s">
        <v>245</v>
      </c>
      <c r="H8" s="79" t="s">
        <v>246</v>
      </c>
      <c r="I8" s="79" t="s">
        <v>247</v>
      </c>
      <c r="J8" s="79" t="s">
        <v>248</v>
      </c>
      <c r="L8" s="11" t="str" cm="1">
        <f t="array" ref="L8:R21">_xlfn.LAMBDA(_xlpm.groupNames,_xlpm.groupVectors,_xlop.significance,
_xlfn.LET(
_xlpm.significance, IF(_xlfn.ISOMITTED(_xlpm.significance), 0.05, _xlpm.significance),
_xlpm.nGroups,LENGTH(_xlpm.groupNames),
_xlpm.nObs, _xlfn.BYCOL(_xlpm.groupVectors,_xlfn.LAMBDA(_xlpm.col, COUNTA(_xlpm.col))),
_xlpm.groupSum, _xlfn.BYCOL(_xlpm.groupVectors,_xlfn.LAMBDA(_xlpm.col, SUM(_xlpm.col))),
_xlpm.groupAverage, _xlfn.BYCOL(_xlpm.groupVectors,_xlfn.LAMBDA(_xlpm.col, AVERAGE(_xlpm.col))),
_xlpm.groupSumSqr, _xlfn.BYCOL(_xlpm.groupVectors,_xlfn.LAMBDA(_xlpm.col, DEVSQ(_xlpm.col))),
_xlpm.groupVar, _xlfn.BYCOL(_xlpm.groupVectors,_xlfn.LAMBDA(_xlpm.col, _xlfn.VAR.S(_xlpm.col))),
_xlpm.SSbetween, SUM( ( _xlpm.groupAverage-AVERAGE(_xlpm.groupAverage) )^2 * _xlpm.nObs ),
_xlpm.SSwithin, SUM( _xlpm.groupSumSqr ),
_xlpm.SStotal, _xlpm.SSbetween + _xlpm.SSwithin,
_xlpm.DFbetween, _xlpm.nGroups - 1,
_xlpm.DFwithin, SUM(_xlpm.nObs) - _xlpm.DFbetween - 1,
_xlpm.DFtotal, _xlpm.DFbetween + _xlpm.DFwithin,
_xlpm.F, ( _xlpm.SSbetween/_xlpm.DFbetween ) / (_xlpm.SSwithin / _xlpm.DFwithin ),
_xlpm.pValue, _xlfn.F.DIST.RT( _xlpm.F, _xlpm.DFbetween, _xlpm.DFwithin ),
_xlpm.Fcrit, _xlfn.F.INV.RT( _xlpm.significance, _xlpm.DFbetween, _xlpm.DFwithin ),
_xlpm.lineANOVA1, {"SUMMARY","","","","","",""},
_xlpm.lineANOVA1lab, {"Groups","Count","Sum","Average","Variance","",""},
_xlpm.lineANOVA1res, _xlfn.HSTACK( VEC(_xlpm.groupNames), VEC(_xlpm.nObs), VEC(_xlpm.groupSum), VEC(_xlpm.groupAverage), VEC(_xlpm.groupVar), REPMAT("",_xlpm.nGroups,2) ),
_xlpm.lineANOVA2, {"","","","","","","";"ANOVA","","","","","","";"Source of variation","SS","df","MS","F","P-value","F-crit"},
_xlpm.lineANOVA2SS, _xlfn.VSTACK( _xlpm.SSbetween, _xlpm.SSwithin, "", _xlpm.SStotal),
_xlpm.lineANOVA2DF, _xlfn.VSTACK( _xlpm.DFbetween, _xlpm.DFwithin, "", _xlpm.DFtotal),
_xlpm.lineANOVA2MS, _xlfn.VSTACK( _xlpm.SSbetween / _xlpm.DFbetween, _xlpm.SSwithin / _xlpm.DFwithin, "", "" ),
_xlpm.lineANOVA2F, _xlfn.VSTACK( _xlpm.F, "", "", "" ),
_xlpm.lineANOVA2p, _xlfn.VSTACK( _xlpm.pValue, "", "", "" ),
_xlpm.lineANOVA2Fcrit, _xlfn.VSTACK( _xlpm.Fcrit, "", "", "" ),
_xlfn.VSTACK( _xlpm.lineANOVA1, _xlpm.lineANOVA1lab, _xlpm.lineANOVA1res, _xlpm.lineANOVA2,
_xlfn.HSTACK( {"Between groups";"Within groups";"";"Total"}, _xlpm.lineANOVA2SS, _xlpm.lineANOVA2DF, _xlpm.lineANOVA2MS, _xlpm.lineANOVA2F, _xlpm.lineANOVA2p, _xlpm.lineANOVA2Fcrit )
)))($F$8:$J8,$F$10:$J$13,$F$15)</f>
        <v>SUMMARY</v>
      </c>
      <c r="M8" s="11" t="str">
        <v/>
      </c>
      <c r="N8" s="10" t="str">
        <v/>
      </c>
      <c r="O8" s="10" t="str">
        <v/>
      </c>
      <c r="P8" s="15" t="str">
        <v/>
      </c>
      <c r="Q8" s="15" t="str">
        <v/>
      </c>
      <c r="R8" s="15" t="str">
        <v/>
      </c>
      <c r="T8" s="53"/>
      <c r="U8" s="11" t="str" cm="1">
        <f t="array" ref="U8:AA21">ANOVA($F$8:$J8,$F$10:$J$13,$F$15)</f>
        <v>SUMMARY</v>
      </c>
      <c r="V8" s="11" t="str">
        <v/>
      </c>
      <c r="W8" s="10" t="str">
        <v/>
      </c>
      <c r="X8" s="10" t="str">
        <v/>
      </c>
      <c r="Y8" s="15" t="str">
        <v/>
      </c>
      <c r="Z8" s="15" t="str">
        <v/>
      </c>
      <c r="AA8" s="15" t="str">
        <v/>
      </c>
    </row>
    <row r="9" spans="1:27" x14ac:dyDescent="0.55000000000000004">
      <c r="L9" s="72" t="str">
        <v>Groups</v>
      </c>
      <c r="M9" s="73" t="str">
        <v>Count</v>
      </c>
      <c r="N9" s="72" t="str">
        <v>Sum</v>
      </c>
      <c r="O9" s="74" t="str">
        <v>Average</v>
      </c>
      <c r="P9" s="75" t="str">
        <v>Variance</v>
      </c>
      <c r="Q9" s="15" t="str">
        <v/>
      </c>
      <c r="R9" s="15" t="str">
        <v/>
      </c>
      <c r="U9" s="72" t="str">
        <v>Groups</v>
      </c>
      <c r="V9" s="73" t="str">
        <v>Count</v>
      </c>
      <c r="W9" s="72" t="str">
        <v>Sum</v>
      </c>
      <c r="X9" s="74" t="str">
        <v>Average</v>
      </c>
      <c r="Y9" s="75" t="str">
        <v>Variance</v>
      </c>
      <c r="Z9" s="15" t="str">
        <v/>
      </c>
      <c r="AA9" s="15" t="str">
        <v/>
      </c>
    </row>
    <row r="10" spans="1:27" x14ac:dyDescent="0.55000000000000004">
      <c r="E10" s="82" t="s">
        <v>252</v>
      </c>
      <c r="F10" s="80">
        <v>11.8</v>
      </c>
      <c r="G10" s="80">
        <v>12.2</v>
      </c>
      <c r="H10" s="80">
        <v>12.7</v>
      </c>
      <c r="I10" s="80">
        <v>11.8</v>
      </c>
      <c r="J10" s="80">
        <v>12.1</v>
      </c>
      <c r="L10" s="11" t="str">
        <v>A</v>
      </c>
      <c r="M10" s="64">
        <v>4</v>
      </c>
      <c r="N10" s="11">
        <v>47.600000000000009</v>
      </c>
      <c r="O10" s="63">
        <v>11.900000000000002</v>
      </c>
      <c r="P10" s="86">
        <v>0.28000000000000025</v>
      </c>
      <c r="Q10" s="15" t="str">
        <v/>
      </c>
      <c r="R10" s="15" t="str">
        <v/>
      </c>
      <c r="U10" s="11" t="str">
        <v>A</v>
      </c>
      <c r="V10" s="64">
        <v>4</v>
      </c>
      <c r="W10" s="11">
        <v>47.600000000000009</v>
      </c>
      <c r="X10" s="63">
        <v>11.900000000000002</v>
      </c>
      <c r="Y10" s="86">
        <v>0.28000000000000025</v>
      </c>
      <c r="Z10" s="15" t="str">
        <v/>
      </c>
      <c r="AA10" s="15" t="str">
        <v/>
      </c>
    </row>
    <row r="11" spans="1:27" ht="18.75" customHeight="1" x14ac:dyDescent="0.55000000000000004">
      <c r="F11" s="80">
        <v>12.4</v>
      </c>
      <c r="G11" s="80">
        <v>12.7</v>
      </c>
      <c r="H11" s="80">
        <v>11.9</v>
      </c>
      <c r="I11" s="80">
        <v>11</v>
      </c>
      <c r="J11" s="80">
        <v>12.8</v>
      </c>
      <c r="L11" s="11" t="str">
        <v>B</v>
      </c>
      <c r="M11" s="64">
        <v>4</v>
      </c>
      <c r="N11" s="11">
        <v>50.5</v>
      </c>
      <c r="O11" s="63">
        <v>12.625</v>
      </c>
      <c r="P11" s="86">
        <v>0.18916666666666648</v>
      </c>
      <c r="Q11" s="15" t="str">
        <v/>
      </c>
      <c r="R11" s="15" t="str">
        <v/>
      </c>
      <c r="U11" s="11" t="str">
        <v>B</v>
      </c>
      <c r="V11" s="64">
        <v>4</v>
      </c>
      <c r="W11" s="11">
        <v>50.5</v>
      </c>
      <c r="X11" s="63">
        <v>12.625</v>
      </c>
      <c r="Y11" s="86">
        <v>0.18916666666666648</v>
      </c>
      <c r="Z11" s="15" t="str">
        <v/>
      </c>
      <c r="AA11" s="15" t="str">
        <v/>
      </c>
    </row>
    <row r="12" spans="1:27" x14ac:dyDescent="0.55000000000000004">
      <c r="D12" s="55"/>
      <c r="F12" s="80">
        <v>11.2</v>
      </c>
      <c r="G12" s="80">
        <v>12.4</v>
      </c>
      <c r="H12" s="80">
        <v>11.7</v>
      </c>
      <c r="I12" s="80">
        <v>11.5</v>
      </c>
      <c r="J12" s="80">
        <v>13.2</v>
      </c>
      <c r="K12" s="61"/>
      <c r="L12" s="11" t="str">
        <v>C</v>
      </c>
      <c r="M12" s="64">
        <v>4</v>
      </c>
      <c r="N12" s="10">
        <v>48.8</v>
      </c>
      <c r="O12" s="63">
        <v>12.2</v>
      </c>
      <c r="P12" s="86">
        <v>0.2266666666666666</v>
      </c>
      <c r="Q12" s="15" t="str">
        <v/>
      </c>
      <c r="R12" s="15" t="str">
        <v/>
      </c>
      <c r="U12" s="11" t="str">
        <v>C</v>
      </c>
      <c r="V12" s="64">
        <v>4</v>
      </c>
      <c r="W12" s="10">
        <v>48.8</v>
      </c>
      <c r="X12" s="63">
        <v>12.2</v>
      </c>
      <c r="Y12" s="86">
        <v>0.2266666666666666</v>
      </c>
      <c r="Z12" s="15" t="str">
        <v/>
      </c>
      <c r="AA12" s="15" t="str">
        <v/>
      </c>
    </row>
    <row r="13" spans="1:27" x14ac:dyDescent="0.55000000000000004">
      <c r="D13" s="55"/>
      <c r="F13" s="80">
        <v>12.2</v>
      </c>
      <c r="G13" s="80">
        <v>13.2</v>
      </c>
      <c r="H13" s="80">
        <v>12.5</v>
      </c>
      <c r="I13" s="80">
        <v>11.1</v>
      </c>
      <c r="J13" s="80">
        <v>12.3</v>
      </c>
      <c r="K13" s="61"/>
      <c r="L13" s="11" t="str">
        <v>D</v>
      </c>
      <c r="M13" s="64">
        <v>4</v>
      </c>
      <c r="N13" s="10">
        <v>45.4</v>
      </c>
      <c r="O13" s="63">
        <v>11.35</v>
      </c>
      <c r="P13" s="86">
        <v>0.13666666666666696</v>
      </c>
      <c r="Q13" s="15" t="str">
        <v/>
      </c>
      <c r="R13" s="15" t="str">
        <v/>
      </c>
      <c r="U13" s="11" t="str">
        <v>D</v>
      </c>
      <c r="V13" s="64">
        <v>4</v>
      </c>
      <c r="W13" s="10">
        <v>45.4</v>
      </c>
      <c r="X13" s="63">
        <v>11.35</v>
      </c>
      <c r="Y13" s="86">
        <v>0.13666666666666696</v>
      </c>
      <c r="Z13" s="15" t="str">
        <v/>
      </c>
      <c r="AA13" s="15" t="str">
        <v/>
      </c>
    </row>
    <row r="14" spans="1:27" ht="18.399999999999999" thickBot="1" x14ac:dyDescent="0.6">
      <c r="K14" s="61"/>
      <c r="L14" s="65" t="str">
        <v>E</v>
      </c>
      <c r="M14" s="78">
        <v>4</v>
      </c>
      <c r="N14" s="66">
        <v>50.399999999999991</v>
      </c>
      <c r="O14" s="88">
        <v>12.599999999999998</v>
      </c>
      <c r="P14" s="87">
        <v>0.24666666666666645</v>
      </c>
      <c r="Q14" s="15" t="str">
        <v/>
      </c>
      <c r="R14" s="15" t="str">
        <v/>
      </c>
      <c r="U14" s="65" t="str">
        <v>E</v>
      </c>
      <c r="V14" s="78">
        <v>4</v>
      </c>
      <c r="W14" s="66">
        <v>50.399999999999991</v>
      </c>
      <c r="X14" s="88">
        <v>12.599999999999998</v>
      </c>
      <c r="Y14" s="87">
        <v>0.24666666666666645</v>
      </c>
      <c r="Z14" s="15" t="str">
        <v/>
      </c>
      <c r="AA14" s="15" t="str">
        <v/>
      </c>
    </row>
    <row r="15" spans="1:27" x14ac:dyDescent="0.55000000000000004">
      <c r="E15" s="82" t="s">
        <v>257</v>
      </c>
      <c r="F15" s="81">
        <v>0.05</v>
      </c>
      <c r="K15" s="61"/>
      <c r="L15" s="11" t="str">
        <v/>
      </c>
      <c r="M15" s="11" t="str">
        <v/>
      </c>
      <c r="N15" s="10" t="str">
        <v/>
      </c>
      <c r="O15" s="10" t="str">
        <v/>
      </c>
      <c r="P15" s="15" t="str">
        <v/>
      </c>
      <c r="Q15" s="15" t="str">
        <v/>
      </c>
      <c r="R15" s="15" t="str">
        <v/>
      </c>
      <c r="U15" s="11" t="str">
        <v/>
      </c>
      <c r="V15" s="11" t="str">
        <v/>
      </c>
      <c r="W15" s="10" t="str">
        <v/>
      </c>
      <c r="X15" s="10" t="str">
        <v/>
      </c>
      <c r="Y15" s="15" t="str">
        <v/>
      </c>
      <c r="Z15" s="15" t="str">
        <v/>
      </c>
      <c r="AA15" s="15" t="str">
        <v/>
      </c>
    </row>
    <row r="16" spans="1:27" ht="18.399999999999999" thickBot="1" x14ac:dyDescent="0.6">
      <c r="K16" s="61"/>
      <c r="L16" s="65" t="str">
        <v>ANOVA</v>
      </c>
      <c r="M16" s="65" t="str">
        <v/>
      </c>
      <c r="N16" s="66" t="str">
        <v/>
      </c>
      <c r="O16" s="66" t="str">
        <v/>
      </c>
      <c r="P16" s="67" t="str">
        <v/>
      </c>
      <c r="Q16" s="67" t="str">
        <v/>
      </c>
      <c r="R16" s="67" t="str">
        <v/>
      </c>
      <c r="U16" s="65" t="str">
        <v>ANOVA</v>
      </c>
      <c r="V16" s="65" t="str">
        <v/>
      </c>
      <c r="W16" s="66" t="str">
        <v/>
      </c>
      <c r="X16" s="66" t="str">
        <v/>
      </c>
      <c r="Y16" s="67" t="str">
        <v/>
      </c>
      <c r="Z16" s="67" t="str">
        <v/>
      </c>
      <c r="AA16" s="67" t="str">
        <v/>
      </c>
    </row>
    <row r="17" spans="1:27" ht="14.25" x14ac:dyDescent="0.45">
      <c r="A17" t="s">
        <v>261</v>
      </c>
      <c r="K17" s="61"/>
      <c r="L17" s="69" t="str">
        <v>Source of variation</v>
      </c>
      <c r="M17" s="70" t="str">
        <v>SS</v>
      </c>
      <c r="N17" s="71" t="str">
        <v>df</v>
      </c>
      <c r="O17" s="71" t="str">
        <v>MS</v>
      </c>
      <c r="P17" s="70" t="str">
        <v>F</v>
      </c>
      <c r="Q17" s="70" t="str">
        <v>P-value</v>
      </c>
      <c r="R17" s="70" t="str">
        <v>F-crit</v>
      </c>
      <c r="U17" s="69" t="str">
        <v>Source of variation</v>
      </c>
      <c r="V17" s="70" t="str">
        <v>SS</v>
      </c>
      <c r="W17" s="71" t="str">
        <v>df</v>
      </c>
      <c r="X17" s="71" t="str">
        <v>MS</v>
      </c>
      <c r="Y17" s="70" t="str">
        <v>F</v>
      </c>
      <c r="Z17" s="70" t="str">
        <v>P-value</v>
      </c>
      <c r="AA17" s="70" t="str">
        <v>F-crit</v>
      </c>
    </row>
    <row r="18" spans="1:27" ht="14.25" x14ac:dyDescent="0.45">
      <c r="A18" s="85" t="s">
        <v>262</v>
      </c>
      <c r="K18" s="61"/>
      <c r="L18" s="76" t="str">
        <v>Between groups</v>
      </c>
      <c r="M18" s="62">
        <v>4.5279999999999898</v>
      </c>
      <c r="N18" s="15">
        <v>4</v>
      </c>
      <c r="O18" s="15">
        <v>1.1319999999999975</v>
      </c>
      <c r="P18" s="62">
        <v>5.2447876447876327</v>
      </c>
      <c r="Q18" s="62">
        <v>7.5951223343263662E-3</v>
      </c>
      <c r="R18" s="62">
        <v>3.055568275906595</v>
      </c>
      <c r="U18" s="76" t="str">
        <v>Between groups</v>
      </c>
      <c r="V18" s="62">
        <v>4.5279999999999898</v>
      </c>
      <c r="W18" s="15">
        <v>4</v>
      </c>
      <c r="X18" s="15">
        <v>1.1319999999999975</v>
      </c>
      <c r="Y18" s="62">
        <v>5.2447876447876327</v>
      </c>
      <c r="Z18" s="62">
        <v>7.5951223343263662E-3</v>
      </c>
      <c r="AA18" s="62">
        <v>3.055568275906595</v>
      </c>
    </row>
    <row r="19" spans="1:27" x14ac:dyDescent="0.55000000000000004">
      <c r="K19" s="61"/>
      <c r="L19" s="76" t="str">
        <v>Within groups</v>
      </c>
      <c r="M19" s="62">
        <v>3.2375000000000003</v>
      </c>
      <c r="N19" s="15">
        <v>15</v>
      </c>
      <c r="O19" s="62">
        <v>0.21583333333333335</v>
      </c>
      <c r="P19" s="15" t="str">
        <v/>
      </c>
      <c r="Q19" s="15" t="str">
        <v/>
      </c>
      <c r="R19" s="15" t="str">
        <v/>
      </c>
      <c r="U19" s="76" t="str">
        <v>Within groups</v>
      </c>
      <c r="V19" s="62">
        <v>3.2375000000000003</v>
      </c>
      <c r="W19" s="15">
        <v>15</v>
      </c>
      <c r="X19" s="62">
        <v>0.21583333333333335</v>
      </c>
      <c r="Y19" s="15" t="str">
        <v/>
      </c>
      <c r="Z19" s="15" t="str">
        <v/>
      </c>
      <c r="AA19" s="15" t="str">
        <v/>
      </c>
    </row>
    <row r="20" spans="1:27" x14ac:dyDescent="0.55000000000000004">
      <c r="K20" s="61"/>
      <c r="L20" s="76" t="str">
        <v/>
      </c>
      <c r="M20" s="62" t="str">
        <v/>
      </c>
      <c r="N20" s="15" t="str">
        <v/>
      </c>
      <c r="O20" s="15" t="str">
        <v/>
      </c>
      <c r="P20" s="15" t="str">
        <v/>
      </c>
      <c r="Q20" s="15" t="str">
        <v/>
      </c>
      <c r="R20" s="15" t="str">
        <v/>
      </c>
      <c r="U20" s="76" t="str">
        <v/>
      </c>
      <c r="V20" s="62" t="str">
        <v/>
      </c>
      <c r="W20" s="15" t="str">
        <v/>
      </c>
      <c r="X20" s="15" t="str">
        <v/>
      </c>
      <c r="Y20" s="15" t="str">
        <v/>
      </c>
      <c r="Z20" s="15" t="str">
        <v/>
      </c>
      <c r="AA20" s="15" t="str">
        <v/>
      </c>
    </row>
    <row r="21" spans="1:27" ht="18.399999999999999" thickBot="1" x14ac:dyDescent="0.6">
      <c r="K21" s="61"/>
      <c r="L21" s="77" t="str">
        <v>Total</v>
      </c>
      <c r="M21" s="68">
        <v>7.7654999999999905</v>
      </c>
      <c r="N21" s="67">
        <v>19</v>
      </c>
      <c r="O21" s="67" t="str">
        <v/>
      </c>
      <c r="P21" s="67" t="str">
        <v/>
      </c>
      <c r="Q21" s="67" t="str">
        <v/>
      </c>
      <c r="R21" s="67" t="str">
        <v/>
      </c>
      <c r="U21" s="77" t="str">
        <v>Total</v>
      </c>
      <c r="V21" s="68">
        <v>7.7654999999999905</v>
      </c>
      <c r="W21" s="67">
        <v>19</v>
      </c>
      <c r="X21" s="67" t="str">
        <v/>
      </c>
      <c r="Y21" s="67" t="str">
        <v/>
      </c>
      <c r="Z21" s="67" t="str">
        <v/>
      </c>
      <c r="AA21" s="67" t="str">
        <v/>
      </c>
    </row>
  </sheetData>
  <hyperlinks>
    <hyperlink ref="A18" r:id="rId1" xr:uid="{C9BB9993-BD6D-4479-A548-F0F44F532229}"/>
  </hyperlinks>
  <pageMargins left="0.511811024" right="0.511811024" top="0.78740157499999996" bottom="0.78740157499999996" header="0.31496062000000002" footer="0.31496062000000002"/>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038B-07AD-4CB3-8A78-7C1768ECBA98}">
  <sheetPr codeName="Planilha38">
    <tabColor theme="9" tint="0.59999389629810485"/>
  </sheetPr>
  <dimension ref="A1:AD95"/>
  <sheetViews>
    <sheetView showGridLines="0" zoomScale="85" zoomScaleNormal="85" workbookViewId="0"/>
  </sheetViews>
  <sheetFormatPr defaultColWidth="8.796875" defaultRowHeight="18" x14ac:dyDescent="0.55000000000000004"/>
  <cols>
    <col min="1" max="1" width="18.796875" style="17" customWidth="1"/>
    <col min="2" max="2" width="36.796875" customWidth="1"/>
    <col min="4" max="4" width="44.33203125" bestFit="1" customWidth="1"/>
    <col min="5" max="5" width="4.6640625" customWidth="1"/>
    <col min="6" max="7" width="7.1328125" bestFit="1" customWidth="1"/>
    <col min="8" max="8" width="9.33203125" bestFit="1" customWidth="1"/>
    <col min="9" max="11" width="12.33203125" bestFit="1" customWidth="1"/>
    <col min="12" max="12" width="15.1328125" bestFit="1" customWidth="1"/>
    <col min="13" max="13" width="18.6640625" customWidth="1"/>
    <col min="14" max="14" width="19" customWidth="1"/>
    <col min="16" max="21" width="9" style="15" customWidth="1"/>
    <col min="22" max="22" width="8.33203125" style="15" customWidth="1"/>
    <col min="23" max="30" width="8.796875" style="15"/>
  </cols>
  <sheetData>
    <row r="1" spans="1:30" x14ac:dyDescent="0.55000000000000004">
      <c r="A1" s="16" t="s">
        <v>205</v>
      </c>
      <c r="P1" s="14"/>
      <c r="Q1" s="14"/>
      <c r="R1" s="14"/>
      <c r="S1" s="14"/>
      <c r="T1" s="14"/>
      <c r="U1" s="14"/>
      <c r="V1" s="14"/>
      <c r="W1" s="14"/>
      <c r="X1" s="14"/>
      <c r="Y1" s="14"/>
      <c r="Z1" s="14"/>
      <c r="AA1" s="14"/>
      <c r="AB1" s="14"/>
      <c r="AC1" s="14"/>
      <c r="AD1" s="14"/>
    </row>
    <row r="2" spans="1:30" x14ac:dyDescent="0.55000000000000004">
      <c r="A2" s="17" t="s">
        <v>206</v>
      </c>
      <c r="P2" s="14"/>
      <c r="Q2" s="14"/>
      <c r="R2" s="14"/>
      <c r="S2" s="14"/>
      <c r="T2" s="14"/>
      <c r="U2" s="14"/>
      <c r="V2" s="14"/>
      <c r="W2" s="14"/>
      <c r="X2" s="14"/>
      <c r="Y2" s="14"/>
      <c r="Z2" s="14"/>
      <c r="AA2" s="14"/>
      <c r="AB2" s="14"/>
      <c r="AC2" s="14"/>
      <c r="AD2" s="14"/>
    </row>
    <row r="4" spans="1:30" ht="15.75" x14ac:dyDescent="0.5">
      <c r="A4" s="2" t="s">
        <v>15</v>
      </c>
      <c r="B4" s="2" t="s">
        <v>16</v>
      </c>
    </row>
    <row r="5" spans="1:30" ht="15.75" x14ac:dyDescent="0.5">
      <c r="A5" s="23" t="s">
        <v>165</v>
      </c>
      <c r="B5" s="24" t="s">
        <v>856</v>
      </c>
    </row>
    <row r="6" spans="1:30" ht="15.75" x14ac:dyDescent="0.5">
      <c r="A6" s="23" t="s">
        <v>207</v>
      </c>
      <c r="B6" s="24" t="s">
        <v>208</v>
      </c>
    </row>
    <row r="7" spans="1:30" ht="15.75" x14ac:dyDescent="0.5">
      <c r="A7" s="23" t="s">
        <v>209</v>
      </c>
      <c r="B7" s="24" t="s">
        <v>210</v>
      </c>
    </row>
    <row r="8" spans="1:30" ht="31.5" x14ac:dyDescent="0.45">
      <c r="A8" s="23" t="s">
        <v>227</v>
      </c>
      <c r="B8" s="26" t="s">
        <v>240</v>
      </c>
    </row>
    <row r="9" spans="1:30" ht="31.5" x14ac:dyDescent="0.45">
      <c r="A9" s="23" t="s">
        <v>241</v>
      </c>
      <c r="B9" s="26" t="s">
        <v>263</v>
      </c>
    </row>
    <row r="10" spans="1:30" ht="63" x14ac:dyDescent="0.45">
      <c r="A10" s="23" t="s">
        <v>380</v>
      </c>
      <c r="B10" s="26" t="s">
        <v>381</v>
      </c>
    </row>
    <row r="11" spans="1:30" ht="47.25" x14ac:dyDescent="0.45">
      <c r="A11" s="23" t="s">
        <v>1086</v>
      </c>
      <c r="B11" s="26" t="s">
        <v>1087</v>
      </c>
    </row>
    <row r="12" spans="1:30" x14ac:dyDescent="0.55000000000000004">
      <c r="D12" s="1" t="s">
        <v>17</v>
      </c>
      <c r="G12" s="13" t="s">
        <v>165</v>
      </c>
      <c r="H12" s="13" t="s">
        <v>207</v>
      </c>
      <c r="I12" s="13" t="s">
        <v>209</v>
      </c>
      <c r="J12" s="13" t="s">
        <v>227</v>
      </c>
      <c r="K12" s="13" t="s">
        <v>241</v>
      </c>
      <c r="L12" s="13" t="s">
        <v>380</v>
      </c>
      <c r="M12" s="13" t="s">
        <v>1086</v>
      </c>
      <c r="P12" s="60" t="s">
        <v>249</v>
      </c>
      <c r="U12" s="89" t="s">
        <v>250</v>
      </c>
    </row>
    <row r="13" spans="1:30" ht="18.75" customHeight="1" x14ac:dyDescent="0.55000000000000004">
      <c r="D13" t="s">
        <v>176</v>
      </c>
      <c r="F13" s="49">
        <v>37257</v>
      </c>
      <c r="G13" s="52">
        <v>72.400000000000006</v>
      </c>
      <c r="H13" s="54">
        <v>3</v>
      </c>
      <c r="I13" s="54" t="b">
        <v>1</v>
      </c>
      <c r="J13" s="54" t="b">
        <v>1</v>
      </c>
      <c r="K13" s="54" t="b">
        <v>0</v>
      </c>
      <c r="L13" s="54" t="b">
        <v>0</v>
      </c>
      <c r="M13" s="54" t="b">
        <v>1</v>
      </c>
      <c r="P13" s="53" t="e" cm="1">
        <f t="array" ref="P13:R30">_xlfn.LAMBDA(_xlpm.values,_xlop.nLags,_xlop.fillWithNA,_xlop.allLags,_xlop.descending,_xlop.headerFirstRow,_xlop.sameLagsTogether,
_xlfn.LET(
_xlpm.nLags, IF(_xlfn.ISOMITTED(_xlpm.nLags), 1, _xlpm.nLags),
_xlpm.fillWithNA, IF(_xlfn.ISOMITTED(_xlpm.fillWithNA), TRUE, _xlpm.fillWithNA ),
_xlpm.allLags, IF(_xlfn.ISOMITTED(_xlpm.allLags), FALSE,_xlpm.allLags),
_xlpm.descending, IF(_xlfn.ISOMITTED(_xlpm.descending), FALSE, _xlpm.descending),
_xlpm.headerFirstRow, IF(_xlfn.ISOMITTED(_xlpm.headerFirstRow), FALSE, _xlpm.headerFirstRow),
_xlpm.sameLagsTogether, IF(_xlfn.ISOMITTED(_xlpm.sameLagsTogether), TRUE, _xlpm.sameLagsTogether),
_xlpm.nCols, COLUMNS(_xlpm.values),
_xlpm.headers,IF(_xlpm.headerFirstRow, REPMAT(SLICE(_xlpm.values,1,1) &amp; "_LAG", 1, _xlpm.nLags * LARGE(1*_xlpm.allLags, 1)) &amp; FLIPLR(REPMAT(_xlfn.SEQUENCE(1,_xlpm.nLags * LARGE(1*_xlpm.allLags, 1)),1,_xlpm.nCols, TRUE), _xlpm.nCols), FALSE),
_xlpm.values,IF(_xlpm.headerFirstRow,SLICE(_xlpm.values,2,-1),_xlpm.values),
_xlpm.resultMatrix,
IF( OR( _xlpm.allLags = FALSE, _xlpm.nLags = 1),
IF(_xlpm.fillWithNA,
_xlfn.VSTACK( NA()*ONES(_xlpm.nLags,_xlpm.nCols), SLICE(_xlpm.values,1,-_xlpm.nLags-1) ),
SLICE(_xlpm.values,1,-_xlpm.nLags-1)
),
IF(_xlpm.fillWithNA,
_xlfn.HSTACK( _xlfn.VSTACK( NA()*ONES(_xlpm.nLags,_xlpm.nCols), SLICE(_xlpm.values,1,-_xlpm.nLags-1) ), LAG(_xlpm.values,_xlpm.nLags-1,_xlpm.fillWithNA,_xlpm.allLags,TRUE) ),
_xlfn.HSTACK(SLICE(_xlpm.values,1,-_xlpm.nLags-1), LAG(_xlpm.values,_xlpm.nLags-1,_xlpm.fillWithNA,_xlpm.allLags,TRUE) )
)),
_xlpm.resultMatrixHeaders, IF(_xlpm.headerFirstRow,_xlfn.VSTACK(_xlpm.headers, _xlpm.resultMatrix), _xlpm.resultMatrix),
_xlpm.resultOrder, IF(_xlpm.descending,_xlpm.resultMatrixHeaders,FLIPLR(_xlpm.resultMatrixHeaders, _xlpm.nCols)),
IF(_xlpm.sameLagsTogether, _xlpm.resultOrder, _xlfn.CHOOSECOLS(_xlpm.resultOrder, EVERY(1,_xlpm.nLags*_xlpm.nCols,_xlpm.nCols)))
))($G$13:$G$30,$H$13,$I$13,$J$13,$K$13,$L$13,$M$13)</f>
        <v>#N/A</v>
      </c>
      <c r="Q13" s="53" t="e">
        <v>#N/A</v>
      </c>
      <c r="R13" s="53" t="e">
        <v>#N/A</v>
      </c>
      <c r="S13" s="53"/>
      <c r="T13" s="53"/>
      <c r="U13" s="53" t="e" cm="1">
        <f t="array" ref="U13:W30">LAG($G$13:$G$30,$H$13,$I$13,$J$13,$K$13,$L$13,$M$13)</f>
        <v>#N/A</v>
      </c>
      <c r="V13" s="15" t="e">
        <v>#N/A</v>
      </c>
      <c r="W13" s="15" t="e">
        <v>#N/A</v>
      </c>
    </row>
    <row r="14" spans="1:30" x14ac:dyDescent="0.55000000000000004">
      <c r="D14" t="s">
        <v>177</v>
      </c>
      <c r="F14" s="49">
        <v>37288</v>
      </c>
      <c r="G14" s="52">
        <v>69.7</v>
      </c>
      <c r="P14" s="53">
        <v>72.400000000000006</v>
      </c>
      <c r="Q14" s="53" t="e">
        <v>#N/A</v>
      </c>
      <c r="R14" s="53" t="e">
        <v>#N/A</v>
      </c>
      <c r="S14" s="53"/>
      <c r="T14" s="53"/>
      <c r="U14" s="53">
        <v>72.400000000000006</v>
      </c>
      <c r="V14" s="15" t="e">
        <v>#N/A</v>
      </c>
      <c r="W14" s="15" t="e">
        <v>#N/A</v>
      </c>
    </row>
    <row r="15" spans="1:30" x14ac:dyDescent="0.55000000000000004">
      <c r="D15" t="s">
        <v>155</v>
      </c>
      <c r="F15" s="49">
        <v>37316</v>
      </c>
      <c r="G15" s="52">
        <v>77.400000000000006</v>
      </c>
      <c r="P15" s="53">
        <v>69.7</v>
      </c>
      <c r="Q15" s="53">
        <v>72.400000000000006</v>
      </c>
      <c r="R15" s="53" t="e">
        <v>#N/A</v>
      </c>
      <c r="S15" s="53"/>
      <c r="T15" s="53"/>
      <c r="U15" s="53">
        <v>69.7</v>
      </c>
      <c r="V15" s="15">
        <v>72.400000000000006</v>
      </c>
      <c r="W15" s="15" t="e">
        <v>#N/A</v>
      </c>
    </row>
    <row r="16" spans="1:30" x14ac:dyDescent="0.55000000000000004">
      <c r="D16" s="55"/>
      <c r="F16" s="49">
        <v>37347</v>
      </c>
      <c r="G16" s="52">
        <v>79.599999999999994</v>
      </c>
      <c r="P16" s="53">
        <v>77.400000000000006</v>
      </c>
      <c r="Q16" s="53">
        <v>69.7</v>
      </c>
      <c r="R16" s="53">
        <v>72.400000000000006</v>
      </c>
      <c r="S16" s="53"/>
      <c r="T16" s="53"/>
      <c r="U16" s="53">
        <v>77.400000000000006</v>
      </c>
      <c r="V16" s="15">
        <v>69.7</v>
      </c>
      <c r="W16" s="15">
        <v>72.400000000000006</v>
      </c>
    </row>
    <row r="17" spans="4:23" x14ac:dyDescent="0.55000000000000004">
      <c r="D17" s="55"/>
      <c r="F17" s="49">
        <v>37377</v>
      </c>
      <c r="G17" s="52">
        <v>80.400000000000006</v>
      </c>
      <c r="P17" s="53">
        <v>79.599999999999994</v>
      </c>
      <c r="Q17" s="53">
        <v>77.400000000000006</v>
      </c>
      <c r="R17" s="53">
        <v>69.7</v>
      </c>
      <c r="S17" s="53"/>
      <c r="T17" s="53"/>
      <c r="U17" s="53">
        <v>79.599999999999994</v>
      </c>
      <c r="V17" s="15">
        <v>77.400000000000006</v>
      </c>
      <c r="W17" s="15">
        <v>69.7</v>
      </c>
    </row>
    <row r="18" spans="4:23" x14ac:dyDescent="0.55000000000000004">
      <c r="F18" s="49">
        <v>37408</v>
      </c>
      <c r="G18" s="52">
        <v>77.5</v>
      </c>
      <c r="P18" s="53">
        <v>80.400000000000006</v>
      </c>
      <c r="Q18" s="53">
        <v>79.599999999999994</v>
      </c>
      <c r="R18" s="53">
        <v>77.400000000000006</v>
      </c>
      <c r="S18" s="53"/>
      <c r="T18" s="53"/>
      <c r="U18" s="53">
        <v>80.400000000000006</v>
      </c>
      <c r="V18" s="15">
        <v>79.599999999999994</v>
      </c>
      <c r="W18" s="15">
        <v>77.400000000000006</v>
      </c>
    </row>
    <row r="19" spans="4:23" x14ac:dyDescent="0.55000000000000004">
      <c r="F19" s="49">
        <v>37438</v>
      </c>
      <c r="G19" s="52">
        <v>83.3</v>
      </c>
      <c r="P19" s="53">
        <v>77.5</v>
      </c>
      <c r="Q19" s="53">
        <v>80.400000000000006</v>
      </c>
      <c r="R19" s="53">
        <v>79.599999999999994</v>
      </c>
      <c r="S19" s="53"/>
      <c r="T19" s="53"/>
      <c r="U19" s="53">
        <v>77.5</v>
      </c>
      <c r="V19" s="15">
        <v>80.400000000000006</v>
      </c>
      <c r="W19" s="15">
        <v>79.599999999999994</v>
      </c>
    </row>
    <row r="20" spans="4:23" x14ac:dyDescent="0.55000000000000004">
      <c r="F20" s="49">
        <v>37469</v>
      </c>
      <c r="G20" s="52">
        <v>83.6</v>
      </c>
      <c r="P20" s="53">
        <v>83.3</v>
      </c>
      <c r="Q20" s="53">
        <v>77.5</v>
      </c>
      <c r="R20" s="53">
        <v>80.400000000000006</v>
      </c>
      <c r="S20" s="53"/>
      <c r="T20" s="53"/>
      <c r="U20" s="53">
        <v>83.3</v>
      </c>
      <c r="V20" s="15">
        <v>77.5</v>
      </c>
      <c r="W20" s="15">
        <v>80.400000000000006</v>
      </c>
    </row>
    <row r="21" spans="4:23" x14ac:dyDescent="0.55000000000000004">
      <c r="F21" s="49">
        <v>37500</v>
      </c>
      <c r="G21" s="52">
        <v>82.1</v>
      </c>
      <c r="P21" s="53">
        <v>83.6</v>
      </c>
      <c r="Q21" s="53">
        <v>83.3</v>
      </c>
      <c r="R21" s="53">
        <v>77.5</v>
      </c>
      <c r="S21" s="53"/>
      <c r="T21" s="53"/>
      <c r="U21" s="53">
        <v>83.6</v>
      </c>
      <c r="V21" s="15">
        <v>83.3</v>
      </c>
      <c r="W21" s="15">
        <v>77.5</v>
      </c>
    </row>
    <row r="22" spans="4:23" x14ac:dyDescent="0.55000000000000004">
      <c r="F22" s="49">
        <v>37530</v>
      </c>
      <c r="G22" s="52">
        <v>89.2</v>
      </c>
      <c r="P22" s="53">
        <v>82.1</v>
      </c>
      <c r="Q22" s="53">
        <v>83.6</v>
      </c>
      <c r="R22" s="53">
        <v>83.3</v>
      </c>
      <c r="S22" s="53"/>
      <c r="T22" s="53"/>
      <c r="U22" s="53">
        <v>82.1</v>
      </c>
      <c r="V22" s="15">
        <v>83.6</v>
      </c>
      <c r="W22" s="15">
        <v>83.3</v>
      </c>
    </row>
    <row r="23" spans="4:23" x14ac:dyDescent="0.55000000000000004">
      <c r="F23" s="49">
        <v>37561</v>
      </c>
      <c r="G23" s="52">
        <v>83.9</v>
      </c>
      <c r="P23" s="53">
        <v>89.2</v>
      </c>
      <c r="Q23" s="53">
        <v>82.1</v>
      </c>
      <c r="R23" s="53">
        <v>83.6</v>
      </c>
      <c r="S23" s="53"/>
      <c r="T23" s="53"/>
      <c r="U23" s="53">
        <v>89.2</v>
      </c>
      <c r="V23" s="15">
        <v>82.1</v>
      </c>
      <c r="W23" s="15">
        <v>83.6</v>
      </c>
    </row>
    <row r="24" spans="4:23" x14ac:dyDescent="0.55000000000000004">
      <c r="F24" s="49">
        <v>37591</v>
      </c>
      <c r="G24" s="52">
        <v>74.599999999999994</v>
      </c>
      <c r="P24" s="53">
        <v>83.9</v>
      </c>
      <c r="Q24" s="53">
        <v>89.2</v>
      </c>
      <c r="R24" s="53">
        <v>82.1</v>
      </c>
      <c r="S24" s="53"/>
      <c r="T24" s="53"/>
      <c r="U24" s="53">
        <v>83.9</v>
      </c>
      <c r="V24" s="15">
        <v>89.2</v>
      </c>
      <c r="W24" s="15">
        <v>82.1</v>
      </c>
    </row>
    <row r="25" spans="4:23" x14ac:dyDescent="0.55000000000000004">
      <c r="F25" s="49">
        <v>37622</v>
      </c>
      <c r="G25" s="52">
        <v>74</v>
      </c>
      <c r="P25" s="53">
        <v>74.599999999999994</v>
      </c>
      <c r="Q25" s="53">
        <v>83.9</v>
      </c>
      <c r="R25" s="53">
        <v>89.2</v>
      </c>
      <c r="S25" s="53"/>
      <c r="T25" s="53"/>
      <c r="U25" s="53">
        <v>74.599999999999994</v>
      </c>
      <c r="V25" s="15">
        <v>83.9</v>
      </c>
      <c r="W25" s="15">
        <v>89.2</v>
      </c>
    </row>
    <row r="26" spans="4:23" x14ac:dyDescent="0.55000000000000004">
      <c r="F26" s="49">
        <v>37653</v>
      </c>
      <c r="G26" s="52">
        <v>71.8</v>
      </c>
      <c r="P26" s="53">
        <v>74</v>
      </c>
      <c r="Q26" s="53">
        <v>74.599999999999994</v>
      </c>
      <c r="R26" s="53">
        <v>83.9</v>
      </c>
      <c r="S26" s="53"/>
      <c r="T26" s="53"/>
      <c r="U26" s="53">
        <v>74</v>
      </c>
      <c r="V26" s="15">
        <v>74.599999999999994</v>
      </c>
      <c r="W26" s="15">
        <v>83.9</v>
      </c>
    </row>
    <row r="27" spans="4:23" x14ac:dyDescent="0.55000000000000004">
      <c r="F27" s="49">
        <v>37681</v>
      </c>
      <c r="G27" s="52">
        <v>77.400000000000006</v>
      </c>
      <c r="P27" s="53">
        <v>71.8</v>
      </c>
      <c r="Q27" s="53">
        <v>74</v>
      </c>
      <c r="R27" s="53">
        <v>74.599999999999994</v>
      </c>
      <c r="S27" s="53"/>
      <c r="T27" s="53"/>
      <c r="U27" s="53">
        <v>71.8</v>
      </c>
      <c r="V27" s="15">
        <v>74</v>
      </c>
      <c r="W27" s="15">
        <v>74.599999999999994</v>
      </c>
    </row>
    <row r="28" spans="4:23" x14ac:dyDescent="0.55000000000000004">
      <c r="F28" s="49">
        <v>37712</v>
      </c>
      <c r="G28" s="52">
        <v>76.5</v>
      </c>
      <c r="P28" s="53">
        <v>77.400000000000006</v>
      </c>
      <c r="Q28" s="53">
        <v>71.8</v>
      </c>
      <c r="R28" s="53">
        <v>74</v>
      </c>
      <c r="S28" s="53"/>
      <c r="T28" s="53"/>
      <c r="U28" s="53">
        <v>77.400000000000006</v>
      </c>
      <c r="V28" s="15">
        <v>71.8</v>
      </c>
      <c r="W28" s="15">
        <v>74</v>
      </c>
    </row>
    <row r="29" spans="4:23" x14ac:dyDescent="0.55000000000000004">
      <c r="F29" s="49">
        <v>37742</v>
      </c>
      <c r="G29" s="52">
        <v>79.7</v>
      </c>
      <c r="P29" s="53">
        <v>76.5</v>
      </c>
      <c r="Q29" s="53">
        <v>77.400000000000006</v>
      </c>
      <c r="R29" s="53">
        <v>71.8</v>
      </c>
      <c r="S29" s="53"/>
      <c r="T29" s="53"/>
      <c r="U29" s="53">
        <v>76.5</v>
      </c>
      <c r="V29" s="15">
        <v>77.400000000000006</v>
      </c>
      <c r="W29" s="15">
        <v>71.8</v>
      </c>
    </row>
    <row r="30" spans="4:23" x14ac:dyDescent="0.55000000000000004">
      <c r="F30" s="49">
        <v>37773</v>
      </c>
      <c r="G30" s="52">
        <v>76.3</v>
      </c>
      <c r="P30" s="53">
        <v>79.7</v>
      </c>
      <c r="Q30" s="53">
        <v>76.5</v>
      </c>
      <c r="R30" s="53">
        <v>77.400000000000006</v>
      </c>
      <c r="S30" s="53"/>
      <c r="T30" s="53"/>
      <c r="U30" s="53">
        <v>79.7</v>
      </c>
      <c r="V30" s="15">
        <v>76.5</v>
      </c>
      <c r="W30" s="15">
        <v>77.400000000000006</v>
      </c>
    </row>
    <row r="31" spans="4:23" x14ac:dyDescent="0.55000000000000004">
      <c r="P31" s="53"/>
      <c r="Q31" s="53"/>
      <c r="R31" s="53"/>
      <c r="S31" s="53"/>
      <c r="T31" s="53"/>
      <c r="U31" s="53"/>
    </row>
    <row r="32" spans="4:23" x14ac:dyDescent="0.55000000000000004">
      <c r="P32" s="53"/>
      <c r="Q32" s="53"/>
      <c r="R32" s="53"/>
      <c r="S32" s="53"/>
      <c r="T32" s="53"/>
      <c r="U32" s="53"/>
    </row>
    <row r="33" spans="6:21" x14ac:dyDescent="0.55000000000000004">
      <c r="G33" s="13" t="s">
        <v>165</v>
      </c>
      <c r="H33" s="13" t="s">
        <v>207</v>
      </c>
      <c r="I33" s="13" t="s">
        <v>209</v>
      </c>
      <c r="J33" s="13" t="s">
        <v>227</v>
      </c>
      <c r="K33" s="13" t="s">
        <v>241</v>
      </c>
      <c r="L33" s="13" t="s">
        <v>380</v>
      </c>
      <c r="M33" s="13" t="s">
        <v>1086</v>
      </c>
      <c r="P33" s="89" t="s">
        <v>250</v>
      </c>
      <c r="U33" s="53"/>
    </row>
    <row r="34" spans="6:21" x14ac:dyDescent="0.55000000000000004">
      <c r="G34" s="47" t="s">
        <v>382</v>
      </c>
      <c r="H34" s="54">
        <v>3</v>
      </c>
      <c r="I34" s="54" t="b">
        <v>1</v>
      </c>
      <c r="J34" s="54" t="b">
        <v>1</v>
      </c>
      <c r="K34" s="54" t="b">
        <v>0</v>
      </c>
      <c r="L34" s="54" t="b">
        <v>1</v>
      </c>
      <c r="M34" s="54" t="b">
        <v>1</v>
      </c>
      <c r="P34" s="53" t="str" cm="1">
        <f t="array" ref="P34:R52">LAG($G$34:$G$52,$H$34,$I$34,$J$34,$K$34,$L$34,$M$34)</f>
        <v>IP_LAG1</v>
      </c>
      <c r="Q34" s="15" t="str">
        <v>IP_LAG2</v>
      </c>
      <c r="R34" s="15" t="str">
        <v>IP_LAG3</v>
      </c>
    </row>
    <row r="35" spans="6:21" x14ac:dyDescent="0.55000000000000004">
      <c r="F35" s="49">
        <v>37257</v>
      </c>
      <c r="G35" s="52">
        <v>72.400000000000006</v>
      </c>
      <c r="P35" s="53" t="e">
        <v>#N/A</v>
      </c>
      <c r="Q35" s="15" t="e">
        <v>#N/A</v>
      </c>
      <c r="R35" s="15" t="e">
        <v>#N/A</v>
      </c>
    </row>
    <row r="36" spans="6:21" x14ac:dyDescent="0.55000000000000004">
      <c r="F36" s="49">
        <v>37288</v>
      </c>
      <c r="G36" s="52">
        <v>69.7</v>
      </c>
      <c r="P36" s="53">
        <v>72.400000000000006</v>
      </c>
      <c r="Q36" s="15" t="e">
        <v>#N/A</v>
      </c>
      <c r="R36" s="15" t="e">
        <v>#N/A</v>
      </c>
    </row>
    <row r="37" spans="6:21" x14ac:dyDescent="0.55000000000000004">
      <c r="F37" s="49">
        <v>37316</v>
      </c>
      <c r="G37" s="52">
        <v>77.400000000000006</v>
      </c>
      <c r="P37" s="53">
        <v>69.7</v>
      </c>
      <c r="Q37" s="15">
        <v>72.400000000000006</v>
      </c>
      <c r="R37" s="15" t="e">
        <v>#N/A</v>
      </c>
    </row>
    <row r="38" spans="6:21" x14ac:dyDescent="0.55000000000000004">
      <c r="F38" s="49">
        <v>37347</v>
      </c>
      <c r="G38" s="52">
        <v>79.599999999999994</v>
      </c>
      <c r="P38" s="53">
        <v>77.400000000000006</v>
      </c>
      <c r="Q38" s="15">
        <v>69.7</v>
      </c>
      <c r="R38" s="15">
        <v>72.400000000000006</v>
      </c>
    </row>
    <row r="39" spans="6:21" x14ac:dyDescent="0.55000000000000004">
      <c r="F39" s="49">
        <v>37377</v>
      </c>
      <c r="G39" s="52">
        <v>80.400000000000006</v>
      </c>
      <c r="P39" s="53">
        <v>79.599999999999994</v>
      </c>
      <c r="Q39" s="15">
        <v>77.400000000000006</v>
      </c>
      <c r="R39" s="15">
        <v>69.7</v>
      </c>
    </row>
    <row r="40" spans="6:21" x14ac:dyDescent="0.55000000000000004">
      <c r="F40" s="49">
        <v>37408</v>
      </c>
      <c r="G40" s="52">
        <v>77.5</v>
      </c>
      <c r="P40" s="53">
        <v>80.400000000000006</v>
      </c>
      <c r="Q40" s="15">
        <v>79.599999999999994</v>
      </c>
      <c r="R40" s="15">
        <v>77.400000000000006</v>
      </c>
    </row>
    <row r="41" spans="6:21" x14ac:dyDescent="0.55000000000000004">
      <c r="F41" s="49">
        <v>37438</v>
      </c>
      <c r="G41" s="52">
        <v>83.3</v>
      </c>
      <c r="P41" s="53">
        <v>77.5</v>
      </c>
      <c r="Q41" s="15">
        <v>80.400000000000006</v>
      </c>
      <c r="R41" s="15">
        <v>79.599999999999994</v>
      </c>
    </row>
    <row r="42" spans="6:21" x14ac:dyDescent="0.55000000000000004">
      <c r="F42" s="49">
        <v>37469</v>
      </c>
      <c r="G42" s="52">
        <v>83.6</v>
      </c>
      <c r="P42" s="53">
        <v>83.3</v>
      </c>
      <c r="Q42" s="15">
        <v>77.5</v>
      </c>
      <c r="R42" s="15">
        <v>80.400000000000006</v>
      </c>
    </row>
    <row r="43" spans="6:21" x14ac:dyDescent="0.55000000000000004">
      <c r="F43" s="49">
        <v>37500</v>
      </c>
      <c r="G43" s="52">
        <v>82.1</v>
      </c>
      <c r="P43" s="53">
        <v>83.6</v>
      </c>
      <c r="Q43" s="15">
        <v>83.3</v>
      </c>
      <c r="R43" s="15">
        <v>77.5</v>
      </c>
    </row>
    <row r="44" spans="6:21" x14ac:dyDescent="0.55000000000000004">
      <c r="F44" s="49">
        <v>37530</v>
      </c>
      <c r="G44" s="52">
        <v>89.2</v>
      </c>
      <c r="P44" s="53">
        <v>82.1</v>
      </c>
      <c r="Q44" s="15">
        <v>83.6</v>
      </c>
      <c r="R44" s="15">
        <v>83.3</v>
      </c>
    </row>
    <row r="45" spans="6:21" x14ac:dyDescent="0.55000000000000004">
      <c r="F45" s="49">
        <v>37561</v>
      </c>
      <c r="G45" s="52">
        <v>83.9</v>
      </c>
      <c r="P45" s="53">
        <v>89.2</v>
      </c>
      <c r="Q45" s="15">
        <v>82.1</v>
      </c>
      <c r="R45" s="15">
        <v>83.6</v>
      </c>
    </row>
    <row r="46" spans="6:21" x14ac:dyDescent="0.55000000000000004">
      <c r="F46" s="49">
        <v>37591</v>
      </c>
      <c r="G46" s="52">
        <v>74.599999999999994</v>
      </c>
      <c r="P46" s="53">
        <v>83.9</v>
      </c>
      <c r="Q46" s="15">
        <v>89.2</v>
      </c>
      <c r="R46" s="15">
        <v>82.1</v>
      </c>
    </row>
    <row r="47" spans="6:21" x14ac:dyDescent="0.55000000000000004">
      <c r="F47" s="49">
        <v>37622</v>
      </c>
      <c r="G47" s="52">
        <v>74</v>
      </c>
      <c r="P47" s="53">
        <v>74.599999999999994</v>
      </c>
      <c r="Q47" s="15">
        <v>83.9</v>
      </c>
      <c r="R47" s="15">
        <v>89.2</v>
      </c>
    </row>
    <row r="48" spans="6:21" x14ac:dyDescent="0.55000000000000004">
      <c r="F48" s="49">
        <v>37653</v>
      </c>
      <c r="G48" s="52">
        <v>71.8</v>
      </c>
      <c r="P48" s="53">
        <v>74</v>
      </c>
      <c r="Q48" s="15">
        <v>74.599999999999994</v>
      </c>
      <c r="R48" s="15">
        <v>83.9</v>
      </c>
    </row>
    <row r="49" spans="6:21" x14ac:dyDescent="0.55000000000000004">
      <c r="F49" s="49">
        <v>37681</v>
      </c>
      <c r="G49" s="52">
        <v>77.400000000000006</v>
      </c>
      <c r="P49" s="53">
        <v>71.8</v>
      </c>
      <c r="Q49" s="15">
        <v>74</v>
      </c>
      <c r="R49" s="15">
        <v>74.599999999999994</v>
      </c>
    </row>
    <row r="50" spans="6:21" x14ac:dyDescent="0.55000000000000004">
      <c r="F50" s="49">
        <v>37712</v>
      </c>
      <c r="G50" s="52">
        <v>76.5</v>
      </c>
      <c r="P50" s="53">
        <v>77.400000000000006</v>
      </c>
      <c r="Q50" s="15">
        <v>71.8</v>
      </c>
      <c r="R50" s="15">
        <v>74</v>
      </c>
      <c r="S50" s="53"/>
      <c r="T50" s="53"/>
      <c r="U50" s="53"/>
    </row>
    <row r="51" spans="6:21" x14ac:dyDescent="0.55000000000000004">
      <c r="F51" s="49">
        <v>37742</v>
      </c>
      <c r="G51" s="52">
        <v>79.7</v>
      </c>
      <c r="P51" s="53">
        <v>76.5</v>
      </c>
      <c r="Q51" s="15">
        <v>77.400000000000006</v>
      </c>
      <c r="R51" s="15">
        <v>71.8</v>
      </c>
      <c r="S51" s="53"/>
      <c r="T51" s="53"/>
      <c r="U51" s="53"/>
    </row>
    <row r="52" spans="6:21" x14ac:dyDescent="0.55000000000000004">
      <c r="F52" s="49">
        <v>37773</v>
      </c>
      <c r="G52" s="52">
        <v>76.3</v>
      </c>
      <c r="P52" s="53">
        <v>79.7</v>
      </c>
      <c r="Q52" s="15">
        <v>76.5</v>
      </c>
      <c r="R52" s="15">
        <v>77.400000000000006</v>
      </c>
      <c r="S52" s="53"/>
      <c r="T52" s="53"/>
      <c r="U52" s="53"/>
    </row>
    <row r="53" spans="6:21" x14ac:dyDescent="0.55000000000000004">
      <c r="P53" s="53"/>
      <c r="Q53" s="53"/>
      <c r="R53" s="53"/>
      <c r="S53" s="53"/>
      <c r="T53" s="53"/>
      <c r="U53" s="53"/>
    </row>
    <row r="54" spans="6:21" x14ac:dyDescent="0.55000000000000004">
      <c r="P54" s="53"/>
      <c r="Q54" s="53"/>
      <c r="R54" s="53"/>
      <c r="S54" s="53"/>
      <c r="T54" s="53"/>
      <c r="U54" s="53"/>
    </row>
    <row r="55" spans="6:21" x14ac:dyDescent="0.55000000000000004">
      <c r="G55" s="171" t="s">
        <v>165</v>
      </c>
      <c r="H55" s="170"/>
      <c r="I55" s="13" t="s">
        <v>207</v>
      </c>
      <c r="J55" s="13" t="s">
        <v>209</v>
      </c>
      <c r="K55" s="13" t="s">
        <v>227</v>
      </c>
      <c r="L55" s="13" t="s">
        <v>241</v>
      </c>
      <c r="M55" s="13" t="s">
        <v>380</v>
      </c>
      <c r="N55" s="13" t="s">
        <v>1086</v>
      </c>
      <c r="P55" s="89" t="s">
        <v>250</v>
      </c>
    </row>
    <row r="56" spans="6:21" x14ac:dyDescent="0.55000000000000004">
      <c r="F56" s="49">
        <v>37257</v>
      </c>
      <c r="G56" s="52">
        <v>72.400000000000006</v>
      </c>
      <c r="H56" s="52">
        <v>53</v>
      </c>
      <c r="I56" s="54">
        <v>3</v>
      </c>
      <c r="J56" s="54" t="b">
        <v>1</v>
      </c>
      <c r="K56" s="54" t="b">
        <v>1</v>
      </c>
      <c r="L56" s="54" t="b">
        <v>0</v>
      </c>
      <c r="M56" s="54" t="b">
        <v>0</v>
      </c>
      <c r="N56" s="54" t="b">
        <v>1</v>
      </c>
      <c r="P56" s="53" t="e" cm="1">
        <f t="array" ref="P56:U73">LAG($G$56:$H$73,$I$56,$J$56,$K$56,$L$56,$M$56,$N$56)</f>
        <v>#N/A</v>
      </c>
      <c r="Q56" s="53" t="e">
        <v>#N/A</v>
      </c>
      <c r="R56" s="53" t="e">
        <v>#N/A</v>
      </c>
      <c r="S56" s="53" t="e">
        <v>#N/A</v>
      </c>
      <c r="T56" s="53" t="e">
        <v>#N/A</v>
      </c>
      <c r="U56" s="15" t="e">
        <v>#N/A</v>
      </c>
    </row>
    <row r="57" spans="6:21" x14ac:dyDescent="0.55000000000000004">
      <c r="F57" s="49">
        <v>37288</v>
      </c>
      <c r="G57" s="52">
        <v>69.7</v>
      </c>
      <c r="H57" s="52">
        <v>34.299999999999997</v>
      </c>
      <c r="P57" s="53">
        <v>72.400000000000006</v>
      </c>
      <c r="Q57" s="53">
        <v>53</v>
      </c>
      <c r="R57" s="53" t="e">
        <v>#N/A</v>
      </c>
      <c r="S57" s="53" t="e">
        <v>#N/A</v>
      </c>
      <c r="T57" s="53" t="e">
        <v>#N/A</v>
      </c>
      <c r="U57" s="15" t="e">
        <v>#N/A</v>
      </c>
    </row>
    <row r="58" spans="6:21" x14ac:dyDescent="0.55000000000000004">
      <c r="F58" s="49">
        <v>37316</v>
      </c>
      <c r="G58" s="52">
        <v>77.400000000000006</v>
      </c>
      <c r="H58" s="52">
        <v>42.3</v>
      </c>
      <c r="P58" s="53">
        <v>69.7</v>
      </c>
      <c r="Q58" s="53">
        <v>34.299999999999997</v>
      </c>
      <c r="R58" s="53">
        <v>72.400000000000006</v>
      </c>
      <c r="S58" s="53">
        <v>53</v>
      </c>
      <c r="T58" s="53" t="e">
        <v>#N/A</v>
      </c>
      <c r="U58" s="15" t="e">
        <v>#N/A</v>
      </c>
    </row>
    <row r="59" spans="6:21" x14ac:dyDescent="0.55000000000000004">
      <c r="F59" s="49">
        <v>37347</v>
      </c>
      <c r="G59" s="52">
        <v>79.599999999999994</v>
      </c>
      <c r="H59" s="52">
        <v>54.3</v>
      </c>
      <c r="P59" s="53">
        <v>77.400000000000006</v>
      </c>
      <c r="Q59" s="53">
        <v>42.3</v>
      </c>
      <c r="R59" s="53">
        <v>69.7</v>
      </c>
      <c r="S59" s="53">
        <v>34.299999999999997</v>
      </c>
      <c r="T59" s="53">
        <v>72.400000000000006</v>
      </c>
      <c r="U59" s="15">
        <v>53</v>
      </c>
    </row>
    <row r="60" spans="6:21" x14ac:dyDescent="0.55000000000000004">
      <c r="F60" s="49">
        <v>37377</v>
      </c>
      <c r="G60" s="52">
        <v>80.400000000000006</v>
      </c>
      <c r="H60" s="52">
        <v>54.9</v>
      </c>
      <c r="P60" s="53">
        <v>79.599999999999994</v>
      </c>
      <c r="Q60" s="53">
        <v>54.3</v>
      </c>
      <c r="R60" s="53">
        <v>77.400000000000006</v>
      </c>
      <c r="S60" s="53">
        <v>42.3</v>
      </c>
      <c r="T60" s="53">
        <v>69.7</v>
      </c>
      <c r="U60" s="15">
        <v>34.299999999999997</v>
      </c>
    </row>
    <row r="61" spans="6:21" x14ac:dyDescent="0.55000000000000004">
      <c r="F61" s="49">
        <v>37408</v>
      </c>
      <c r="G61" s="52">
        <v>77.5</v>
      </c>
      <c r="H61" s="52">
        <v>43</v>
      </c>
      <c r="P61" s="53">
        <v>80.400000000000006</v>
      </c>
      <c r="Q61" s="53">
        <v>54.9</v>
      </c>
      <c r="R61" s="53">
        <v>79.599999999999994</v>
      </c>
      <c r="S61" s="53">
        <v>54.3</v>
      </c>
      <c r="T61" s="53">
        <v>77.400000000000006</v>
      </c>
      <c r="U61" s="15">
        <v>42.3</v>
      </c>
    </row>
    <row r="62" spans="6:21" x14ac:dyDescent="0.55000000000000004">
      <c r="F62" s="49">
        <v>37438</v>
      </c>
      <c r="G62" s="52">
        <v>83.3</v>
      </c>
      <c r="H62" s="52">
        <v>43.7</v>
      </c>
      <c r="P62" s="53">
        <v>77.5</v>
      </c>
      <c r="Q62" s="53">
        <v>43</v>
      </c>
      <c r="R62" s="53">
        <v>80.400000000000006</v>
      </c>
      <c r="S62" s="53">
        <v>54.9</v>
      </c>
      <c r="T62" s="53">
        <v>79.599999999999994</v>
      </c>
      <c r="U62" s="15">
        <v>54.3</v>
      </c>
    </row>
    <row r="63" spans="6:21" x14ac:dyDescent="0.55000000000000004">
      <c r="F63" s="49">
        <v>37469</v>
      </c>
      <c r="G63" s="52">
        <v>83.6</v>
      </c>
      <c r="H63" s="52">
        <v>26.9</v>
      </c>
      <c r="P63" s="53">
        <v>83.3</v>
      </c>
      <c r="Q63" s="53">
        <v>43.7</v>
      </c>
      <c r="R63" s="53">
        <v>77.5</v>
      </c>
      <c r="S63" s="53">
        <v>43</v>
      </c>
      <c r="T63" s="53">
        <v>80.400000000000006</v>
      </c>
      <c r="U63" s="15">
        <v>54.9</v>
      </c>
    </row>
    <row r="64" spans="6:21" x14ac:dyDescent="0.55000000000000004">
      <c r="F64" s="49">
        <v>37500</v>
      </c>
      <c r="G64" s="52">
        <v>82.1</v>
      </c>
      <c r="H64" s="52">
        <v>35.700000000000003</v>
      </c>
      <c r="P64" s="53">
        <v>83.6</v>
      </c>
      <c r="Q64" s="53">
        <v>26.9</v>
      </c>
      <c r="R64" s="53">
        <v>83.3</v>
      </c>
      <c r="S64" s="53">
        <v>43.7</v>
      </c>
      <c r="T64" s="53">
        <v>77.5</v>
      </c>
      <c r="U64" s="15">
        <v>43</v>
      </c>
    </row>
    <row r="65" spans="6:21" x14ac:dyDescent="0.55000000000000004">
      <c r="F65" s="49">
        <v>37530</v>
      </c>
      <c r="G65" s="52">
        <v>89.2</v>
      </c>
      <c r="H65" s="52">
        <v>25.8</v>
      </c>
      <c r="P65" s="53">
        <v>82.1</v>
      </c>
      <c r="Q65" s="53">
        <v>35.700000000000003</v>
      </c>
      <c r="R65" s="53">
        <v>83.6</v>
      </c>
      <c r="S65" s="53">
        <v>26.9</v>
      </c>
      <c r="T65" s="53">
        <v>83.3</v>
      </c>
      <c r="U65" s="15">
        <v>43.7</v>
      </c>
    </row>
    <row r="66" spans="6:21" x14ac:dyDescent="0.55000000000000004">
      <c r="F66" s="49">
        <v>37561</v>
      </c>
      <c r="G66" s="52">
        <v>83.9</v>
      </c>
      <c r="H66" s="52">
        <v>74</v>
      </c>
      <c r="P66" s="53">
        <v>89.2</v>
      </c>
      <c r="Q66" s="53">
        <v>25.8</v>
      </c>
      <c r="R66" s="53">
        <v>82.1</v>
      </c>
      <c r="S66" s="53">
        <v>35.700000000000003</v>
      </c>
      <c r="T66" s="53">
        <v>83.6</v>
      </c>
      <c r="U66" s="15">
        <v>26.9</v>
      </c>
    </row>
    <row r="67" spans="6:21" x14ac:dyDescent="0.55000000000000004">
      <c r="F67" s="49">
        <v>37591</v>
      </c>
      <c r="G67" s="52">
        <v>74.599999999999994</v>
      </c>
      <c r="H67" s="52">
        <v>36.6</v>
      </c>
      <c r="P67" s="53">
        <v>83.9</v>
      </c>
      <c r="Q67" s="53">
        <v>74</v>
      </c>
      <c r="R67" s="53">
        <v>89.2</v>
      </c>
      <c r="S67" s="53">
        <v>25.8</v>
      </c>
      <c r="T67" s="53">
        <v>82.1</v>
      </c>
      <c r="U67" s="15">
        <v>35.700000000000003</v>
      </c>
    </row>
    <row r="68" spans="6:21" x14ac:dyDescent="0.55000000000000004">
      <c r="F68" s="49">
        <v>37622</v>
      </c>
      <c r="G68" s="52">
        <v>74</v>
      </c>
      <c r="H68" s="52">
        <v>64.7</v>
      </c>
      <c r="P68" s="53">
        <v>74.599999999999994</v>
      </c>
      <c r="Q68" s="53">
        <v>36.6</v>
      </c>
      <c r="R68" s="53">
        <v>83.9</v>
      </c>
      <c r="S68" s="53">
        <v>74</v>
      </c>
      <c r="T68" s="53">
        <v>89.2</v>
      </c>
      <c r="U68" s="15">
        <v>25.8</v>
      </c>
    </row>
    <row r="69" spans="6:21" x14ac:dyDescent="0.55000000000000004">
      <c r="F69" s="49">
        <v>37653</v>
      </c>
      <c r="G69" s="52">
        <v>71.8</v>
      </c>
      <c r="H69" s="52">
        <v>35.6</v>
      </c>
      <c r="P69" s="53">
        <v>74</v>
      </c>
      <c r="Q69" s="53">
        <v>64.7</v>
      </c>
      <c r="R69" s="53">
        <v>74.599999999999994</v>
      </c>
      <c r="S69" s="53">
        <v>36.6</v>
      </c>
      <c r="T69" s="53">
        <v>83.9</v>
      </c>
      <c r="U69" s="15">
        <v>74</v>
      </c>
    </row>
    <row r="70" spans="6:21" x14ac:dyDescent="0.55000000000000004">
      <c r="F70" s="49">
        <v>37681</v>
      </c>
      <c r="G70" s="52">
        <v>77.400000000000006</v>
      </c>
      <c r="H70" s="52">
        <v>35.4</v>
      </c>
      <c r="P70" s="53">
        <v>71.8</v>
      </c>
      <c r="Q70" s="53">
        <v>35.6</v>
      </c>
      <c r="R70" s="53">
        <v>74</v>
      </c>
      <c r="S70" s="53">
        <v>64.7</v>
      </c>
      <c r="T70" s="53">
        <v>74.599999999999994</v>
      </c>
      <c r="U70" s="15">
        <v>36.6</v>
      </c>
    </row>
    <row r="71" spans="6:21" x14ac:dyDescent="0.55000000000000004">
      <c r="F71" s="49">
        <v>37712</v>
      </c>
      <c r="G71" s="52">
        <v>76.5</v>
      </c>
      <c r="H71" s="52">
        <v>87.9</v>
      </c>
      <c r="P71" s="53">
        <v>77.400000000000006</v>
      </c>
      <c r="Q71" s="53">
        <v>35.4</v>
      </c>
      <c r="R71" s="53">
        <v>71.8</v>
      </c>
      <c r="S71" s="53">
        <v>35.6</v>
      </c>
      <c r="T71" s="53">
        <v>74</v>
      </c>
      <c r="U71" s="15">
        <v>64.7</v>
      </c>
    </row>
    <row r="72" spans="6:21" x14ac:dyDescent="0.55000000000000004">
      <c r="F72" s="49">
        <v>37742</v>
      </c>
      <c r="G72" s="52">
        <v>79.7</v>
      </c>
      <c r="H72" s="52">
        <v>43.6</v>
      </c>
      <c r="P72" s="53">
        <v>76.5</v>
      </c>
      <c r="Q72" s="53">
        <v>87.9</v>
      </c>
      <c r="R72" s="53">
        <v>77.400000000000006</v>
      </c>
      <c r="S72" s="53">
        <v>35.4</v>
      </c>
      <c r="T72" s="53">
        <v>71.8</v>
      </c>
      <c r="U72" s="15">
        <v>35.6</v>
      </c>
    </row>
    <row r="73" spans="6:21" x14ac:dyDescent="0.55000000000000004">
      <c r="F73" s="49">
        <v>37773</v>
      </c>
      <c r="G73" s="52">
        <v>76.3</v>
      </c>
      <c r="H73" s="52">
        <v>34.5</v>
      </c>
      <c r="P73" s="53">
        <v>79.7</v>
      </c>
      <c r="Q73" s="53">
        <v>43.6</v>
      </c>
      <c r="R73" s="53">
        <v>76.5</v>
      </c>
      <c r="S73" s="53">
        <v>87.9</v>
      </c>
      <c r="T73" s="53">
        <v>77.400000000000006</v>
      </c>
      <c r="U73" s="15">
        <v>35.4</v>
      </c>
    </row>
    <row r="74" spans="6:21" x14ac:dyDescent="0.55000000000000004">
      <c r="P74" s="53"/>
      <c r="Q74" s="53"/>
      <c r="R74" s="53"/>
      <c r="S74" s="53"/>
      <c r="T74" s="53"/>
      <c r="U74" s="53"/>
    </row>
    <row r="75" spans="6:21" x14ac:dyDescent="0.55000000000000004">
      <c r="P75" s="53"/>
      <c r="Q75" s="53"/>
      <c r="R75" s="53"/>
      <c r="S75" s="53"/>
      <c r="T75" s="53"/>
      <c r="U75" s="53"/>
    </row>
    <row r="76" spans="6:21" x14ac:dyDescent="0.55000000000000004">
      <c r="G76" s="171" t="s">
        <v>165</v>
      </c>
      <c r="H76" s="170"/>
      <c r="I76" s="13" t="s">
        <v>207</v>
      </c>
      <c r="J76" s="13" t="s">
        <v>209</v>
      </c>
      <c r="K76" s="13" t="s">
        <v>227</v>
      </c>
      <c r="L76" s="13" t="s">
        <v>241</v>
      </c>
      <c r="M76" s="13" t="s">
        <v>380</v>
      </c>
      <c r="N76" s="13" t="s">
        <v>1086</v>
      </c>
      <c r="P76" s="89" t="s">
        <v>250</v>
      </c>
    </row>
    <row r="77" spans="6:21" x14ac:dyDescent="0.55000000000000004">
      <c r="F77" s="49"/>
      <c r="G77" s="52" t="s">
        <v>871</v>
      </c>
      <c r="H77" s="52" t="s">
        <v>872</v>
      </c>
      <c r="I77" s="54">
        <v>2</v>
      </c>
      <c r="J77" s="54" t="b">
        <v>1</v>
      </c>
      <c r="K77" s="54" t="b">
        <v>1</v>
      </c>
      <c r="L77" s="54" t="b">
        <v>0</v>
      </c>
      <c r="M77" s="54" t="b">
        <v>1</v>
      </c>
      <c r="N77" s="54" t="b">
        <v>0</v>
      </c>
      <c r="P77" s="53" t="str" cm="1">
        <f t="array" ref="P77:S95">LAG($G$77:$H$95,$I$77,$J$77,$K$77,$L$77,$M$77,$N$77)</f>
        <v>colA_LAG1</v>
      </c>
      <c r="Q77" s="53" t="str">
        <v>colA_LAG2</v>
      </c>
      <c r="R77" s="53" t="str">
        <v>colB_LAG1</v>
      </c>
      <c r="S77" s="53" t="str">
        <v>colB_LAG2</v>
      </c>
      <c r="T77" s="53"/>
    </row>
    <row r="78" spans="6:21" x14ac:dyDescent="0.55000000000000004">
      <c r="F78" s="49">
        <v>37257</v>
      </c>
      <c r="G78" s="52">
        <v>72.400000000000006</v>
      </c>
      <c r="H78" s="52">
        <v>53</v>
      </c>
      <c r="P78" s="53" t="e">
        <v>#N/A</v>
      </c>
      <c r="Q78" s="53" t="e">
        <v>#N/A</v>
      </c>
      <c r="R78" s="53" t="e">
        <v>#N/A</v>
      </c>
      <c r="S78" s="53" t="e">
        <v>#N/A</v>
      </c>
      <c r="T78" s="53"/>
    </row>
    <row r="79" spans="6:21" x14ac:dyDescent="0.55000000000000004">
      <c r="F79" s="49">
        <v>37288</v>
      </c>
      <c r="G79" s="52">
        <v>69.7</v>
      </c>
      <c r="H79" s="52">
        <v>34.299999999999997</v>
      </c>
      <c r="P79" s="53">
        <v>72.400000000000006</v>
      </c>
      <c r="Q79" s="53" t="e">
        <v>#N/A</v>
      </c>
      <c r="R79" s="53">
        <v>53</v>
      </c>
      <c r="S79" s="53" t="e">
        <v>#N/A</v>
      </c>
      <c r="T79" s="53"/>
    </row>
    <row r="80" spans="6:21" x14ac:dyDescent="0.55000000000000004">
      <c r="F80" s="49">
        <v>37316</v>
      </c>
      <c r="G80" s="52">
        <v>77.400000000000006</v>
      </c>
      <c r="H80" s="52">
        <v>42.3</v>
      </c>
      <c r="P80" s="53">
        <v>69.7</v>
      </c>
      <c r="Q80" s="53">
        <v>72.400000000000006</v>
      </c>
      <c r="R80" s="53">
        <v>34.299999999999997</v>
      </c>
      <c r="S80" s="53">
        <v>53</v>
      </c>
      <c r="T80" s="53"/>
    </row>
    <row r="81" spans="6:20" x14ac:dyDescent="0.55000000000000004">
      <c r="F81" s="49">
        <v>37347</v>
      </c>
      <c r="G81" s="52">
        <v>79.599999999999994</v>
      </c>
      <c r="H81" s="52">
        <v>54.3</v>
      </c>
      <c r="P81" s="53">
        <v>77.400000000000006</v>
      </c>
      <c r="Q81" s="53">
        <v>69.7</v>
      </c>
      <c r="R81" s="53">
        <v>42.3</v>
      </c>
      <c r="S81" s="53">
        <v>34.299999999999997</v>
      </c>
      <c r="T81" s="53"/>
    </row>
    <row r="82" spans="6:20" x14ac:dyDescent="0.55000000000000004">
      <c r="F82" s="49">
        <v>37377</v>
      </c>
      <c r="G82" s="52">
        <v>80.400000000000006</v>
      </c>
      <c r="H82" s="52">
        <v>54.9</v>
      </c>
      <c r="P82" s="53">
        <v>79.599999999999994</v>
      </c>
      <c r="Q82" s="53">
        <v>77.400000000000006</v>
      </c>
      <c r="R82" s="53">
        <v>54.3</v>
      </c>
      <c r="S82" s="53">
        <v>42.3</v>
      </c>
    </row>
    <row r="83" spans="6:20" x14ac:dyDescent="0.55000000000000004">
      <c r="F83" s="49">
        <v>37408</v>
      </c>
      <c r="G83" s="52">
        <v>77.5</v>
      </c>
      <c r="H83" s="52">
        <v>43</v>
      </c>
      <c r="P83" s="53">
        <v>80.400000000000006</v>
      </c>
      <c r="Q83" s="53">
        <v>79.599999999999994</v>
      </c>
      <c r="R83" s="53">
        <v>54.9</v>
      </c>
      <c r="S83" s="53">
        <v>54.3</v>
      </c>
    </row>
    <row r="84" spans="6:20" x14ac:dyDescent="0.55000000000000004">
      <c r="F84" s="49">
        <v>37438</v>
      </c>
      <c r="G84" s="52">
        <v>83.3</v>
      </c>
      <c r="H84" s="52">
        <v>43.7</v>
      </c>
      <c r="P84" s="53">
        <v>77.5</v>
      </c>
      <c r="Q84" s="53">
        <v>80.400000000000006</v>
      </c>
      <c r="R84" s="53">
        <v>43</v>
      </c>
      <c r="S84" s="53">
        <v>54.9</v>
      </c>
    </row>
    <row r="85" spans="6:20" x14ac:dyDescent="0.55000000000000004">
      <c r="F85" s="49">
        <v>37469</v>
      </c>
      <c r="G85" s="52">
        <v>83.6</v>
      </c>
      <c r="H85" s="52">
        <v>26.9</v>
      </c>
      <c r="P85" s="53">
        <v>83.3</v>
      </c>
      <c r="Q85" s="53">
        <v>77.5</v>
      </c>
      <c r="R85" s="53">
        <v>43.7</v>
      </c>
      <c r="S85" s="53">
        <v>43</v>
      </c>
    </row>
    <row r="86" spans="6:20" x14ac:dyDescent="0.55000000000000004">
      <c r="F86" s="49">
        <v>37500</v>
      </c>
      <c r="G86" s="52">
        <v>82.1</v>
      </c>
      <c r="H86" s="52">
        <v>35.700000000000003</v>
      </c>
      <c r="P86" s="53">
        <v>83.6</v>
      </c>
      <c r="Q86" s="53">
        <v>83.3</v>
      </c>
      <c r="R86" s="53">
        <v>26.9</v>
      </c>
      <c r="S86" s="53">
        <v>43.7</v>
      </c>
    </row>
    <row r="87" spans="6:20" x14ac:dyDescent="0.55000000000000004">
      <c r="F87" s="49">
        <v>37530</v>
      </c>
      <c r="G87" s="52">
        <v>89.2</v>
      </c>
      <c r="H87" s="52">
        <v>25.8</v>
      </c>
      <c r="P87" s="53">
        <v>82.1</v>
      </c>
      <c r="Q87" s="53">
        <v>83.6</v>
      </c>
      <c r="R87" s="53">
        <v>35.700000000000003</v>
      </c>
      <c r="S87" s="53">
        <v>26.9</v>
      </c>
    </row>
    <row r="88" spans="6:20" x14ac:dyDescent="0.55000000000000004">
      <c r="F88" s="49">
        <v>37561</v>
      </c>
      <c r="G88" s="52">
        <v>83.9</v>
      </c>
      <c r="H88" s="52">
        <v>74</v>
      </c>
      <c r="P88" s="53">
        <v>89.2</v>
      </c>
      <c r="Q88" s="53">
        <v>82.1</v>
      </c>
      <c r="R88" s="53">
        <v>25.8</v>
      </c>
      <c r="S88" s="53">
        <v>35.700000000000003</v>
      </c>
    </row>
    <row r="89" spans="6:20" x14ac:dyDescent="0.55000000000000004">
      <c r="F89" s="49">
        <v>37591</v>
      </c>
      <c r="G89" s="52">
        <v>74.599999999999994</v>
      </c>
      <c r="H89" s="52">
        <v>36.6</v>
      </c>
      <c r="P89" s="53">
        <v>83.9</v>
      </c>
      <c r="Q89" s="53">
        <v>89.2</v>
      </c>
      <c r="R89" s="53">
        <v>74</v>
      </c>
      <c r="S89" s="53">
        <v>25.8</v>
      </c>
    </row>
    <row r="90" spans="6:20" x14ac:dyDescent="0.55000000000000004">
      <c r="F90" s="49">
        <v>37622</v>
      </c>
      <c r="G90" s="52">
        <v>74</v>
      </c>
      <c r="H90" s="52">
        <v>64.7</v>
      </c>
      <c r="P90" s="53">
        <v>74.599999999999994</v>
      </c>
      <c r="Q90" s="53">
        <v>83.9</v>
      </c>
      <c r="R90" s="53">
        <v>36.6</v>
      </c>
      <c r="S90" s="53">
        <v>74</v>
      </c>
    </row>
    <row r="91" spans="6:20" x14ac:dyDescent="0.55000000000000004">
      <c r="F91" s="49">
        <v>37653</v>
      </c>
      <c r="G91" s="52">
        <v>71.8</v>
      </c>
      <c r="H91" s="52">
        <v>35.6</v>
      </c>
      <c r="P91" s="53">
        <v>74</v>
      </c>
      <c r="Q91" s="53">
        <v>74.599999999999994</v>
      </c>
      <c r="R91" s="53">
        <v>64.7</v>
      </c>
      <c r="S91" s="53">
        <v>36.6</v>
      </c>
    </row>
    <row r="92" spans="6:20" x14ac:dyDescent="0.55000000000000004">
      <c r="F92" s="49">
        <v>37681</v>
      </c>
      <c r="G92" s="52">
        <v>77.400000000000006</v>
      </c>
      <c r="H92" s="52">
        <v>35.4</v>
      </c>
      <c r="P92" s="53">
        <v>71.8</v>
      </c>
      <c r="Q92" s="53">
        <v>74</v>
      </c>
      <c r="R92" s="53">
        <v>35.6</v>
      </c>
      <c r="S92" s="53">
        <v>64.7</v>
      </c>
    </row>
    <row r="93" spans="6:20" x14ac:dyDescent="0.55000000000000004">
      <c r="F93" s="49">
        <v>37712</v>
      </c>
      <c r="G93" s="52">
        <v>76.5</v>
      </c>
      <c r="H93" s="52">
        <v>87.9</v>
      </c>
      <c r="P93" s="53">
        <v>77.400000000000006</v>
      </c>
      <c r="Q93" s="53">
        <v>71.8</v>
      </c>
      <c r="R93" s="53">
        <v>35.4</v>
      </c>
      <c r="S93" s="53">
        <v>35.6</v>
      </c>
    </row>
    <row r="94" spans="6:20" x14ac:dyDescent="0.55000000000000004">
      <c r="F94" s="49">
        <v>37742</v>
      </c>
      <c r="G94" s="52">
        <v>79.7</v>
      </c>
      <c r="H94" s="52">
        <v>43.6</v>
      </c>
      <c r="P94" s="53">
        <v>76.5</v>
      </c>
      <c r="Q94" s="53">
        <v>77.400000000000006</v>
      </c>
      <c r="R94" s="53">
        <v>87.9</v>
      </c>
      <c r="S94" s="53">
        <v>35.4</v>
      </c>
    </row>
    <row r="95" spans="6:20" x14ac:dyDescent="0.55000000000000004">
      <c r="F95" s="49">
        <v>37773</v>
      </c>
      <c r="G95" s="52">
        <v>76.3</v>
      </c>
      <c r="H95" s="52">
        <v>34.5</v>
      </c>
      <c r="P95" s="53">
        <v>79.7</v>
      </c>
      <c r="Q95" s="53">
        <v>76.5</v>
      </c>
      <c r="R95" s="53">
        <v>43.6</v>
      </c>
      <c r="S95" s="53">
        <v>87.9</v>
      </c>
    </row>
  </sheetData>
  <mergeCells count="2">
    <mergeCell ref="G55:H55"/>
    <mergeCell ref="G76:H76"/>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F50C6-9DB2-4AD0-8D25-48E7615E0519}">
  <sheetPr codeName="Planilha39">
    <tabColor theme="9" tint="0.59999389629810485"/>
  </sheetPr>
  <dimension ref="A1:AG95"/>
  <sheetViews>
    <sheetView showGridLines="0" workbookViewId="0"/>
  </sheetViews>
  <sheetFormatPr defaultColWidth="8.796875" defaultRowHeight="18" x14ac:dyDescent="0.55000000000000004"/>
  <cols>
    <col min="1" max="1" width="27.796875" style="17" customWidth="1"/>
    <col min="2" max="2" width="49" customWidth="1"/>
    <col min="4" max="4" width="44.33203125" bestFit="1" customWidth="1"/>
    <col min="5" max="5" width="4.6640625" customWidth="1"/>
    <col min="6" max="7" width="7.1328125" bestFit="1" customWidth="1"/>
    <col min="8" max="8" width="9.33203125" bestFit="1" customWidth="1"/>
    <col min="9" max="11" width="12.33203125" bestFit="1" customWidth="1"/>
    <col min="12" max="12" width="15.1328125" bestFit="1" customWidth="1"/>
    <col min="13" max="13" width="20.6640625" customWidth="1"/>
    <col min="14" max="14" width="20.33203125" customWidth="1"/>
    <col min="16" max="16" width="11.796875" style="15" customWidth="1"/>
    <col min="17" max="17" width="13.33203125" style="15" customWidth="1"/>
    <col min="18" max="18" width="13" style="15" customWidth="1"/>
    <col min="19" max="19" width="10.33203125" style="15" customWidth="1"/>
    <col min="20" max="33" width="8.796875" style="15"/>
  </cols>
  <sheetData>
    <row r="1" spans="1:33" x14ac:dyDescent="0.55000000000000004">
      <c r="A1" s="16" t="s">
        <v>213</v>
      </c>
      <c r="P1" s="14"/>
      <c r="Q1" s="14"/>
      <c r="R1" s="14"/>
      <c r="S1" s="14"/>
      <c r="T1" s="14"/>
      <c r="U1" s="14"/>
      <c r="V1" s="14"/>
      <c r="W1" s="14"/>
      <c r="X1" s="14"/>
      <c r="Y1" s="14"/>
      <c r="Z1" s="14"/>
      <c r="AA1" s="14"/>
      <c r="AB1" s="14"/>
      <c r="AC1" s="14"/>
      <c r="AD1" s="14"/>
      <c r="AE1" s="14"/>
      <c r="AF1" s="14"/>
      <c r="AG1" s="14"/>
    </row>
    <row r="2" spans="1:33" x14ac:dyDescent="0.55000000000000004">
      <c r="A2" s="17" t="s">
        <v>214</v>
      </c>
      <c r="P2" s="14"/>
      <c r="Q2" s="14"/>
      <c r="R2" s="14"/>
      <c r="S2" s="14"/>
      <c r="T2" s="14"/>
      <c r="U2" s="14"/>
      <c r="V2" s="14"/>
      <c r="W2" s="14"/>
      <c r="X2" s="14"/>
      <c r="Y2" s="14"/>
      <c r="Z2" s="14"/>
      <c r="AA2" s="14"/>
      <c r="AB2" s="14"/>
      <c r="AC2" s="14"/>
      <c r="AD2" s="14"/>
      <c r="AE2" s="14"/>
      <c r="AF2" s="14"/>
      <c r="AG2" s="14"/>
    </row>
    <row r="4" spans="1:33" ht="15.75" x14ac:dyDescent="0.5">
      <c r="A4" s="2" t="s">
        <v>15</v>
      </c>
      <c r="B4" s="2" t="s">
        <v>16</v>
      </c>
    </row>
    <row r="5" spans="1:33" ht="15.75" x14ac:dyDescent="0.5">
      <c r="A5" s="23" t="s">
        <v>165</v>
      </c>
      <c r="B5" s="24" t="s">
        <v>856</v>
      </c>
    </row>
    <row r="6" spans="1:33" ht="15.75" x14ac:dyDescent="0.5">
      <c r="A6" s="23" t="s">
        <v>215</v>
      </c>
      <c r="B6" s="24" t="s">
        <v>216</v>
      </c>
    </row>
    <row r="7" spans="1:33" ht="15.75" x14ac:dyDescent="0.5">
      <c r="A7" s="23" t="s">
        <v>209</v>
      </c>
      <c r="B7" s="24" t="s">
        <v>210</v>
      </c>
    </row>
    <row r="8" spans="1:33" ht="31.5" x14ac:dyDescent="0.45">
      <c r="A8" s="23" t="s">
        <v>228</v>
      </c>
      <c r="B8" s="26" t="s">
        <v>229</v>
      </c>
    </row>
    <row r="9" spans="1:33" ht="15.75" x14ac:dyDescent="0.45">
      <c r="A9" s="23" t="s">
        <v>241</v>
      </c>
      <c r="B9" s="26" t="s">
        <v>263</v>
      </c>
      <c r="P9" s="60"/>
      <c r="U9" s="89"/>
    </row>
    <row r="10" spans="1:33" ht="47.25" x14ac:dyDescent="0.45">
      <c r="A10" s="23" t="s">
        <v>380</v>
      </c>
      <c r="B10" s="26" t="s">
        <v>1090</v>
      </c>
      <c r="P10" s="60"/>
      <c r="U10" s="89"/>
    </row>
    <row r="11" spans="1:33" ht="47.25" x14ac:dyDescent="0.45">
      <c r="A11" s="23" t="s">
        <v>1088</v>
      </c>
      <c r="B11" s="26" t="s">
        <v>1089</v>
      </c>
      <c r="P11" s="60"/>
      <c r="U11" s="89"/>
    </row>
    <row r="12" spans="1:33" x14ac:dyDescent="0.55000000000000004">
      <c r="D12" s="1" t="s">
        <v>17</v>
      </c>
      <c r="G12" s="13" t="s">
        <v>165</v>
      </c>
      <c r="H12" s="13" t="s">
        <v>215</v>
      </c>
      <c r="I12" s="13" t="s">
        <v>209</v>
      </c>
      <c r="J12" s="13" t="s">
        <v>228</v>
      </c>
      <c r="K12" s="13" t="s">
        <v>241</v>
      </c>
      <c r="L12" s="13" t="s">
        <v>380</v>
      </c>
      <c r="M12" s="13" t="s">
        <v>1088</v>
      </c>
      <c r="P12" s="60" t="s">
        <v>249</v>
      </c>
      <c r="U12" s="89" t="s">
        <v>250</v>
      </c>
    </row>
    <row r="13" spans="1:33" ht="18.75" customHeight="1" x14ac:dyDescent="0.55000000000000004">
      <c r="D13" t="s">
        <v>176</v>
      </c>
      <c r="F13" s="49">
        <v>37257</v>
      </c>
      <c r="G13" s="52">
        <v>72.400000000000006</v>
      </c>
      <c r="H13" s="54">
        <v>3</v>
      </c>
      <c r="I13" s="54" t="b">
        <v>1</v>
      </c>
      <c r="J13" s="54" t="b">
        <v>1</v>
      </c>
      <c r="K13" s="54" t="b">
        <v>0</v>
      </c>
      <c r="L13" s="54" t="b">
        <v>0</v>
      </c>
      <c r="M13" s="54" t="b">
        <v>1</v>
      </c>
      <c r="P13" s="53" cm="1">
        <f t="array" ref="P13:R30">_xlfn.LAMBDA(_xlpm.values,_xlop.nLeads,_xlop.fillWithNA,_xlop.allLeads,_xlop.descending,_xlop.headerFirstRow,_xlop.sameLeadsTogether,
_xlfn.LET(
_xlpm.nLeads, IF(_xlfn.ISOMITTED(_xlpm.nLeads), 1, _xlpm.nLeads),
_xlpm.fillWithNA, IF(_xlfn.ISOMITTED(_xlpm.fillWithNA), TRUE, _xlpm.fillWithNA ),
_xlpm.allLeads, IF(_xlfn.ISOMITTED(_xlpm.allLeads), FALSE,_xlpm.allLeads),
_xlpm.descending, IF(_xlfn.ISOMITTED(_xlpm.descending), FALSE, _xlpm.descending),
_xlpm.headerFirstRow, IF(_xlfn.ISOMITTED(_xlpm.headerFirstRow), FALSE, _xlpm.headerFirstRow),
_xlpm.sameLeadsTogether, IF(_xlfn.ISOMITTED(_xlpm.sameLeadsTogether), TRUE, _xlpm.sameLeadsTogether),
_xlpm.nCols,COLUMNS(_xlpm.values),
_xlpm.headers,IF(_xlpm.headerFirstRow, REPMAT(SLICE(_xlpm.values,1,1) &amp; "_LEAD", 1, _xlpm.nLeads * LARGE(1*_xlpm.allLeads, 1)) &amp; FLIPLR(REPMAT(_xlfn.SEQUENCE(1,_xlpm.nLeads * LARGE(1*_xlpm.allLeads, 1)), 1, _xlpm.nCols, TRUE),_xlpm.nCols), FALSE),
_xlpm.values,IF(_xlpm.headerFirstRow,SLICE(_xlpm.values,2,-1),_xlpm.values),
_xlpm.resultMatrix,
IF( OR( _xlpm.allLeads = FALSE, _xlpm.nLeads = 1),
IF(_xlpm.fillWithNA,
_xlfn.VSTACK( SLICE(_xlpm.values,_xlpm.nLeads+1,-1), NA()*ONES(_xlpm.nLeads,_xlpm.nCols) ),
SLICE(_xlpm.values,_xlpm.nLeads+1,-1)
),
IF(_xlpm.fillWithNA,
_xlfn.HSTACK( _xlfn.VSTACK( SLICE(_xlpm.values,_xlpm.nLeads+1,-1), NA()*ONES(_xlpm.nLeads,_xlpm.nCols) ), LEAD(_xlpm.values,_xlpm.nLeads-1,_xlpm.fillWithNA,_xlpm.allLeads,TRUE) ),
_xlfn.HSTACK( SLICE(_xlpm.values,_xlpm.nLeads+1,-1),  LEAD(_xlpm.values,_xlpm.nLeads-1,_xlpm.fillWithNA,_xlpm.allLeads,TRUE)  )
)),
_xlpm.resultMatrixHeaders, IF(_xlpm.headerFirstRow,_xlfn.VSTACK(_xlpm.headers, _xlpm.resultMatrix), _xlpm.resultMatrix),
_xlpm.resultOrder, IF(_xlpm.descending,_xlpm.resultMatrixHeaders,FLIPLR(_xlpm.resultMatrixHeaders,COLUMNS(_xlpm.values))),
IF(_xlpm.sameLeadsTogether, _xlpm.resultOrder, _xlfn.CHOOSECOLS(_xlpm.resultOrder, EVERY(1,_xlpm.nLeads*_xlpm.nCols,_xlpm.nCols)))
))($G$13:$G$30,$H$13,$I$13,$J$13,$K$13,$L$13,$M$13)</f>
        <v>69.7</v>
      </c>
      <c r="Q13" s="53">
        <v>77.400000000000006</v>
      </c>
      <c r="R13" s="15">
        <v>79.599999999999994</v>
      </c>
      <c r="U13" s="53" cm="1">
        <f t="array" ref="U13:W30">LEAD($G$13:$G$30,$H$13,$I$13,$J$13,$K$13,$L$13,$M$13)</f>
        <v>69.7</v>
      </c>
      <c r="V13" s="15">
        <v>77.400000000000006</v>
      </c>
      <c r="W13" s="15">
        <v>79.599999999999994</v>
      </c>
    </row>
    <row r="14" spans="1:33" x14ac:dyDescent="0.55000000000000004">
      <c r="D14" t="s">
        <v>177</v>
      </c>
      <c r="F14" s="49">
        <v>37288</v>
      </c>
      <c r="G14" s="52">
        <v>69.7</v>
      </c>
      <c r="P14" s="53">
        <v>77.400000000000006</v>
      </c>
      <c r="Q14" s="53">
        <v>79.599999999999994</v>
      </c>
      <c r="R14" s="15">
        <v>80.400000000000006</v>
      </c>
      <c r="U14" s="53">
        <v>77.400000000000006</v>
      </c>
      <c r="V14" s="15">
        <v>79.599999999999994</v>
      </c>
      <c r="W14" s="15">
        <v>80.400000000000006</v>
      </c>
    </row>
    <row r="15" spans="1:33" x14ac:dyDescent="0.55000000000000004">
      <c r="D15" t="s">
        <v>155</v>
      </c>
      <c r="F15" s="49">
        <v>37316</v>
      </c>
      <c r="G15" s="52">
        <v>77.400000000000006</v>
      </c>
      <c r="P15" s="53">
        <v>79.599999999999994</v>
      </c>
      <c r="Q15" s="53">
        <v>80.400000000000006</v>
      </c>
      <c r="R15" s="15">
        <v>77.5</v>
      </c>
      <c r="U15" s="53">
        <v>79.599999999999994</v>
      </c>
      <c r="V15" s="15">
        <v>80.400000000000006</v>
      </c>
      <c r="W15" s="15">
        <v>77.5</v>
      </c>
    </row>
    <row r="16" spans="1:33" x14ac:dyDescent="0.55000000000000004">
      <c r="D16" s="55"/>
      <c r="F16" s="49">
        <v>37347</v>
      </c>
      <c r="G16" s="52">
        <v>79.599999999999994</v>
      </c>
      <c r="P16" s="53">
        <v>80.400000000000006</v>
      </c>
      <c r="Q16" s="53">
        <v>77.5</v>
      </c>
      <c r="R16" s="15">
        <v>83.3</v>
      </c>
      <c r="U16" s="53">
        <v>80.400000000000006</v>
      </c>
      <c r="V16" s="15">
        <v>77.5</v>
      </c>
      <c r="W16" s="15">
        <v>83.3</v>
      </c>
    </row>
    <row r="17" spans="4:23" x14ac:dyDescent="0.55000000000000004">
      <c r="D17" s="55"/>
      <c r="F17" s="49">
        <v>37377</v>
      </c>
      <c r="G17" s="52">
        <v>80.400000000000006</v>
      </c>
      <c r="P17" s="53">
        <v>77.5</v>
      </c>
      <c r="Q17" s="53">
        <v>83.3</v>
      </c>
      <c r="R17" s="15">
        <v>83.6</v>
      </c>
      <c r="U17" s="53">
        <v>77.5</v>
      </c>
      <c r="V17" s="15">
        <v>83.3</v>
      </c>
      <c r="W17" s="15">
        <v>83.6</v>
      </c>
    </row>
    <row r="18" spans="4:23" x14ac:dyDescent="0.55000000000000004">
      <c r="D18" s="46"/>
      <c r="F18" s="49">
        <v>37408</v>
      </c>
      <c r="G18" s="52">
        <v>77.5</v>
      </c>
      <c r="P18" s="53">
        <v>83.3</v>
      </c>
      <c r="Q18" s="53">
        <v>83.6</v>
      </c>
      <c r="R18" s="15">
        <v>82.1</v>
      </c>
      <c r="U18" s="53">
        <v>83.3</v>
      </c>
      <c r="V18" s="15">
        <v>83.6</v>
      </c>
      <c r="W18" s="15">
        <v>82.1</v>
      </c>
    </row>
    <row r="19" spans="4:23" x14ac:dyDescent="0.55000000000000004">
      <c r="F19" s="49">
        <v>37438</v>
      </c>
      <c r="G19" s="52">
        <v>83.3</v>
      </c>
      <c r="P19" s="53">
        <v>83.6</v>
      </c>
      <c r="Q19" s="53">
        <v>82.1</v>
      </c>
      <c r="R19" s="15">
        <v>89.2</v>
      </c>
      <c r="U19" s="53">
        <v>83.6</v>
      </c>
      <c r="V19" s="15">
        <v>82.1</v>
      </c>
      <c r="W19" s="15">
        <v>89.2</v>
      </c>
    </row>
    <row r="20" spans="4:23" x14ac:dyDescent="0.55000000000000004">
      <c r="F20" s="49">
        <v>37469</v>
      </c>
      <c r="G20" s="52">
        <v>83.6</v>
      </c>
      <c r="P20" s="53">
        <v>82.1</v>
      </c>
      <c r="Q20" s="53">
        <v>89.2</v>
      </c>
      <c r="R20" s="15">
        <v>83.9</v>
      </c>
      <c r="U20" s="53">
        <v>82.1</v>
      </c>
      <c r="V20" s="15">
        <v>89.2</v>
      </c>
      <c r="W20" s="15">
        <v>83.9</v>
      </c>
    </row>
    <row r="21" spans="4:23" x14ac:dyDescent="0.55000000000000004">
      <c r="F21" s="49">
        <v>37500</v>
      </c>
      <c r="G21" s="52">
        <v>82.1</v>
      </c>
      <c r="P21" s="53">
        <v>89.2</v>
      </c>
      <c r="Q21" s="53">
        <v>83.9</v>
      </c>
      <c r="R21" s="15">
        <v>74.599999999999994</v>
      </c>
      <c r="U21" s="53">
        <v>89.2</v>
      </c>
      <c r="V21" s="15">
        <v>83.9</v>
      </c>
      <c r="W21" s="15">
        <v>74.599999999999994</v>
      </c>
    </row>
    <row r="22" spans="4:23" x14ac:dyDescent="0.55000000000000004">
      <c r="F22" s="49">
        <v>37530</v>
      </c>
      <c r="G22" s="52">
        <v>89.2</v>
      </c>
      <c r="P22" s="53">
        <v>83.9</v>
      </c>
      <c r="Q22" s="53">
        <v>74.599999999999994</v>
      </c>
      <c r="R22" s="15">
        <v>74</v>
      </c>
      <c r="U22" s="53">
        <v>83.9</v>
      </c>
      <c r="V22" s="15">
        <v>74.599999999999994</v>
      </c>
      <c r="W22" s="15">
        <v>74</v>
      </c>
    </row>
    <row r="23" spans="4:23" x14ac:dyDescent="0.55000000000000004">
      <c r="F23" s="49">
        <v>37561</v>
      </c>
      <c r="G23" s="52">
        <v>83.9</v>
      </c>
      <c r="P23" s="53">
        <v>74.599999999999994</v>
      </c>
      <c r="Q23" s="53">
        <v>74</v>
      </c>
      <c r="R23" s="15">
        <v>71.8</v>
      </c>
      <c r="U23" s="53">
        <v>74.599999999999994</v>
      </c>
      <c r="V23" s="15">
        <v>74</v>
      </c>
      <c r="W23" s="15">
        <v>71.8</v>
      </c>
    </row>
    <row r="24" spans="4:23" x14ac:dyDescent="0.55000000000000004">
      <c r="F24" s="49">
        <v>37591</v>
      </c>
      <c r="G24" s="52">
        <v>74.599999999999994</v>
      </c>
      <c r="P24" s="53">
        <v>74</v>
      </c>
      <c r="Q24" s="53">
        <v>71.8</v>
      </c>
      <c r="R24" s="15">
        <v>77.400000000000006</v>
      </c>
      <c r="U24" s="53">
        <v>74</v>
      </c>
      <c r="V24" s="15">
        <v>71.8</v>
      </c>
      <c r="W24" s="15">
        <v>77.400000000000006</v>
      </c>
    </row>
    <row r="25" spans="4:23" x14ac:dyDescent="0.55000000000000004">
      <c r="F25" s="49">
        <v>37622</v>
      </c>
      <c r="G25" s="52">
        <v>74</v>
      </c>
      <c r="P25" s="53">
        <v>71.8</v>
      </c>
      <c r="Q25" s="53">
        <v>77.400000000000006</v>
      </c>
      <c r="R25" s="15">
        <v>76.5</v>
      </c>
      <c r="U25" s="53">
        <v>71.8</v>
      </c>
      <c r="V25" s="15">
        <v>77.400000000000006</v>
      </c>
      <c r="W25" s="15">
        <v>76.5</v>
      </c>
    </row>
    <row r="26" spans="4:23" x14ac:dyDescent="0.55000000000000004">
      <c r="F26" s="49">
        <v>37653</v>
      </c>
      <c r="G26" s="52">
        <v>71.8</v>
      </c>
      <c r="P26" s="53">
        <v>77.400000000000006</v>
      </c>
      <c r="Q26" s="53">
        <v>76.5</v>
      </c>
      <c r="R26" s="15">
        <v>79.7</v>
      </c>
      <c r="U26" s="53">
        <v>77.400000000000006</v>
      </c>
      <c r="V26" s="15">
        <v>76.5</v>
      </c>
      <c r="W26" s="15">
        <v>79.7</v>
      </c>
    </row>
    <row r="27" spans="4:23" x14ac:dyDescent="0.55000000000000004">
      <c r="F27" s="49">
        <v>37681</v>
      </c>
      <c r="G27" s="52">
        <v>77.400000000000006</v>
      </c>
      <c r="P27" s="53">
        <v>76.5</v>
      </c>
      <c r="Q27" s="53">
        <v>79.7</v>
      </c>
      <c r="R27" s="15">
        <v>76.3</v>
      </c>
      <c r="U27" s="53">
        <v>76.5</v>
      </c>
      <c r="V27" s="15">
        <v>79.7</v>
      </c>
      <c r="W27" s="15">
        <v>76.3</v>
      </c>
    </row>
    <row r="28" spans="4:23" x14ac:dyDescent="0.55000000000000004">
      <c r="F28" s="49">
        <v>37712</v>
      </c>
      <c r="G28" s="52">
        <v>76.5</v>
      </c>
      <c r="P28" s="53">
        <v>79.7</v>
      </c>
      <c r="Q28" s="53">
        <v>76.3</v>
      </c>
      <c r="R28" s="15" t="e">
        <v>#N/A</v>
      </c>
      <c r="U28" s="53">
        <v>79.7</v>
      </c>
      <c r="V28" s="15">
        <v>76.3</v>
      </c>
      <c r="W28" s="15" t="e">
        <v>#N/A</v>
      </c>
    </row>
    <row r="29" spans="4:23" x14ac:dyDescent="0.55000000000000004">
      <c r="F29" s="49">
        <v>37742</v>
      </c>
      <c r="G29" s="52">
        <v>79.7</v>
      </c>
      <c r="P29" s="53">
        <v>76.3</v>
      </c>
      <c r="Q29" s="53" t="e">
        <v>#N/A</v>
      </c>
      <c r="R29" s="15" t="e">
        <v>#N/A</v>
      </c>
      <c r="U29" s="53">
        <v>76.3</v>
      </c>
      <c r="V29" s="15" t="e">
        <v>#N/A</v>
      </c>
      <c r="W29" s="15" t="e">
        <v>#N/A</v>
      </c>
    </row>
    <row r="30" spans="4:23" x14ac:dyDescent="0.55000000000000004">
      <c r="F30" s="49">
        <v>37773</v>
      </c>
      <c r="G30" s="52">
        <v>76.3</v>
      </c>
      <c r="P30" s="53" t="e">
        <v>#N/A</v>
      </c>
      <c r="Q30" s="53" t="e">
        <v>#N/A</v>
      </c>
      <c r="R30" s="15" t="e">
        <v>#N/A</v>
      </c>
      <c r="U30" s="53" t="e">
        <v>#N/A</v>
      </c>
      <c r="V30" s="15" t="e">
        <v>#N/A</v>
      </c>
      <c r="W30" s="15" t="e">
        <v>#N/A</v>
      </c>
    </row>
    <row r="31" spans="4:23" x14ac:dyDescent="0.55000000000000004">
      <c r="P31" s="53"/>
      <c r="Q31" s="53"/>
      <c r="U31" s="53"/>
    </row>
    <row r="32" spans="4:23" x14ac:dyDescent="0.55000000000000004">
      <c r="P32" s="53"/>
      <c r="Q32" s="53"/>
      <c r="U32" s="53"/>
    </row>
    <row r="33" spans="6:18" x14ac:dyDescent="0.55000000000000004">
      <c r="G33" s="13" t="s">
        <v>165</v>
      </c>
      <c r="H33" s="13" t="s">
        <v>215</v>
      </c>
      <c r="I33" s="13" t="s">
        <v>209</v>
      </c>
      <c r="J33" s="13" t="s">
        <v>228</v>
      </c>
      <c r="K33" s="13" t="s">
        <v>241</v>
      </c>
      <c r="L33" s="13" t="s">
        <v>380</v>
      </c>
      <c r="M33" s="13" t="s">
        <v>1088</v>
      </c>
      <c r="P33" s="89" t="s">
        <v>250</v>
      </c>
    </row>
    <row r="34" spans="6:18" x14ac:dyDescent="0.55000000000000004">
      <c r="G34" s="52" t="s">
        <v>382</v>
      </c>
      <c r="H34" s="54">
        <v>3</v>
      </c>
      <c r="I34" s="54" t="b">
        <v>1</v>
      </c>
      <c r="J34" s="54" t="b">
        <v>1</v>
      </c>
      <c r="K34" s="54" t="b">
        <v>1</v>
      </c>
      <c r="L34" s="54" t="b">
        <v>1</v>
      </c>
      <c r="M34" s="54" t="b">
        <v>1</v>
      </c>
      <c r="P34" s="53" t="str" cm="1">
        <f t="array" ref="P34:R52">LEAD($G$34:$G$52,$H$34,$I$34,$J$34,$K$34,$L$34,$M$34)</f>
        <v>IP_LEAD3</v>
      </c>
      <c r="Q34" s="15" t="str">
        <v>IP_LEAD2</v>
      </c>
      <c r="R34" s="15" t="str">
        <v>IP_LEAD1</v>
      </c>
    </row>
    <row r="35" spans="6:18" x14ac:dyDescent="0.55000000000000004">
      <c r="F35" s="49">
        <v>37257</v>
      </c>
      <c r="G35" s="52">
        <v>72.400000000000006</v>
      </c>
      <c r="P35" s="53">
        <v>79.599999999999994</v>
      </c>
      <c r="Q35" s="15">
        <v>77.400000000000006</v>
      </c>
      <c r="R35" s="15">
        <v>69.7</v>
      </c>
    </row>
    <row r="36" spans="6:18" x14ac:dyDescent="0.55000000000000004">
      <c r="F36" s="49">
        <v>37288</v>
      </c>
      <c r="G36" s="52">
        <v>69.7</v>
      </c>
      <c r="P36" s="53">
        <v>80.400000000000006</v>
      </c>
      <c r="Q36" s="15">
        <v>79.599999999999994</v>
      </c>
      <c r="R36" s="15">
        <v>77.400000000000006</v>
      </c>
    </row>
    <row r="37" spans="6:18" x14ac:dyDescent="0.55000000000000004">
      <c r="F37" s="49">
        <v>37316</v>
      </c>
      <c r="G37" s="52">
        <v>77.400000000000006</v>
      </c>
      <c r="P37" s="53">
        <v>77.5</v>
      </c>
      <c r="Q37" s="15">
        <v>80.400000000000006</v>
      </c>
      <c r="R37" s="15">
        <v>79.599999999999994</v>
      </c>
    </row>
    <row r="38" spans="6:18" x14ac:dyDescent="0.55000000000000004">
      <c r="F38" s="49">
        <v>37347</v>
      </c>
      <c r="G38" s="52">
        <v>79.599999999999994</v>
      </c>
      <c r="P38" s="53">
        <v>83.3</v>
      </c>
      <c r="Q38" s="15">
        <v>77.5</v>
      </c>
      <c r="R38" s="15">
        <v>80.400000000000006</v>
      </c>
    </row>
    <row r="39" spans="6:18" x14ac:dyDescent="0.55000000000000004">
      <c r="F39" s="49">
        <v>37377</v>
      </c>
      <c r="G39" s="52">
        <v>80.400000000000006</v>
      </c>
      <c r="P39" s="53">
        <v>83.6</v>
      </c>
      <c r="Q39" s="15">
        <v>83.3</v>
      </c>
      <c r="R39" s="15">
        <v>77.5</v>
      </c>
    </row>
    <row r="40" spans="6:18" x14ac:dyDescent="0.55000000000000004">
      <c r="F40" s="49">
        <v>37408</v>
      </c>
      <c r="G40" s="52">
        <v>77.5</v>
      </c>
      <c r="P40" s="53">
        <v>82.1</v>
      </c>
      <c r="Q40" s="15">
        <v>83.6</v>
      </c>
      <c r="R40" s="15">
        <v>83.3</v>
      </c>
    </row>
    <row r="41" spans="6:18" x14ac:dyDescent="0.55000000000000004">
      <c r="F41" s="49">
        <v>37438</v>
      </c>
      <c r="G41" s="52">
        <v>83.3</v>
      </c>
      <c r="P41" s="53">
        <v>89.2</v>
      </c>
      <c r="Q41" s="15">
        <v>82.1</v>
      </c>
      <c r="R41" s="15">
        <v>83.6</v>
      </c>
    </row>
    <row r="42" spans="6:18" x14ac:dyDescent="0.55000000000000004">
      <c r="F42" s="49">
        <v>37469</v>
      </c>
      <c r="G42" s="52">
        <v>83.6</v>
      </c>
      <c r="P42" s="53">
        <v>83.9</v>
      </c>
      <c r="Q42" s="15">
        <v>89.2</v>
      </c>
      <c r="R42" s="15">
        <v>82.1</v>
      </c>
    </row>
    <row r="43" spans="6:18" x14ac:dyDescent="0.55000000000000004">
      <c r="F43" s="49">
        <v>37500</v>
      </c>
      <c r="G43" s="52">
        <v>82.1</v>
      </c>
      <c r="P43" s="53">
        <v>74.599999999999994</v>
      </c>
      <c r="Q43" s="15">
        <v>83.9</v>
      </c>
      <c r="R43" s="15">
        <v>89.2</v>
      </c>
    </row>
    <row r="44" spans="6:18" x14ac:dyDescent="0.55000000000000004">
      <c r="F44" s="49">
        <v>37530</v>
      </c>
      <c r="G44" s="52">
        <v>89.2</v>
      </c>
      <c r="P44" s="53">
        <v>74</v>
      </c>
      <c r="Q44" s="15">
        <v>74.599999999999994</v>
      </c>
      <c r="R44" s="15">
        <v>83.9</v>
      </c>
    </row>
    <row r="45" spans="6:18" x14ac:dyDescent="0.55000000000000004">
      <c r="F45" s="49">
        <v>37561</v>
      </c>
      <c r="G45" s="52">
        <v>83.9</v>
      </c>
      <c r="P45" s="53">
        <v>71.8</v>
      </c>
      <c r="Q45" s="15">
        <v>74</v>
      </c>
      <c r="R45" s="15">
        <v>74.599999999999994</v>
      </c>
    </row>
    <row r="46" spans="6:18" x14ac:dyDescent="0.55000000000000004">
      <c r="F46" s="49">
        <v>37591</v>
      </c>
      <c r="G46" s="52">
        <v>74.599999999999994</v>
      </c>
      <c r="P46" s="53">
        <v>77.400000000000006</v>
      </c>
      <c r="Q46" s="15">
        <v>71.8</v>
      </c>
      <c r="R46" s="15">
        <v>74</v>
      </c>
    </row>
    <row r="47" spans="6:18" x14ac:dyDescent="0.55000000000000004">
      <c r="F47" s="49">
        <v>37622</v>
      </c>
      <c r="G47" s="52">
        <v>74</v>
      </c>
      <c r="P47" s="53">
        <v>76.5</v>
      </c>
      <c r="Q47" s="15">
        <v>77.400000000000006</v>
      </c>
      <c r="R47" s="15">
        <v>71.8</v>
      </c>
    </row>
    <row r="48" spans="6:18" x14ac:dyDescent="0.55000000000000004">
      <c r="F48" s="49">
        <v>37653</v>
      </c>
      <c r="G48" s="52">
        <v>71.8</v>
      </c>
      <c r="P48" s="53">
        <v>79.7</v>
      </c>
      <c r="Q48" s="15">
        <v>76.5</v>
      </c>
      <c r="R48" s="15">
        <v>77.400000000000006</v>
      </c>
    </row>
    <row r="49" spans="6:21" x14ac:dyDescent="0.55000000000000004">
      <c r="F49" s="49">
        <v>37681</v>
      </c>
      <c r="G49" s="52">
        <v>77.400000000000006</v>
      </c>
      <c r="P49" s="53">
        <v>76.3</v>
      </c>
      <c r="Q49" s="15">
        <v>79.7</v>
      </c>
      <c r="R49" s="15">
        <v>76.5</v>
      </c>
    </row>
    <row r="50" spans="6:21" x14ac:dyDescent="0.55000000000000004">
      <c r="F50" s="49">
        <v>37712</v>
      </c>
      <c r="G50" s="52">
        <v>76.5</v>
      </c>
      <c r="P50" s="53" t="e">
        <v>#N/A</v>
      </c>
      <c r="Q50" s="15">
        <v>76.3</v>
      </c>
      <c r="R50" s="15">
        <v>79.7</v>
      </c>
    </row>
    <row r="51" spans="6:21" x14ac:dyDescent="0.55000000000000004">
      <c r="F51" s="49">
        <v>37742</v>
      </c>
      <c r="G51" s="52">
        <v>79.7</v>
      </c>
      <c r="P51" s="53" t="e">
        <v>#N/A</v>
      </c>
      <c r="Q51" s="15" t="e">
        <v>#N/A</v>
      </c>
      <c r="R51" s="15">
        <v>76.3</v>
      </c>
    </row>
    <row r="52" spans="6:21" x14ac:dyDescent="0.55000000000000004">
      <c r="F52" s="49">
        <v>37773</v>
      </c>
      <c r="G52" s="52">
        <v>76.3</v>
      </c>
      <c r="P52" s="53" t="e">
        <v>#N/A</v>
      </c>
      <c r="Q52" s="15" t="e">
        <v>#N/A</v>
      </c>
      <c r="R52" s="15" t="e">
        <v>#N/A</v>
      </c>
    </row>
    <row r="53" spans="6:21" x14ac:dyDescent="0.55000000000000004">
      <c r="P53" s="53"/>
      <c r="Q53" s="53"/>
      <c r="U53" s="53"/>
    </row>
    <row r="54" spans="6:21" x14ac:dyDescent="0.55000000000000004">
      <c r="P54" s="53"/>
      <c r="Q54" s="53"/>
      <c r="U54" s="53"/>
    </row>
    <row r="55" spans="6:21" x14ac:dyDescent="0.55000000000000004">
      <c r="G55" s="171" t="s">
        <v>165</v>
      </c>
      <c r="H55" s="170"/>
      <c r="I55" s="13" t="s">
        <v>215</v>
      </c>
      <c r="J55" s="13" t="s">
        <v>209</v>
      </c>
      <c r="K55" s="13" t="s">
        <v>228</v>
      </c>
      <c r="L55" s="13" t="s">
        <v>241</v>
      </c>
      <c r="M55" s="13" t="s">
        <v>380</v>
      </c>
      <c r="N55" s="13" t="s">
        <v>1088</v>
      </c>
      <c r="P55" s="89" t="s">
        <v>250</v>
      </c>
    </row>
    <row r="56" spans="6:21" x14ac:dyDescent="0.55000000000000004">
      <c r="F56" s="49">
        <v>37257</v>
      </c>
      <c r="G56" s="52">
        <v>72.400000000000006</v>
      </c>
      <c r="H56" s="52">
        <v>53</v>
      </c>
      <c r="I56" s="54">
        <v>3</v>
      </c>
      <c r="J56" s="54" t="b">
        <v>1</v>
      </c>
      <c r="K56" s="54" t="b">
        <v>1</v>
      </c>
      <c r="L56" s="54" t="b">
        <v>0</v>
      </c>
      <c r="M56" s="54" t="b">
        <v>0</v>
      </c>
      <c r="N56" s="54" t="b">
        <v>1</v>
      </c>
      <c r="P56" s="53" cm="1">
        <f t="array" ref="P56:U73">LEAD($G$56:$H$73,$I$56,$J$56,$K$56,$L$56,$M$56,$N$56)</f>
        <v>69.7</v>
      </c>
      <c r="Q56" s="53">
        <v>34.299999999999997</v>
      </c>
      <c r="R56" s="53">
        <v>77.400000000000006</v>
      </c>
      <c r="S56" s="53">
        <v>42.3</v>
      </c>
      <c r="T56" s="53">
        <v>79.599999999999994</v>
      </c>
      <c r="U56" s="15">
        <v>54.3</v>
      </c>
    </row>
    <row r="57" spans="6:21" x14ac:dyDescent="0.55000000000000004">
      <c r="F57" s="49">
        <v>37288</v>
      </c>
      <c r="G57" s="52">
        <v>69.7</v>
      </c>
      <c r="H57" s="52">
        <v>34.299999999999997</v>
      </c>
      <c r="P57" s="53">
        <v>77.400000000000006</v>
      </c>
      <c r="Q57" s="53">
        <v>42.3</v>
      </c>
      <c r="R57" s="53">
        <v>79.599999999999994</v>
      </c>
      <c r="S57" s="53">
        <v>54.3</v>
      </c>
      <c r="T57" s="53">
        <v>80.400000000000006</v>
      </c>
      <c r="U57" s="15">
        <v>54.9</v>
      </c>
    </row>
    <row r="58" spans="6:21" x14ac:dyDescent="0.55000000000000004">
      <c r="F58" s="49">
        <v>37316</v>
      </c>
      <c r="G58" s="52">
        <v>77.400000000000006</v>
      </c>
      <c r="H58" s="52">
        <v>42.3</v>
      </c>
      <c r="P58" s="53">
        <v>79.599999999999994</v>
      </c>
      <c r="Q58" s="53">
        <v>54.3</v>
      </c>
      <c r="R58" s="53">
        <v>80.400000000000006</v>
      </c>
      <c r="S58" s="53">
        <v>54.9</v>
      </c>
      <c r="T58" s="53">
        <v>77.5</v>
      </c>
      <c r="U58" s="15">
        <v>43</v>
      </c>
    </row>
    <row r="59" spans="6:21" x14ac:dyDescent="0.55000000000000004">
      <c r="F59" s="49">
        <v>37347</v>
      </c>
      <c r="G59" s="52">
        <v>79.599999999999994</v>
      </c>
      <c r="H59" s="52">
        <v>54.3</v>
      </c>
      <c r="P59" s="53">
        <v>80.400000000000006</v>
      </c>
      <c r="Q59" s="53">
        <v>54.9</v>
      </c>
      <c r="R59" s="53">
        <v>77.5</v>
      </c>
      <c r="S59" s="53">
        <v>43</v>
      </c>
      <c r="T59" s="53">
        <v>83.3</v>
      </c>
      <c r="U59" s="15">
        <v>43.7</v>
      </c>
    </row>
    <row r="60" spans="6:21" x14ac:dyDescent="0.55000000000000004">
      <c r="F60" s="49">
        <v>37377</v>
      </c>
      <c r="G60" s="52">
        <v>80.400000000000006</v>
      </c>
      <c r="H60" s="52">
        <v>54.9</v>
      </c>
      <c r="P60" s="53">
        <v>77.5</v>
      </c>
      <c r="Q60" s="53">
        <v>43</v>
      </c>
      <c r="R60" s="53">
        <v>83.3</v>
      </c>
      <c r="S60" s="53">
        <v>43.7</v>
      </c>
      <c r="T60" s="53">
        <v>83.6</v>
      </c>
      <c r="U60" s="15">
        <v>26.9</v>
      </c>
    </row>
    <row r="61" spans="6:21" x14ac:dyDescent="0.55000000000000004">
      <c r="F61" s="49">
        <v>37408</v>
      </c>
      <c r="G61" s="52">
        <v>77.5</v>
      </c>
      <c r="H61" s="52">
        <v>43</v>
      </c>
      <c r="P61" s="53">
        <v>83.3</v>
      </c>
      <c r="Q61" s="53">
        <v>43.7</v>
      </c>
      <c r="R61" s="53">
        <v>83.6</v>
      </c>
      <c r="S61" s="53">
        <v>26.9</v>
      </c>
      <c r="T61" s="53">
        <v>82.1</v>
      </c>
      <c r="U61" s="15">
        <v>35.700000000000003</v>
      </c>
    </row>
    <row r="62" spans="6:21" x14ac:dyDescent="0.55000000000000004">
      <c r="F62" s="49">
        <v>37438</v>
      </c>
      <c r="G62" s="52">
        <v>83.3</v>
      </c>
      <c r="H62" s="52">
        <v>43.7</v>
      </c>
      <c r="P62" s="53">
        <v>83.6</v>
      </c>
      <c r="Q62" s="53">
        <v>26.9</v>
      </c>
      <c r="R62" s="53">
        <v>82.1</v>
      </c>
      <c r="S62" s="53">
        <v>35.700000000000003</v>
      </c>
      <c r="T62" s="53">
        <v>89.2</v>
      </c>
      <c r="U62" s="15">
        <v>25.8</v>
      </c>
    </row>
    <row r="63" spans="6:21" x14ac:dyDescent="0.55000000000000004">
      <c r="F63" s="49">
        <v>37469</v>
      </c>
      <c r="G63" s="52">
        <v>83.6</v>
      </c>
      <c r="H63" s="52">
        <v>26.9</v>
      </c>
      <c r="P63" s="53">
        <v>82.1</v>
      </c>
      <c r="Q63" s="53">
        <v>35.700000000000003</v>
      </c>
      <c r="R63" s="53">
        <v>89.2</v>
      </c>
      <c r="S63" s="53">
        <v>25.8</v>
      </c>
      <c r="T63" s="53">
        <v>83.9</v>
      </c>
      <c r="U63" s="15">
        <v>74</v>
      </c>
    </row>
    <row r="64" spans="6:21" x14ac:dyDescent="0.55000000000000004">
      <c r="F64" s="49">
        <v>37500</v>
      </c>
      <c r="G64" s="52">
        <v>82.1</v>
      </c>
      <c r="H64" s="52">
        <v>35.700000000000003</v>
      </c>
      <c r="P64" s="53">
        <v>89.2</v>
      </c>
      <c r="Q64" s="53">
        <v>25.8</v>
      </c>
      <c r="R64" s="53">
        <v>83.9</v>
      </c>
      <c r="S64" s="53">
        <v>74</v>
      </c>
      <c r="T64" s="53">
        <v>74.599999999999994</v>
      </c>
      <c r="U64" s="15">
        <v>36.6</v>
      </c>
    </row>
    <row r="65" spans="6:21" x14ac:dyDescent="0.55000000000000004">
      <c r="F65" s="49">
        <v>37530</v>
      </c>
      <c r="G65" s="52">
        <v>89.2</v>
      </c>
      <c r="H65" s="52">
        <v>25.8</v>
      </c>
      <c r="P65" s="53">
        <v>83.9</v>
      </c>
      <c r="Q65" s="53">
        <v>74</v>
      </c>
      <c r="R65" s="53">
        <v>74.599999999999994</v>
      </c>
      <c r="S65" s="53">
        <v>36.6</v>
      </c>
      <c r="T65" s="53">
        <v>74</v>
      </c>
      <c r="U65" s="15">
        <v>64.7</v>
      </c>
    </row>
    <row r="66" spans="6:21" x14ac:dyDescent="0.55000000000000004">
      <c r="F66" s="49">
        <v>37561</v>
      </c>
      <c r="G66" s="52">
        <v>83.9</v>
      </c>
      <c r="H66" s="52">
        <v>74</v>
      </c>
      <c r="P66" s="53">
        <v>74.599999999999994</v>
      </c>
      <c r="Q66" s="53">
        <v>36.6</v>
      </c>
      <c r="R66" s="53">
        <v>74</v>
      </c>
      <c r="S66" s="53">
        <v>64.7</v>
      </c>
      <c r="T66" s="53">
        <v>71.8</v>
      </c>
      <c r="U66" s="15">
        <v>35.6</v>
      </c>
    </row>
    <row r="67" spans="6:21" x14ac:dyDescent="0.55000000000000004">
      <c r="F67" s="49">
        <v>37591</v>
      </c>
      <c r="G67" s="52">
        <v>74.599999999999994</v>
      </c>
      <c r="H67" s="52">
        <v>36.6</v>
      </c>
      <c r="P67" s="53">
        <v>74</v>
      </c>
      <c r="Q67" s="53">
        <v>64.7</v>
      </c>
      <c r="R67" s="53">
        <v>71.8</v>
      </c>
      <c r="S67" s="53">
        <v>35.6</v>
      </c>
      <c r="T67" s="53">
        <v>77.400000000000006</v>
      </c>
      <c r="U67" s="15">
        <v>35.4</v>
      </c>
    </row>
    <row r="68" spans="6:21" x14ac:dyDescent="0.55000000000000004">
      <c r="F68" s="49">
        <v>37622</v>
      </c>
      <c r="G68" s="52">
        <v>74</v>
      </c>
      <c r="H68" s="52">
        <v>64.7</v>
      </c>
      <c r="P68" s="53">
        <v>71.8</v>
      </c>
      <c r="Q68" s="53">
        <v>35.6</v>
      </c>
      <c r="R68" s="53">
        <v>77.400000000000006</v>
      </c>
      <c r="S68" s="53">
        <v>35.4</v>
      </c>
      <c r="T68" s="53">
        <v>76.5</v>
      </c>
      <c r="U68" s="15">
        <v>87.9</v>
      </c>
    </row>
    <row r="69" spans="6:21" x14ac:dyDescent="0.55000000000000004">
      <c r="F69" s="49">
        <v>37653</v>
      </c>
      <c r="G69" s="52">
        <v>71.8</v>
      </c>
      <c r="H69" s="52">
        <v>35.6</v>
      </c>
      <c r="P69" s="53">
        <v>77.400000000000006</v>
      </c>
      <c r="Q69" s="53">
        <v>35.4</v>
      </c>
      <c r="R69" s="53">
        <v>76.5</v>
      </c>
      <c r="S69" s="53">
        <v>87.9</v>
      </c>
      <c r="T69" s="53">
        <v>79.7</v>
      </c>
      <c r="U69" s="15">
        <v>43.6</v>
      </c>
    </row>
    <row r="70" spans="6:21" x14ac:dyDescent="0.55000000000000004">
      <c r="F70" s="49">
        <v>37681</v>
      </c>
      <c r="G70" s="52">
        <v>77.400000000000006</v>
      </c>
      <c r="H70" s="52">
        <v>35.4</v>
      </c>
      <c r="P70" s="53">
        <v>76.5</v>
      </c>
      <c r="Q70" s="53">
        <v>87.9</v>
      </c>
      <c r="R70" s="53">
        <v>79.7</v>
      </c>
      <c r="S70" s="53">
        <v>43.6</v>
      </c>
      <c r="T70" s="53">
        <v>76.3</v>
      </c>
      <c r="U70" s="15">
        <v>34.5</v>
      </c>
    </row>
    <row r="71" spans="6:21" x14ac:dyDescent="0.55000000000000004">
      <c r="F71" s="49">
        <v>37712</v>
      </c>
      <c r="G71" s="52">
        <v>76.5</v>
      </c>
      <c r="H71" s="52">
        <v>87.9</v>
      </c>
      <c r="P71" s="53">
        <v>79.7</v>
      </c>
      <c r="Q71" s="53">
        <v>43.6</v>
      </c>
      <c r="R71" s="53">
        <v>76.3</v>
      </c>
      <c r="S71" s="53">
        <v>34.5</v>
      </c>
      <c r="T71" s="53" t="e">
        <v>#N/A</v>
      </c>
      <c r="U71" s="15" t="e">
        <v>#N/A</v>
      </c>
    </row>
    <row r="72" spans="6:21" x14ac:dyDescent="0.55000000000000004">
      <c r="F72" s="49">
        <v>37742</v>
      </c>
      <c r="G72" s="52">
        <v>79.7</v>
      </c>
      <c r="H72" s="52">
        <v>43.6</v>
      </c>
      <c r="P72" s="53">
        <v>76.3</v>
      </c>
      <c r="Q72" s="53">
        <v>34.5</v>
      </c>
      <c r="R72" s="53" t="e">
        <v>#N/A</v>
      </c>
      <c r="S72" s="53" t="e">
        <v>#N/A</v>
      </c>
      <c r="T72" s="53" t="e">
        <v>#N/A</v>
      </c>
      <c r="U72" s="15" t="e">
        <v>#N/A</v>
      </c>
    </row>
    <row r="73" spans="6:21" x14ac:dyDescent="0.55000000000000004">
      <c r="F73" s="49">
        <v>37773</v>
      </c>
      <c r="G73" s="52">
        <v>76.3</v>
      </c>
      <c r="H73" s="52">
        <v>34.5</v>
      </c>
      <c r="P73" s="53" t="e">
        <v>#N/A</v>
      </c>
      <c r="Q73" s="53" t="e">
        <v>#N/A</v>
      </c>
      <c r="R73" s="53" t="e">
        <v>#N/A</v>
      </c>
      <c r="S73" s="53" t="e">
        <v>#N/A</v>
      </c>
      <c r="T73" s="53" t="e">
        <v>#N/A</v>
      </c>
      <c r="U73" s="15" t="e">
        <v>#N/A</v>
      </c>
    </row>
    <row r="74" spans="6:21" x14ac:dyDescent="0.55000000000000004">
      <c r="P74" s="53"/>
      <c r="Q74" s="53"/>
      <c r="U74" s="53"/>
    </row>
    <row r="75" spans="6:21" x14ac:dyDescent="0.55000000000000004">
      <c r="P75" s="53"/>
      <c r="Q75" s="53"/>
      <c r="U75" s="53"/>
    </row>
    <row r="76" spans="6:21" x14ac:dyDescent="0.55000000000000004">
      <c r="G76" s="171" t="s">
        <v>165</v>
      </c>
      <c r="H76" s="170"/>
      <c r="I76" s="13" t="s">
        <v>215</v>
      </c>
      <c r="J76" s="13" t="s">
        <v>209</v>
      </c>
      <c r="K76" s="13" t="s">
        <v>228</v>
      </c>
      <c r="L76" s="13" t="s">
        <v>241</v>
      </c>
      <c r="M76" s="13" t="s">
        <v>380</v>
      </c>
      <c r="N76" s="13" t="s">
        <v>1088</v>
      </c>
      <c r="P76" s="89" t="s">
        <v>250</v>
      </c>
      <c r="U76" s="53"/>
    </row>
    <row r="77" spans="6:21" x14ac:dyDescent="0.55000000000000004">
      <c r="F77" s="49"/>
      <c r="G77" s="52" t="s">
        <v>871</v>
      </c>
      <c r="H77" s="52" t="s">
        <v>872</v>
      </c>
      <c r="I77" s="54">
        <v>2</v>
      </c>
      <c r="J77" s="54" t="b">
        <v>1</v>
      </c>
      <c r="K77" s="54" t="b">
        <v>1</v>
      </c>
      <c r="L77" s="54" t="b">
        <v>0</v>
      </c>
      <c r="M77" s="54" t="b">
        <v>1</v>
      </c>
      <c r="N77" s="54" t="b">
        <v>1</v>
      </c>
      <c r="P77" s="53" t="str" cm="1">
        <f t="array" ref="P77:S95">LEAD($G$77:$H$95,$I$77,$J$77,$K$77,$L$77,$M$77,$N$77)</f>
        <v>colA_LEAD1</v>
      </c>
      <c r="Q77" s="53" t="str">
        <v>colB_LEAD1</v>
      </c>
      <c r="R77" s="53" t="str">
        <v>colA_LEAD2</v>
      </c>
      <c r="S77" s="53" t="str">
        <v>colB_LEAD2</v>
      </c>
      <c r="U77" s="53"/>
    </row>
    <row r="78" spans="6:21" x14ac:dyDescent="0.55000000000000004">
      <c r="F78" s="49">
        <v>37257</v>
      </c>
      <c r="G78" s="52">
        <v>72.400000000000006</v>
      </c>
      <c r="H78" s="52">
        <v>53</v>
      </c>
      <c r="P78" s="53">
        <v>69.7</v>
      </c>
      <c r="Q78" s="53">
        <v>34.299999999999997</v>
      </c>
      <c r="R78" s="53">
        <v>77.400000000000006</v>
      </c>
      <c r="S78" s="53">
        <v>42.3</v>
      </c>
      <c r="U78" s="53"/>
    </row>
    <row r="79" spans="6:21" x14ac:dyDescent="0.55000000000000004">
      <c r="F79" s="49">
        <v>37288</v>
      </c>
      <c r="G79" s="52">
        <v>69.7</v>
      </c>
      <c r="H79" s="52">
        <v>34.299999999999997</v>
      </c>
      <c r="P79" s="53">
        <v>77.400000000000006</v>
      </c>
      <c r="Q79" s="53">
        <v>42.3</v>
      </c>
      <c r="R79" s="53">
        <v>79.599999999999994</v>
      </c>
      <c r="S79" s="53">
        <v>54.3</v>
      </c>
      <c r="U79" s="53"/>
    </row>
    <row r="80" spans="6:21" x14ac:dyDescent="0.55000000000000004">
      <c r="F80" s="49">
        <v>37316</v>
      </c>
      <c r="G80" s="52">
        <v>77.400000000000006</v>
      </c>
      <c r="H80" s="52">
        <v>42.3</v>
      </c>
      <c r="P80" s="53">
        <v>79.599999999999994</v>
      </c>
      <c r="Q80" s="53">
        <v>54.3</v>
      </c>
      <c r="R80" s="53">
        <v>80.400000000000006</v>
      </c>
      <c r="S80" s="53">
        <v>54.9</v>
      </c>
      <c r="U80" s="53"/>
    </row>
    <row r="81" spans="6:21" x14ac:dyDescent="0.55000000000000004">
      <c r="F81" s="49">
        <v>37347</v>
      </c>
      <c r="G81" s="52">
        <v>79.599999999999994</v>
      </c>
      <c r="H81" s="52">
        <v>54.3</v>
      </c>
      <c r="P81" s="53">
        <v>80.400000000000006</v>
      </c>
      <c r="Q81" s="53">
        <v>54.9</v>
      </c>
      <c r="R81" s="53">
        <v>77.5</v>
      </c>
      <c r="S81" s="53">
        <v>43</v>
      </c>
      <c r="U81" s="53"/>
    </row>
    <row r="82" spans="6:21" x14ac:dyDescent="0.55000000000000004">
      <c r="F82" s="49">
        <v>37377</v>
      </c>
      <c r="G82" s="52">
        <v>80.400000000000006</v>
      </c>
      <c r="H82" s="52">
        <v>54.9</v>
      </c>
      <c r="P82" s="53">
        <v>77.5</v>
      </c>
      <c r="Q82" s="53">
        <v>43</v>
      </c>
      <c r="R82" s="53">
        <v>83.3</v>
      </c>
      <c r="S82" s="53">
        <v>43.7</v>
      </c>
      <c r="U82" s="53"/>
    </row>
    <row r="83" spans="6:21" x14ac:dyDescent="0.55000000000000004">
      <c r="F83" s="49">
        <v>37408</v>
      </c>
      <c r="G83" s="52">
        <v>77.5</v>
      </c>
      <c r="H83" s="52">
        <v>43</v>
      </c>
      <c r="P83" s="53">
        <v>83.3</v>
      </c>
      <c r="Q83" s="53">
        <v>43.7</v>
      </c>
      <c r="R83" s="53">
        <v>83.6</v>
      </c>
      <c r="S83" s="53">
        <v>26.9</v>
      </c>
    </row>
    <row r="84" spans="6:21" x14ac:dyDescent="0.55000000000000004">
      <c r="F84" s="49">
        <v>37438</v>
      </c>
      <c r="G84" s="52">
        <v>83.3</v>
      </c>
      <c r="H84" s="52">
        <v>43.7</v>
      </c>
      <c r="P84" s="53">
        <v>83.6</v>
      </c>
      <c r="Q84" s="53">
        <v>26.9</v>
      </c>
      <c r="R84" s="53">
        <v>82.1</v>
      </c>
      <c r="S84" s="53">
        <v>35.700000000000003</v>
      </c>
    </row>
    <row r="85" spans="6:21" x14ac:dyDescent="0.55000000000000004">
      <c r="F85" s="49">
        <v>37469</v>
      </c>
      <c r="G85" s="52">
        <v>83.6</v>
      </c>
      <c r="H85" s="52">
        <v>26.9</v>
      </c>
      <c r="P85" s="53">
        <v>82.1</v>
      </c>
      <c r="Q85" s="53">
        <v>35.700000000000003</v>
      </c>
      <c r="R85" s="53">
        <v>89.2</v>
      </c>
      <c r="S85" s="53">
        <v>25.8</v>
      </c>
    </row>
    <row r="86" spans="6:21" x14ac:dyDescent="0.55000000000000004">
      <c r="F86" s="49">
        <v>37500</v>
      </c>
      <c r="G86" s="52">
        <v>82.1</v>
      </c>
      <c r="H86" s="52">
        <v>35.700000000000003</v>
      </c>
      <c r="P86" s="53">
        <v>89.2</v>
      </c>
      <c r="Q86" s="53">
        <v>25.8</v>
      </c>
      <c r="R86" s="53">
        <v>83.9</v>
      </c>
      <c r="S86" s="53">
        <v>74</v>
      </c>
    </row>
    <row r="87" spans="6:21" x14ac:dyDescent="0.55000000000000004">
      <c r="F87" s="49">
        <v>37530</v>
      </c>
      <c r="G87" s="52">
        <v>89.2</v>
      </c>
      <c r="H87" s="52">
        <v>25.8</v>
      </c>
      <c r="P87" s="53">
        <v>83.9</v>
      </c>
      <c r="Q87" s="53">
        <v>74</v>
      </c>
      <c r="R87" s="53">
        <v>74.599999999999994</v>
      </c>
      <c r="S87" s="53">
        <v>36.6</v>
      </c>
    </row>
    <row r="88" spans="6:21" x14ac:dyDescent="0.55000000000000004">
      <c r="F88" s="49">
        <v>37561</v>
      </c>
      <c r="G88" s="52">
        <v>83.9</v>
      </c>
      <c r="H88" s="52">
        <v>74</v>
      </c>
      <c r="P88" s="53">
        <v>74.599999999999994</v>
      </c>
      <c r="Q88" s="53">
        <v>36.6</v>
      </c>
      <c r="R88" s="53">
        <v>74</v>
      </c>
      <c r="S88" s="53">
        <v>64.7</v>
      </c>
    </row>
    <row r="89" spans="6:21" x14ac:dyDescent="0.55000000000000004">
      <c r="F89" s="49">
        <v>37591</v>
      </c>
      <c r="G89" s="52">
        <v>74.599999999999994</v>
      </c>
      <c r="H89" s="52">
        <v>36.6</v>
      </c>
      <c r="P89" s="53">
        <v>74</v>
      </c>
      <c r="Q89" s="53">
        <v>64.7</v>
      </c>
      <c r="R89" s="53">
        <v>71.8</v>
      </c>
      <c r="S89" s="53">
        <v>35.6</v>
      </c>
    </row>
    <row r="90" spans="6:21" x14ac:dyDescent="0.55000000000000004">
      <c r="F90" s="49">
        <v>37622</v>
      </c>
      <c r="G90" s="52">
        <v>74</v>
      </c>
      <c r="H90" s="52">
        <v>64.7</v>
      </c>
      <c r="P90" s="53">
        <v>71.8</v>
      </c>
      <c r="Q90" s="53">
        <v>35.6</v>
      </c>
      <c r="R90" s="53">
        <v>77.400000000000006</v>
      </c>
      <c r="S90" s="53">
        <v>35.4</v>
      </c>
    </row>
    <row r="91" spans="6:21" x14ac:dyDescent="0.55000000000000004">
      <c r="F91" s="49">
        <v>37653</v>
      </c>
      <c r="G91" s="52">
        <v>71.8</v>
      </c>
      <c r="H91" s="52">
        <v>35.6</v>
      </c>
      <c r="P91" s="53">
        <v>77.400000000000006</v>
      </c>
      <c r="Q91" s="53">
        <v>35.4</v>
      </c>
      <c r="R91" s="53">
        <v>76.5</v>
      </c>
      <c r="S91" s="53">
        <v>87.9</v>
      </c>
    </row>
    <row r="92" spans="6:21" x14ac:dyDescent="0.55000000000000004">
      <c r="F92" s="49">
        <v>37681</v>
      </c>
      <c r="G92" s="52">
        <v>77.400000000000006</v>
      </c>
      <c r="H92" s="52">
        <v>35.4</v>
      </c>
      <c r="P92" s="53">
        <v>76.5</v>
      </c>
      <c r="Q92" s="53">
        <v>87.9</v>
      </c>
      <c r="R92" s="53">
        <v>79.7</v>
      </c>
      <c r="S92" s="53">
        <v>43.6</v>
      </c>
    </row>
    <row r="93" spans="6:21" x14ac:dyDescent="0.55000000000000004">
      <c r="F93" s="49">
        <v>37712</v>
      </c>
      <c r="G93" s="52">
        <v>76.5</v>
      </c>
      <c r="H93" s="52">
        <v>87.9</v>
      </c>
      <c r="P93" s="53">
        <v>79.7</v>
      </c>
      <c r="Q93" s="53">
        <v>43.6</v>
      </c>
      <c r="R93" s="53">
        <v>76.3</v>
      </c>
      <c r="S93" s="53">
        <v>34.5</v>
      </c>
    </row>
    <row r="94" spans="6:21" x14ac:dyDescent="0.55000000000000004">
      <c r="F94" s="49">
        <v>37742</v>
      </c>
      <c r="G94" s="52">
        <v>79.7</v>
      </c>
      <c r="H94" s="52">
        <v>43.6</v>
      </c>
      <c r="P94" s="53">
        <v>76.3</v>
      </c>
      <c r="Q94" s="53">
        <v>34.5</v>
      </c>
      <c r="R94" s="53" t="e">
        <v>#N/A</v>
      </c>
      <c r="S94" s="53" t="e">
        <v>#N/A</v>
      </c>
    </row>
    <row r="95" spans="6:21" x14ac:dyDescent="0.55000000000000004">
      <c r="F95" s="49">
        <v>37773</v>
      </c>
      <c r="G95" s="52">
        <v>76.3</v>
      </c>
      <c r="H95" s="52">
        <v>34.5</v>
      </c>
      <c r="P95" s="53" t="e">
        <v>#N/A</v>
      </c>
      <c r="Q95" s="53" t="e">
        <v>#N/A</v>
      </c>
      <c r="R95" s="53" t="e">
        <v>#N/A</v>
      </c>
      <c r="S95" s="53" t="e">
        <v>#N/A</v>
      </c>
    </row>
  </sheetData>
  <mergeCells count="2">
    <mergeCell ref="G55:H55"/>
    <mergeCell ref="G76:H76"/>
  </mergeCell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74DA9-BB91-4799-B509-ADCAA62A4B42}">
  <sheetPr codeName="Planilha32">
    <tabColor theme="9" tint="0.59999389629810485"/>
  </sheetPr>
  <dimension ref="A1:Y265"/>
  <sheetViews>
    <sheetView showGridLines="0" zoomScaleNormal="100" workbookViewId="0">
      <selection activeCell="P13" sqref="P13"/>
    </sheetView>
  </sheetViews>
  <sheetFormatPr defaultColWidth="8.796875" defaultRowHeight="18" x14ac:dyDescent="0.55000000000000004"/>
  <cols>
    <col min="1" max="1" width="12.6640625" style="17" customWidth="1"/>
    <col min="2" max="2" width="33.6640625" customWidth="1"/>
    <col min="4" max="4" width="44.33203125" bestFit="1" customWidth="1"/>
    <col min="5" max="5" width="4.6640625" customWidth="1"/>
    <col min="6" max="7" width="7.1328125" bestFit="1" customWidth="1"/>
    <col min="8" max="8" width="10.33203125" bestFit="1" customWidth="1"/>
    <col min="9" max="9" width="12.1328125" customWidth="1"/>
    <col min="10" max="10" width="11.6640625" customWidth="1"/>
    <col min="11" max="11" width="10.33203125" customWidth="1"/>
    <col min="12" max="12" width="11.6640625" customWidth="1"/>
    <col min="14" max="15" width="16" style="15" customWidth="1"/>
    <col min="16" max="16" width="9" style="15" customWidth="1"/>
    <col min="17" max="17" width="12" style="15" bestFit="1" customWidth="1"/>
    <col min="18" max="25" width="8.796875" style="15"/>
  </cols>
  <sheetData>
    <row r="1" spans="1:25" x14ac:dyDescent="0.55000000000000004">
      <c r="A1" s="83" t="s">
        <v>190</v>
      </c>
      <c r="N1" s="14"/>
      <c r="O1" s="14"/>
      <c r="P1" s="14"/>
      <c r="Q1" s="14"/>
      <c r="R1" s="14"/>
      <c r="S1" s="14"/>
      <c r="T1" s="14"/>
      <c r="U1" s="14"/>
      <c r="V1" s="14"/>
      <c r="W1" s="14"/>
      <c r="X1" s="14"/>
      <c r="Y1" s="14"/>
    </row>
    <row r="2" spans="1:25" x14ac:dyDescent="0.55000000000000004">
      <c r="A2" s="17" t="s">
        <v>191</v>
      </c>
      <c r="N2" s="14"/>
      <c r="O2" s="14"/>
      <c r="P2" s="14"/>
      <c r="Q2" s="14"/>
      <c r="R2" s="14"/>
      <c r="S2" s="14"/>
      <c r="T2" s="14"/>
      <c r="U2" s="14"/>
      <c r="V2" s="14"/>
      <c r="W2" s="14"/>
      <c r="X2" s="14"/>
      <c r="Y2" s="14"/>
    </row>
    <row r="4" spans="1:25" ht="39" customHeight="1" x14ac:dyDescent="0.45">
      <c r="A4" s="172" t="s">
        <v>1134</v>
      </c>
      <c r="B4" s="172"/>
      <c r="C4" s="172"/>
      <c r="D4" s="172"/>
      <c r="E4" s="172"/>
      <c r="F4" s="172"/>
      <c r="G4" s="172"/>
      <c r="H4" s="172"/>
      <c r="I4" s="172"/>
      <c r="J4" s="172"/>
      <c r="K4" s="172"/>
      <c r="L4" s="172"/>
    </row>
    <row r="6" spans="1:25" ht="15.75" x14ac:dyDescent="0.5">
      <c r="A6" s="2" t="s">
        <v>15</v>
      </c>
      <c r="B6" s="2" t="s">
        <v>16</v>
      </c>
    </row>
    <row r="7" spans="1:25" ht="15.75" x14ac:dyDescent="0.45">
      <c r="A7" s="23" t="s">
        <v>165</v>
      </c>
      <c r="B7" s="26" t="s">
        <v>167</v>
      </c>
    </row>
    <row r="8" spans="1:25" ht="31.5" x14ac:dyDescent="0.45">
      <c r="A8" s="23" t="s">
        <v>193</v>
      </c>
      <c r="B8" s="26" t="s">
        <v>194</v>
      </c>
    </row>
    <row r="9" spans="1:25" ht="31.5" x14ac:dyDescent="0.45">
      <c r="A9" s="23" t="s">
        <v>1132</v>
      </c>
      <c r="B9" s="26" t="s">
        <v>198</v>
      </c>
    </row>
    <row r="10" spans="1:25" ht="31.5" x14ac:dyDescent="0.45">
      <c r="A10" s="23" t="s">
        <v>1131</v>
      </c>
      <c r="B10" s="152" t="s">
        <v>1142</v>
      </c>
    </row>
    <row r="12" spans="1:25" x14ac:dyDescent="0.55000000000000004">
      <c r="D12" s="1" t="s">
        <v>17</v>
      </c>
      <c r="F12" t="s">
        <v>1102</v>
      </c>
      <c r="G12" s="13" t="s">
        <v>165</v>
      </c>
      <c r="H12" s="13" t="s">
        <v>193</v>
      </c>
      <c r="I12" s="13" t="s">
        <v>1132</v>
      </c>
      <c r="J12" s="13" t="s">
        <v>1131</v>
      </c>
      <c r="L12" s="13" t="s">
        <v>1132</v>
      </c>
      <c r="N12" s="15" t="s">
        <v>192</v>
      </c>
      <c r="P12" s="15" t="s">
        <v>201</v>
      </c>
      <c r="Q12" s="15" t="s">
        <v>202</v>
      </c>
    </row>
    <row r="13" spans="1:25" ht="18.75" customHeight="1" x14ac:dyDescent="0.55000000000000004">
      <c r="D13" t="s">
        <v>195</v>
      </c>
      <c r="F13" s="49">
        <v>37622</v>
      </c>
      <c r="G13" s="92">
        <v>100.42</v>
      </c>
      <c r="H13" s="54">
        <v>1600</v>
      </c>
      <c r="I13" s="54" t="s">
        <v>200</v>
      </c>
      <c r="J13" s="54">
        <v>1</v>
      </c>
      <c r="L13" s="54" t="s">
        <v>199</v>
      </c>
      <c r="N13" s="27" cm="1">
        <f t="array" ref="N13:N265">_xlfn.LAMBDA(_xlpm.values,_xlpm.lambda,_xlop.trendCycle,_xlop.filterType,
_xlfn.LET(
_xlpm.y, VEC(_xlpm.values), _xlpm.t, ROWS(_xlpm.y),
_xlpm.trendCycle, IF( OR(_xlfn.ISOMITTED(_xlpm.trendCycle), ISBLANK(_xlpm.trendCycle)), "t", LOWER(_xlpm.trendCycle) ),
_xlpm.filterType, IF( OR(_xlfn.ISOMITTED(_xlpm.filterType), ISBLANK(_xlpm.filterType)), 2, _xlpm.filterType ),
IF(AND(_xlpm.filterType&lt;&gt;1, _xlpm.filterType&lt;&gt;2), "# filterType must be either 1 (one-sided) or 2 (two-sided).",
IF(_xlpm.filterType = 2,
_xlfn.LET(
_xlpm.ident, EYE(_xlpm.t),
_xlpm.pentad0, _xlfn.VSTACK( {1;5;6}, 6 * ONES(_xlpm.t - 6,1), {6;5;1} ),
_xlpm.pentad1, _xlfn.VSTACK( {-2;-4}, -4 * ONES(_xlpm.t - 5,1), {-4;-2} ),
_xlpm.pentad2, ONES(_xlpm.t-2,1),
_xlpm.pentad, _xlfn.LAMBDA(_xlpm.matrix0,_xlpm.matrix1,_xlpm.matrix2,
_xlfn.MAKEARRAY( LENGTH(_xlpm.matrix0), LENGTH(_xlpm.matrix0),
_xlfn.LAMBDA(_xlpm.row,_xlpm.col,
IF( _xlpm.row = _xlpm.col, INDEX(_xlpm.matrix0,_xlpm.row,1), IF( OR(_xlpm.row=_xlpm.col+1, _xlpm.col=_xlpm.row+1), INDEX(_xlpm.matrix1, MIN(_xlpm.row,_xlpm.col),1), IF( OR(_xlpm.row=_xlpm.col+2, _xlpm.col=_xlpm.row+2), INDEX(_xlpm.matrix2, MIN(_xlpm.row,_xlpm.col),1), 0 ) ) ) )  )
)(_xlpm.pentad0,_xlpm.pentad1,_xlpm.pentad2),
_xlpm.trend, MMULT( MINVERSE( _xlpm.lambda * _xlpm.pentad + _xlpm.ident), _xlpm.y),
_xlpm.final, IF(_xlpm.trendCycle = "t", _xlpm.trend, IF(_xlpm.trendCycle = "c", _xlpm.y - _xlpm.trend, "#trendCycle must be either ""t"" or ""c""")),
IF(_xlpm.filterType=2, _xlpm.final, IF(_xlpm.t&lt;=7, _xlpm.final, _xlfn.VSTACK(HPFILTER(_xlfn.DROP(_xlpm.y,-1),_xlpm.lambda,_xlpm.trendCycle,_xlpm.filterType), _xlfn.TAKE(_xlpm.final,-1))))
),
_xlfn.LET(
_xlpm.Q, 1/_xlpm.lambda, _xlpm.F, {2,-1;1,0}, _xlpm.h, {1,0}, _xlpm.QQ, _xlfn.EXPAND(_xlpm.Q,2,2,0), _xlpm.r, 1,
_xlpm.x, _xlfn.VSTACK(2*INDEX(_xlpm.y,1)-INDEX(_xlpm.y,2), 3*INDEX(_xlpm.y,1)-2*INDEX(_xlpm.y,2)),
_xlpm.p, {100000,0;0,100000},
_xlpm.filter, _xlfn.REDUCE(ZEROS(_xlpm.t,6),_xlfn.SEQUENCE(_xlpm.t), _xlfn.LAMBDA(_xlpm.accum,_xlpm.j, _xlfn.LET(
_xlpm.flat, INDEX(_xlpm.accum,_xlpm.j-1),
_xlpm.XX, IF(_xlpm.j=1, _xlpm.x, TRANSPOSE(_xlfn.TAKE(_xlpm.flat,1,2)) ),
_xlpm.PP, IF(_xlpm.j=1, _xlpm.p, RESHAPE(_xlfn.TAKE(_xlpm.flat,1,-4),2,2) ),
_xlpm.update, KFILTER_UPDATE(_xlpm.F,_xlpm.h,_xlpm.QQ,_xlpm.r,INDEX(_xlpm.y,_xlpm.j),_xlpm.XX,_xlpm.PP,"xP"),
_xlpm.updateFlat, _xlfn.TOROW(_xlpm.update,0,TRUE),
SLICE(_xlpm.accum, _xlpm.j, _xlpm.j, 1, 6, _xlpm.updateFlat) ))),
_xlpm.trend, _xlfn.CHOOSECOLS(_xlpm.filter,2),
_xlpm.final, IF(_xlpm.trendCycle = "t", _xlpm.trend, IF(_xlpm.trendCycle = "c", _xlpm.y - _xlpm.trend, "#trendCycle must be either ""t"" or ""c""")),
_xlpm.final
)))
))($G$13:$G$265,$H$13,$I$13,$J$13)</f>
        <v>100.419984300157</v>
      </c>
      <c r="O13" s="27"/>
      <c r="P13" s="58" cm="1">
        <f t="array" ref="P13:P265">HPFILTER($G$13:$G$265,$H$13,$I$13,$J$13)</f>
        <v>100.419984300157</v>
      </c>
      <c r="Q13" s="151" cm="1">
        <f t="array" ref="Q13:Q265">HPFILTER($G$13:$G$265,$H$13,$L$13,$J$13)</f>
        <v>1.5699843004313152E-5</v>
      </c>
    </row>
    <row r="14" spans="1:25" x14ac:dyDescent="0.55000000000000004">
      <c r="D14" t="s">
        <v>222</v>
      </c>
      <c r="F14" s="49">
        <v>37653</v>
      </c>
      <c r="G14" s="92">
        <v>101.99</v>
      </c>
      <c r="N14" s="27">
        <v>101.99001569890096</v>
      </c>
      <c r="O14" s="27"/>
      <c r="P14" s="58">
        <v>101.99001569890096</v>
      </c>
      <c r="Q14" s="151">
        <v>-1.5698900966754081E-5</v>
      </c>
    </row>
    <row r="15" spans="1:25" x14ac:dyDescent="0.55000000000000004">
      <c r="F15" s="49">
        <v>37681</v>
      </c>
      <c r="G15" s="92">
        <v>101.8</v>
      </c>
      <c r="N15" s="27">
        <v>102.09332417163156</v>
      </c>
      <c r="O15" s="27"/>
      <c r="P15" s="58">
        <v>102.09332417163156</v>
      </c>
      <c r="Q15" s="151">
        <v>-0.29332417163156776</v>
      </c>
    </row>
    <row r="16" spans="1:25" x14ac:dyDescent="0.55000000000000004">
      <c r="D16" s="55"/>
      <c r="F16" s="49">
        <v>37712</v>
      </c>
      <c r="G16" s="92">
        <v>101.01</v>
      </c>
      <c r="N16" s="27">
        <v>101.54184188005497</v>
      </c>
      <c r="O16" s="27"/>
      <c r="P16" s="58">
        <v>101.54184188005497</v>
      </c>
      <c r="Q16" s="151">
        <v>-0.53184188005496935</v>
      </c>
    </row>
    <row r="17" spans="4:17" x14ac:dyDescent="0.55000000000000004">
      <c r="D17" s="55"/>
      <c r="F17" s="49">
        <v>37742</v>
      </c>
      <c r="G17" s="92">
        <v>99.97</v>
      </c>
      <c r="N17" s="27">
        <v>100.66141960212427</v>
      </c>
      <c r="O17" s="27"/>
      <c r="P17" s="58">
        <v>100.66141960212427</v>
      </c>
      <c r="Q17" s="151">
        <v>-0.69141960212427023</v>
      </c>
    </row>
    <row r="18" spans="4:17" x14ac:dyDescent="0.55000000000000004">
      <c r="D18" s="46"/>
      <c r="F18" s="49">
        <v>37773</v>
      </c>
      <c r="G18" s="92">
        <v>100.14</v>
      </c>
      <c r="N18" s="27">
        <v>100.29821408324953</v>
      </c>
      <c r="O18" s="27"/>
      <c r="P18" s="58">
        <v>100.29821408324953</v>
      </c>
      <c r="Q18" s="151">
        <v>-0.15821408324953268</v>
      </c>
    </row>
    <row r="19" spans="4:17" x14ac:dyDescent="0.55000000000000004">
      <c r="F19" s="49">
        <v>37803</v>
      </c>
      <c r="G19" s="92">
        <v>98.94</v>
      </c>
      <c r="N19" s="27">
        <v>99.539899014384829</v>
      </c>
      <c r="O19" s="27"/>
      <c r="P19" s="58">
        <v>99.539899014384829</v>
      </c>
      <c r="Q19" s="151">
        <v>-0.59989901438483173</v>
      </c>
    </row>
    <row r="20" spans="4:17" x14ac:dyDescent="0.55000000000000004">
      <c r="F20" s="49">
        <v>37834</v>
      </c>
      <c r="G20" s="92">
        <v>99.82</v>
      </c>
      <c r="N20" s="27">
        <v>99.448869558705937</v>
      </c>
      <c r="O20" s="27"/>
      <c r="P20" s="58">
        <v>99.448869558705937</v>
      </c>
      <c r="Q20" s="151">
        <v>0.37113044129405637</v>
      </c>
    </row>
    <row r="21" spans="4:17" x14ac:dyDescent="0.55000000000000004">
      <c r="F21" s="49">
        <v>37865</v>
      </c>
      <c r="G21" s="92">
        <v>101.66</v>
      </c>
      <c r="N21" s="27">
        <v>100.10090903552278</v>
      </c>
      <c r="O21" s="27"/>
      <c r="P21" s="58">
        <v>100.10090903552278</v>
      </c>
      <c r="Q21" s="151">
        <v>1.5590909644772211</v>
      </c>
    </row>
    <row r="22" spans="4:17" x14ac:dyDescent="0.55000000000000004">
      <c r="F22" s="49">
        <v>37895</v>
      </c>
      <c r="G22" s="92">
        <v>101.86</v>
      </c>
      <c r="N22" s="27">
        <v>100.62862279125861</v>
      </c>
      <c r="O22" s="27"/>
      <c r="P22" s="58">
        <v>100.62862279125861</v>
      </c>
      <c r="Q22" s="151">
        <v>1.2313772087413923</v>
      </c>
    </row>
    <row r="23" spans="4:17" x14ac:dyDescent="0.55000000000000004">
      <c r="F23" s="49">
        <v>37926</v>
      </c>
      <c r="G23" s="92">
        <v>102</v>
      </c>
      <c r="N23" s="27">
        <v>101.05477266070294</v>
      </c>
      <c r="O23" s="27"/>
      <c r="P23" s="58">
        <v>101.05477266070294</v>
      </c>
      <c r="Q23" s="151">
        <v>0.94522733929706249</v>
      </c>
    </row>
    <row r="24" spans="4:17" x14ac:dyDescent="0.55000000000000004">
      <c r="F24" s="49">
        <v>37956</v>
      </c>
      <c r="G24" s="92">
        <v>101.94</v>
      </c>
      <c r="N24" s="27">
        <v>101.35128212567786</v>
      </c>
      <c r="O24" s="27"/>
      <c r="P24" s="58">
        <v>101.35128212567786</v>
      </c>
      <c r="Q24" s="151">
        <v>0.58871787432214262</v>
      </c>
    </row>
    <row r="25" spans="4:17" x14ac:dyDescent="0.55000000000000004">
      <c r="F25" s="49">
        <v>37987</v>
      </c>
      <c r="G25" s="92">
        <v>103.64</v>
      </c>
      <c r="N25" s="27">
        <v>102.05482102954431</v>
      </c>
      <c r="O25" s="27"/>
      <c r="P25" s="58">
        <v>102.05482102954431</v>
      </c>
      <c r="Q25" s="151">
        <v>1.5851789704556865</v>
      </c>
    </row>
    <row r="26" spans="4:17" x14ac:dyDescent="0.55000000000000004">
      <c r="F26" s="49">
        <v>38018</v>
      </c>
      <c r="G26" s="92">
        <v>104.52</v>
      </c>
      <c r="N26" s="27">
        <v>102.83162838298664</v>
      </c>
      <c r="O26" s="27"/>
      <c r="P26" s="58">
        <v>102.83162838298664</v>
      </c>
      <c r="Q26" s="151">
        <v>1.6883716170133596</v>
      </c>
    </row>
    <row r="27" spans="4:17" x14ac:dyDescent="0.55000000000000004">
      <c r="F27" s="49">
        <v>38047</v>
      </c>
      <c r="G27" s="92">
        <v>105.83</v>
      </c>
      <c r="N27" s="27">
        <v>103.7718069244637</v>
      </c>
      <c r="O27" s="27"/>
      <c r="P27" s="58">
        <v>103.7718069244637</v>
      </c>
      <c r="Q27" s="151">
        <v>2.0581930755362947</v>
      </c>
    </row>
    <row r="28" spans="4:17" x14ac:dyDescent="0.55000000000000004">
      <c r="F28" s="49">
        <v>38078</v>
      </c>
      <c r="G28" s="92">
        <v>106.41</v>
      </c>
      <c r="N28" s="27">
        <v>104.6579525517718</v>
      </c>
      <c r="O28" s="27"/>
      <c r="P28" s="58">
        <v>104.6579525517718</v>
      </c>
      <c r="Q28" s="151">
        <v>1.7520474482281969</v>
      </c>
    </row>
    <row r="29" spans="4:17" x14ac:dyDescent="0.55000000000000004">
      <c r="F29" s="49">
        <v>38108</v>
      </c>
      <c r="G29" s="92">
        <v>106.33</v>
      </c>
      <c r="N29" s="27">
        <v>105.34643405808302</v>
      </c>
      <c r="O29" s="27"/>
      <c r="P29" s="58">
        <v>105.34643405808302</v>
      </c>
      <c r="Q29" s="151">
        <v>0.98356594191697866</v>
      </c>
    </row>
    <row r="30" spans="4:17" x14ac:dyDescent="0.55000000000000004">
      <c r="F30" s="49">
        <v>38139</v>
      </c>
      <c r="G30" s="92">
        <v>107.19</v>
      </c>
      <c r="N30" s="27">
        <v>106.090827901758</v>
      </c>
      <c r="O30" s="27"/>
      <c r="P30" s="58">
        <v>106.090827901758</v>
      </c>
      <c r="Q30" s="151">
        <v>1.0991720982419935</v>
      </c>
    </row>
    <row r="31" spans="4:17" x14ac:dyDescent="0.55000000000000004">
      <c r="F31" s="49">
        <v>38169</v>
      </c>
      <c r="G31" s="92">
        <v>107.67</v>
      </c>
      <c r="N31" s="27">
        <v>106.79613170019</v>
      </c>
      <c r="O31" s="27"/>
      <c r="P31" s="58">
        <v>106.79613170019</v>
      </c>
      <c r="Q31" s="151">
        <v>0.87386829980999892</v>
      </c>
    </row>
    <row r="32" spans="4:17" x14ac:dyDescent="0.55000000000000004">
      <c r="F32" s="49">
        <v>38200</v>
      </c>
      <c r="G32" s="92">
        <v>108.18</v>
      </c>
      <c r="N32" s="27">
        <v>107.47511388452565</v>
      </c>
      <c r="O32" s="27"/>
      <c r="P32" s="58">
        <v>107.47511388452565</v>
      </c>
      <c r="Q32" s="151">
        <v>0.70488611547435198</v>
      </c>
    </row>
    <row r="33" spans="6:17" x14ac:dyDescent="0.55000000000000004">
      <c r="F33" s="49">
        <v>38231</v>
      </c>
      <c r="G33" s="92">
        <v>109.16</v>
      </c>
      <c r="N33" s="27">
        <v>108.23131138658023</v>
      </c>
      <c r="O33" s="27"/>
      <c r="P33" s="58">
        <v>108.23131138658023</v>
      </c>
      <c r="Q33" s="151">
        <v>0.92868861341976583</v>
      </c>
    </row>
    <row r="34" spans="6:17" x14ac:dyDescent="0.55000000000000004">
      <c r="F34" s="49">
        <v>38261</v>
      </c>
      <c r="G34" s="92">
        <v>108.73</v>
      </c>
      <c r="N34" s="27">
        <v>108.75723458092632</v>
      </c>
      <c r="O34" s="27"/>
      <c r="P34" s="58">
        <v>108.75723458092632</v>
      </c>
      <c r="Q34" s="151">
        <v>-2.7234580926318586E-2</v>
      </c>
    </row>
    <row r="35" spans="6:17" x14ac:dyDescent="0.55000000000000004">
      <c r="F35" s="49">
        <v>38292</v>
      </c>
      <c r="G35" s="92">
        <v>109.67</v>
      </c>
      <c r="N35" s="27">
        <v>109.36827495434487</v>
      </c>
      <c r="O35" s="27"/>
      <c r="P35" s="58">
        <v>109.36827495434487</v>
      </c>
      <c r="Q35" s="151">
        <v>0.30172504565513236</v>
      </c>
    </row>
    <row r="36" spans="6:17" x14ac:dyDescent="0.55000000000000004">
      <c r="F36" s="49">
        <v>38322</v>
      </c>
      <c r="G36" s="92">
        <v>109.08</v>
      </c>
      <c r="N36" s="27">
        <v>109.73923823648678</v>
      </c>
      <c r="O36" s="27"/>
      <c r="P36" s="58">
        <v>109.73923823648678</v>
      </c>
      <c r="Q36" s="151">
        <v>-0.65923823648678592</v>
      </c>
    </row>
    <row r="37" spans="6:17" x14ac:dyDescent="0.55000000000000004">
      <c r="F37" s="49">
        <v>38353</v>
      </c>
      <c r="G37" s="92">
        <v>109.54</v>
      </c>
      <c r="N37" s="27">
        <v>110.11460132509258</v>
      </c>
      <c r="O37" s="27"/>
      <c r="P37" s="58">
        <v>110.11460132509258</v>
      </c>
      <c r="Q37" s="151">
        <v>-0.57460132509257278</v>
      </c>
    </row>
    <row r="38" spans="6:17" x14ac:dyDescent="0.55000000000000004">
      <c r="F38" s="49">
        <v>38384</v>
      </c>
      <c r="G38" s="92">
        <v>110.2</v>
      </c>
      <c r="N38" s="27">
        <v>110.53546053387161</v>
      </c>
      <c r="O38" s="27"/>
      <c r="P38" s="58">
        <v>110.53546053387161</v>
      </c>
      <c r="Q38" s="151">
        <v>-0.33546053387161123</v>
      </c>
    </row>
    <row r="39" spans="6:17" x14ac:dyDescent="0.55000000000000004">
      <c r="F39" s="49">
        <v>38412</v>
      </c>
      <c r="G39" s="92">
        <v>110.38</v>
      </c>
      <c r="N39" s="27">
        <v>110.900469928021</v>
      </c>
      <c r="O39" s="27"/>
      <c r="P39" s="58">
        <v>110.900469928021</v>
      </c>
      <c r="Q39" s="151">
        <v>-0.52046992802100078</v>
      </c>
    </row>
    <row r="40" spans="6:17" x14ac:dyDescent="0.55000000000000004">
      <c r="F40" s="49">
        <v>38443</v>
      </c>
      <c r="G40" s="92">
        <v>111.11</v>
      </c>
      <c r="N40" s="27">
        <v>111.32767916566993</v>
      </c>
      <c r="O40" s="27"/>
      <c r="P40" s="58">
        <v>111.32767916566993</v>
      </c>
      <c r="Q40" s="151">
        <v>-0.21767916566993506</v>
      </c>
    </row>
    <row r="41" spans="6:17" x14ac:dyDescent="0.55000000000000004">
      <c r="F41" s="49">
        <v>38473</v>
      </c>
      <c r="G41" s="92">
        <v>111</v>
      </c>
      <c r="N41" s="27">
        <v>111.64206627446521</v>
      </c>
      <c r="O41" s="27"/>
      <c r="P41" s="58">
        <v>111.64206627446521</v>
      </c>
      <c r="Q41" s="151">
        <v>-0.6420662744652077</v>
      </c>
    </row>
    <row r="42" spans="6:17" x14ac:dyDescent="0.55000000000000004">
      <c r="F42" s="49">
        <v>38504</v>
      </c>
      <c r="G42" s="92">
        <v>110.33</v>
      </c>
      <c r="N42" s="27">
        <v>111.74448000227051</v>
      </c>
      <c r="O42" s="27"/>
      <c r="P42" s="58">
        <v>111.74448000227051</v>
      </c>
      <c r="Q42" s="151">
        <v>-1.4144800022705084</v>
      </c>
    </row>
    <row r="43" spans="6:17" x14ac:dyDescent="0.55000000000000004">
      <c r="F43" s="49">
        <v>38534</v>
      </c>
      <c r="G43" s="92">
        <v>110.43</v>
      </c>
      <c r="N43" s="27">
        <v>111.81499471779324</v>
      </c>
      <c r="O43" s="27"/>
      <c r="P43" s="58">
        <v>111.81499471779324</v>
      </c>
      <c r="Q43" s="151">
        <v>-1.3849947177932336</v>
      </c>
    </row>
    <row r="44" spans="6:17" x14ac:dyDescent="0.55000000000000004">
      <c r="F44" s="49">
        <v>38565</v>
      </c>
      <c r="G44" s="92">
        <v>111.22</v>
      </c>
      <c r="N44" s="27">
        <v>111.99907383894693</v>
      </c>
      <c r="O44" s="27"/>
      <c r="P44" s="58">
        <v>111.99907383894693</v>
      </c>
      <c r="Q44" s="151">
        <v>-0.77907383894692828</v>
      </c>
    </row>
    <row r="45" spans="6:17" x14ac:dyDescent="0.55000000000000004">
      <c r="F45" s="49">
        <v>38596</v>
      </c>
      <c r="G45" s="92">
        <v>110.72</v>
      </c>
      <c r="N45" s="27">
        <v>112.02845302865367</v>
      </c>
      <c r="O45" s="27"/>
      <c r="P45" s="58">
        <v>112.02845302865367</v>
      </c>
      <c r="Q45" s="151">
        <v>-1.3084530286536733</v>
      </c>
    </row>
    <row r="46" spans="6:17" x14ac:dyDescent="0.55000000000000004">
      <c r="F46" s="49">
        <v>38626</v>
      </c>
      <c r="G46" s="92">
        <v>111.1</v>
      </c>
      <c r="N46" s="27">
        <v>112.0989385534965</v>
      </c>
      <c r="O46" s="27"/>
      <c r="P46" s="58">
        <v>112.0989385534965</v>
      </c>
      <c r="Q46" s="151">
        <v>-0.99893855349650096</v>
      </c>
    </row>
    <row r="47" spans="6:17" x14ac:dyDescent="0.55000000000000004">
      <c r="F47" s="49">
        <v>38657</v>
      </c>
      <c r="G47" s="92">
        <v>111.85</v>
      </c>
      <c r="N47" s="27">
        <v>112.28344265250449</v>
      </c>
      <c r="O47" s="27"/>
      <c r="P47" s="58">
        <v>112.28344265250449</v>
      </c>
      <c r="Q47" s="151">
        <v>-0.4334426525044961</v>
      </c>
    </row>
    <row r="48" spans="6:17" x14ac:dyDescent="0.55000000000000004">
      <c r="F48" s="49">
        <v>38687</v>
      </c>
      <c r="G48" s="92">
        <v>112.92</v>
      </c>
      <c r="N48" s="27">
        <v>112.63595731291302</v>
      </c>
      <c r="O48" s="27"/>
      <c r="P48" s="58">
        <v>112.63595731291302</v>
      </c>
      <c r="Q48" s="151">
        <v>0.28404268708698055</v>
      </c>
    </row>
    <row r="49" spans="6:17" x14ac:dyDescent="0.55000000000000004">
      <c r="F49" s="49">
        <v>38718</v>
      </c>
      <c r="G49" s="92">
        <v>113.5</v>
      </c>
      <c r="N49" s="27">
        <v>113.04048466496216</v>
      </c>
      <c r="O49" s="27"/>
      <c r="P49" s="58">
        <v>113.04048466496216</v>
      </c>
      <c r="Q49" s="151">
        <v>0.45951533503783537</v>
      </c>
    </row>
    <row r="50" spans="6:17" x14ac:dyDescent="0.55000000000000004">
      <c r="F50" s="49">
        <v>38749</v>
      </c>
      <c r="G50" s="92">
        <v>113.72</v>
      </c>
      <c r="N50" s="27">
        <v>113.41826332425356</v>
      </c>
      <c r="O50" s="27"/>
      <c r="P50" s="58">
        <v>113.41826332425356</v>
      </c>
      <c r="Q50" s="151">
        <v>0.30173667574644014</v>
      </c>
    </row>
    <row r="51" spans="6:17" x14ac:dyDescent="0.55000000000000004">
      <c r="F51" s="49">
        <v>38777</v>
      </c>
      <c r="G51" s="92">
        <v>113.48</v>
      </c>
      <c r="N51" s="27">
        <v>113.67881542060333</v>
      </c>
      <c r="O51" s="27"/>
      <c r="P51" s="58">
        <v>113.67881542060333</v>
      </c>
      <c r="Q51" s="151">
        <v>-0.19881542060332436</v>
      </c>
    </row>
    <row r="52" spans="6:17" x14ac:dyDescent="0.55000000000000004">
      <c r="F52" s="49">
        <v>38808</v>
      </c>
      <c r="G52" s="92">
        <v>114.36</v>
      </c>
      <c r="N52" s="27">
        <v>114.05922755476143</v>
      </c>
      <c r="O52" s="27"/>
      <c r="P52" s="58">
        <v>114.05922755476143</v>
      </c>
      <c r="Q52" s="151">
        <v>0.3007724452385645</v>
      </c>
    </row>
    <row r="53" spans="6:17" x14ac:dyDescent="0.55000000000000004">
      <c r="F53" s="49">
        <v>38838</v>
      </c>
      <c r="G53" s="92">
        <v>115.67</v>
      </c>
      <c r="N53" s="27">
        <v>114.63289933309791</v>
      </c>
      <c r="O53" s="27"/>
      <c r="P53" s="58">
        <v>114.63289933309791</v>
      </c>
      <c r="Q53" s="151">
        <v>1.0371006669020915</v>
      </c>
    </row>
    <row r="54" spans="6:17" x14ac:dyDescent="0.55000000000000004">
      <c r="F54" s="49">
        <v>38869</v>
      </c>
      <c r="G54" s="92">
        <v>114.35</v>
      </c>
      <c r="N54" s="27">
        <v>114.84979054198065</v>
      </c>
      <c r="O54" s="27"/>
      <c r="P54" s="58">
        <v>114.84979054198065</v>
      </c>
      <c r="Q54" s="151">
        <v>-0.49979054198065853</v>
      </c>
    </row>
    <row r="55" spans="6:17" x14ac:dyDescent="0.55000000000000004">
      <c r="F55" s="49">
        <v>38899</v>
      </c>
      <c r="G55" s="92">
        <v>116.57</v>
      </c>
      <c r="N55" s="27">
        <v>115.45740985929066</v>
      </c>
      <c r="O55" s="27"/>
      <c r="P55" s="58">
        <v>115.45740985929066</v>
      </c>
      <c r="Q55" s="151">
        <v>1.1125901407093295</v>
      </c>
    </row>
    <row r="56" spans="6:17" x14ac:dyDescent="0.55000000000000004">
      <c r="F56" s="49">
        <v>38930</v>
      </c>
      <c r="G56" s="92">
        <v>116.62</v>
      </c>
      <c r="N56" s="27">
        <v>115.9780226900356</v>
      </c>
      <c r="O56" s="27"/>
      <c r="P56" s="58">
        <v>115.9780226900356</v>
      </c>
      <c r="Q56" s="151">
        <v>0.64197730996440328</v>
      </c>
    </row>
    <row r="57" spans="6:17" x14ac:dyDescent="0.55000000000000004">
      <c r="F57" s="49">
        <v>38961</v>
      </c>
      <c r="G57" s="92">
        <v>116.69</v>
      </c>
      <c r="N57" s="27">
        <v>116.422583315032</v>
      </c>
      <c r="O57" s="27"/>
      <c r="P57" s="58">
        <v>116.422583315032</v>
      </c>
      <c r="Q57" s="151">
        <v>0.26741668496799775</v>
      </c>
    </row>
    <row r="58" spans="6:17" x14ac:dyDescent="0.55000000000000004">
      <c r="F58" s="49">
        <v>38991</v>
      </c>
      <c r="G58" s="92">
        <v>118.11</v>
      </c>
      <c r="N58" s="27">
        <v>117.06879570885867</v>
      </c>
      <c r="O58" s="27"/>
      <c r="P58" s="58">
        <v>117.06879570885867</v>
      </c>
      <c r="Q58" s="151">
        <v>1.0412042911413266</v>
      </c>
    </row>
    <row r="59" spans="6:17" x14ac:dyDescent="0.55000000000000004">
      <c r="F59" s="49">
        <v>39022</v>
      </c>
      <c r="G59" s="92">
        <v>118.91</v>
      </c>
      <c r="N59" s="27">
        <v>117.7691241595637</v>
      </c>
      <c r="O59" s="27"/>
      <c r="P59" s="58">
        <v>117.7691241595637</v>
      </c>
      <c r="Q59" s="151">
        <v>1.1408758404362942</v>
      </c>
    </row>
    <row r="60" spans="6:17" x14ac:dyDescent="0.55000000000000004">
      <c r="F60" s="49">
        <v>39052</v>
      </c>
      <c r="G60" s="92">
        <v>120.7</v>
      </c>
      <c r="N60" s="27">
        <v>118.71351917944517</v>
      </c>
      <c r="O60" s="27"/>
      <c r="P60" s="58">
        <v>118.71351917944517</v>
      </c>
      <c r="Q60" s="151">
        <v>1.9864808205548314</v>
      </c>
    </row>
    <row r="61" spans="6:17" x14ac:dyDescent="0.55000000000000004">
      <c r="F61" s="49">
        <v>39083</v>
      </c>
      <c r="G61" s="92">
        <v>119.93</v>
      </c>
      <c r="N61" s="27">
        <v>119.35843615356801</v>
      </c>
      <c r="O61" s="27"/>
      <c r="P61" s="58">
        <v>119.35843615356801</v>
      </c>
      <c r="Q61" s="151">
        <v>0.57156384643199942</v>
      </c>
    </row>
    <row r="62" spans="6:17" x14ac:dyDescent="0.55000000000000004">
      <c r="F62" s="49">
        <v>39114</v>
      </c>
      <c r="G62" s="92">
        <v>120.36</v>
      </c>
      <c r="N62" s="27">
        <v>119.97301987515684</v>
      </c>
      <c r="O62" s="27"/>
      <c r="P62" s="58">
        <v>119.97301987515684</v>
      </c>
      <c r="Q62" s="151">
        <v>0.3869801248431628</v>
      </c>
    </row>
    <row r="63" spans="6:17" x14ac:dyDescent="0.55000000000000004">
      <c r="F63" s="49">
        <v>39142</v>
      </c>
      <c r="G63" s="92">
        <v>119.48</v>
      </c>
      <c r="N63" s="27">
        <v>120.2964861449349</v>
      </c>
      <c r="O63" s="27"/>
      <c r="P63" s="58">
        <v>120.2964861449349</v>
      </c>
      <c r="Q63" s="151">
        <v>-0.81648614493489902</v>
      </c>
    </row>
    <row r="64" spans="6:17" x14ac:dyDescent="0.55000000000000004">
      <c r="F64" s="49">
        <v>39173</v>
      </c>
      <c r="G64" s="92">
        <v>121.1</v>
      </c>
      <c r="N64" s="27">
        <v>120.86174341310237</v>
      </c>
      <c r="O64" s="27"/>
      <c r="P64" s="58">
        <v>120.86174341310237</v>
      </c>
      <c r="Q64" s="151">
        <v>0.23825658689762008</v>
      </c>
    </row>
    <row r="65" spans="6:17" x14ac:dyDescent="0.55000000000000004">
      <c r="F65" s="49">
        <v>39203</v>
      </c>
      <c r="G65" s="92">
        <v>122.21</v>
      </c>
      <c r="N65" s="27">
        <v>121.54158049843639</v>
      </c>
      <c r="O65" s="27"/>
      <c r="P65" s="58">
        <v>121.54158049843639</v>
      </c>
      <c r="Q65" s="151">
        <v>0.66841950156360497</v>
      </c>
    </row>
    <row r="66" spans="6:17" x14ac:dyDescent="0.55000000000000004">
      <c r="F66" s="49">
        <v>39234</v>
      </c>
      <c r="G66" s="92">
        <v>122.99</v>
      </c>
      <c r="N66" s="27">
        <v>122.25644594727591</v>
      </c>
      <c r="O66" s="27"/>
      <c r="P66" s="58">
        <v>122.25644594727591</v>
      </c>
      <c r="Q66" s="151">
        <v>0.73355405272408802</v>
      </c>
    </row>
    <row r="67" spans="6:17" x14ac:dyDescent="0.55000000000000004">
      <c r="F67" s="49">
        <v>39264</v>
      </c>
      <c r="G67" s="92">
        <v>123.81</v>
      </c>
      <c r="N67" s="27">
        <v>123.00879294700287</v>
      </c>
      <c r="O67" s="27"/>
      <c r="P67" s="58">
        <v>123.00879294700287</v>
      </c>
      <c r="Q67" s="151">
        <v>0.80120705299712824</v>
      </c>
    </row>
    <row r="68" spans="6:17" x14ac:dyDescent="0.55000000000000004">
      <c r="F68" s="49">
        <v>39295</v>
      </c>
      <c r="G68" s="92">
        <v>124.24</v>
      </c>
      <c r="N68" s="27">
        <v>123.71439908565445</v>
      </c>
      <c r="O68" s="27"/>
      <c r="P68" s="58">
        <v>123.71439908565445</v>
      </c>
      <c r="Q68" s="151">
        <v>0.52560091434554579</v>
      </c>
    </row>
    <row r="69" spans="6:17" x14ac:dyDescent="0.55000000000000004">
      <c r="F69" s="49">
        <v>39326</v>
      </c>
      <c r="G69" s="92">
        <v>125.04</v>
      </c>
      <c r="N69" s="27">
        <v>124.45068490312595</v>
      </c>
      <c r="O69" s="27"/>
      <c r="P69" s="58">
        <v>124.45068490312595</v>
      </c>
      <c r="Q69" s="151">
        <v>0.58931509687405992</v>
      </c>
    </row>
    <row r="70" spans="6:17" x14ac:dyDescent="0.55000000000000004">
      <c r="F70" s="49">
        <v>39356</v>
      </c>
      <c r="G70" s="92">
        <v>126.27</v>
      </c>
      <c r="N70" s="27">
        <v>125.29916113189596</v>
      </c>
      <c r="O70" s="27"/>
      <c r="P70" s="58">
        <v>125.29916113189596</v>
      </c>
      <c r="Q70" s="151">
        <v>0.97083886810403897</v>
      </c>
    </row>
    <row r="71" spans="6:17" x14ac:dyDescent="0.55000000000000004">
      <c r="F71" s="49">
        <v>39387</v>
      </c>
      <c r="G71" s="92">
        <v>126.23</v>
      </c>
      <c r="N71" s="27">
        <v>125.99114829873068</v>
      </c>
      <c r="O71" s="27"/>
      <c r="P71" s="58">
        <v>125.99114829873068</v>
      </c>
      <c r="Q71" s="151">
        <v>0.23885170126932564</v>
      </c>
    </row>
    <row r="72" spans="6:17" x14ac:dyDescent="0.55000000000000004">
      <c r="F72" s="49">
        <v>39417</v>
      </c>
      <c r="G72" s="92">
        <v>127.6</v>
      </c>
      <c r="N72" s="27">
        <v>126.82445438503157</v>
      </c>
      <c r="O72" s="27"/>
      <c r="P72" s="58">
        <v>126.82445438503157</v>
      </c>
      <c r="Q72" s="151">
        <v>0.77554561496842211</v>
      </c>
    </row>
    <row r="73" spans="6:17" x14ac:dyDescent="0.55000000000000004">
      <c r="F73" s="49">
        <v>39448</v>
      </c>
      <c r="G73" s="92">
        <v>127.44</v>
      </c>
      <c r="N73" s="27">
        <v>127.47588214137579</v>
      </c>
      <c r="O73" s="27"/>
      <c r="P73" s="58">
        <v>127.47588214137579</v>
      </c>
      <c r="Q73" s="151">
        <v>-3.5882141375793708E-2</v>
      </c>
    </row>
    <row r="74" spans="6:17" x14ac:dyDescent="0.55000000000000004">
      <c r="F74" s="49">
        <v>39479</v>
      </c>
      <c r="G74" s="92">
        <v>127.11</v>
      </c>
      <c r="N74" s="27">
        <v>127.92967613483553</v>
      </c>
      <c r="O74" s="27"/>
      <c r="P74" s="58">
        <v>127.92967613483553</v>
      </c>
      <c r="Q74" s="151">
        <v>-0.81967613483553237</v>
      </c>
    </row>
    <row r="75" spans="6:17" x14ac:dyDescent="0.55000000000000004">
      <c r="F75" s="49">
        <v>39508</v>
      </c>
      <c r="G75" s="92">
        <v>126.39</v>
      </c>
      <c r="N75" s="27">
        <v>128.12973596861065</v>
      </c>
      <c r="O75" s="27"/>
      <c r="P75" s="58">
        <v>128.12973596861065</v>
      </c>
      <c r="Q75" s="151">
        <v>-1.7397359686106455</v>
      </c>
    </row>
    <row r="76" spans="6:17" x14ac:dyDescent="0.55000000000000004">
      <c r="F76" s="49">
        <v>39539</v>
      </c>
      <c r="G76" s="92">
        <v>128.02000000000001</v>
      </c>
      <c r="N76" s="27">
        <v>128.57769129882115</v>
      </c>
      <c r="O76" s="27"/>
      <c r="P76" s="58">
        <v>128.57769129882115</v>
      </c>
      <c r="Q76" s="151">
        <v>-0.55769129882114044</v>
      </c>
    </row>
    <row r="77" spans="6:17" x14ac:dyDescent="0.55000000000000004">
      <c r="F77" s="49">
        <v>39569</v>
      </c>
      <c r="G77" s="92">
        <v>129.38999999999999</v>
      </c>
      <c r="N77" s="27">
        <v>129.19810259816904</v>
      </c>
      <c r="O77" s="27"/>
      <c r="P77" s="58">
        <v>129.19810259816904</v>
      </c>
      <c r="Q77" s="151">
        <v>0.19189740183094273</v>
      </c>
    </row>
    <row r="78" spans="6:17" x14ac:dyDescent="0.55000000000000004">
      <c r="F78" s="49">
        <v>39600</v>
      </c>
      <c r="G78" s="92">
        <v>130.47999999999999</v>
      </c>
      <c r="N78" s="27">
        <v>129.91698242041926</v>
      </c>
      <c r="O78" s="27"/>
      <c r="P78" s="58">
        <v>129.91698242041926</v>
      </c>
      <c r="Q78" s="151">
        <v>0.5630175795807304</v>
      </c>
    </row>
    <row r="79" spans="6:17" x14ac:dyDescent="0.55000000000000004">
      <c r="F79" s="49">
        <v>39630</v>
      </c>
      <c r="G79" s="92">
        <v>130.53</v>
      </c>
      <c r="N79" s="27">
        <v>130.51429918008662</v>
      </c>
      <c r="O79" s="27"/>
      <c r="P79" s="58">
        <v>130.51429918008662</v>
      </c>
      <c r="Q79" s="151">
        <v>1.5700819913377018E-2</v>
      </c>
    </row>
    <row r="80" spans="6:17" x14ac:dyDescent="0.55000000000000004">
      <c r="F80" s="49">
        <v>39661</v>
      </c>
      <c r="G80" s="92">
        <v>131.08000000000001</v>
      </c>
      <c r="N80" s="27">
        <v>131.10247721846272</v>
      </c>
      <c r="O80" s="27"/>
      <c r="P80" s="58">
        <v>131.10247721846272</v>
      </c>
      <c r="Q80" s="151">
        <v>-2.2477218462711335E-2</v>
      </c>
    </row>
    <row r="81" spans="6:17" x14ac:dyDescent="0.55000000000000004">
      <c r="F81" s="49">
        <v>39692</v>
      </c>
      <c r="G81" s="92">
        <v>130.53</v>
      </c>
      <c r="N81" s="27">
        <v>131.4618839170559</v>
      </c>
      <c r="O81" s="27"/>
      <c r="P81" s="58">
        <v>131.4618839170559</v>
      </c>
      <c r="Q81" s="151">
        <v>-0.93188391705589879</v>
      </c>
    </row>
    <row r="82" spans="6:17" x14ac:dyDescent="0.55000000000000004">
      <c r="F82" s="49">
        <v>39722</v>
      </c>
      <c r="G82" s="92">
        <v>128.13</v>
      </c>
      <c r="N82" s="27">
        <v>131.24704363906505</v>
      </c>
      <c r="O82" s="27"/>
      <c r="P82" s="58">
        <v>131.24704363906505</v>
      </c>
      <c r="Q82" s="151">
        <v>-3.1170436390650593</v>
      </c>
    </row>
    <row r="83" spans="6:17" x14ac:dyDescent="0.55000000000000004">
      <c r="F83" s="49">
        <v>39753</v>
      </c>
      <c r="G83" s="92">
        <v>125.02</v>
      </c>
      <c r="N83" s="27">
        <v>130.38188565386037</v>
      </c>
      <c r="O83" s="27"/>
      <c r="P83" s="58">
        <v>130.38188565386037</v>
      </c>
      <c r="Q83" s="151">
        <v>-5.3618856538603694</v>
      </c>
    </row>
    <row r="84" spans="6:17" x14ac:dyDescent="0.55000000000000004">
      <c r="F84" s="49">
        <v>39783</v>
      </c>
      <c r="G84" s="92">
        <v>121.66</v>
      </c>
      <c r="N84" s="27">
        <v>128.89651757423874</v>
      </c>
      <c r="O84" s="27"/>
      <c r="P84" s="58">
        <v>128.89651757423874</v>
      </c>
      <c r="Q84" s="151">
        <v>-7.2365175742387464</v>
      </c>
    </row>
    <row r="85" spans="6:17" x14ac:dyDescent="0.55000000000000004">
      <c r="F85" s="49">
        <v>39814</v>
      </c>
      <c r="G85" s="92">
        <v>121.23</v>
      </c>
      <c r="N85" s="27">
        <v>127.46105311205022</v>
      </c>
      <c r="O85" s="27"/>
      <c r="P85" s="58">
        <v>127.46105311205022</v>
      </c>
      <c r="Q85" s="151">
        <v>-6.2310531120502191</v>
      </c>
    </row>
    <row r="86" spans="6:17" x14ac:dyDescent="0.55000000000000004">
      <c r="F86" s="49">
        <v>39845</v>
      </c>
      <c r="G86" s="92">
        <v>122.4</v>
      </c>
      <c r="N86" s="27">
        <v>126.40884890435439</v>
      </c>
      <c r="O86" s="27"/>
      <c r="P86" s="58">
        <v>126.40884890435439</v>
      </c>
      <c r="Q86" s="151">
        <v>-4.0088489043543802</v>
      </c>
    </row>
    <row r="87" spans="6:17" x14ac:dyDescent="0.55000000000000004">
      <c r="F87" s="49">
        <v>39873</v>
      </c>
      <c r="G87" s="92">
        <v>122.96</v>
      </c>
      <c r="N87" s="27">
        <v>125.5903730144185</v>
      </c>
      <c r="O87" s="27"/>
      <c r="P87" s="58">
        <v>125.5903730144185</v>
      </c>
      <c r="Q87" s="151">
        <v>-2.6303730144185096</v>
      </c>
    </row>
    <row r="88" spans="6:17" x14ac:dyDescent="0.55000000000000004">
      <c r="F88" s="49">
        <v>39904</v>
      </c>
      <c r="G88" s="92">
        <v>123.53</v>
      </c>
      <c r="N88" s="27">
        <v>124.99156822426015</v>
      </c>
      <c r="O88" s="27"/>
      <c r="P88" s="58">
        <v>124.99156822426015</v>
      </c>
      <c r="Q88" s="151">
        <v>-1.461568224260148</v>
      </c>
    </row>
    <row r="89" spans="6:17" x14ac:dyDescent="0.55000000000000004">
      <c r="F89" s="49">
        <v>39934</v>
      </c>
      <c r="G89" s="92">
        <v>124.81</v>
      </c>
      <c r="N89" s="27">
        <v>124.73689921347068</v>
      </c>
      <c r="O89" s="27"/>
      <c r="P89" s="58">
        <v>124.73689921347068</v>
      </c>
      <c r="Q89" s="151">
        <v>7.3100786529323614E-2</v>
      </c>
    </row>
    <row r="90" spans="6:17" x14ac:dyDescent="0.55000000000000004">
      <c r="F90" s="49">
        <v>39965</v>
      </c>
      <c r="G90" s="92">
        <v>125.44</v>
      </c>
      <c r="N90" s="27">
        <v>124.66129011449934</v>
      </c>
      <c r="O90" s="27"/>
      <c r="P90" s="58">
        <v>124.66129011449934</v>
      </c>
      <c r="Q90" s="151">
        <v>0.77870988550066045</v>
      </c>
    </row>
    <row r="91" spans="6:17" x14ac:dyDescent="0.55000000000000004">
      <c r="F91" s="49">
        <v>39995</v>
      </c>
      <c r="G91" s="92">
        <v>125.84</v>
      </c>
      <c r="N91" s="27">
        <v>124.69847380973124</v>
      </c>
      <c r="O91" s="27"/>
      <c r="P91" s="58">
        <v>124.69847380973124</v>
      </c>
      <c r="Q91" s="151">
        <v>1.1415261902687632</v>
      </c>
    </row>
    <row r="92" spans="6:17" x14ac:dyDescent="0.55000000000000004">
      <c r="F92" s="49">
        <v>40026</v>
      </c>
      <c r="G92" s="92">
        <v>128.07</v>
      </c>
      <c r="N92" s="27">
        <v>125.20095690174365</v>
      </c>
      <c r="O92" s="27"/>
      <c r="P92" s="58">
        <v>125.20095690174365</v>
      </c>
      <c r="Q92" s="151">
        <v>2.8690430982563413</v>
      </c>
    </row>
    <row r="93" spans="6:17" x14ac:dyDescent="0.55000000000000004">
      <c r="F93" s="49">
        <v>40057</v>
      </c>
      <c r="G93" s="92">
        <v>128.88999999999999</v>
      </c>
      <c r="N93" s="27">
        <v>125.83125141974696</v>
      </c>
      <c r="O93" s="27"/>
      <c r="P93" s="58">
        <v>125.83125141974696</v>
      </c>
      <c r="Q93" s="151">
        <v>3.0587485802530239</v>
      </c>
    </row>
    <row r="94" spans="6:17" x14ac:dyDescent="0.55000000000000004">
      <c r="F94" s="49">
        <v>40087</v>
      </c>
      <c r="G94" s="92">
        <v>129.97</v>
      </c>
      <c r="N94" s="27">
        <v>126.62010907526577</v>
      </c>
      <c r="O94" s="27"/>
      <c r="P94" s="58">
        <v>126.62010907526577</v>
      </c>
      <c r="Q94" s="151">
        <v>3.3498909247342255</v>
      </c>
    </row>
    <row r="95" spans="6:17" x14ac:dyDescent="0.55000000000000004">
      <c r="F95" s="49">
        <v>40118</v>
      </c>
      <c r="G95" s="92">
        <v>130.07</v>
      </c>
      <c r="N95" s="27">
        <v>127.34569182545965</v>
      </c>
      <c r="O95" s="27"/>
      <c r="P95" s="58">
        <v>127.34569182545965</v>
      </c>
      <c r="Q95" s="151">
        <v>2.7243081745403401</v>
      </c>
    </row>
    <row r="96" spans="6:17" x14ac:dyDescent="0.55000000000000004">
      <c r="F96" s="49">
        <v>40148</v>
      </c>
      <c r="G96" s="92">
        <v>132.08000000000001</v>
      </c>
      <c r="N96" s="27">
        <v>128.389768640173</v>
      </c>
      <c r="O96" s="27"/>
      <c r="P96" s="58">
        <v>128.389768640173</v>
      </c>
      <c r="Q96" s="151">
        <v>3.6902313598270098</v>
      </c>
    </row>
    <row r="97" spans="6:17" x14ac:dyDescent="0.55000000000000004">
      <c r="F97" s="49">
        <v>40179</v>
      </c>
      <c r="G97" s="92">
        <v>133.88</v>
      </c>
      <c r="N97" s="27">
        <v>129.66793793631251</v>
      </c>
      <c r="O97" s="27"/>
      <c r="P97" s="58">
        <v>129.66793793631251</v>
      </c>
      <c r="Q97" s="151">
        <v>4.2120620636874833</v>
      </c>
    </row>
    <row r="98" spans="6:17" x14ac:dyDescent="0.55000000000000004">
      <c r="F98" s="49">
        <v>40210</v>
      </c>
      <c r="G98" s="92">
        <v>135.35</v>
      </c>
      <c r="N98" s="27">
        <v>131.07873189225452</v>
      </c>
      <c r="O98" s="27"/>
      <c r="P98" s="58">
        <v>131.07873189225452</v>
      </c>
      <c r="Q98" s="151">
        <v>4.2712681077454704</v>
      </c>
    </row>
    <row r="99" spans="6:17" x14ac:dyDescent="0.55000000000000004">
      <c r="F99" s="49">
        <v>40238</v>
      </c>
      <c r="G99" s="92">
        <v>136.52000000000001</v>
      </c>
      <c r="N99" s="27">
        <v>132.5367083712307</v>
      </c>
      <c r="O99" s="27"/>
      <c r="P99" s="58">
        <v>132.5367083712307</v>
      </c>
      <c r="Q99" s="151">
        <v>3.9832916287693081</v>
      </c>
    </row>
    <row r="100" spans="6:17" x14ac:dyDescent="0.55000000000000004">
      <c r="F100" s="49">
        <v>40269</v>
      </c>
      <c r="G100" s="92">
        <v>137.13</v>
      </c>
      <c r="N100" s="27">
        <v>133.91365603364247</v>
      </c>
      <c r="O100" s="27"/>
      <c r="P100" s="58">
        <v>133.91365603364247</v>
      </c>
      <c r="Q100" s="151">
        <v>3.2163439663575275</v>
      </c>
    </row>
    <row r="101" spans="6:17" x14ac:dyDescent="0.55000000000000004">
      <c r="F101" s="49">
        <v>40299</v>
      </c>
      <c r="G101" s="92">
        <v>136.21</v>
      </c>
      <c r="N101" s="27">
        <v>134.90183119274442</v>
      </c>
      <c r="O101" s="27"/>
      <c r="P101" s="58">
        <v>134.90183119274442</v>
      </c>
      <c r="Q101" s="151">
        <v>1.3081688072555835</v>
      </c>
    </row>
    <row r="102" spans="6:17" x14ac:dyDescent="0.55000000000000004">
      <c r="F102" s="49">
        <v>40330</v>
      </c>
      <c r="G102" s="92">
        <v>135.88999999999999</v>
      </c>
      <c r="N102" s="27">
        <v>135.65688506372737</v>
      </c>
      <c r="O102" s="27"/>
      <c r="P102" s="58">
        <v>135.65688506372737</v>
      </c>
      <c r="Q102" s="151">
        <v>0.2331149362726137</v>
      </c>
    </row>
    <row r="103" spans="6:17" x14ac:dyDescent="0.55000000000000004">
      <c r="F103" s="49">
        <v>40360</v>
      </c>
      <c r="G103" s="92">
        <v>136.72</v>
      </c>
      <c r="N103" s="27">
        <v>136.43218064289238</v>
      </c>
      <c r="O103" s="27"/>
      <c r="P103" s="58">
        <v>136.43218064289238</v>
      </c>
      <c r="Q103" s="151">
        <v>0.28781935710762241</v>
      </c>
    </row>
    <row r="104" spans="6:17" x14ac:dyDescent="0.55000000000000004">
      <c r="F104" s="49">
        <v>40391</v>
      </c>
      <c r="G104" s="92">
        <v>137.71</v>
      </c>
      <c r="N104" s="27">
        <v>137.25697012729779</v>
      </c>
      <c r="O104" s="27"/>
      <c r="P104" s="58">
        <v>137.25697012729779</v>
      </c>
      <c r="Q104" s="151">
        <v>0.45302987270221706</v>
      </c>
    </row>
    <row r="105" spans="6:17" x14ac:dyDescent="0.55000000000000004">
      <c r="F105" s="49">
        <v>40422</v>
      </c>
      <c r="G105" s="92">
        <v>138.85</v>
      </c>
      <c r="N105" s="27">
        <v>138.1551035740963</v>
      </c>
      <c r="O105" s="27"/>
      <c r="P105" s="58">
        <v>138.1551035740963</v>
      </c>
      <c r="Q105" s="151">
        <v>0.69489642590369272</v>
      </c>
    </row>
    <row r="106" spans="6:17" x14ac:dyDescent="0.55000000000000004">
      <c r="F106" s="49">
        <v>40452</v>
      </c>
      <c r="G106" s="92">
        <v>138.68</v>
      </c>
      <c r="N106" s="27">
        <v>138.85454917131412</v>
      </c>
      <c r="O106" s="27"/>
      <c r="P106" s="58">
        <v>138.85454917131412</v>
      </c>
      <c r="Q106" s="151">
        <v>-0.17454917131411207</v>
      </c>
    </row>
    <row r="107" spans="6:17" x14ac:dyDescent="0.55000000000000004">
      <c r="F107" s="49">
        <v>40483</v>
      </c>
      <c r="G107" s="92">
        <v>140.13999999999999</v>
      </c>
      <c r="N107" s="27">
        <v>139.70262700139463</v>
      </c>
      <c r="O107" s="27"/>
      <c r="P107" s="58">
        <v>139.70262700139463</v>
      </c>
      <c r="Q107" s="151">
        <v>0.43737299860535472</v>
      </c>
    </row>
    <row r="108" spans="6:17" x14ac:dyDescent="0.55000000000000004">
      <c r="F108" s="49">
        <v>40513</v>
      </c>
      <c r="G108" s="92">
        <v>138.66999999999999</v>
      </c>
      <c r="N108" s="27">
        <v>140.09557646810322</v>
      </c>
      <c r="O108" s="27"/>
      <c r="P108" s="58">
        <v>140.09557646810322</v>
      </c>
      <c r="Q108" s="151">
        <v>-1.4255764681032304</v>
      </c>
    </row>
    <row r="109" spans="6:17" x14ac:dyDescent="0.55000000000000004">
      <c r="F109" s="49">
        <v>40544</v>
      </c>
      <c r="G109" s="92">
        <v>140.26</v>
      </c>
      <c r="N109" s="27">
        <v>140.69673608589005</v>
      </c>
      <c r="O109" s="27"/>
      <c r="P109" s="58">
        <v>140.69673608589005</v>
      </c>
      <c r="Q109" s="151">
        <v>-0.43673608589006108</v>
      </c>
    </row>
    <row r="110" spans="6:17" x14ac:dyDescent="0.55000000000000004">
      <c r="F110" s="49">
        <v>40575</v>
      </c>
      <c r="G110" s="92">
        <v>140.93</v>
      </c>
      <c r="N110" s="27">
        <v>141.30193975003994</v>
      </c>
      <c r="O110" s="27"/>
      <c r="P110" s="58">
        <v>141.30193975003994</v>
      </c>
      <c r="Q110" s="151">
        <v>-0.37193975003992819</v>
      </c>
    </row>
    <row r="111" spans="6:17" x14ac:dyDescent="0.55000000000000004">
      <c r="F111" s="49">
        <v>40603</v>
      </c>
      <c r="G111" s="92">
        <v>141.06</v>
      </c>
      <c r="N111" s="27">
        <v>141.80352443109862</v>
      </c>
      <c r="O111" s="27"/>
      <c r="P111" s="58">
        <v>141.80352443109862</v>
      </c>
      <c r="Q111" s="151">
        <v>-0.74352443109862065</v>
      </c>
    </row>
    <row r="112" spans="6:17" x14ac:dyDescent="0.55000000000000004">
      <c r="F112" s="49">
        <v>40634</v>
      </c>
      <c r="G112" s="92">
        <v>140.97</v>
      </c>
      <c r="N112" s="27">
        <v>142.16984319552373</v>
      </c>
      <c r="O112" s="27"/>
      <c r="P112" s="58">
        <v>142.16984319552373</v>
      </c>
      <c r="Q112" s="151">
        <v>-1.1998431955237265</v>
      </c>
    </row>
    <row r="113" spans="6:17" x14ac:dyDescent="0.55000000000000004">
      <c r="F113" s="49">
        <v>40664</v>
      </c>
      <c r="G113" s="92">
        <v>141.18</v>
      </c>
      <c r="N113" s="27">
        <v>142.47799127891165</v>
      </c>
      <c r="O113" s="27"/>
      <c r="P113" s="58">
        <v>142.47799127891165</v>
      </c>
      <c r="Q113" s="151">
        <v>-1.2979912789116383</v>
      </c>
    </row>
    <row r="114" spans="6:17" x14ac:dyDescent="0.55000000000000004">
      <c r="F114" s="49">
        <v>40695</v>
      </c>
      <c r="G114" s="92">
        <v>141.85</v>
      </c>
      <c r="N114" s="27">
        <v>142.8296971379537</v>
      </c>
      <c r="O114" s="27"/>
      <c r="P114" s="58">
        <v>142.8296971379537</v>
      </c>
      <c r="Q114" s="151">
        <v>-0.97969713795370694</v>
      </c>
    </row>
    <row r="115" spans="6:17" x14ac:dyDescent="0.55000000000000004">
      <c r="F115" s="49">
        <v>40725</v>
      </c>
      <c r="G115" s="92">
        <v>142.1</v>
      </c>
      <c r="N115" s="27">
        <v>143.13910617758867</v>
      </c>
      <c r="O115" s="27"/>
      <c r="P115" s="58">
        <v>143.13910617758867</v>
      </c>
      <c r="Q115" s="151">
        <v>-1.0391061775886783</v>
      </c>
    </row>
    <row r="116" spans="6:17" x14ac:dyDescent="0.55000000000000004">
      <c r="F116" s="49">
        <v>40756</v>
      </c>
      <c r="G116" s="92">
        <v>141.94</v>
      </c>
      <c r="N116" s="27">
        <v>143.33114527439994</v>
      </c>
      <c r="O116" s="27"/>
      <c r="P116" s="58">
        <v>143.33114527439994</v>
      </c>
      <c r="Q116" s="151">
        <v>-1.3911452743999462</v>
      </c>
    </row>
    <row r="117" spans="6:17" x14ac:dyDescent="0.55000000000000004">
      <c r="F117" s="49">
        <v>40787</v>
      </c>
      <c r="G117" s="92">
        <v>141.58000000000001</v>
      </c>
      <c r="N117" s="27">
        <v>143.38137336023885</v>
      </c>
      <c r="O117" s="27"/>
      <c r="P117" s="58">
        <v>143.38137336023885</v>
      </c>
      <c r="Q117" s="151">
        <v>-1.8013733602388413</v>
      </c>
    </row>
    <row r="118" spans="6:17" x14ac:dyDescent="0.55000000000000004">
      <c r="F118" s="49">
        <v>40817</v>
      </c>
      <c r="G118" s="92">
        <v>141.61000000000001</v>
      </c>
      <c r="N118" s="27">
        <v>143.38727865004509</v>
      </c>
      <c r="O118" s="27"/>
      <c r="P118" s="58">
        <v>143.38727865004509</v>
      </c>
      <c r="Q118" s="151">
        <v>-1.7772786500450763</v>
      </c>
    </row>
    <row r="119" spans="6:17" x14ac:dyDescent="0.55000000000000004">
      <c r="F119" s="49">
        <v>40848</v>
      </c>
      <c r="G119" s="92">
        <v>142.31</v>
      </c>
      <c r="N119" s="27">
        <v>143.49266160807318</v>
      </c>
      <c r="O119" s="27"/>
      <c r="P119" s="58">
        <v>143.49266160807318</v>
      </c>
      <c r="Q119" s="151">
        <v>-1.1826616080731753</v>
      </c>
    </row>
    <row r="120" spans="6:17" x14ac:dyDescent="0.55000000000000004">
      <c r="F120" s="49">
        <v>40878</v>
      </c>
      <c r="G120" s="92">
        <v>140.91999999999999</v>
      </c>
      <c r="N120" s="27">
        <v>143.27170029488201</v>
      </c>
      <c r="O120" s="27"/>
      <c r="P120" s="58">
        <v>143.27170029488201</v>
      </c>
      <c r="Q120" s="151">
        <v>-2.351700294882022</v>
      </c>
    </row>
    <row r="121" spans="6:17" x14ac:dyDescent="0.55000000000000004">
      <c r="F121" s="49">
        <v>40909</v>
      </c>
      <c r="G121" s="92">
        <v>139.04</v>
      </c>
      <c r="N121" s="27">
        <v>142.66544112591288</v>
      </c>
      <c r="O121" s="27"/>
      <c r="P121" s="58">
        <v>142.66544112591288</v>
      </c>
      <c r="Q121" s="151">
        <v>-3.6254411259128858</v>
      </c>
    </row>
    <row r="122" spans="6:17" x14ac:dyDescent="0.55000000000000004">
      <c r="F122" s="49">
        <v>40940</v>
      </c>
      <c r="G122" s="92">
        <v>140.55000000000001</v>
      </c>
      <c r="N122" s="27">
        <v>142.40257174815557</v>
      </c>
      <c r="O122" s="27"/>
      <c r="P122" s="58">
        <v>142.40257174815557</v>
      </c>
      <c r="Q122" s="151">
        <v>-1.8525717481555546</v>
      </c>
    </row>
    <row r="123" spans="6:17" x14ac:dyDescent="0.55000000000000004">
      <c r="F123" s="49">
        <v>40969</v>
      </c>
      <c r="G123" s="92">
        <v>140.13999999999999</v>
      </c>
      <c r="N123" s="27">
        <v>142.06878404905197</v>
      </c>
      <c r="O123" s="27"/>
      <c r="P123" s="58">
        <v>142.06878404905197</v>
      </c>
      <c r="Q123" s="151">
        <v>-1.9287840490519841</v>
      </c>
    </row>
    <row r="124" spans="6:17" x14ac:dyDescent="0.55000000000000004">
      <c r="F124" s="49">
        <v>41000</v>
      </c>
      <c r="G124" s="92">
        <v>140.76</v>
      </c>
      <c r="N124" s="27">
        <v>141.88317047567998</v>
      </c>
      <c r="O124" s="27"/>
      <c r="P124" s="58">
        <v>141.88317047567998</v>
      </c>
      <c r="Q124" s="151">
        <v>-1.1231704756799843</v>
      </c>
    </row>
    <row r="125" spans="6:17" x14ac:dyDescent="0.55000000000000004">
      <c r="F125" s="49">
        <v>41030</v>
      </c>
      <c r="G125" s="92">
        <v>142.5</v>
      </c>
      <c r="N125" s="27">
        <v>142.05864455236807</v>
      </c>
      <c r="O125" s="27"/>
      <c r="P125" s="58">
        <v>142.05864455236807</v>
      </c>
      <c r="Q125" s="151">
        <v>0.44135544763193479</v>
      </c>
    </row>
    <row r="126" spans="6:17" x14ac:dyDescent="0.55000000000000004">
      <c r="F126" s="49">
        <v>41061</v>
      </c>
      <c r="G126" s="92">
        <v>143.55000000000001</v>
      </c>
      <c r="N126" s="27">
        <v>142.41937581604097</v>
      </c>
      <c r="O126" s="27"/>
      <c r="P126" s="58">
        <v>142.41937581604097</v>
      </c>
      <c r="Q126" s="151">
        <v>1.1306241839590427</v>
      </c>
    </row>
    <row r="127" spans="6:17" x14ac:dyDescent="0.55000000000000004">
      <c r="F127" s="49">
        <v>41091</v>
      </c>
      <c r="G127" s="92">
        <v>143.82</v>
      </c>
      <c r="N127" s="27">
        <v>142.78718309577735</v>
      </c>
      <c r="O127" s="27"/>
      <c r="P127" s="58">
        <v>142.78718309577735</v>
      </c>
      <c r="Q127" s="151">
        <v>1.0328169042226421</v>
      </c>
    </row>
    <row r="128" spans="6:17" x14ac:dyDescent="0.55000000000000004">
      <c r="F128" s="49">
        <v>41122</v>
      </c>
      <c r="G128" s="92">
        <v>144.26</v>
      </c>
      <c r="N128" s="27">
        <v>143.19255553256431</v>
      </c>
      <c r="O128" s="27"/>
      <c r="P128" s="58">
        <v>143.19255553256431</v>
      </c>
      <c r="Q128" s="151">
        <v>1.0674444674356778</v>
      </c>
    </row>
    <row r="129" spans="6:17" x14ac:dyDescent="0.55000000000000004">
      <c r="F129" s="49">
        <v>41153</v>
      </c>
      <c r="G129" s="92">
        <v>143.66</v>
      </c>
      <c r="N129" s="27">
        <v>143.42015476191341</v>
      </c>
      <c r="O129" s="27"/>
      <c r="P129" s="58">
        <v>143.42015476191341</v>
      </c>
      <c r="Q129" s="151">
        <v>0.23984523808658764</v>
      </c>
    </row>
    <row r="130" spans="6:17" x14ac:dyDescent="0.55000000000000004">
      <c r="F130" s="49">
        <v>41183</v>
      </c>
      <c r="G130" s="92">
        <v>144.84</v>
      </c>
      <c r="N130" s="27">
        <v>143.84412512442083</v>
      </c>
      <c r="O130" s="27"/>
      <c r="P130" s="58">
        <v>143.84412512442083</v>
      </c>
      <c r="Q130" s="151">
        <v>0.99587487557917598</v>
      </c>
    </row>
    <row r="131" spans="6:17" x14ac:dyDescent="0.55000000000000004">
      <c r="F131" s="49">
        <v>41214</v>
      </c>
      <c r="G131" s="92">
        <v>144.63999999999999</v>
      </c>
      <c r="N131" s="27">
        <v>144.16521504824945</v>
      </c>
      <c r="O131" s="27"/>
      <c r="P131" s="58">
        <v>144.16521504824945</v>
      </c>
      <c r="Q131" s="151">
        <v>0.47478495175053581</v>
      </c>
    </row>
    <row r="132" spans="6:17" x14ac:dyDescent="0.55000000000000004">
      <c r="F132" s="49">
        <v>41244</v>
      </c>
      <c r="G132" s="92">
        <v>144.15</v>
      </c>
      <c r="N132" s="27">
        <v>144.33424866851979</v>
      </c>
      <c r="O132" s="27"/>
      <c r="P132" s="58">
        <v>144.33424866851979</v>
      </c>
      <c r="Q132" s="151">
        <v>-0.1842486685197855</v>
      </c>
    </row>
    <row r="133" spans="6:17" x14ac:dyDescent="0.55000000000000004">
      <c r="F133" s="49">
        <v>41275</v>
      </c>
      <c r="G133" s="92">
        <v>144.97999999999999</v>
      </c>
      <c r="N133" s="27">
        <v>144.63172471226503</v>
      </c>
      <c r="O133" s="27"/>
      <c r="P133" s="58">
        <v>144.63172471226503</v>
      </c>
      <c r="Q133" s="151">
        <v>0.34827528773496397</v>
      </c>
    </row>
    <row r="134" spans="6:17" x14ac:dyDescent="0.55000000000000004">
      <c r="F134" s="49">
        <v>41306</v>
      </c>
      <c r="G134" s="92">
        <v>143.82</v>
      </c>
      <c r="N134" s="27">
        <v>144.64467983921986</v>
      </c>
      <c r="O134" s="27"/>
      <c r="P134" s="58">
        <v>144.64467983921986</v>
      </c>
      <c r="Q134" s="151">
        <v>-0.82467983921986843</v>
      </c>
    </row>
    <row r="135" spans="6:17" x14ac:dyDescent="0.55000000000000004">
      <c r="F135" s="49">
        <v>41334</v>
      </c>
      <c r="G135" s="92">
        <v>145.04</v>
      </c>
      <c r="N135" s="27">
        <v>144.88128132912226</v>
      </c>
      <c r="O135" s="27"/>
      <c r="P135" s="58">
        <v>144.88128132912226</v>
      </c>
      <c r="Q135" s="151">
        <v>0.15871867087773239</v>
      </c>
    </row>
    <row r="136" spans="6:17" x14ac:dyDescent="0.55000000000000004">
      <c r="F136" s="49">
        <v>41365</v>
      </c>
      <c r="G136" s="92">
        <v>146.28</v>
      </c>
      <c r="N136" s="27">
        <v>145.32266845141083</v>
      </c>
      <c r="O136" s="27"/>
      <c r="P136" s="58">
        <v>145.32266845141083</v>
      </c>
      <c r="Q136" s="151">
        <v>0.95733154858916691</v>
      </c>
    </row>
    <row r="137" spans="6:17" x14ac:dyDescent="0.55000000000000004">
      <c r="F137" s="49">
        <v>41395</v>
      </c>
      <c r="G137" s="92">
        <v>146.79</v>
      </c>
      <c r="N137" s="27">
        <v>145.79921545408422</v>
      </c>
      <c r="O137" s="27"/>
      <c r="P137" s="58">
        <v>145.79921545408422</v>
      </c>
      <c r="Q137" s="151">
        <v>0.9907845459157727</v>
      </c>
    </row>
    <row r="138" spans="6:17" x14ac:dyDescent="0.55000000000000004">
      <c r="F138" s="49">
        <v>41426</v>
      </c>
      <c r="G138" s="92">
        <v>146.35</v>
      </c>
      <c r="N138" s="27">
        <v>146.11409017038338</v>
      </c>
      <c r="O138" s="27"/>
      <c r="P138" s="58">
        <v>146.11409017038338</v>
      </c>
      <c r="Q138" s="151">
        <v>0.23590982961661666</v>
      </c>
    </row>
    <row r="139" spans="6:17" x14ac:dyDescent="0.55000000000000004">
      <c r="F139" s="49">
        <v>41456</v>
      </c>
      <c r="G139" s="92">
        <v>146.93</v>
      </c>
      <c r="N139" s="27">
        <v>146.48741068055097</v>
      </c>
      <c r="O139" s="27"/>
      <c r="P139" s="58">
        <v>146.48741068055097</v>
      </c>
      <c r="Q139" s="151">
        <v>0.44258931944904134</v>
      </c>
    </row>
    <row r="140" spans="6:17" x14ac:dyDescent="0.55000000000000004">
      <c r="F140" s="49">
        <v>41487</v>
      </c>
      <c r="G140" s="92">
        <v>147.18</v>
      </c>
      <c r="N140" s="27">
        <v>146.84589165279843</v>
      </c>
      <c r="O140" s="27"/>
      <c r="P140" s="58">
        <v>146.84589165279843</v>
      </c>
      <c r="Q140" s="151">
        <v>0.33410834720157823</v>
      </c>
    </row>
    <row r="141" spans="6:17" x14ac:dyDescent="0.55000000000000004">
      <c r="F141" s="49">
        <v>41518</v>
      </c>
      <c r="G141" s="92">
        <v>147.83000000000001</v>
      </c>
      <c r="N141" s="27">
        <v>147.27030687050569</v>
      </c>
      <c r="O141" s="27"/>
      <c r="P141" s="58">
        <v>147.27030687050569</v>
      </c>
      <c r="Q141" s="151">
        <v>0.55969312949432037</v>
      </c>
    </row>
    <row r="142" spans="6:17" x14ac:dyDescent="0.55000000000000004">
      <c r="F142" s="49">
        <v>41548</v>
      </c>
      <c r="G142" s="92">
        <v>147.99</v>
      </c>
      <c r="N142" s="27">
        <v>147.65420273990352</v>
      </c>
      <c r="O142" s="27"/>
      <c r="P142" s="58">
        <v>147.65420273990352</v>
      </c>
      <c r="Q142" s="151">
        <v>0.33579726009648425</v>
      </c>
    </row>
    <row r="143" spans="6:17" x14ac:dyDescent="0.55000000000000004">
      <c r="F143" s="49">
        <v>41579</v>
      </c>
      <c r="G143" s="92">
        <v>148.36000000000001</v>
      </c>
      <c r="N143" s="27">
        <v>148.04281775058149</v>
      </c>
      <c r="O143" s="27"/>
      <c r="P143" s="58">
        <v>148.04281775058149</v>
      </c>
      <c r="Q143" s="151">
        <v>0.31718224941852213</v>
      </c>
    </row>
    <row r="144" spans="6:17" x14ac:dyDescent="0.55000000000000004">
      <c r="F144" s="49">
        <v>41609</v>
      </c>
      <c r="G144" s="92">
        <v>148.76</v>
      </c>
      <c r="N144" s="27">
        <v>148.44080603635246</v>
      </c>
      <c r="O144" s="27"/>
      <c r="P144" s="58">
        <v>148.44080603635246</v>
      </c>
      <c r="Q144" s="151">
        <v>0.31919396364753538</v>
      </c>
    </row>
    <row r="145" spans="6:17" x14ac:dyDescent="0.55000000000000004">
      <c r="F145" s="49">
        <v>41640</v>
      </c>
      <c r="G145" s="92">
        <v>148.31</v>
      </c>
      <c r="N145" s="27">
        <v>148.67585991210777</v>
      </c>
      <c r="O145" s="27"/>
      <c r="P145" s="58">
        <v>148.67585991210777</v>
      </c>
      <c r="Q145" s="151">
        <v>-0.36585991210776569</v>
      </c>
    </row>
    <row r="146" spans="6:17" x14ac:dyDescent="0.55000000000000004">
      <c r="F146" s="49">
        <v>41671</v>
      </c>
      <c r="G146" s="92">
        <v>148</v>
      </c>
      <c r="N146" s="27">
        <v>148.79342181277636</v>
      </c>
      <c r="O146" s="27"/>
      <c r="P146" s="58">
        <v>148.79342181277636</v>
      </c>
      <c r="Q146" s="151">
        <v>-0.79342181277635859</v>
      </c>
    </row>
    <row r="147" spans="6:17" x14ac:dyDescent="0.55000000000000004">
      <c r="F147" s="49">
        <v>41699</v>
      </c>
      <c r="G147" s="92">
        <v>147.78</v>
      </c>
      <c r="N147" s="27">
        <v>148.82554829329993</v>
      </c>
      <c r="O147" s="27"/>
      <c r="P147" s="58">
        <v>148.82554829329993</v>
      </c>
      <c r="Q147" s="151">
        <v>-1.0455482932999303</v>
      </c>
    </row>
    <row r="148" spans="6:17" x14ac:dyDescent="0.55000000000000004">
      <c r="F148" s="49">
        <v>41730</v>
      </c>
      <c r="G148" s="92">
        <v>147.07</v>
      </c>
      <c r="N148" s="27">
        <v>148.68546565285936</v>
      </c>
      <c r="O148" s="27"/>
      <c r="P148" s="58">
        <v>148.68546565285936</v>
      </c>
      <c r="Q148" s="151">
        <v>-1.6154656528593705</v>
      </c>
    </row>
    <row r="149" spans="6:17" x14ac:dyDescent="0.55000000000000004">
      <c r="F149" s="49">
        <v>41760</v>
      </c>
      <c r="G149" s="92">
        <v>146.37</v>
      </c>
      <c r="N149" s="27">
        <v>148.39697775476952</v>
      </c>
      <c r="O149" s="27"/>
      <c r="P149" s="58">
        <v>148.39697775476952</v>
      </c>
      <c r="Q149" s="151">
        <v>-2.0269777547695185</v>
      </c>
    </row>
    <row r="150" spans="6:17" x14ac:dyDescent="0.55000000000000004">
      <c r="F150" s="49">
        <v>41791</v>
      </c>
      <c r="G150" s="92">
        <v>143.43</v>
      </c>
      <c r="N150" s="27">
        <v>147.53140377973912</v>
      </c>
      <c r="O150" s="27"/>
      <c r="P150" s="58">
        <v>147.53140377973912</v>
      </c>
      <c r="Q150" s="151">
        <v>-4.1014037797391154</v>
      </c>
    </row>
    <row r="151" spans="6:17" x14ac:dyDescent="0.55000000000000004">
      <c r="F151" s="49">
        <v>41821</v>
      </c>
      <c r="G151" s="92">
        <v>144.66999999999999</v>
      </c>
      <c r="N151" s="27">
        <v>146.99643746577655</v>
      </c>
      <c r="O151" s="27"/>
      <c r="P151" s="58">
        <v>146.99643746577655</v>
      </c>
      <c r="Q151" s="151">
        <v>-2.3264374657765643</v>
      </c>
    </row>
    <row r="152" spans="6:17" x14ac:dyDescent="0.55000000000000004">
      <c r="F152" s="49">
        <v>41852</v>
      </c>
      <c r="G152" s="92">
        <v>145.66</v>
      </c>
      <c r="N152" s="27">
        <v>146.71530999050344</v>
      </c>
      <c r="O152" s="27"/>
      <c r="P152" s="58">
        <v>146.71530999050344</v>
      </c>
      <c r="Q152" s="151">
        <v>-1.0553099905034458</v>
      </c>
    </row>
    <row r="153" spans="6:17" x14ac:dyDescent="0.55000000000000004">
      <c r="F153" s="49">
        <v>41883</v>
      </c>
      <c r="G153" s="92">
        <v>146.22999999999999</v>
      </c>
      <c r="N153" s="27">
        <v>146.58129217755513</v>
      </c>
      <c r="O153" s="27"/>
      <c r="P153" s="58">
        <v>146.58129217755513</v>
      </c>
      <c r="Q153" s="151">
        <v>-0.35129217755513764</v>
      </c>
    </row>
    <row r="154" spans="6:17" x14ac:dyDescent="0.55000000000000004">
      <c r="F154" s="49">
        <v>41913</v>
      </c>
      <c r="G154" s="92">
        <v>145.41</v>
      </c>
      <c r="N154" s="27">
        <v>146.30184397177132</v>
      </c>
      <c r="O154" s="27"/>
      <c r="P154" s="58">
        <v>146.30184397177132</v>
      </c>
      <c r="Q154" s="151">
        <v>-0.89184397177132269</v>
      </c>
    </row>
    <row r="155" spans="6:17" x14ac:dyDescent="0.55000000000000004">
      <c r="F155" s="49">
        <v>41944</v>
      </c>
      <c r="G155" s="92">
        <v>145.62</v>
      </c>
      <c r="N155" s="27">
        <v>146.10062234277021</v>
      </c>
      <c r="O155" s="27"/>
      <c r="P155" s="58">
        <v>146.10062234277021</v>
      </c>
      <c r="Q155" s="151">
        <v>-0.48062234277020366</v>
      </c>
    </row>
    <row r="156" spans="6:17" x14ac:dyDescent="0.55000000000000004">
      <c r="F156" s="49">
        <v>41974</v>
      </c>
      <c r="G156" s="92">
        <v>146.28</v>
      </c>
      <c r="N156" s="27">
        <v>146.06138075980451</v>
      </c>
      <c r="O156" s="27"/>
      <c r="P156" s="58">
        <v>146.06138075980451</v>
      </c>
      <c r="Q156" s="151">
        <v>0.21861924019549406</v>
      </c>
    </row>
    <row r="157" spans="6:17" x14ac:dyDescent="0.55000000000000004">
      <c r="F157" s="49">
        <v>42005</v>
      </c>
      <c r="G157" s="92">
        <v>145.11000000000001</v>
      </c>
      <c r="N157" s="27">
        <v>145.80024532186329</v>
      </c>
      <c r="O157" s="27"/>
      <c r="P157" s="58">
        <v>145.80024532186329</v>
      </c>
      <c r="Q157" s="151">
        <v>-0.69024532186327292</v>
      </c>
    </row>
    <row r="158" spans="6:17" x14ac:dyDescent="0.55000000000000004">
      <c r="F158" s="49">
        <v>42036</v>
      </c>
      <c r="G158" s="92">
        <v>144.05000000000001</v>
      </c>
      <c r="N158" s="27">
        <v>145.36346364157149</v>
      </c>
      <c r="O158" s="27"/>
      <c r="P158" s="58">
        <v>145.36346364157149</v>
      </c>
      <c r="Q158" s="151">
        <v>-1.3134636415714738</v>
      </c>
    </row>
    <row r="159" spans="6:17" x14ac:dyDescent="0.55000000000000004">
      <c r="F159" s="49">
        <v>42064</v>
      </c>
      <c r="G159" s="92">
        <v>143.72999999999999</v>
      </c>
      <c r="N159" s="27">
        <v>144.92074352517764</v>
      </c>
      <c r="O159" s="27"/>
      <c r="P159" s="58">
        <v>144.92074352517764</v>
      </c>
      <c r="Q159" s="151">
        <v>-1.1907435251776519</v>
      </c>
    </row>
    <row r="160" spans="6:17" x14ac:dyDescent="0.55000000000000004">
      <c r="F160" s="49">
        <v>42095</v>
      </c>
      <c r="G160" s="92">
        <v>142.02000000000001</v>
      </c>
      <c r="N160" s="27">
        <v>144.19724597288939</v>
      </c>
      <c r="O160" s="27"/>
      <c r="P160" s="58">
        <v>144.19724597288939</v>
      </c>
      <c r="Q160" s="151">
        <v>-2.1772459728893807</v>
      </c>
    </row>
    <row r="161" spans="6:17" x14ac:dyDescent="0.55000000000000004">
      <c r="F161" s="49">
        <v>42125</v>
      </c>
      <c r="G161" s="92">
        <v>141.07</v>
      </c>
      <c r="N161" s="27">
        <v>143.37965417409799</v>
      </c>
      <c r="O161" s="27"/>
      <c r="P161" s="58">
        <v>143.37965417409799</v>
      </c>
      <c r="Q161" s="151">
        <v>-2.3096541740980001</v>
      </c>
    </row>
    <row r="162" spans="6:17" x14ac:dyDescent="0.55000000000000004">
      <c r="F162" s="49">
        <v>42156</v>
      </c>
      <c r="G162" s="92">
        <v>139.55000000000001</v>
      </c>
      <c r="N162" s="27">
        <v>142.36956256343677</v>
      </c>
      <c r="O162" s="27"/>
      <c r="P162" s="58">
        <v>142.36956256343677</v>
      </c>
      <c r="Q162" s="151">
        <v>-2.8195625634367616</v>
      </c>
    </row>
    <row r="163" spans="6:17" x14ac:dyDescent="0.55000000000000004">
      <c r="F163" s="49">
        <v>42186</v>
      </c>
      <c r="G163" s="92">
        <v>138.41999999999999</v>
      </c>
      <c r="N163" s="27">
        <v>141.27239716557355</v>
      </c>
      <c r="O163" s="27"/>
      <c r="P163" s="58">
        <v>141.27239716557355</v>
      </c>
      <c r="Q163" s="151">
        <v>-2.8523971655735636</v>
      </c>
    </row>
    <row r="164" spans="6:17" x14ac:dyDescent="0.55000000000000004">
      <c r="F164" s="49">
        <v>42217</v>
      </c>
      <c r="G164" s="92">
        <v>138.83000000000001</v>
      </c>
      <c r="N164" s="27">
        <v>140.41374379477907</v>
      </c>
      <c r="O164" s="27"/>
      <c r="P164" s="58">
        <v>140.41374379477907</v>
      </c>
      <c r="Q164" s="151">
        <v>-1.5837437947790534</v>
      </c>
    </row>
    <row r="165" spans="6:17" x14ac:dyDescent="0.55000000000000004">
      <c r="F165" s="49">
        <v>42248</v>
      </c>
      <c r="G165" s="92">
        <v>137.71</v>
      </c>
      <c r="N165" s="27">
        <v>139.46727445810745</v>
      </c>
      <c r="O165" s="27"/>
      <c r="P165" s="58">
        <v>139.46727445810745</v>
      </c>
      <c r="Q165" s="151">
        <v>-1.757274458107446</v>
      </c>
    </row>
    <row r="166" spans="6:17" x14ac:dyDescent="0.55000000000000004">
      <c r="F166" s="49">
        <v>42278</v>
      </c>
      <c r="G166" s="92">
        <v>138.78</v>
      </c>
      <c r="N166" s="27">
        <v>138.8859403935185</v>
      </c>
      <c r="O166" s="27"/>
      <c r="P166" s="58">
        <v>138.8859403935185</v>
      </c>
      <c r="Q166" s="151">
        <v>-0.1059403935184946</v>
      </c>
    </row>
    <row r="167" spans="6:17" x14ac:dyDescent="0.55000000000000004">
      <c r="F167" s="49">
        <v>42309</v>
      </c>
      <c r="G167" s="92">
        <v>136.81</v>
      </c>
      <c r="N167" s="27">
        <v>138.02373266713749</v>
      </c>
      <c r="O167" s="27"/>
      <c r="P167" s="58">
        <v>138.02373266713749</v>
      </c>
      <c r="Q167" s="151">
        <v>-1.2137326671374922</v>
      </c>
    </row>
    <row r="168" spans="6:17" x14ac:dyDescent="0.55000000000000004">
      <c r="F168" s="49">
        <v>42339</v>
      </c>
      <c r="G168" s="92">
        <v>136.47999999999999</v>
      </c>
      <c r="N168" s="27">
        <v>137.24113205777002</v>
      </c>
      <c r="O168" s="27"/>
      <c r="P168" s="58">
        <v>137.24113205777002</v>
      </c>
      <c r="Q168" s="151">
        <v>-0.7611320577700269</v>
      </c>
    </row>
    <row r="169" spans="6:17" x14ac:dyDescent="0.55000000000000004">
      <c r="F169" s="49">
        <v>42370</v>
      </c>
      <c r="G169" s="92">
        <v>135.58000000000001</v>
      </c>
      <c r="N169" s="27">
        <v>136.41797275815242</v>
      </c>
      <c r="O169" s="27"/>
      <c r="P169" s="58">
        <v>136.41797275815242</v>
      </c>
      <c r="Q169" s="151">
        <v>-0.83797275815240369</v>
      </c>
    </row>
    <row r="170" spans="6:17" x14ac:dyDescent="0.55000000000000004">
      <c r="F170" s="49">
        <v>42401</v>
      </c>
      <c r="G170" s="92">
        <v>135.41999999999999</v>
      </c>
      <c r="N170" s="27">
        <v>135.70908305321504</v>
      </c>
      <c r="O170" s="27"/>
      <c r="P170" s="58">
        <v>135.70908305321504</v>
      </c>
      <c r="Q170" s="151">
        <v>-0.28908305321505168</v>
      </c>
    </row>
    <row r="171" spans="6:17" x14ac:dyDescent="0.55000000000000004">
      <c r="F171" s="49">
        <v>42430</v>
      </c>
      <c r="G171" s="92">
        <v>134.47</v>
      </c>
      <c r="N171" s="27">
        <v>134.94537533365539</v>
      </c>
      <c r="O171" s="27"/>
      <c r="P171" s="58">
        <v>134.94537533365539</v>
      </c>
      <c r="Q171" s="151">
        <v>-0.47537533365539275</v>
      </c>
    </row>
    <row r="172" spans="6:17" x14ac:dyDescent="0.55000000000000004">
      <c r="F172" s="49">
        <v>42461</v>
      </c>
      <c r="G172" s="92">
        <v>134.49</v>
      </c>
      <c r="N172" s="27">
        <v>134.32821904961034</v>
      </c>
      <c r="O172" s="27"/>
      <c r="P172" s="58">
        <v>134.32821904961034</v>
      </c>
      <c r="Q172" s="151">
        <v>0.16178095038966944</v>
      </c>
    </row>
    <row r="173" spans="6:17" x14ac:dyDescent="0.55000000000000004">
      <c r="F173" s="49">
        <v>42491</v>
      </c>
      <c r="G173" s="92">
        <v>134.07</v>
      </c>
      <c r="N173" s="27">
        <v>133.75421995821179</v>
      </c>
      <c r="O173" s="27"/>
      <c r="P173" s="58">
        <v>133.75421995821179</v>
      </c>
      <c r="Q173" s="151">
        <v>0.31578004178820152</v>
      </c>
    </row>
    <row r="174" spans="6:17" x14ac:dyDescent="0.55000000000000004">
      <c r="F174" s="49">
        <v>42522</v>
      </c>
      <c r="G174" s="92">
        <v>134.57</v>
      </c>
      <c r="N174" s="27">
        <v>133.40267666259192</v>
      </c>
      <c r="O174" s="27"/>
      <c r="P174" s="58">
        <v>133.40267666259192</v>
      </c>
      <c r="Q174" s="151">
        <v>1.167323337408078</v>
      </c>
    </row>
    <row r="175" spans="6:17" x14ac:dyDescent="0.55000000000000004">
      <c r="F175" s="49">
        <v>42552</v>
      </c>
      <c r="G175" s="92">
        <v>134.43</v>
      </c>
      <c r="N175" s="27">
        <v>133.11965275773909</v>
      </c>
      <c r="O175" s="27"/>
      <c r="P175" s="58">
        <v>133.11965275773909</v>
      </c>
      <c r="Q175" s="151">
        <v>1.3103472422609173</v>
      </c>
    </row>
    <row r="176" spans="6:17" x14ac:dyDescent="0.55000000000000004">
      <c r="F176" s="49">
        <v>42583</v>
      </c>
      <c r="G176" s="92">
        <v>133.72</v>
      </c>
      <c r="N176" s="27">
        <v>132.78028621013277</v>
      </c>
      <c r="O176" s="27"/>
      <c r="P176" s="58">
        <v>132.78028621013277</v>
      </c>
      <c r="Q176" s="151">
        <v>0.93971378986722698</v>
      </c>
    </row>
    <row r="177" spans="6:17" x14ac:dyDescent="0.55000000000000004">
      <c r="F177" s="49">
        <v>42614</v>
      </c>
      <c r="G177" s="92">
        <v>133.63999999999999</v>
      </c>
      <c r="N177" s="27">
        <v>132.51394256917442</v>
      </c>
      <c r="O177" s="27"/>
      <c r="P177" s="58">
        <v>132.51394256917442</v>
      </c>
      <c r="Q177" s="151">
        <v>1.1260574308255684</v>
      </c>
    </row>
    <row r="178" spans="6:17" x14ac:dyDescent="0.55000000000000004">
      <c r="F178" s="49">
        <v>42644</v>
      </c>
      <c r="G178" s="92">
        <v>133.34</v>
      </c>
      <c r="N178" s="27">
        <v>132.26601959102183</v>
      </c>
      <c r="O178" s="27"/>
      <c r="P178" s="58">
        <v>132.26601959102183</v>
      </c>
      <c r="Q178" s="151">
        <v>1.0739804089781728</v>
      </c>
    </row>
    <row r="179" spans="6:17" x14ac:dyDescent="0.55000000000000004">
      <c r="F179" s="49">
        <v>42675</v>
      </c>
      <c r="G179" s="92">
        <v>133.13999999999999</v>
      </c>
      <c r="N179" s="27">
        <v>132.0517144461765</v>
      </c>
      <c r="O179" s="27"/>
      <c r="P179" s="58">
        <v>132.0517144461765</v>
      </c>
      <c r="Q179" s="151">
        <v>1.0882855538234821</v>
      </c>
    </row>
    <row r="180" spans="6:17" x14ac:dyDescent="0.55000000000000004">
      <c r="F180" s="49">
        <v>42705</v>
      </c>
      <c r="G180" s="92">
        <v>132.54</v>
      </c>
      <c r="N180" s="27">
        <v>131.78438214405142</v>
      </c>
      <c r="O180" s="27"/>
      <c r="P180" s="58">
        <v>131.78438214405142</v>
      </c>
      <c r="Q180" s="151">
        <v>0.75561785594857156</v>
      </c>
    </row>
    <row r="181" spans="6:17" x14ac:dyDescent="0.55000000000000004">
      <c r="F181" s="49">
        <v>42736</v>
      </c>
      <c r="G181" s="92">
        <v>133.61000000000001</v>
      </c>
      <c r="N181" s="27">
        <v>131.80215040307496</v>
      </c>
      <c r="O181" s="27"/>
      <c r="P181" s="58">
        <v>131.80215040307496</v>
      </c>
      <c r="Q181" s="151">
        <v>1.8078495969250525</v>
      </c>
    </row>
    <row r="182" spans="6:17" x14ac:dyDescent="0.55000000000000004">
      <c r="F182" s="49">
        <v>42767</v>
      </c>
      <c r="G182" s="92">
        <v>135.55000000000001</v>
      </c>
      <c r="N182" s="27">
        <v>132.24584487804555</v>
      </c>
      <c r="O182" s="27"/>
      <c r="P182" s="58">
        <v>132.24584487804555</v>
      </c>
      <c r="Q182" s="151">
        <v>3.3041551219544658</v>
      </c>
    </row>
    <row r="183" spans="6:17" x14ac:dyDescent="0.55000000000000004">
      <c r="F183" s="49">
        <v>42795</v>
      </c>
      <c r="G183" s="92">
        <v>135.34</v>
      </c>
      <c r="N183" s="27">
        <v>132.63229432799491</v>
      </c>
      <c r="O183" s="27"/>
      <c r="P183" s="58">
        <v>132.63229432799491</v>
      </c>
      <c r="Q183" s="151">
        <v>2.7077056720050905</v>
      </c>
    </row>
    <row r="184" spans="6:17" x14ac:dyDescent="0.55000000000000004">
      <c r="F184" s="49">
        <v>42826</v>
      </c>
      <c r="G184" s="92">
        <v>135.29</v>
      </c>
      <c r="N184" s="27">
        <v>132.99173621530591</v>
      </c>
      <c r="O184" s="27"/>
      <c r="P184" s="58">
        <v>132.99173621530591</v>
      </c>
      <c r="Q184" s="151">
        <v>2.2982637846940861</v>
      </c>
    </row>
    <row r="185" spans="6:17" x14ac:dyDescent="0.55000000000000004">
      <c r="F185" s="49">
        <v>42856</v>
      </c>
      <c r="G185" s="92">
        <v>135.06</v>
      </c>
      <c r="N185" s="27">
        <v>133.28433473992689</v>
      </c>
      <c r="O185" s="27"/>
      <c r="P185" s="58">
        <v>133.28433473992689</v>
      </c>
      <c r="Q185" s="151">
        <v>1.7756652600731115</v>
      </c>
    </row>
    <row r="186" spans="6:17" x14ac:dyDescent="0.55000000000000004">
      <c r="F186" s="49">
        <v>42887</v>
      </c>
      <c r="G186" s="92">
        <v>135.94999999999999</v>
      </c>
      <c r="N186" s="27">
        <v>133.73643712126196</v>
      </c>
      <c r="O186" s="27"/>
      <c r="P186" s="58">
        <v>133.73643712126196</v>
      </c>
      <c r="Q186" s="151">
        <v>2.2135628787380313</v>
      </c>
    </row>
    <row r="187" spans="6:17" x14ac:dyDescent="0.55000000000000004">
      <c r="F187" s="49">
        <v>42917</v>
      </c>
      <c r="G187" s="92">
        <v>136.34</v>
      </c>
      <c r="N187" s="27">
        <v>134.2255640448204</v>
      </c>
      <c r="O187" s="27"/>
      <c r="P187" s="58">
        <v>134.2255640448204</v>
      </c>
      <c r="Q187" s="151">
        <v>2.1144359551796015</v>
      </c>
    </row>
    <row r="188" spans="6:17" x14ac:dyDescent="0.55000000000000004">
      <c r="F188" s="49">
        <v>42948</v>
      </c>
      <c r="G188" s="92">
        <v>135.63999999999999</v>
      </c>
      <c r="N188" s="27">
        <v>134.52346795760113</v>
      </c>
      <c r="O188" s="27"/>
      <c r="P188" s="58">
        <v>134.52346795760113</v>
      </c>
      <c r="Q188" s="151">
        <v>1.1165320423988589</v>
      </c>
    </row>
    <row r="189" spans="6:17" x14ac:dyDescent="0.55000000000000004">
      <c r="F189" s="49">
        <v>42979</v>
      </c>
      <c r="G189" s="92">
        <v>135.63999999999999</v>
      </c>
      <c r="N189" s="27">
        <v>134.78658312344047</v>
      </c>
      <c r="O189" s="27"/>
      <c r="P189" s="58">
        <v>134.78658312344047</v>
      </c>
      <c r="Q189" s="151">
        <v>0.85341687655952114</v>
      </c>
    </row>
    <row r="190" spans="6:17" x14ac:dyDescent="0.55000000000000004">
      <c r="F190" s="49">
        <v>43009</v>
      </c>
      <c r="G190" s="92">
        <v>136.04</v>
      </c>
      <c r="N190" s="27">
        <v>135.09622774015693</v>
      </c>
      <c r="O190" s="27"/>
      <c r="P190" s="58">
        <v>135.09622774015693</v>
      </c>
      <c r="Q190" s="151">
        <v>0.94377225984305824</v>
      </c>
    </row>
    <row r="191" spans="6:17" x14ac:dyDescent="0.55000000000000004">
      <c r="F191" s="49">
        <v>43040</v>
      </c>
      <c r="G191" s="92">
        <v>135.99</v>
      </c>
      <c r="N191" s="27">
        <v>135.35483944491824</v>
      </c>
      <c r="O191" s="27"/>
      <c r="P191" s="58">
        <v>135.35483944491824</v>
      </c>
      <c r="Q191" s="151">
        <v>0.63516055508176805</v>
      </c>
    </row>
    <row r="192" spans="6:17" x14ac:dyDescent="0.55000000000000004">
      <c r="F192" s="49">
        <v>43070</v>
      </c>
      <c r="G192" s="92">
        <v>138.11000000000001</v>
      </c>
      <c r="N192" s="27">
        <v>136.00096182752378</v>
      </c>
      <c r="O192" s="27"/>
      <c r="P192" s="58">
        <v>136.00096182752378</v>
      </c>
      <c r="Q192" s="151">
        <v>2.1090381724762324</v>
      </c>
    </row>
    <row r="193" spans="6:17" x14ac:dyDescent="0.55000000000000004">
      <c r="F193" s="49">
        <v>43101</v>
      </c>
      <c r="G193" s="92">
        <v>137.41999999999999</v>
      </c>
      <c r="N193" s="27">
        <v>136.42625969009214</v>
      </c>
      <c r="O193" s="27"/>
      <c r="P193" s="58">
        <v>136.42625969009214</v>
      </c>
      <c r="Q193" s="151">
        <v>0.99374030990784945</v>
      </c>
    </row>
    <row r="194" spans="6:17" x14ac:dyDescent="0.55000000000000004">
      <c r="F194" s="49">
        <v>43132</v>
      </c>
      <c r="G194" s="92">
        <v>136.83000000000001</v>
      </c>
      <c r="N194" s="27">
        <v>136.67014623734457</v>
      </c>
      <c r="O194" s="27"/>
      <c r="P194" s="58">
        <v>136.67014623734457</v>
      </c>
      <c r="Q194" s="151">
        <v>0.1598537626554446</v>
      </c>
    </row>
    <row r="195" spans="6:17" x14ac:dyDescent="0.55000000000000004">
      <c r="F195" s="49">
        <v>43160</v>
      </c>
      <c r="G195" s="92">
        <v>136.59</v>
      </c>
      <c r="N195" s="27">
        <v>136.82055952535924</v>
      </c>
      <c r="O195" s="27"/>
      <c r="P195" s="58">
        <v>136.82055952535924</v>
      </c>
      <c r="Q195" s="151">
        <v>-0.23055952535924007</v>
      </c>
    </row>
    <row r="196" spans="6:17" x14ac:dyDescent="0.55000000000000004">
      <c r="F196" s="49">
        <v>43191</v>
      </c>
      <c r="G196" s="92">
        <v>137.28</v>
      </c>
      <c r="N196" s="27">
        <v>137.07403660771791</v>
      </c>
      <c r="O196" s="27"/>
      <c r="P196" s="58">
        <v>137.07403660771791</v>
      </c>
      <c r="Q196" s="151">
        <v>0.20596339228208649</v>
      </c>
    </row>
    <row r="197" spans="6:17" x14ac:dyDescent="0.55000000000000004">
      <c r="F197" s="49">
        <v>43221</v>
      </c>
      <c r="G197" s="92">
        <v>133.07</v>
      </c>
      <c r="N197" s="27">
        <v>136.4369394933691</v>
      </c>
      <c r="O197" s="27"/>
      <c r="P197" s="58">
        <v>136.4369394933691</v>
      </c>
      <c r="Q197" s="151">
        <v>-3.3669394933691024</v>
      </c>
    </row>
    <row r="198" spans="6:17" x14ac:dyDescent="0.55000000000000004">
      <c r="F198" s="49">
        <v>43252</v>
      </c>
      <c r="G198" s="92">
        <v>137.38999999999999</v>
      </c>
      <c r="N198" s="27">
        <v>136.7187581431381</v>
      </c>
      <c r="O198" s="27"/>
      <c r="P198" s="58">
        <v>136.7187581431381</v>
      </c>
      <c r="Q198" s="151">
        <v>0.67124185686188298</v>
      </c>
    </row>
    <row r="199" spans="6:17" x14ac:dyDescent="0.55000000000000004">
      <c r="F199" s="49">
        <v>43282</v>
      </c>
      <c r="G199" s="92">
        <v>137.91999999999999</v>
      </c>
      <c r="N199" s="27">
        <v>137.06535531105723</v>
      </c>
      <c r="O199" s="27"/>
      <c r="P199" s="58">
        <v>137.06535531105723</v>
      </c>
      <c r="Q199" s="151">
        <v>0.85464468894275569</v>
      </c>
    </row>
    <row r="200" spans="6:17" x14ac:dyDescent="0.55000000000000004">
      <c r="F200" s="49">
        <v>43313</v>
      </c>
      <c r="G200" s="92">
        <v>138.94999999999999</v>
      </c>
      <c r="N200" s="27">
        <v>137.56811695703576</v>
      </c>
      <c r="O200" s="27"/>
      <c r="P200" s="58">
        <v>137.56811695703576</v>
      </c>
      <c r="Q200" s="151">
        <v>1.3818830429642333</v>
      </c>
    </row>
    <row r="201" spans="6:17" x14ac:dyDescent="0.55000000000000004">
      <c r="F201" s="49">
        <v>43344</v>
      </c>
      <c r="G201" s="92">
        <v>138.22</v>
      </c>
      <c r="N201" s="27">
        <v>137.85452969169475</v>
      </c>
      <c r="O201" s="27"/>
      <c r="P201" s="58">
        <v>137.85452969169475</v>
      </c>
      <c r="Q201" s="151">
        <v>0.36547030830524818</v>
      </c>
    </row>
    <row r="202" spans="6:17" x14ac:dyDescent="0.55000000000000004">
      <c r="F202" s="49">
        <v>43374</v>
      </c>
      <c r="G202" s="92">
        <v>138.44</v>
      </c>
      <c r="N202" s="27">
        <v>138.13579226265483</v>
      </c>
      <c r="O202" s="27"/>
      <c r="P202" s="58">
        <v>138.13579226265483</v>
      </c>
      <c r="Q202" s="151">
        <v>0.30420773734516615</v>
      </c>
    </row>
    <row r="203" spans="6:17" x14ac:dyDescent="0.55000000000000004">
      <c r="F203" s="49">
        <v>43405</v>
      </c>
      <c r="G203" s="92">
        <v>138.61000000000001</v>
      </c>
      <c r="N203" s="27">
        <v>138.40154035999655</v>
      </c>
      <c r="O203" s="27"/>
      <c r="P203" s="58">
        <v>138.40154035999655</v>
      </c>
      <c r="Q203" s="151">
        <v>0.20845964000346839</v>
      </c>
    </row>
    <row r="204" spans="6:17" x14ac:dyDescent="0.55000000000000004">
      <c r="F204" s="49">
        <v>43435</v>
      </c>
      <c r="G204" s="92">
        <v>139.18</v>
      </c>
      <c r="N204" s="27">
        <v>138.73296774639371</v>
      </c>
      <c r="O204" s="27"/>
      <c r="P204" s="58">
        <v>138.73296774639371</v>
      </c>
      <c r="Q204" s="151">
        <v>0.44703225360629517</v>
      </c>
    </row>
    <row r="205" spans="6:17" x14ac:dyDescent="0.55000000000000004">
      <c r="F205" s="49">
        <v>43466</v>
      </c>
      <c r="G205" s="92">
        <v>139.28</v>
      </c>
      <c r="N205" s="27">
        <v>139.02797340126284</v>
      </c>
      <c r="O205" s="27"/>
      <c r="P205" s="58">
        <v>139.02797340126284</v>
      </c>
      <c r="Q205" s="151">
        <v>0.25202659873716016</v>
      </c>
    </row>
    <row r="206" spans="6:17" x14ac:dyDescent="0.55000000000000004">
      <c r="F206" s="49">
        <v>43497</v>
      </c>
      <c r="G206" s="92">
        <v>137.69</v>
      </c>
      <c r="N206" s="27">
        <v>138.95056298021129</v>
      </c>
      <c r="O206" s="27"/>
      <c r="P206" s="58">
        <v>138.95056298021129</v>
      </c>
      <c r="Q206" s="151">
        <v>-1.2605629802112901</v>
      </c>
    </row>
    <row r="207" spans="6:17" x14ac:dyDescent="0.55000000000000004">
      <c r="F207" s="49">
        <v>43525</v>
      </c>
      <c r="G207" s="92">
        <v>137</v>
      </c>
      <c r="N207" s="27">
        <v>138.72211666621271</v>
      </c>
      <c r="O207" s="27"/>
      <c r="P207" s="58">
        <v>138.72211666621271</v>
      </c>
      <c r="Q207" s="151">
        <v>-1.7221166662127132</v>
      </c>
    </row>
    <row r="208" spans="6:17" x14ac:dyDescent="0.55000000000000004">
      <c r="F208" s="49">
        <v>43556</v>
      </c>
      <c r="G208" s="92">
        <v>136.87</v>
      </c>
      <c r="N208" s="27">
        <v>138.47492006215506</v>
      </c>
      <c r="O208" s="27"/>
      <c r="P208" s="58">
        <v>138.47492006215506</v>
      </c>
      <c r="Q208" s="151">
        <v>-1.6049200621550597</v>
      </c>
    </row>
    <row r="209" spans="6:17" x14ac:dyDescent="0.55000000000000004">
      <c r="F209" s="49">
        <v>43586</v>
      </c>
      <c r="G209" s="92">
        <v>138.63999999999999</v>
      </c>
      <c r="N209" s="27">
        <v>138.59641015152354</v>
      </c>
      <c r="O209" s="27"/>
      <c r="P209" s="58">
        <v>138.59641015152354</v>
      </c>
      <c r="Q209" s="151">
        <v>4.3589848476443649E-2</v>
      </c>
    </row>
    <row r="210" spans="6:17" x14ac:dyDescent="0.55000000000000004">
      <c r="F210" s="49">
        <v>43617</v>
      </c>
      <c r="G210" s="92">
        <v>138.86000000000001</v>
      </c>
      <c r="N210" s="27">
        <v>138.73863137561798</v>
      </c>
      <c r="O210" s="27"/>
      <c r="P210" s="58">
        <v>138.73863137561798</v>
      </c>
      <c r="Q210" s="151">
        <v>0.12136862438202911</v>
      </c>
    </row>
    <row r="211" spans="6:17" x14ac:dyDescent="0.55000000000000004">
      <c r="F211" s="49">
        <v>43647</v>
      </c>
      <c r="G211" s="92">
        <v>138.29</v>
      </c>
      <c r="N211" s="27">
        <v>138.7407251469092</v>
      </c>
      <c r="O211" s="27"/>
      <c r="P211" s="58">
        <v>138.7407251469092</v>
      </c>
      <c r="Q211" s="151">
        <v>-0.45072514690920684</v>
      </c>
    </row>
    <row r="212" spans="6:17" x14ac:dyDescent="0.55000000000000004">
      <c r="F212" s="49">
        <v>43678</v>
      </c>
      <c r="G212" s="92">
        <v>138.35</v>
      </c>
      <c r="N212" s="27">
        <v>138.7443573559357</v>
      </c>
      <c r="O212" s="27"/>
      <c r="P212" s="58">
        <v>138.7443573559357</v>
      </c>
      <c r="Q212" s="151">
        <v>-0.39435735593571053</v>
      </c>
    </row>
    <row r="213" spans="6:17" x14ac:dyDescent="0.55000000000000004">
      <c r="F213" s="49">
        <v>43709</v>
      </c>
      <c r="G213" s="92">
        <v>139.16</v>
      </c>
      <c r="N213" s="27">
        <v>138.9008966058332</v>
      </c>
      <c r="O213" s="27"/>
      <c r="P213" s="58">
        <v>138.9008966058332</v>
      </c>
      <c r="Q213" s="151">
        <v>0.25910339416680017</v>
      </c>
    </row>
    <row r="214" spans="6:17" x14ac:dyDescent="0.55000000000000004">
      <c r="F214" s="49">
        <v>43739</v>
      </c>
      <c r="G214" s="92">
        <v>140.56</v>
      </c>
      <c r="N214" s="27">
        <v>139.31261135292746</v>
      </c>
      <c r="O214" s="27"/>
      <c r="P214" s="58">
        <v>139.31261135292746</v>
      </c>
      <c r="Q214" s="151">
        <v>1.2473886470725404</v>
      </c>
    </row>
    <row r="215" spans="6:17" x14ac:dyDescent="0.55000000000000004">
      <c r="F215" s="49">
        <v>43770</v>
      </c>
      <c r="G215" s="92">
        <v>139.88</v>
      </c>
      <c r="N215" s="27">
        <v>139.53325868065409</v>
      </c>
      <c r="O215" s="27"/>
      <c r="P215" s="58">
        <v>139.53325868065409</v>
      </c>
      <c r="Q215" s="151">
        <v>0.34674131934590946</v>
      </c>
    </row>
    <row r="216" spans="6:17" x14ac:dyDescent="0.55000000000000004">
      <c r="F216" s="49">
        <v>43800</v>
      </c>
      <c r="G216" s="92">
        <v>139.28</v>
      </c>
      <c r="N216" s="27">
        <v>139.59707076089742</v>
      </c>
      <c r="O216" s="27"/>
      <c r="P216" s="58">
        <v>139.59707076089742</v>
      </c>
      <c r="Q216" s="151">
        <v>-0.31707076089742259</v>
      </c>
    </row>
    <row r="217" spans="6:17" x14ac:dyDescent="0.55000000000000004">
      <c r="F217" s="49">
        <v>43831</v>
      </c>
      <c r="G217" s="92">
        <v>140.05000000000001</v>
      </c>
      <c r="N217" s="27">
        <v>139.79542576597458</v>
      </c>
      <c r="O217" s="27"/>
      <c r="P217" s="58">
        <v>139.79542576597458</v>
      </c>
      <c r="Q217" s="151">
        <v>0.25457423402542645</v>
      </c>
    </row>
    <row r="218" spans="6:17" x14ac:dyDescent="0.55000000000000004">
      <c r="F218" s="49">
        <v>43862</v>
      </c>
      <c r="G218" s="92">
        <v>139.65</v>
      </c>
      <c r="N218" s="27">
        <v>139.87946742868755</v>
      </c>
      <c r="O218" s="27"/>
      <c r="P218" s="58">
        <v>139.87946742868755</v>
      </c>
      <c r="Q218" s="151">
        <v>-0.229467428687542</v>
      </c>
    </row>
    <row r="219" spans="6:17" x14ac:dyDescent="0.55000000000000004">
      <c r="F219" s="49">
        <v>43891</v>
      </c>
      <c r="G219" s="92">
        <v>129.71</v>
      </c>
      <c r="N219" s="27">
        <v>137.94799595607009</v>
      </c>
      <c r="O219" s="27"/>
      <c r="P219" s="58">
        <v>137.94799595607009</v>
      </c>
      <c r="Q219" s="151">
        <v>-8.2379959560700797</v>
      </c>
    </row>
    <row r="220" spans="6:17" x14ac:dyDescent="0.55000000000000004">
      <c r="F220" s="49">
        <v>43922</v>
      </c>
      <c r="G220" s="92">
        <v>117.19</v>
      </c>
      <c r="N220" s="27">
        <v>133.70878612034545</v>
      </c>
      <c r="O220" s="27"/>
      <c r="P220" s="58">
        <v>133.70878612034545</v>
      </c>
      <c r="Q220" s="151">
        <v>-16.518786120345453</v>
      </c>
    </row>
    <row r="221" spans="6:17" x14ac:dyDescent="0.55000000000000004">
      <c r="F221" s="49">
        <v>43952</v>
      </c>
      <c r="G221" s="92">
        <v>121.03</v>
      </c>
      <c r="N221" s="27">
        <v>130.7206691851724</v>
      </c>
      <c r="O221" s="27"/>
      <c r="P221" s="58">
        <v>130.7206691851724</v>
      </c>
      <c r="Q221" s="151">
        <v>-9.6906691851723963</v>
      </c>
    </row>
    <row r="222" spans="6:17" x14ac:dyDescent="0.55000000000000004">
      <c r="F222" s="49">
        <v>43983</v>
      </c>
      <c r="G222" s="92">
        <v>127.06</v>
      </c>
      <c r="N222" s="27">
        <v>129.32457705581083</v>
      </c>
      <c r="O222" s="27"/>
      <c r="P222" s="58">
        <v>129.32457705581083</v>
      </c>
      <c r="Q222" s="151">
        <v>-2.2645770558108325</v>
      </c>
    </row>
    <row r="223" spans="6:17" x14ac:dyDescent="0.55000000000000004">
      <c r="F223" s="49">
        <v>44013</v>
      </c>
      <c r="G223" s="92">
        <v>130.99</v>
      </c>
      <c r="N223" s="27">
        <v>128.94604593765797</v>
      </c>
      <c r="O223" s="27"/>
      <c r="P223" s="58">
        <v>128.94604593765797</v>
      </c>
      <c r="Q223" s="151">
        <v>2.0439540623420385</v>
      </c>
    </row>
    <row r="224" spans="6:17" x14ac:dyDescent="0.55000000000000004">
      <c r="F224" s="49">
        <v>44044</v>
      </c>
      <c r="G224" s="92">
        <v>133.86000000000001</v>
      </c>
      <c r="N224" s="27">
        <v>129.26471624141874</v>
      </c>
      <c r="O224" s="27"/>
      <c r="P224" s="58">
        <v>129.26471624141874</v>
      </c>
      <c r="Q224" s="151">
        <v>4.5952837585812745</v>
      </c>
    </row>
    <row r="225" spans="6:17" x14ac:dyDescent="0.55000000000000004">
      <c r="F225" s="49">
        <v>44075</v>
      </c>
      <c r="G225" s="92">
        <v>136.84</v>
      </c>
      <c r="N225" s="27">
        <v>130.21985070196126</v>
      </c>
      <c r="O225" s="27"/>
      <c r="P225" s="58">
        <v>130.21985070196126</v>
      </c>
      <c r="Q225" s="151">
        <v>6.62014929803874</v>
      </c>
    </row>
    <row r="226" spans="6:17" x14ac:dyDescent="0.55000000000000004">
      <c r="F226" s="49">
        <v>44105</v>
      </c>
      <c r="G226" s="92">
        <v>139.32</v>
      </c>
      <c r="N226" s="27">
        <v>131.62878599477352</v>
      </c>
      <c r="O226" s="27"/>
      <c r="P226" s="58">
        <v>131.62878599477352</v>
      </c>
      <c r="Q226" s="151">
        <v>7.6912140052264704</v>
      </c>
    </row>
    <row r="227" spans="6:17" x14ac:dyDescent="0.55000000000000004">
      <c r="F227" s="49">
        <v>44136</v>
      </c>
      <c r="G227" s="92">
        <v>139.24</v>
      </c>
      <c r="N227" s="27">
        <v>132.91102703483037</v>
      </c>
      <c r="O227" s="27"/>
      <c r="P227" s="58">
        <v>132.91102703483037</v>
      </c>
      <c r="Q227" s="151">
        <v>6.3289729651696405</v>
      </c>
    </row>
    <row r="228" spans="6:17" x14ac:dyDescent="0.55000000000000004">
      <c r="F228" s="49">
        <v>44166</v>
      </c>
      <c r="G228" s="92">
        <v>139.54</v>
      </c>
      <c r="N228" s="27">
        <v>134.13774445984035</v>
      </c>
      <c r="O228" s="27"/>
      <c r="P228" s="58">
        <v>134.13774445984035</v>
      </c>
      <c r="Q228" s="151">
        <v>5.4022555401596435</v>
      </c>
    </row>
    <row r="229" spans="6:17" x14ac:dyDescent="0.55000000000000004">
      <c r="F229" s="49">
        <v>44197</v>
      </c>
      <c r="G229" s="92">
        <v>140.13</v>
      </c>
      <c r="N229" s="27">
        <v>135.35752035219193</v>
      </c>
      <c r="O229" s="27"/>
      <c r="P229" s="58">
        <v>135.35752035219193</v>
      </c>
      <c r="Q229" s="151">
        <v>4.7724796478080691</v>
      </c>
    </row>
    <row r="230" spans="6:17" x14ac:dyDescent="0.55000000000000004">
      <c r="F230" s="49">
        <v>44228</v>
      </c>
      <c r="G230" s="92">
        <v>140.97999999999999</v>
      </c>
      <c r="N230" s="27">
        <v>136.60981417501873</v>
      </c>
      <c r="O230" s="27"/>
      <c r="P230" s="58">
        <v>136.60981417501873</v>
      </c>
      <c r="Q230" s="151">
        <v>4.3701858249812631</v>
      </c>
    </row>
    <row r="231" spans="6:17" x14ac:dyDescent="0.55000000000000004">
      <c r="F231" s="49">
        <v>44256</v>
      </c>
      <c r="G231" s="92">
        <v>135.72</v>
      </c>
      <c r="N231" s="27">
        <v>136.65371333568871</v>
      </c>
      <c r="O231" s="27"/>
      <c r="P231" s="58">
        <v>136.65371333568871</v>
      </c>
      <c r="Q231" s="151">
        <v>-0.93371333568870796</v>
      </c>
    </row>
    <row r="232" spans="6:17" x14ac:dyDescent="0.55000000000000004">
      <c r="F232" s="49">
        <v>44287</v>
      </c>
      <c r="G232" s="92">
        <v>137.44</v>
      </c>
      <c r="N232" s="27">
        <v>137.0128937339183</v>
      </c>
      <c r="O232" s="27"/>
      <c r="P232" s="58">
        <v>137.0128937339183</v>
      </c>
      <c r="Q232" s="151">
        <v>0.42710626608169378</v>
      </c>
    </row>
    <row r="233" spans="6:17" x14ac:dyDescent="0.55000000000000004">
      <c r="F233" s="49">
        <v>44317</v>
      </c>
      <c r="G233" s="92">
        <v>138.74</v>
      </c>
      <c r="N233" s="27">
        <v>137.57030841787002</v>
      </c>
      <c r="O233" s="27"/>
      <c r="P233" s="58">
        <v>137.57030841787002</v>
      </c>
      <c r="Q233" s="151">
        <v>1.1696915821299854</v>
      </c>
    </row>
    <row r="234" spans="6:17" x14ac:dyDescent="0.55000000000000004">
      <c r="F234" s="49">
        <v>44348</v>
      </c>
      <c r="G234" s="92">
        <v>138.94999999999999</v>
      </c>
      <c r="N234" s="27">
        <v>138.08419293207416</v>
      </c>
      <c r="O234" s="27"/>
      <c r="P234" s="58">
        <v>138.08419293207416</v>
      </c>
      <c r="Q234" s="151">
        <v>0.86580706792582873</v>
      </c>
    </row>
    <row r="235" spans="6:17" x14ac:dyDescent="0.55000000000000004">
      <c r="F235" s="49">
        <v>44378</v>
      </c>
      <c r="G235" s="92">
        <v>138.49</v>
      </c>
      <c r="N235" s="27">
        <v>138.42211215581827</v>
      </c>
      <c r="O235" s="27"/>
      <c r="P235" s="58">
        <v>138.42211215581827</v>
      </c>
      <c r="Q235" s="151">
        <v>6.788784418174032E-2</v>
      </c>
    </row>
    <row r="236" spans="6:17" x14ac:dyDescent="0.55000000000000004">
      <c r="F236" s="49">
        <v>44409</v>
      </c>
      <c r="G236" s="92">
        <v>138.91999999999999</v>
      </c>
      <c r="N236" s="27">
        <v>138.78001624221258</v>
      </c>
      <c r="O236" s="27"/>
      <c r="P236" s="58">
        <v>138.78001624221258</v>
      </c>
      <c r="Q236" s="151">
        <v>0.13998375778740524</v>
      </c>
    </row>
    <row r="237" spans="6:17" x14ac:dyDescent="0.55000000000000004">
      <c r="F237" s="49">
        <v>44440</v>
      </c>
      <c r="G237" s="92">
        <v>138.86000000000001</v>
      </c>
      <c r="N237" s="27">
        <v>139.05723610975357</v>
      </c>
      <c r="O237" s="27"/>
      <c r="P237" s="58">
        <v>139.05723610975357</v>
      </c>
      <c r="Q237" s="151">
        <v>-0.1972361097535611</v>
      </c>
    </row>
    <row r="238" spans="6:17" x14ac:dyDescent="0.55000000000000004">
      <c r="F238" s="49">
        <v>44470</v>
      </c>
      <c r="G238" s="92">
        <v>139.62</v>
      </c>
      <c r="N238" s="27">
        <v>139.42687173411164</v>
      </c>
      <c r="O238" s="27"/>
      <c r="P238" s="58">
        <v>139.42687173411164</v>
      </c>
      <c r="Q238" s="151">
        <v>0.19312826588836174</v>
      </c>
    </row>
    <row r="239" spans="6:17" x14ac:dyDescent="0.55000000000000004">
      <c r="F239" s="49">
        <v>44501</v>
      </c>
      <c r="G239" s="92">
        <v>141.05000000000001</v>
      </c>
      <c r="N239" s="27">
        <v>140.01348700373879</v>
      </c>
      <c r="O239" s="27"/>
      <c r="P239" s="58">
        <v>140.01348700373879</v>
      </c>
      <c r="Q239" s="151">
        <v>1.036512996261223</v>
      </c>
    </row>
    <row r="240" spans="6:17" x14ac:dyDescent="0.55000000000000004">
      <c r="F240" s="49">
        <v>44531</v>
      </c>
      <c r="G240" s="92">
        <v>141.22</v>
      </c>
      <c r="N240" s="27">
        <v>140.53971656767763</v>
      </c>
      <c r="O240" s="27"/>
      <c r="P240" s="58">
        <v>140.53971656767763</v>
      </c>
      <c r="Q240" s="151">
        <v>0.68028343232236921</v>
      </c>
    </row>
    <row r="241" spans="6:17" x14ac:dyDescent="0.55000000000000004">
      <c r="F241" s="49">
        <v>44562</v>
      </c>
      <c r="G241" s="92">
        <v>140.26</v>
      </c>
      <c r="N241" s="27">
        <v>140.78307986413583</v>
      </c>
      <c r="O241" s="27"/>
      <c r="P241" s="58">
        <v>140.78307986413583</v>
      </c>
      <c r="Q241" s="151">
        <v>-0.52307986413583762</v>
      </c>
    </row>
    <row r="242" spans="6:17" x14ac:dyDescent="0.55000000000000004">
      <c r="F242" s="49">
        <v>44593</v>
      </c>
      <c r="G242" s="92">
        <v>140.82</v>
      </c>
      <c r="N242" s="27">
        <v>141.07825426537599</v>
      </c>
      <c r="O242" s="27"/>
      <c r="P242" s="58">
        <v>141.07825426537599</v>
      </c>
      <c r="Q242" s="151">
        <v>-0.25825426537599583</v>
      </c>
    </row>
    <row r="243" spans="6:17" x14ac:dyDescent="0.55000000000000004">
      <c r="F243" s="49">
        <v>44621</v>
      </c>
      <c r="G243" s="92">
        <v>141.94</v>
      </c>
      <c r="N243" s="15">
        <v>141.53307983504646</v>
      </c>
      <c r="P243" s="58">
        <v>141.53307983504646</v>
      </c>
      <c r="Q243" s="151">
        <v>0.406920164953533</v>
      </c>
    </row>
    <row r="244" spans="6:17" x14ac:dyDescent="0.55000000000000004">
      <c r="F244" s="49">
        <v>44652</v>
      </c>
      <c r="G244" s="92">
        <v>142.19</v>
      </c>
      <c r="N244" s="15">
        <v>141.95592221119901</v>
      </c>
      <c r="P244" s="58">
        <v>141.95592221119901</v>
      </c>
      <c r="Q244" s="151">
        <v>0.23407778880098817</v>
      </c>
    </row>
    <row r="245" spans="6:17" x14ac:dyDescent="0.55000000000000004">
      <c r="F245" s="49">
        <v>44682</v>
      </c>
      <c r="G245" s="92">
        <v>142.15</v>
      </c>
      <c r="N245" s="15">
        <v>142.29117099006226</v>
      </c>
      <c r="P245" s="58">
        <v>142.29117099006226</v>
      </c>
      <c r="Q245" s="151">
        <v>-0.14117099006224976</v>
      </c>
    </row>
    <row r="246" spans="6:17" x14ac:dyDescent="0.55000000000000004">
      <c r="F246" s="49">
        <v>44713</v>
      </c>
      <c r="G246" s="92">
        <v>142.88999999999999</v>
      </c>
      <c r="N246" s="15">
        <v>142.70443956079399</v>
      </c>
      <c r="P246" s="58">
        <v>142.70443956079399</v>
      </c>
      <c r="Q246" s="151">
        <v>0.18556043920600018</v>
      </c>
    </row>
    <row r="247" spans="6:17" x14ac:dyDescent="0.55000000000000004">
      <c r="F247" s="49">
        <v>44743</v>
      </c>
      <c r="G247" s="92">
        <v>145.41999999999999</v>
      </c>
      <c r="N247" s="15">
        <v>143.54637959358061</v>
      </c>
      <c r="P247" s="58">
        <v>143.54637959358061</v>
      </c>
      <c r="Q247" s="151">
        <v>1.8736204064193771</v>
      </c>
    </row>
    <row r="248" spans="6:17" x14ac:dyDescent="0.55000000000000004">
      <c r="F248" s="49">
        <v>44774</v>
      </c>
      <c r="G248" s="92">
        <v>144.47999999999999</v>
      </c>
      <c r="N248" s="15">
        <v>144.07282133410817</v>
      </c>
      <c r="P248" s="58">
        <v>144.07282133410817</v>
      </c>
      <c r="Q248" s="151">
        <v>0.40717866589181995</v>
      </c>
    </row>
    <row r="249" spans="6:17" x14ac:dyDescent="0.55000000000000004">
      <c r="F249" s="49">
        <v>44805</v>
      </c>
      <c r="G249" s="92">
        <v>144.49</v>
      </c>
      <c r="N249" s="15">
        <v>144.50478909908239</v>
      </c>
      <c r="P249" s="58">
        <v>144.50478909908239</v>
      </c>
      <c r="Q249" s="151">
        <v>-1.4789099082378243E-2</v>
      </c>
    </row>
    <row r="250" spans="6:17" x14ac:dyDescent="0.55000000000000004">
      <c r="F250" s="49">
        <v>44835</v>
      </c>
      <c r="G250" s="92">
        <v>144.68</v>
      </c>
      <c r="N250" s="15">
        <v>144.88789814522795</v>
      </c>
      <c r="P250" s="58">
        <v>144.88789814522795</v>
      </c>
      <c r="Q250" s="151">
        <v>-0.20789814522794359</v>
      </c>
    </row>
    <row r="251" spans="6:17" x14ac:dyDescent="0.55000000000000004">
      <c r="F251" s="49">
        <v>44866</v>
      </c>
      <c r="G251" s="92">
        <v>142.74</v>
      </c>
      <c r="N251" s="15">
        <v>144.80044610264903</v>
      </c>
      <c r="P251" s="58">
        <v>144.80044610264903</v>
      </c>
      <c r="Q251" s="151">
        <v>-2.0604461026490242</v>
      </c>
    </row>
    <row r="252" spans="6:17" x14ac:dyDescent="0.55000000000000004">
      <c r="F252" s="49">
        <v>44896</v>
      </c>
      <c r="G252" s="92">
        <v>142.30000000000001</v>
      </c>
      <c r="N252" s="15">
        <v>144.59623141942097</v>
      </c>
      <c r="P252" s="58">
        <v>144.59623141942097</v>
      </c>
      <c r="Q252" s="151">
        <v>-2.2962314194209625</v>
      </c>
    </row>
    <row r="253" spans="6:17" x14ac:dyDescent="0.55000000000000004">
      <c r="F253" s="49">
        <v>44927</v>
      </c>
      <c r="G253" s="92">
        <v>143.47999999999999</v>
      </c>
      <c r="N253" s="15">
        <v>144.61830215321757</v>
      </c>
      <c r="P253" s="58">
        <v>144.61830215321757</v>
      </c>
      <c r="Q253" s="151">
        <v>-1.1383021532175803</v>
      </c>
    </row>
    <row r="254" spans="6:17" x14ac:dyDescent="0.55000000000000004">
      <c r="F254" s="49">
        <v>44958</v>
      </c>
      <c r="G254" s="92">
        <v>147.52000000000001</v>
      </c>
      <c r="N254" s="15">
        <v>145.42074921955899</v>
      </c>
      <c r="P254" s="58">
        <v>145.42074921955899</v>
      </c>
      <c r="Q254" s="151">
        <v>2.0992507804410252</v>
      </c>
    </row>
    <row r="255" spans="6:17" x14ac:dyDescent="0.55000000000000004">
      <c r="F255" s="49">
        <v>44986</v>
      </c>
      <c r="G255" s="92">
        <v>147.02000000000001</v>
      </c>
      <c r="N255" s="15">
        <v>146.00890678324359</v>
      </c>
      <c r="P255" s="58">
        <v>146.00890678324359</v>
      </c>
      <c r="Q255" s="151">
        <v>1.0110932167564215</v>
      </c>
    </row>
    <row r="256" spans="6:17" x14ac:dyDescent="0.55000000000000004">
      <c r="F256" s="49">
        <v>45017</v>
      </c>
      <c r="G256" s="92">
        <v>148.88</v>
      </c>
      <c r="N256" s="15">
        <v>146.87474112484441</v>
      </c>
      <c r="P256" s="58">
        <v>146.87474112484441</v>
      </c>
      <c r="Q256" s="151">
        <v>2.0052588751555902</v>
      </c>
    </row>
    <row r="257" spans="6:17" x14ac:dyDescent="0.55000000000000004">
      <c r="F257" s="49">
        <v>45047</v>
      </c>
      <c r="G257" s="92">
        <v>146.16</v>
      </c>
      <c r="N257" s="15">
        <v>147.06623745851965</v>
      </c>
      <c r="P257" s="58">
        <v>147.06623745851965</v>
      </c>
      <c r="Q257" s="151">
        <v>-0.90623745851965509</v>
      </c>
    </row>
    <row r="258" spans="6:17" x14ac:dyDescent="0.55000000000000004">
      <c r="F258" s="49">
        <v>45078</v>
      </c>
      <c r="G258" s="92">
        <v>146.55000000000001</v>
      </c>
      <c r="N258" s="15">
        <v>147.27728789663823</v>
      </c>
      <c r="P258" s="58">
        <v>147.27728789663823</v>
      </c>
      <c r="Q258" s="151">
        <v>-0.72728789663821658</v>
      </c>
    </row>
    <row r="259" spans="6:17" x14ac:dyDescent="0.55000000000000004">
      <c r="F259" s="49">
        <v>45108</v>
      </c>
      <c r="G259" s="92">
        <v>146.97999999999999</v>
      </c>
      <c r="N259" s="15">
        <v>147.51599303322664</v>
      </c>
      <c r="P259" s="58">
        <v>147.51599303322664</v>
      </c>
      <c r="Q259" s="151">
        <v>-0.53599303322664582</v>
      </c>
    </row>
    <row r="260" spans="6:17" x14ac:dyDescent="0.55000000000000004">
      <c r="F260" s="49">
        <v>45139</v>
      </c>
      <c r="G260" s="92">
        <v>146.13999999999999</v>
      </c>
      <c r="N260" s="15">
        <v>147.52637614732723</v>
      </c>
      <c r="P260" s="58">
        <v>147.52637614732723</v>
      </c>
      <c r="Q260" s="151">
        <v>-1.3863761473272405</v>
      </c>
    </row>
    <row r="261" spans="6:17" x14ac:dyDescent="0.55000000000000004">
      <c r="F261" s="49">
        <v>45170</v>
      </c>
      <c r="G261" s="92">
        <v>146.19</v>
      </c>
      <c r="N261" s="15">
        <v>147.51371513978302</v>
      </c>
      <c r="P261" s="58">
        <v>147.51371513978302</v>
      </c>
      <c r="Q261" s="151">
        <v>-1.3237151397830189</v>
      </c>
    </row>
    <row r="262" spans="6:17" x14ac:dyDescent="0.55000000000000004">
      <c r="F262" s="49">
        <v>45200</v>
      </c>
      <c r="G262" s="92">
        <v>146.26</v>
      </c>
      <c r="N262" s="15">
        <v>147.48804343233382</v>
      </c>
      <c r="P262" s="58">
        <v>147.48804343233382</v>
      </c>
      <c r="Q262" s="151">
        <v>-1.2280434323338341</v>
      </c>
    </row>
    <row r="263" spans="6:17" x14ac:dyDescent="0.55000000000000004">
      <c r="F263" s="49">
        <v>45231</v>
      </c>
      <c r="G263" s="92">
        <v>146.41</v>
      </c>
      <c r="N263" s="15">
        <v>147.47015343965649</v>
      </c>
      <c r="P263" s="58">
        <v>147.47015343965649</v>
      </c>
      <c r="Q263" s="151">
        <v>-1.0601534396564887</v>
      </c>
    </row>
    <row r="264" spans="6:17" x14ac:dyDescent="0.55000000000000004">
      <c r="F264" s="49">
        <v>45261</v>
      </c>
      <c r="G264" s="92">
        <v>147.61000000000001</v>
      </c>
      <c r="N264" s="15">
        <v>147.67282134705428</v>
      </c>
      <c r="P264" s="58">
        <v>147.67282134705428</v>
      </c>
      <c r="Q264" s="151">
        <v>-6.2821347054267562E-2</v>
      </c>
    </row>
    <row r="265" spans="6:17" x14ac:dyDescent="0.55000000000000004">
      <c r="F265" s="49">
        <v>45292</v>
      </c>
      <c r="G265" s="92">
        <v>148.5</v>
      </c>
      <c r="N265" s="15">
        <v>148.01193373893841</v>
      </c>
      <c r="P265" s="58">
        <v>148.01193373893841</v>
      </c>
      <c r="Q265" s="151">
        <v>0.48806626106159001</v>
      </c>
    </row>
  </sheetData>
  <mergeCells count="1">
    <mergeCell ref="A4:L4"/>
  </mergeCells>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80AE-1638-4656-8E8C-6E58713158F9}">
  <sheetPr codeName="Planilha92">
    <tabColor theme="9" tint="0.59999389629810485"/>
  </sheetPr>
  <dimension ref="A1:W265"/>
  <sheetViews>
    <sheetView showGridLines="0" zoomScaleNormal="100" workbookViewId="0">
      <selection activeCell="A4" sqref="A4:J4"/>
    </sheetView>
  </sheetViews>
  <sheetFormatPr defaultColWidth="8.796875" defaultRowHeight="18" x14ac:dyDescent="0.55000000000000004"/>
  <cols>
    <col min="1" max="1" width="12.6640625" style="17" customWidth="1"/>
    <col min="2" max="2" width="54.33203125" customWidth="1"/>
    <col min="4" max="4" width="44.33203125" bestFit="1" customWidth="1"/>
    <col min="5" max="5" width="4.6640625" customWidth="1"/>
    <col min="6" max="7" width="7.1328125" bestFit="1" customWidth="1"/>
    <col min="8" max="8" width="10.6640625" bestFit="1" customWidth="1"/>
    <col min="9" max="9" width="12.33203125" bestFit="1" customWidth="1"/>
    <col min="10" max="10" width="11" bestFit="1" customWidth="1"/>
    <col min="11" max="11" width="4.33203125" customWidth="1"/>
    <col min="12" max="12" width="12.1328125" style="15" customWidth="1"/>
    <col min="13" max="14" width="9" style="15" customWidth="1"/>
    <col min="15" max="23" width="8.796875" style="15"/>
  </cols>
  <sheetData>
    <row r="1" spans="1:23" x14ac:dyDescent="0.55000000000000004">
      <c r="A1" s="83" t="s">
        <v>1094</v>
      </c>
      <c r="L1" s="14"/>
      <c r="M1" s="14"/>
      <c r="N1" s="14"/>
      <c r="O1" s="14"/>
      <c r="P1" s="14"/>
      <c r="Q1" s="14"/>
      <c r="R1" s="14"/>
      <c r="S1" s="14"/>
      <c r="T1" s="14"/>
      <c r="U1" s="14"/>
      <c r="V1" s="14"/>
      <c r="W1" s="14"/>
    </row>
    <row r="2" spans="1:23" x14ac:dyDescent="0.55000000000000004">
      <c r="A2" s="17" t="s">
        <v>1095</v>
      </c>
      <c r="L2" s="14"/>
      <c r="M2" s="14"/>
      <c r="N2" s="14"/>
      <c r="O2" s="14"/>
      <c r="P2" s="14"/>
      <c r="Q2" s="14"/>
      <c r="R2" s="14"/>
      <c r="S2" s="14"/>
      <c r="T2" s="14"/>
      <c r="U2" s="14"/>
      <c r="V2" s="14"/>
      <c r="W2" s="14"/>
    </row>
    <row r="3" spans="1:23" x14ac:dyDescent="0.55000000000000004">
      <c r="L3" s="14"/>
      <c r="M3" s="14"/>
      <c r="N3" s="14"/>
      <c r="O3" s="14"/>
      <c r="P3" s="14"/>
      <c r="Q3" s="14"/>
      <c r="R3" s="14"/>
      <c r="S3" s="14"/>
      <c r="T3" s="14"/>
      <c r="U3" s="14"/>
      <c r="V3" s="14"/>
      <c r="W3" s="14"/>
    </row>
    <row r="4" spans="1:23" ht="41.25" customHeight="1" x14ac:dyDescent="0.45">
      <c r="A4" s="172" t="s">
        <v>1317</v>
      </c>
      <c r="B4" s="172"/>
      <c r="C4" s="172"/>
      <c r="D4" s="172"/>
      <c r="E4" s="172"/>
      <c r="F4" s="172"/>
      <c r="G4" s="172"/>
      <c r="H4" s="172"/>
      <c r="I4" s="172"/>
      <c r="J4" s="172"/>
      <c r="L4" s="14"/>
      <c r="M4" s="14"/>
      <c r="N4" s="14"/>
      <c r="O4" s="14"/>
      <c r="P4" s="14"/>
      <c r="Q4" s="14"/>
      <c r="R4" s="14"/>
      <c r="S4" s="14"/>
      <c r="T4" s="14"/>
      <c r="U4" s="14"/>
      <c r="V4" s="14"/>
      <c r="W4" s="14"/>
    </row>
    <row r="6" spans="1:23" ht="15.75" x14ac:dyDescent="0.5">
      <c r="A6" s="2" t="s">
        <v>15</v>
      </c>
      <c r="B6" s="2" t="s">
        <v>16</v>
      </c>
    </row>
    <row r="7" spans="1:23" ht="15.75" x14ac:dyDescent="0.5">
      <c r="A7" s="23" t="s">
        <v>165</v>
      </c>
      <c r="B7" s="24" t="s">
        <v>498</v>
      </c>
    </row>
    <row r="8" spans="1:23" ht="15.75" customHeight="1" x14ac:dyDescent="0.45">
      <c r="A8" s="23" t="s">
        <v>1132</v>
      </c>
      <c r="B8" s="26" t="s">
        <v>1105</v>
      </c>
    </row>
    <row r="9" spans="1:23" ht="63" x14ac:dyDescent="0.5">
      <c r="A9" s="23" t="s">
        <v>1096</v>
      </c>
      <c r="B9" s="24" t="s">
        <v>1103</v>
      </c>
    </row>
    <row r="10" spans="1:23" ht="47.25" x14ac:dyDescent="0.5">
      <c r="A10" s="23" t="s">
        <v>1097</v>
      </c>
      <c r="B10" s="24" t="s">
        <v>1104</v>
      </c>
    </row>
    <row r="11" spans="1:23" ht="15.75" x14ac:dyDescent="0.5">
      <c r="A11" s="23"/>
      <c r="B11" s="24"/>
    </row>
    <row r="12" spans="1:23" x14ac:dyDescent="0.55000000000000004">
      <c r="D12" s="1" t="s">
        <v>17</v>
      </c>
      <c r="F12" t="s">
        <v>1102</v>
      </c>
      <c r="G12" s="13" t="s">
        <v>165</v>
      </c>
      <c r="H12" s="13" t="s">
        <v>197</v>
      </c>
      <c r="I12" s="13" t="s">
        <v>1096</v>
      </c>
      <c r="J12" s="13" t="s">
        <v>1097</v>
      </c>
      <c r="L12" s="58" t="s">
        <v>192</v>
      </c>
      <c r="N12" s="15" t="s">
        <v>201</v>
      </c>
      <c r="O12" s="15" t="s">
        <v>202</v>
      </c>
    </row>
    <row r="13" spans="1:23" x14ac:dyDescent="0.55000000000000004">
      <c r="D13" t="s">
        <v>195</v>
      </c>
      <c r="F13" s="49">
        <v>37622</v>
      </c>
      <c r="G13" s="92">
        <v>100.42</v>
      </c>
      <c r="H13" s="54" t="s">
        <v>200</v>
      </c>
      <c r="I13" s="54">
        <v>24</v>
      </c>
      <c r="J13" s="54">
        <v>12</v>
      </c>
      <c r="L13" s="58" t="e" cm="1">
        <f t="array" ref="L13:L265">_xlfn.LAMBDA(_xlpm.values,_xlop.trendCycle,_xlop.leadLength,_xlop.lagLength,
_xlfn.LET(
_xlpm.y, VEC(_xlpm.values),
_xlpm.N, ROWS(_xlpm.y),
_xlpm.trendCycle, IF( OR(_xlfn.ISOMITTED(_xlpm.trendCycle),ISBLANK(_xlpm.trendCycle)), "t", LOWER(_xlpm.trendCycle) ),
_xlpm.leadLength, IF( OR(_xlfn.ISOMITTED(_xlpm.leadLength),ISBLANK(_xlpm.leadLength)), 8, _xlpm.leadLength ),
_xlpm.lagLength, IF( OR(_xlfn.ISOMITTED(_xlpm.lagLength),ISBLANK(_xlpm.lagLength)), 4, _xlpm.lagLength ),
_xlpm.yLags, _xlfn.HSTACK(_xlfn.DROP(_xlpm.y,_xlpm.leadLength), ONES(_xlpm.N-_xlpm.leadLength,1), _xlfn.DROP(_xlpm.y,-_xlpm.leadLength), LAG(_xlfn.DROP(_xlpm.y,-_xlpm.leadLength), _xlpm.lagLength-1,TRUE,TRUE,FALSE,FALSE,TRUE)),
_xlpm.yLagsClean, RMMISSING(_xlpm.yLags),
_xlpm.trend, _xlfn.VSTACK(NA()*_xlfn.SEQUENCE(_xlpm.leadLength+_xlpm.lagLength-1), OLS_FITTED(_xlfn.TAKE(_xlpm.yLagsClean,,1), _xlfn.DROP(_xlpm.yLagsClean,,1))),
_xlpm.final, IF(_xlpm.trendCycle = "t", _xlpm.trend, IF(_xlpm.trendCycle = "c", _xlpm.y - _xlpm.trend, "#trendCycle must be either ""t"" or ""c""") ),
_xlpm.final
))($G$13:$G$265,$H$13,$I$13,$J$13)</f>
        <v>#N/A</v>
      </c>
      <c r="M13" s="53"/>
      <c r="N13" s="53" t="e" cm="1">
        <f t="array" ref="N13:N265">HFILTER($G$13:$G$265,$H$13,$I$13,$J$13)</f>
        <v>#N/A</v>
      </c>
      <c r="O13" s="15" t="e" cm="1">
        <f t="array" ref="O13:O265">HFILTER($G$13:$G$265,"C",$I$13,$J$13)</f>
        <v>#N/A</v>
      </c>
    </row>
    <row r="14" spans="1:23" x14ac:dyDescent="0.55000000000000004">
      <c r="D14" t="s">
        <v>222</v>
      </c>
      <c r="F14" s="49">
        <v>37653</v>
      </c>
      <c r="G14" s="92">
        <v>101.99</v>
      </c>
      <c r="L14" s="58" t="e">
        <v>#N/A</v>
      </c>
      <c r="M14" s="53"/>
      <c r="N14" s="53" t="e">
        <v>#N/A</v>
      </c>
      <c r="O14" s="15" t="e">
        <v>#N/A</v>
      </c>
    </row>
    <row r="15" spans="1:23" x14ac:dyDescent="0.55000000000000004">
      <c r="F15" s="49">
        <v>37681</v>
      </c>
      <c r="G15" s="92">
        <v>101.8</v>
      </c>
      <c r="L15" s="58" t="e">
        <v>#N/A</v>
      </c>
      <c r="M15" s="53"/>
      <c r="N15" s="53" t="e">
        <v>#N/A</v>
      </c>
      <c r="O15" s="15" t="e">
        <v>#N/A</v>
      </c>
    </row>
    <row r="16" spans="1:23" ht="18.75" customHeight="1" x14ac:dyDescent="0.55000000000000004">
      <c r="D16" s="173"/>
      <c r="F16" s="49">
        <v>37712</v>
      </c>
      <c r="G16" s="92">
        <v>101.01</v>
      </c>
      <c r="L16" s="58" t="e">
        <v>#N/A</v>
      </c>
      <c r="M16" s="53"/>
      <c r="N16" s="53" t="e">
        <v>#N/A</v>
      </c>
      <c r="O16" s="15" t="e">
        <v>#N/A</v>
      </c>
    </row>
    <row r="17" spans="1:23" x14ac:dyDescent="0.55000000000000004">
      <c r="D17" s="173"/>
      <c r="F17" s="49">
        <v>37742</v>
      </c>
      <c r="G17" s="92">
        <v>99.97</v>
      </c>
      <c r="L17" s="58" t="e">
        <v>#N/A</v>
      </c>
      <c r="M17" s="53"/>
      <c r="N17" s="53" t="e">
        <v>#N/A</v>
      </c>
      <c r="O17" s="15" t="e">
        <v>#N/A</v>
      </c>
    </row>
    <row r="18" spans="1:23" x14ac:dyDescent="0.55000000000000004">
      <c r="D18" s="46"/>
      <c r="F18" s="49">
        <v>37773</v>
      </c>
      <c r="G18" s="92">
        <v>100.14</v>
      </c>
      <c r="L18" s="58" t="e">
        <v>#N/A</v>
      </c>
      <c r="M18" s="53"/>
      <c r="N18" s="53" t="e">
        <v>#N/A</v>
      </c>
      <c r="O18" s="15" t="e">
        <v>#N/A</v>
      </c>
    </row>
    <row r="19" spans="1:23" x14ac:dyDescent="0.55000000000000004">
      <c r="F19" s="49">
        <v>37803</v>
      </c>
      <c r="G19" s="92">
        <v>98.94</v>
      </c>
      <c r="L19" s="58" t="e">
        <v>#N/A</v>
      </c>
      <c r="M19" s="53"/>
      <c r="N19" s="53" t="e">
        <v>#N/A</v>
      </c>
      <c r="O19" s="15" t="e">
        <v>#N/A</v>
      </c>
    </row>
    <row r="20" spans="1:23" x14ac:dyDescent="0.55000000000000004">
      <c r="F20" s="49">
        <v>37834</v>
      </c>
      <c r="G20" s="92">
        <v>99.82</v>
      </c>
      <c r="L20" s="58" t="e">
        <v>#N/A</v>
      </c>
      <c r="M20" s="53"/>
      <c r="N20" s="53" t="e">
        <v>#N/A</v>
      </c>
      <c r="O20" s="15" t="e">
        <v>#N/A</v>
      </c>
    </row>
    <row r="21" spans="1:23" x14ac:dyDescent="0.55000000000000004">
      <c r="F21" s="49">
        <v>37865</v>
      </c>
      <c r="G21" s="92">
        <v>101.66</v>
      </c>
      <c r="L21" s="58" t="e">
        <v>#N/A</v>
      </c>
      <c r="M21" s="53"/>
      <c r="N21" s="53" t="e">
        <v>#N/A</v>
      </c>
      <c r="O21" s="15" t="e">
        <v>#N/A</v>
      </c>
    </row>
    <row r="22" spans="1:23" s="21" customFormat="1" x14ac:dyDescent="0.55000000000000004">
      <c r="A22" s="17"/>
      <c r="B22"/>
      <c r="C22"/>
      <c r="D22"/>
      <c r="E22"/>
      <c r="F22" s="49">
        <v>37895</v>
      </c>
      <c r="G22" s="92">
        <v>101.86</v>
      </c>
      <c r="H22"/>
      <c r="I22"/>
      <c r="J22"/>
      <c r="K22"/>
      <c r="L22" s="58" t="e">
        <v>#N/A</v>
      </c>
      <c r="M22" s="53"/>
      <c r="N22" s="53" t="e">
        <v>#N/A</v>
      </c>
      <c r="O22" s="15" t="e">
        <v>#N/A</v>
      </c>
      <c r="P22" s="15"/>
      <c r="Q22" s="15"/>
      <c r="R22" s="15"/>
      <c r="S22" s="15"/>
      <c r="T22" s="15"/>
      <c r="U22" s="15"/>
      <c r="V22" s="15"/>
      <c r="W22" s="15"/>
    </row>
    <row r="23" spans="1:23" s="21" customFormat="1" x14ac:dyDescent="0.55000000000000004">
      <c r="A23" s="17"/>
      <c r="B23"/>
      <c r="C23"/>
      <c r="D23"/>
      <c r="E23"/>
      <c r="F23" s="49">
        <v>37926</v>
      </c>
      <c r="G23" s="92">
        <v>102</v>
      </c>
      <c r="H23"/>
      <c r="I23"/>
      <c r="J23"/>
      <c r="K23"/>
      <c r="L23" s="58" t="e">
        <v>#N/A</v>
      </c>
      <c r="M23" s="53"/>
      <c r="N23" s="53" t="e">
        <v>#N/A</v>
      </c>
      <c r="O23" s="15" t="e">
        <v>#N/A</v>
      </c>
      <c r="P23" s="15"/>
      <c r="Q23" s="15"/>
      <c r="R23" s="15"/>
      <c r="S23" s="15"/>
      <c r="T23" s="15"/>
      <c r="U23" s="15"/>
      <c r="V23" s="15"/>
      <c r="W23" s="15"/>
    </row>
    <row r="24" spans="1:23" s="21" customFormat="1" x14ac:dyDescent="0.55000000000000004">
      <c r="A24" s="17"/>
      <c r="B24"/>
      <c r="C24"/>
      <c r="D24"/>
      <c r="E24"/>
      <c r="F24" s="49">
        <v>37956</v>
      </c>
      <c r="G24" s="92">
        <v>101.94</v>
      </c>
      <c r="H24"/>
      <c r="I24"/>
      <c r="J24"/>
      <c r="K24"/>
      <c r="L24" s="58" t="e">
        <v>#N/A</v>
      </c>
      <c r="M24" s="53"/>
      <c r="N24" s="53" t="e">
        <v>#N/A</v>
      </c>
      <c r="O24" s="15" t="e">
        <v>#N/A</v>
      </c>
      <c r="P24" s="15"/>
      <c r="Q24" s="15"/>
      <c r="R24" s="15"/>
      <c r="S24" s="15"/>
      <c r="T24" s="15"/>
      <c r="U24" s="15"/>
      <c r="V24" s="15"/>
      <c r="W24" s="15"/>
    </row>
    <row r="25" spans="1:23" s="21" customFormat="1" x14ac:dyDescent="0.55000000000000004">
      <c r="A25" s="17"/>
      <c r="B25"/>
      <c r="C25"/>
      <c r="D25"/>
      <c r="E25"/>
      <c r="F25" s="49">
        <v>37987</v>
      </c>
      <c r="G25" s="92">
        <v>103.64</v>
      </c>
      <c r="H25"/>
      <c r="I25"/>
      <c r="J25"/>
      <c r="K25"/>
      <c r="L25" s="58" t="e">
        <v>#N/A</v>
      </c>
      <c r="M25" s="53"/>
      <c r="N25" s="53" t="e">
        <v>#N/A</v>
      </c>
      <c r="O25" s="15" t="e">
        <v>#N/A</v>
      </c>
      <c r="P25" s="15"/>
      <c r="Q25" s="15"/>
      <c r="R25" s="15"/>
      <c r="S25" s="15"/>
      <c r="T25" s="15"/>
      <c r="U25" s="15"/>
      <c r="V25" s="15"/>
      <c r="W25" s="15"/>
    </row>
    <row r="26" spans="1:23" s="21" customFormat="1" x14ac:dyDescent="0.55000000000000004">
      <c r="A26" s="17"/>
      <c r="B26"/>
      <c r="C26"/>
      <c r="D26"/>
      <c r="E26"/>
      <c r="F26" s="49">
        <v>38018</v>
      </c>
      <c r="G26" s="92">
        <v>104.52</v>
      </c>
      <c r="H26"/>
      <c r="I26"/>
      <c r="J26"/>
      <c r="K26"/>
      <c r="L26" s="58" t="e">
        <v>#N/A</v>
      </c>
      <c r="M26" s="53"/>
      <c r="N26" s="53" t="e">
        <v>#N/A</v>
      </c>
      <c r="O26" s="15" t="e">
        <v>#N/A</v>
      </c>
      <c r="P26" s="15"/>
      <c r="Q26" s="15"/>
      <c r="R26" s="15"/>
      <c r="S26" s="15"/>
      <c r="T26" s="15"/>
      <c r="U26" s="15"/>
      <c r="V26" s="15"/>
      <c r="W26" s="15"/>
    </row>
    <row r="27" spans="1:23" s="21" customFormat="1" x14ac:dyDescent="0.55000000000000004">
      <c r="A27" s="17"/>
      <c r="B27"/>
      <c r="C27"/>
      <c r="D27"/>
      <c r="E27"/>
      <c r="F27" s="49">
        <v>38047</v>
      </c>
      <c r="G27" s="92">
        <v>105.83</v>
      </c>
      <c r="H27"/>
      <c r="I27"/>
      <c r="J27"/>
      <c r="K27"/>
      <c r="L27" s="58" t="e">
        <v>#N/A</v>
      </c>
      <c r="M27" s="53"/>
      <c r="N27" s="53" t="e">
        <v>#N/A</v>
      </c>
      <c r="O27" s="15" t="e">
        <v>#N/A</v>
      </c>
      <c r="P27" s="15"/>
      <c r="Q27" s="15"/>
      <c r="R27" s="15"/>
      <c r="S27" s="15"/>
      <c r="T27" s="15"/>
      <c r="U27" s="15"/>
      <c r="V27" s="15"/>
      <c r="W27" s="15"/>
    </row>
    <row r="28" spans="1:23" s="21" customFormat="1" x14ac:dyDescent="0.55000000000000004">
      <c r="A28" s="17"/>
      <c r="B28"/>
      <c r="C28"/>
      <c r="D28"/>
      <c r="E28"/>
      <c r="F28" s="49">
        <v>38078</v>
      </c>
      <c r="G28" s="92">
        <v>106.41</v>
      </c>
      <c r="H28"/>
      <c r="I28"/>
      <c r="J28"/>
      <c r="K28"/>
      <c r="L28" s="58" t="e">
        <v>#N/A</v>
      </c>
      <c r="M28" s="53"/>
      <c r="N28" s="53" t="e">
        <v>#N/A</v>
      </c>
      <c r="O28" s="15" t="e">
        <v>#N/A</v>
      </c>
      <c r="P28" s="15"/>
      <c r="Q28" s="15"/>
      <c r="R28" s="15"/>
      <c r="S28" s="15"/>
      <c r="T28" s="15"/>
      <c r="U28" s="15"/>
      <c r="V28" s="15"/>
      <c r="W28" s="15"/>
    </row>
    <row r="29" spans="1:23" s="21" customFormat="1" x14ac:dyDescent="0.55000000000000004">
      <c r="A29" s="17"/>
      <c r="B29"/>
      <c r="C29"/>
      <c r="D29"/>
      <c r="E29"/>
      <c r="F29" s="49">
        <v>38108</v>
      </c>
      <c r="G29" s="92">
        <v>106.33</v>
      </c>
      <c r="H29"/>
      <c r="I29"/>
      <c r="J29"/>
      <c r="K29"/>
      <c r="L29" s="58" t="e">
        <v>#N/A</v>
      </c>
      <c r="M29" s="53"/>
      <c r="N29" s="53" t="e">
        <v>#N/A</v>
      </c>
      <c r="O29" s="15" t="e">
        <v>#N/A</v>
      </c>
      <c r="P29" s="15"/>
      <c r="Q29" s="15"/>
      <c r="R29" s="15"/>
      <c r="S29" s="15"/>
      <c r="T29" s="15"/>
      <c r="U29" s="15"/>
      <c r="V29" s="15"/>
      <c r="W29" s="15"/>
    </row>
    <row r="30" spans="1:23" s="21" customFormat="1" x14ac:dyDescent="0.55000000000000004">
      <c r="A30" s="17"/>
      <c r="B30"/>
      <c r="C30"/>
      <c r="D30"/>
      <c r="E30"/>
      <c r="F30" s="49">
        <v>38139</v>
      </c>
      <c r="G30" s="92">
        <v>107.19</v>
      </c>
      <c r="H30"/>
      <c r="I30"/>
      <c r="J30"/>
      <c r="K30"/>
      <c r="L30" s="58" t="e">
        <v>#N/A</v>
      </c>
      <c r="M30" s="53"/>
      <c r="N30" s="53" t="e">
        <v>#N/A</v>
      </c>
      <c r="O30" s="15" t="e">
        <v>#N/A</v>
      </c>
      <c r="P30" s="15"/>
      <c r="Q30" s="15"/>
      <c r="R30" s="15"/>
      <c r="S30" s="15"/>
      <c r="T30" s="15"/>
      <c r="U30" s="15"/>
      <c r="V30" s="15"/>
      <c r="W30" s="15"/>
    </row>
    <row r="31" spans="1:23" s="21" customFormat="1" x14ac:dyDescent="0.55000000000000004">
      <c r="A31" s="17"/>
      <c r="B31"/>
      <c r="C31"/>
      <c r="D31"/>
      <c r="E31"/>
      <c r="F31" s="49">
        <v>38169</v>
      </c>
      <c r="G31" s="92">
        <v>107.67</v>
      </c>
      <c r="H31"/>
      <c r="I31"/>
      <c r="J31"/>
      <c r="K31"/>
      <c r="L31" s="58" t="e">
        <v>#N/A</v>
      </c>
      <c r="M31" s="53"/>
      <c r="N31" s="53" t="e">
        <v>#N/A</v>
      </c>
      <c r="O31" s="15" t="e">
        <v>#N/A</v>
      </c>
      <c r="P31" s="15"/>
      <c r="Q31" s="15"/>
      <c r="R31" s="15"/>
      <c r="S31" s="15"/>
      <c r="T31" s="15"/>
      <c r="U31" s="15"/>
      <c r="V31" s="15"/>
      <c r="W31" s="15"/>
    </row>
    <row r="32" spans="1:23" s="21" customFormat="1" x14ac:dyDescent="0.55000000000000004">
      <c r="A32" s="17"/>
      <c r="B32"/>
      <c r="C32"/>
      <c r="D32"/>
      <c r="E32"/>
      <c r="F32" s="49">
        <v>38200</v>
      </c>
      <c r="G32" s="92">
        <v>108.18</v>
      </c>
      <c r="H32"/>
      <c r="I32"/>
      <c r="J32"/>
      <c r="K32"/>
      <c r="L32" s="58" t="e">
        <v>#N/A</v>
      </c>
      <c r="M32" s="53"/>
      <c r="N32" s="53" t="e">
        <v>#N/A</v>
      </c>
      <c r="O32" s="15" t="e">
        <v>#N/A</v>
      </c>
      <c r="P32" s="15"/>
      <c r="Q32" s="15"/>
      <c r="R32" s="15"/>
      <c r="S32" s="15"/>
      <c r="T32" s="15"/>
      <c r="U32" s="15"/>
      <c r="V32" s="15"/>
      <c r="W32" s="15"/>
    </row>
    <row r="33" spans="1:23" s="21" customFormat="1" x14ac:dyDescent="0.55000000000000004">
      <c r="A33" s="17"/>
      <c r="B33"/>
      <c r="C33"/>
      <c r="D33"/>
      <c r="E33"/>
      <c r="F33" s="49">
        <v>38231</v>
      </c>
      <c r="G33" s="92">
        <v>109.16</v>
      </c>
      <c r="H33"/>
      <c r="I33"/>
      <c r="J33"/>
      <c r="K33"/>
      <c r="L33" s="58" t="e">
        <v>#N/A</v>
      </c>
      <c r="M33" s="53"/>
      <c r="N33" s="53" t="e">
        <v>#N/A</v>
      </c>
      <c r="O33" s="15" t="e">
        <v>#N/A</v>
      </c>
      <c r="P33" s="15"/>
      <c r="Q33" s="15"/>
      <c r="R33" s="15"/>
      <c r="S33" s="15"/>
      <c r="T33" s="15"/>
      <c r="U33" s="15"/>
      <c r="V33" s="15"/>
      <c r="W33" s="15"/>
    </row>
    <row r="34" spans="1:23" s="21" customFormat="1" x14ac:dyDescent="0.55000000000000004">
      <c r="A34" s="17"/>
      <c r="B34"/>
      <c r="C34"/>
      <c r="D34"/>
      <c r="E34"/>
      <c r="F34" s="49">
        <v>38261</v>
      </c>
      <c r="G34" s="92">
        <v>108.73</v>
      </c>
      <c r="H34"/>
      <c r="I34"/>
      <c r="J34"/>
      <c r="K34"/>
      <c r="L34" s="58" t="e">
        <v>#N/A</v>
      </c>
      <c r="M34" s="53"/>
      <c r="N34" s="53" t="e">
        <v>#N/A</v>
      </c>
      <c r="O34" s="15" t="e">
        <v>#N/A</v>
      </c>
      <c r="P34" s="15"/>
      <c r="Q34" s="15"/>
      <c r="R34" s="15"/>
      <c r="S34" s="15"/>
      <c r="T34" s="15"/>
      <c r="U34" s="15"/>
      <c r="V34" s="15"/>
      <c r="W34" s="15"/>
    </row>
    <row r="35" spans="1:23" s="21" customFormat="1" x14ac:dyDescent="0.55000000000000004">
      <c r="A35" s="17"/>
      <c r="B35"/>
      <c r="C35"/>
      <c r="D35"/>
      <c r="E35"/>
      <c r="F35" s="49">
        <v>38292</v>
      </c>
      <c r="G35" s="92">
        <v>109.67</v>
      </c>
      <c r="H35"/>
      <c r="I35"/>
      <c r="J35"/>
      <c r="K35"/>
      <c r="L35" s="58" t="e">
        <v>#N/A</v>
      </c>
      <c r="M35" s="53"/>
      <c r="N35" s="53" t="e">
        <v>#N/A</v>
      </c>
      <c r="O35" s="15" t="e">
        <v>#N/A</v>
      </c>
      <c r="P35" s="15"/>
      <c r="Q35" s="15"/>
      <c r="R35" s="15"/>
      <c r="S35" s="15"/>
      <c r="T35" s="15"/>
      <c r="U35" s="15"/>
      <c r="V35" s="15"/>
      <c r="W35" s="15"/>
    </row>
    <row r="36" spans="1:23" s="21" customFormat="1" x14ac:dyDescent="0.55000000000000004">
      <c r="A36" s="17"/>
      <c r="B36"/>
      <c r="C36"/>
      <c r="D36"/>
      <c r="E36"/>
      <c r="F36" s="49">
        <v>38322</v>
      </c>
      <c r="G36" s="92">
        <v>109.08</v>
      </c>
      <c r="H36"/>
      <c r="I36"/>
      <c r="J36"/>
      <c r="K36"/>
      <c r="L36" s="58" t="e">
        <v>#N/A</v>
      </c>
      <c r="M36" s="53"/>
      <c r="N36" s="53" t="e">
        <v>#N/A</v>
      </c>
      <c r="O36" s="15" t="e">
        <v>#N/A</v>
      </c>
      <c r="P36" s="15"/>
      <c r="Q36" s="15"/>
      <c r="R36" s="15"/>
      <c r="S36" s="15"/>
      <c r="T36" s="15"/>
      <c r="U36" s="15"/>
      <c r="V36" s="15"/>
      <c r="W36" s="15"/>
    </row>
    <row r="37" spans="1:23" s="21" customFormat="1" x14ac:dyDescent="0.55000000000000004">
      <c r="A37" s="17"/>
      <c r="B37"/>
      <c r="C37"/>
      <c r="D37"/>
      <c r="E37"/>
      <c r="F37" s="49">
        <v>38353</v>
      </c>
      <c r="G37" s="92">
        <v>109.54</v>
      </c>
      <c r="H37"/>
      <c r="I37"/>
      <c r="J37"/>
      <c r="K37"/>
      <c r="L37" s="58" t="e">
        <v>#N/A</v>
      </c>
      <c r="M37" s="53"/>
      <c r="N37" s="53" t="e">
        <v>#N/A</v>
      </c>
      <c r="O37" s="15" t="e">
        <v>#N/A</v>
      </c>
      <c r="P37" s="15"/>
      <c r="Q37" s="53"/>
      <c r="R37" s="15"/>
      <c r="S37" s="15"/>
      <c r="T37" s="15"/>
      <c r="U37" s="15"/>
      <c r="V37" s="15"/>
      <c r="W37" s="15"/>
    </row>
    <row r="38" spans="1:23" s="21" customFormat="1" x14ac:dyDescent="0.55000000000000004">
      <c r="A38" s="17"/>
      <c r="B38"/>
      <c r="C38"/>
      <c r="D38"/>
      <c r="E38"/>
      <c r="F38" s="49">
        <v>38384</v>
      </c>
      <c r="G38" s="92">
        <v>110.2</v>
      </c>
      <c r="H38"/>
      <c r="I38"/>
      <c r="J38"/>
      <c r="K38"/>
      <c r="L38" s="58" t="e">
        <v>#N/A</v>
      </c>
      <c r="M38" s="53"/>
      <c r="N38" s="53" t="e">
        <v>#N/A</v>
      </c>
      <c r="O38" s="15" t="e">
        <v>#N/A</v>
      </c>
      <c r="P38" s="15"/>
      <c r="Q38" s="15"/>
      <c r="R38" s="15"/>
      <c r="S38" s="15"/>
      <c r="T38" s="15"/>
      <c r="U38" s="15"/>
      <c r="V38" s="15"/>
      <c r="W38" s="15"/>
    </row>
    <row r="39" spans="1:23" s="21" customFormat="1" x14ac:dyDescent="0.55000000000000004">
      <c r="A39" s="17"/>
      <c r="B39"/>
      <c r="C39"/>
      <c r="D39"/>
      <c r="E39"/>
      <c r="F39" s="49">
        <v>38412</v>
      </c>
      <c r="G39" s="92">
        <v>110.38</v>
      </c>
      <c r="H39"/>
      <c r="I39"/>
      <c r="J39"/>
      <c r="K39"/>
      <c r="L39" s="58" t="e">
        <v>#N/A</v>
      </c>
      <c r="M39" s="53"/>
      <c r="N39" s="53" t="e">
        <v>#N/A</v>
      </c>
      <c r="O39" s="15" t="e">
        <v>#N/A</v>
      </c>
      <c r="P39" s="15"/>
      <c r="Q39" s="15"/>
      <c r="R39" s="15"/>
      <c r="S39" s="15"/>
      <c r="T39" s="15"/>
      <c r="U39" s="15"/>
      <c r="V39" s="15"/>
      <c r="W39" s="15"/>
    </row>
    <row r="40" spans="1:23" s="21" customFormat="1" x14ac:dyDescent="0.55000000000000004">
      <c r="A40" s="17"/>
      <c r="B40"/>
      <c r="C40"/>
      <c r="D40"/>
      <c r="E40"/>
      <c r="F40" s="49">
        <v>38443</v>
      </c>
      <c r="G40" s="92">
        <v>111.11</v>
      </c>
      <c r="H40"/>
      <c r="I40"/>
      <c r="J40"/>
      <c r="K40"/>
      <c r="L40" s="58" t="e">
        <v>#N/A</v>
      </c>
      <c r="M40" s="53"/>
      <c r="N40" s="53" t="e">
        <v>#N/A</v>
      </c>
      <c r="O40" s="15" t="e">
        <v>#N/A</v>
      </c>
      <c r="P40" s="15"/>
      <c r="Q40" s="15"/>
      <c r="R40" s="15"/>
      <c r="S40" s="15"/>
      <c r="T40" s="15"/>
      <c r="U40" s="15"/>
      <c r="V40" s="15"/>
      <c r="W40" s="15"/>
    </row>
    <row r="41" spans="1:23" s="21" customFormat="1" x14ac:dyDescent="0.55000000000000004">
      <c r="A41" s="17"/>
      <c r="B41"/>
      <c r="C41"/>
      <c r="D41"/>
      <c r="E41"/>
      <c r="F41" s="49">
        <v>38473</v>
      </c>
      <c r="G41" s="92">
        <v>111</v>
      </c>
      <c r="H41"/>
      <c r="I41"/>
      <c r="J41"/>
      <c r="K41"/>
      <c r="L41" s="58" t="e">
        <v>#N/A</v>
      </c>
      <c r="M41" s="53"/>
      <c r="N41" s="53" t="e">
        <v>#N/A</v>
      </c>
      <c r="O41" s="15" t="e">
        <v>#N/A</v>
      </c>
      <c r="P41" s="15"/>
      <c r="Q41" s="15"/>
      <c r="R41" s="15"/>
      <c r="S41" s="15"/>
      <c r="T41" s="15"/>
      <c r="U41" s="15"/>
      <c r="V41" s="15"/>
      <c r="W41" s="15"/>
    </row>
    <row r="42" spans="1:23" s="21" customFormat="1" x14ac:dyDescent="0.55000000000000004">
      <c r="A42" s="17"/>
      <c r="B42"/>
      <c r="C42"/>
      <c r="D42"/>
      <c r="E42"/>
      <c r="F42" s="49">
        <v>38504</v>
      </c>
      <c r="G42" s="92">
        <v>110.33</v>
      </c>
      <c r="H42"/>
      <c r="I42"/>
      <c r="J42"/>
      <c r="K42"/>
      <c r="L42" s="58" t="e">
        <v>#N/A</v>
      </c>
      <c r="M42" s="53"/>
      <c r="N42" s="53" t="e">
        <v>#N/A</v>
      </c>
      <c r="O42" s="15" t="e">
        <v>#N/A</v>
      </c>
      <c r="P42" s="15"/>
      <c r="Q42" s="15"/>
      <c r="R42" s="15"/>
      <c r="S42" s="15"/>
      <c r="T42" s="15"/>
      <c r="U42" s="15"/>
      <c r="V42" s="15"/>
      <c r="W42" s="15"/>
    </row>
    <row r="43" spans="1:23" s="21" customFormat="1" x14ac:dyDescent="0.55000000000000004">
      <c r="A43" s="17"/>
      <c r="B43"/>
      <c r="C43"/>
      <c r="D43"/>
      <c r="E43"/>
      <c r="F43" s="49">
        <v>38534</v>
      </c>
      <c r="G43" s="92">
        <v>110.43</v>
      </c>
      <c r="H43"/>
      <c r="I43"/>
      <c r="J43"/>
      <c r="K43"/>
      <c r="L43" s="58" t="e">
        <v>#N/A</v>
      </c>
      <c r="M43" s="53"/>
      <c r="N43" s="53" t="e">
        <v>#N/A</v>
      </c>
      <c r="O43" s="15" t="e">
        <v>#N/A</v>
      </c>
      <c r="P43" s="15"/>
      <c r="Q43" s="15"/>
      <c r="R43" s="15"/>
      <c r="S43" s="15"/>
      <c r="T43" s="15"/>
      <c r="U43" s="15"/>
      <c r="V43" s="15"/>
      <c r="W43" s="15"/>
    </row>
    <row r="44" spans="1:23" s="21" customFormat="1" x14ac:dyDescent="0.55000000000000004">
      <c r="A44" s="17"/>
      <c r="B44"/>
      <c r="C44"/>
      <c r="D44"/>
      <c r="E44"/>
      <c r="F44" s="49">
        <v>38565</v>
      </c>
      <c r="G44" s="92">
        <v>111.22</v>
      </c>
      <c r="H44"/>
      <c r="I44"/>
      <c r="J44"/>
      <c r="K44"/>
      <c r="L44" s="58" t="e">
        <v>#N/A</v>
      </c>
      <c r="M44" s="53"/>
      <c r="N44" s="53" t="e">
        <v>#N/A</v>
      </c>
      <c r="O44" s="15" t="e">
        <v>#N/A</v>
      </c>
      <c r="P44" s="15"/>
      <c r="Q44" s="15"/>
      <c r="R44" s="15"/>
      <c r="S44" s="15"/>
      <c r="T44" s="15"/>
      <c r="U44" s="15"/>
      <c r="V44" s="15"/>
      <c r="W44" s="15"/>
    </row>
    <row r="45" spans="1:23" s="21" customFormat="1" x14ac:dyDescent="0.55000000000000004">
      <c r="A45" s="17"/>
      <c r="B45"/>
      <c r="C45"/>
      <c r="D45"/>
      <c r="E45"/>
      <c r="F45" s="49">
        <v>38596</v>
      </c>
      <c r="G45" s="92">
        <v>110.72</v>
      </c>
      <c r="H45"/>
      <c r="I45"/>
      <c r="J45"/>
      <c r="K45"/>
      <c r="L45" s="58" t="e">
        <v>#N/A</v>
      </c>
      <c r="M45" s="53"/>
      <c r="N45" s="53" t="e">
        <v>#N/A</v>
      </c>
      <c r="O45" s="15" t="e">
        <v>#N/A</v>
      </c>
      <c r="P45" s="15"/>
      <c r="Q45" s="15"/>
      <c r="R45" s="15"/>
      <c r="S45" s="15"/>
      <c r="T45" s="15"/>
      <c r="U45" s="15"/>
      <c r="V45" s="15"/>
      <c r="W45" s="15"/>
    </row>
    <row r="46" spans="1:23" s="21" customFormat="1" x14ac:dyDescent="0.55000000000000004">
      <c r="A46" s="17"/>
      <c r="B46"/>
      <c r="C46"/>
      <c r="D46"/>
      <c r="E46"/>
      <c r="F46" s="49">
        <v>38626</v>
      </c>
      <c r="G46" s="92">
        <v>111.1</v>
      </c>
      <c r="H46"/>
      <c r="I46"/>
      <c r="J46"/>
      <c r="K46"/>
      <c r="L46" s="58" t="e">
        <v>#N/A</v>
      </c>
      <c r="M46" s="53"/>
      <c r="N46" s="53" t="e">
        <v>#N/A</v>
      </c>
      <c r="O46" s="15" t="e">
        <v>#N/A</v>
      </c>
      <c r="P46" s="15"/>
      <c r="Q46" s="15"/>
      <c r="R46" s="15"/>
      <c r="S46" s="15"/>
      <c r="T46" s="15"/>
      <c r="U46" s="15"/>
      <c r="V46" s="15"/>
      <c r="W46" s="15"/>
    </row>
    <row r="47" spans="1:23" s="21" customFormat="1" x14ac:dyDescent="0.55000000000000004">
      <c r="A47" s="17"/>
      <c r="B47"/>
      <c r="C47"/>
      <c r="D47"/>
      <c r="E47"/>
      <c r="F47" s="49">
        <v>38657</v>
      </c>
      <c r="G47" s="92">
        <v>111.85</v>
      </c>
      <c r="H47"/>
      <c r="I47"/>
      <c r="J47"/>
      <c r="K47"/>
      <c r="L47" s="58" t="e">
        <v>#N/A</v>
      </c>
      <c r="M47" s="53"/>
      <c r="N47" s="53" t="e">
        <v>#N/A</v>
      </c>
      <c r="O47" s="15" t="e">
        <v>#N/A</v>
      </c>
      <c r="P47" s="15"/>
      <c r="Q47" s="15"/>
      <c r="R47" s="15"/>
      <c r="S47" s="15"/>
      <c r="T47" s="15"/>
      <c r="U47" s="15"/>
      <c r="V47" s="15"/>
      <c r="W47" s="15"/>
    </row>
    <row r="48" spans="1:23" s="21" customFormat="1" x14ac:dyDescent="0.55000000000000004">
      <c r="A48" s="17"/>
      <c r="B48"/>
      <c r="C48"/>
      <c r="D48"/>
      <c r="E48"/>
      <c r="F48" s="49">
        <v>38687</v>
      </c>
      <c r="G48" s="92">
        <v>112.92</v>
      </c>
      <c r="H48"/>
      <c r="I48"/>
      <c r="J48"/>
      <c r="K48"/>
      <c r="L48" s="58">
        <v>119.12882867360463</v>
      </c>
      <c r="M48" s="53"/>
      <c r="N48" s="53">
        <v>119.12882867360463</v>
      </c>
      <c r="O48" s="15">
        <v>-6.2088286736046285</v>
      </c>
      <c r="P48" s="15"/>
      <c r="Q48" s="15"/>
      <c r="R48" s="15"/>
      <c r="S48" s="15"/>
      <c r="T48" s="15"/>
      <c r="U48" s="15"/>
      <c r="V48" s="15"/>
      <c r="W48" s="15"/>
    </row>
    <row r="49" spans="1:23" s="21" customFormat="1" x14ac:dyDescent="0.55000000000000004">
      <c r="A49" s="17"/>
      <c r="B49"/>
      <c r="C49"/>
      <c r="D49"/>
      <c r="E49"/>
      <c r="F49" s="49">
        <v>38718</v>
      </c>
      <c r="G49" s="92">
        <v>113.5</v>
      </c>
      <c r="H49"/>
      <c r="I49"/>
      <c r="J49"/>
      <c r="K49"/>
      <c r="L49" s="58">
        <v>119.69871764942127</v>
      </c>
      <c r="M49" s="53"/>
      <c r="N49" s="53">
        <v>119.69871764942127</v>
      </c>
      <c r="O49" s="15">
        <v>-6.198717649421269</v>
      </c>
      <c r="P49" s="15"/>
      <c r="Q49" s="15"/>
      <c r="R49" s="15"/>
      <c r="S49" s="15"/>
      <c r="T49" s="15"/>
      <c r="U49" s="15"/>
      <c r="V49" s="15"/>
      <c r="W49" s="15"/>
    </row>
    <row r="50" spans="1:23" s="21" customFormat="1" x14ac:dyDescent="0.55000000000000004">
      <c r="A50" s="17"/>
      <c r="B50"/>
      <c r="C50"/>
      <c r="D50"/>
      <c r="E50"/>
      <c r="F50" s="49">
        <v>38749</v>
      </c>
      <c r="G50" s="92">
        <v>113.72</v>
      </c>
      <c r="H50"/>
      <c r="I50"/>
      <c r="J50"/>
      <c r="K50"/>
      <c r="L50" s="58">
        <v>120.13830155782225</v>
      </c>
      <c r="M50" s="53"/>
      <c r="N50" s="53">
        <v>120.13830155782225</v>
      </c>
      <c r="O50" s="15">
        <v>-6.4183015578222467</v>
      </c>
      <c r="P50" s="15"/>
      <c r="Q50" s="15"/>
      <c r="R50" s="15"/>
      <c r="S50" s="15"/>
      <c r="T50" s="15"/>
      <c r="U50" s="15"/>
      <c r="V50" s="15"/>
      <c r="W50" s="15"/>
    </row>
    <row r="51" spans="1:23" s="21" customFormat="1" x14ac:dyDescent="0.55000000000000004">
      <c r="A51" s="17"/>
      <c r="B51"/>
      <c r="C51"/>
      <c r="D51"/>
      <c r="E51"/>
      <c r="F51" s="49">
        <v>38777</v>
      </c>
      <c r="G51" s="92">
        <v>113.48</v>
      </c>
      <c r="H51"/>
      <c r="I51"/>
      <c r="J51"/>
      <c r="K51"/>
      <c r="L51" s="58">
        <v>120.9481156502146</v>
      </c>
      <c r="M51" s="53"/>
      <c r="N51" s="53">
        <v>120.9481156502146</v>
      </c>
      <c r="O51" s="15">
        <v>-7.4681156502145996</v>
      </c>
      <c r="P51" s="15"/>
      <c r="Q51" s="15"/>
      <c r="R51" s="15"/>
      <c r="S51" s="15"/>
      <c r="T51" s="15"/>
      <c r="U51" s="15"/>
      <c r="V51" s="15"/>
      <c r="W51" s="15"/>
    </row>
    <row r="52" spans="1:23" s="21" customFormat="1" x14ac:dyDescent="0.55000000000000004">
      <c r="A52" s="17"/>
      <c r="B52"/>
      <c r="C52"/>
      <c r="D52"/>
      <c r="E52"/>
      <c r="F52" s="49">
        <v>38808</v>
      </c>
      <c r="G52" s="92">
        <v>114.36</v>
      </c>
      <c r="H52"/>
      <c r="I52"/>
      <c r="J52"/>
      <c r="K52"/>
      <c r="L52" s="58">
        <v>121.30245428471402</v>
      </c>
      <c r="M52" s="53"/>
      <c r="N52" s="53">
        <v>121.30245428471402</v>
      </c>
      <c r="O52" s="15">
        <v>-6.9424542847140174</v>
      </c>
      <c r="P52" s="15"/>
      <c r="Q52" s="15"/>
      <c r="R52" s="15"/>
      <c r="S52" s="15"/>
      <c r="T52" s="15"/>
      <c r="U52" s="15"/>
      <c r="V52" s="15"/>
      <c r="W52" s="15"/>
    </row>
    <row r="53" spans="1:23" s="21" customFormat="1" x14ac:dyDescent="0.55000000000000004">
      <c r="A53" s="17"/>
      <c r="B53"/>
      <c r="C53"/>
      <c r="D53"/>
      <c r="E53"/>
      <c r="F53" s="49">
        <v>38838</v>
      </c>
      <c r="G53" s="92">
        <v>115.67</v>
      </c>
      <c r="H53"/>
      <c r="I53"/>
      <c r="J53"/>
      <c r="K53"/>
      <c r="L53" s="58">
        <v>121.46420299019653</v>
      </c>
      <c r="M53" s="53"/>
      <c r="N53" s="53">
        <v>121.46420299019653</v>
      </c>
      <c r="O53" s="15">
        <v>-5.7942029901965242</v>
      </c>
      <c r="P53" s="15"/>
      <c r="Q53" s="15"/>
      <c r="R53" s="15"/>
      <c r="S53" s="15"/>
      <c r="T53" s="15"/>
      <c r="U53" s="15"/>
      <c r="V53" s="15"/>
      <c r="W53" s="15"/>
    </row>
    <row r="54" spans="1:23" s="21" customFormat="1" x14ac:dyDescent="0.55000000000000004">
      <c r="A54" s="17"/>
      <c r="B54"/>
      <c r="C54"/>
      <c r="D54"/>
      <c r="E54"/>
      <c r="F54" s="49">
        <v>38869</v>
      </c>
      <c r="G54" s="92">
        <v>114.35</v>
      </c>
      <c r="H54"/>
      <c r="I54"/>
      <c r="J54"/>
      <c r="K54"/>
      <c r="L54" s="58">
        <v>121.84461328402881</v>
      </c>
      <c r="M54" s="53"/>
      <c r="N54" s="53">
        <v>121.84461328402881</v>
      </c>
      <c r="O54" s="15">
        <v>-7.4946132840288158</v>
      </c>
      <c r="P54" s="15"/>
      <c r="Q54" s="15"/>
      <c r="R54" s="15"/>
      <c r="S54" s="15"/>
      <c r="T54" s="15"/>
      <c r="U54" s="15"/>
      <c r="V54" s="15"/>
      <c r="W54" s="15"/>
    </row>
    <row r="55" spans="1:23" s="21" customFormat="1" x14ac:dyDescent="0.55000000000000004">
      <c r="A55" s="17"/>
      <c r="B55"/>
      <c r="C55"/>
      <c r="D55"/>
      <c r="E55"/>
      <c r="F55" s="49">
        <v>38899</v>
      </c>
      <c r="G55" s="92">
        <v>116.57</v>
      </c>
      <c r="H55"/>
      <c r="I55"/>
      <c r="J55"/>
      <c r="K55"/>
      <c r="L55" s="58">
        <v>121.90826456559894</v>
      </c>
      <c r="M55" s="53"/>
      <c r="N55" s="53">
        <v>121.90826456559894</v>
      </c>
      <c r="O55" s="15">
        <v>-5.3382645655989478</v>
      </c>
      <c r="P55" s="15"/>
      <c r="Q55" s="15"/>
      <c r="R55" s="15"/>
      <c r="S55" s="15"/>
      <c r="T55" s="15"/>
      <c r="U55" s="15"/>
      <c r="V55" s="15"/>
      <c r="W55" s="15"/>
    </row>
    <row r="56" spans="1:23" s="21" customFormat="1" x14ac:dyDescent="0.55000000000000004">
      <c r="A56" s="17"/>
      <c r="B56"/>
      <c r="C56"/>
      <c r="D56"/>
      <c r="E56"/>
      <c r="F56" s="49">
        <v>38930</v>
      </c>
      <c r="G56" s="92">
        <v>116.62</v>
      </c>
      <c r="H56"/>
      <c r="I56"/>
      <c r="J56"/>
      <c r="K56"/>
      <c r="L56" s="58">
        <v>122.41800407098178</v>
      </c>
      <c r="M56" s="53"/>
      <c r="N56" s="53">
        <v>122.41800407098178</v>
      </c>
      <c r="O56" s="15">
        <v>-5.7980040709817757</v>
      </c>
      <c r="P56" s="15"/>
      <c r="Q56" s="15"/>
      <c r="R56" s="15"/>
      <c r="S56" s="15"/>
      <c r="T56" s="15"/>
      <c r="U56" s="15"/>
      <c r="V56" s="15"/>
      <c r="W56" s="15"/>
    </row>
    <row r="57" spans="1:23" s="21" customFormat="1" x14ac:dyDescent="0.55000000000000004">
      <c r="A57" s="17"/>
      <c r="B57"/>
      <c r="C57"/>
      <c r="D57"/>
      <c r="E57"/>
      <c r="F57" s="49">
        <v>38961</v>
      </c>
      <c r="G57" s="92">
        <v>116.69</v>
      </c>
      <c r="H57"/>
      <c r="I57"/>
      <c r="J57"/>
      <c r="K57"/>
      <c r="L57" s="58">
        <v>123.2192531863562</v>
      </c>
      <c r="M57" s="53"/>
      <c r="N57" s="53">
        <v>123.2192531863562</v>
      </c>
      <c r="O57" s="15">
        <v>-6.5292531863562004</v>
      </c>
      <c r="P57" s="15"/>
      <c r="Q57" s="15"/>
      <c r="R57" s="15"/>
      <c r="S57" s="15"/>
      <c r="T57" s="15"/>
      <c r="U57" s="15"/>
      <c r="V57" s="15"/>
      <c r="W57" s="15"/>
    </row>
    <row r="58" spans="1:23" s="21" customFormat="1" x14ac:dyDescent="0.55000000000000004">
      <c r="A58" s="17"/>
      <c r="B58"/>
      <c r="C58"/>
      <c r="D58"/>
      <c r="E58"/>
      <c r="F58" s="49">
        <v>38991</v>
      </c>
      <c r="G58" s="92">
        <v>118.11</v>
      </c>
      <c r="H58"/>
      <c r="I58"/>
      <c r="J58"/>
      <c r="K58"/>
      <c r="L58" s="58">
        <v>122.93070629501155</v>
      </c>
      <c r="M58" s="53"/>
      <c r="N58" s="53">
        <v>122.93070629501155</v>
      </c>
      <c r="O58" s="15">
        <v>-4.8207062950115471</v>
      </c>
      <c r="P58" s="15"/>
      <c r="Q58" s="15"/>
      <c r="R58" s="15"/>
      <c r="S58" s="15"/>
      <c r="T58" s="15"/>
      <c r="U58" s="15"/>
      <c r="V58" s="15"/>
      <c r="W58" s="15"/>
    </row>
    <row r="59" spans="1:23" s="21" customFormat="1" x14ac:dyDescent="0.55000000000000004">
      <c r="A59" s="17"/>
      <c r="B59"/>
      <c r="C59"/>
      <c r="D59"/>
      <c r="E59"/>
      <c r="F59" s="49">
        <v>39022</v>
      </c>
      <c r="G59" s="92">
        <v>118.91</v>
      </c>
      <c r="H59"/>
      <c r="I59"/>
      <c r="J59"/>
      <c r="K59"/>
      <c r="L59" s="58">
        <v>123.71432559038668</v>
      </c>
      <c r="M59" s="53"/>
      <c r="N59" s="53">
        <v>123.71432559038668</v>
      </c>
      <c r="O59" s="15">
        <v>-4.8043255903866822</v>
      </c>
      <c r="P59" s="15"/>
      <c r="Q59" s="15"/>
      <c r="R59" s="15"/>
      <c r="S59" s="15"/>
      <c r="T59" s="15"/>
      <c r="U59" s="15"/>
      <c r="V59" s="15"/>
      <c r="W59" s="15"/>
    </row>
    <row r="60" spans="1:23" s="21" customFormat="1" x14ac:dyDescent="0.55000000000000004">
      <c r="A60" s="17"/>
      <c r="B60"/>
      <c r="C60"/>
      <c r="D60"/>
      <c r="E60"/>
      <c r="F60" s="49">
        <v>39052</v>
      </c>
      <c r="G60" s="92">
        <v>120.7</v>
      </c>
      <c r="H60"/>
      <c r="I60"/>
      <c r="J60"/>
      <c r="K60"/>
      <c r="L60" s="58">
        <v>123.12942921359459</v>
      </c>
      <c r="M60" s="53"/>
      <c r="N60" s="53">
        <v>123.12942921359459</v>
      </c>
      <c r="O60" s="15">
        <v>-2.4294292135945881</v>
      </c>
      <c r="P60" s="15"/>
      <c r="Q60" s="15"/>
      <c r="R60" s="15"/>
      <c r="S60" s="15"/>
      <c r="T60" s="15"/>
      <c r="U60" s="15"/>
      <c r="V60" s="15"/>
      <c r="W60" s="15"/>
    </row>
    <row r="61" spans="1:23" s="21" customFormat="1" x14ac:dyDescent="0.55000000000000004">
      <c r="A61" s="17"/>
      <c r="B61"/>
      <c r="C61"/>
      <c r="D61"/>
      <c r="E61"/>
      <c r="F61" s="49">
        <v>39083</v>
      </c>
      <c r="G61" s="92">
        <v>119.93</v>
      </c>
      <c r="H61"/>
      <c r="I61"/>
      <c r="J61"/>
      <c r="K61"/>
      <c r="L61" s="58">
        <v>123.60868203062125</v>
      </c>
      <c r="M61" s="53"/>
      <c r="N61" s="53">
        <v>123.60868203062125</v>
      </c>
      <c r="O61" s="15">
        <v>-3.6786820306212462</v>
      </c>
      <c r="P61" s="15"/>
      <c r="Q61" s="15"/>
      <c r="R61" s="15"/>
      <c r="S61" s="15"/>
      <c r="T61" s="15"/>
      <c r="U61" s="15"/>
      <c r="V61" s="15"/>
      <c r="W61" s="15"/>
    </row>
    <row r="62" spans="1:23" s="21" customFormat="1" x14ac:dyDescent="0.55000000000000004">
      <c r="A62" s="17"/>
      <c r="B62"/>
      <c r="C62"/>
      <c r="D62"/>
      <c r="E62"/>
      <c r="F62" s="49">
        <v>39114</v>
      </c>
      <c r="G62" s="92">
        <v>120.36</v>
      </c>
      <c r="H62"/>
      <c r="I62"/>
      <c r="J62"/>
      <c r="K62"/>
      <c r="L62" s="58">
        <v>123.91141003261569</v>
      </c>
      <c r="M62" s="53"/>
      <c r="N62" s="53">
        <v>123.91141003261569</v>
      </c>
      <c r="O62" s="15">
        <v>-3.5514100326156921</v>
      </c>
      <c r="P62" s="15"/>
      <c r="Q62" s="15"/>
      <c r="R62" s="15"/>
      <c r="S62" s="15"/>
      <c r="T62" s="15"/>
      <c r="U62" s="15"/>
      <c r="V62" s="15"/>
      <c r="W62" s="15"/>
    </row>
    <row r="63" spans="1:23" s="21" customFormat="1" x14ac:dyDescent="0.55000000000000004">
      <c r="A63" s="17"/>
      <c r="B63"/>
      <c r="C63"/>
      <c r="D63"/>
      <c r="E63"/>
      <c r="F63" s="49">
        <v>39142</v>
      </c>
      <c r="G63" s="92">
        <v>119.48</v>
      </c>
      <c r="H63"/>
      <c r="I63"/>
      <c r="J63"/>
      <c r="K63"/>
      <c r="L63" s="58">
        <v>124.01291113325171</v>
      </c>
      <c r="M63" s="53"/>
      <c r="N63" s="53">
        <v>124.01291113325171</v>
      </c>
      <c r="O63" s="15">
        <v>-4.5329111332517016</v>
      </c>
      <c r="P63" s="15"/>
      <c r="Q63" s="15"/>
      <c r="R63" s="15"/>
      <c r="S63" s="15"/>
      <c r="T63" s="15"/>
      <c r="U63" s="15"/>
      <c r="V63" s="15"/>
      <c r="W63" s="15"/>
    </row>
    <row r="64" spans="1:23" s="21" customFormat="1" x14ac:dyDescent="0.55000000000000004">
      <c r="A64" s="17"/>
      <c r="B64"/>
      <c r="C64"/>
      <c r="D64"/>
      <c r="E64"/>
      <c r="F64" s="49">
        <v>39173</v>
      </c>
      <c r="G64" s="92">
        <v>121.1</v>
      </c>
      <c r="H64"/>
      <c r="I64"/>
      <c r="J64"/>
      <c r="K64"/>
      <c r="L64" s="58">
        <v>124.55743199790281</v>
      </c>
      <c r="M64" s="53"/>
      <c r="N64" s="53">
        <v>124.55743199790281</v>
      </c>
      <c r="O64" s="15">
        <v>-3.4574319979028161</v>
      </c>
      <c r="P64" s="15"/>
      <c r="Q64" s="15"/>
      <c r="R64" s="15"/>
      <c r="S64" s="15"/>
      <c r="T64" s="15"/>
      <c r="U64" s="15"/>
      <c r="V64" s="15"/>
      <c r="W64" s="15"/>
    </row>
    <row r="65" spans="1:23" s="21" customFormat="1" x14ac:dyDescent="0.55000000000000004">
      <c r="A65" s="17"/>
      <c r="B65"/>
      <c r="C65"/>
      <c r="D65"/>
      <c r="E65"/>
      <c r="F65" s="49">
        <v>39203</v>
      </c>
      <c r="G65" s="92">
        <v>122.21</v>
      </c>
      <c r="H65"/>
      <c r="I65"/>
      <c r="J65"/>
      <c r="K65"/>
      <c r="L65" s="58">
        <v>124.3931458930541</v>
      </c>
      <c r="M65" s="53"/>
      <c r="N65" s="53">
        <v>124.3931458930541</v>
      </c>
      <c r="O65" s="15">
        <v>-2.1831458930541032</v>
      </c>
      <c r="P65" s="15"/>
      <c r="Q65" s="15"/>
      <c r="R65" s="15"/>
      <c r="S65" s="15"/>
      <c r="T65" s="15"/>
      <c r="U65" s="15"/>
      <c r="V65" s="15"/>
      <c r="W65" s="15"/>
    </row>
    <row r="66" spans="1:23" s="21" customFormat="1" x14ac:dyDescent="0.55000000000000004">
      <c r="A66" s="17"/>
      <c r="B66"/>
      <c r="C66"/>
      <c r="D66"/>
      <c r="E66"/>
      <c r="F66" s="49">
        <v>39234</v>
      </c>
      <c r="G66" s="92">
        <v>122.99</v>
      </c>
      <c r="H66"/>
      <c r="I66"/>
      <c r="J66"/>
      <c r="K66"/>
      <c r="L66" s="58">
        <v>124.06972620331132</v>
      </c>
      <c r="M66" s="53"/>
      <c r="N66" s="53">
        <v>124.06972620331132</v>
      </c>
      <c r="O66" s="15">
        <v>-1.0797262033113242</v>
      </c>
      <c r="P66" s="15"/>
      <c r="Q66" s="15"/>
      <c r="R66" s="15"/>
      <c r="S66" s="15"/>
      <c r="T66" s="15"/>
      <c r="U66" s="15"/>
      <c r="V66" s="15"/>
      <c r="W66" s="15"/>
    </row>
    <row r="67" spans="1:23" s="21" customFormat="1" x14ac:dyDescent="0.55000000000000004">
      <c r="A67" s="17"/>
      <c r="B67"/>
      <c r="C67"/>
      <c r="D67"/>
      <c r="E67"/>
      <c r="F67" s="49">
        <v>39264</v>
      </c>
      <c r="G67" s="92">
        <v>123.81</v>
      </c>
      <c r="H67"/>
      <c r="I67"/>
      <c r="J67"/>
      <c r="K67"/>
      <c r="L67" s="58">
        <v>124.33386833560949</v>
      </c>
      <c r="M67" s="53"/>
      <c r="N67" s="53">
        <v>124.33386833560949</v>
      </c>
      <c r="O67" s="15">
        <v>-0.52386833560949242</v>
      </c>
      <c r="P67" s="15"/>
      <c r="Q67" s="15"/>
      <c r="R67" s="15"/>
      <c r="S67" s="15"/>
      <c r="T67" s="15"/>
      <c r="U67" s="15"/>
      <c r="V67" s="15"/>
      <c r="W67" s="15"/>
    </row>
    <row r="68" spans="1:23" s="21" customFormat="1" x14ac:dyDescent="0.55000000000000004">
      <c r="A68" s="17"/>
      <c r="B68"/>
      <c r="C68"/>
      <c r="D68"/>
      <c r="E68"/>
      <c r="F68" s="49">
        <v>39295</v>
      </c>
      <c r="G68" s="92">
        <v>124.24</v>
      </c>
      <c r="H68"/>
      <c r="I68"/>
      <c r="J68"/>
      <c r="K68"/>
      <c r="L68" s="58">
        <v>124.43158660905456</v>
      </c>
      <c r="M68" s="53"/>
      <c r="N68" s="53">
        <v>124.43158660905456</v>
      </c>
      <c r="O68" s="15">
        <v>-0.1915866090545677</v>
      </c>
      <c r="P68" s="15"/>
      <c r="Q68" s="15"/>
      <c r="R68" s="15"/>
      <c r="S68" s="15"/>
      <c r="T68" s="15"/>
      <c r="U68" s="15"/>
      <c r="V68" s="15"/>
      <c r="W68" s="15"/>
    </row>
    <row r="69" spans="1:23" s="21" customFormat="1" x14ac:dyDescent="0.55000000000000004">
      <c r="A69" s="17"/>
      <c r="B69"/>
      <c r="C69"/>
      <c r="D69"/>
      <c r="E69"/>
      <c r="F69" s="49">
        <v>39326</v>
      </c>
      <c r="G69" s="92">
        <v>125.04</v>
      </c>
      <c r="H69"/>
      <c r="I69"/>
      <c r="J69"/>
      <c r="K69"/>
      <c r="L69" s="58">
        <v>124.3769109864764</v>
      </c>
      <c r="M69" s="53"/>
      <c r="N69" s="53">
        <v>124.3769109864764</v>
      </c>
      <c r="O69" s="15">
        <v>0.66308901352360294</v>
      </c>
      <c r="P69" s="15"/>
      <c r="Q69" s="15"/>
      <c r="R69" s="15"/>
      <c r="S69" s="15"/>
      <c r="T69" s="15"/>
      <c r="U69" s="15"/>
      <c r="V69" s="15"/>
      <c r="W69" s="15"/>
    </row>
    <row r="70" spans="1:23" s="21" customFormat="1" x14ac:dyDescent="0.55000000000000004">
      <c r="A70" s="17"/>
      <c r="B70"/>
      <c r="C70"/>
      <c r="D70"/>
      <c r="E70"/>
      <c r="F70" s="49">
        <v>39356</v>
      </c>
      <c r="G70" s="92">
        <v>126.27</v>
      </c>
      <c r="H70"/>
      <c r="I70"/>
      <c r="J70"/>
      <c r="K70"/>
      <c r="L70" s="58">
        <v>124.94132873159936</v>
      </c>
      <c r="M70" s="53"/>
      <c r="N70" s="53">
        <v>124.94132873159936</v>
      </c>
      <c r="O70" s="15">
        <v>1.3286712684006403</v>
      </c>
      <c r="P70" s="15"/>
      <c r="Q70" s="15"/>
      <c r="R70" s="15"/>
      <c r="S70" s="15"/>
      <c r="T70" s="15"/>
      <c r="U70" s="15"/>
      <c r="V70" s="15"/>
      <c r="W70" s="15"/>
    </row>
    <row r="71" spans="1:23" s="21" customFormat="1" x14ac:dyDescent="0.55000000000000004">
      <c r="A71" s="17"/>
      <c r="B71"/>
      <c r="C71"/>
      <c r="D71"/>
      <c r="E71"/>
      <c r="F71" s="49">
        <v>39387</v>
      </c>
      <c r="G71" s="92">
        <v>126.23</v>
      </c>
      <c r="H71"/>
      <c r="I71"/>
      <c r="J71"/>
      <c r="K71"/>
      <c r="L71" s="58">
        <v>124.93757742417498</v>
      </c>
      <c r="M71" s="53"/>
      <c r="N71" s="53">
        <v>124.93757742417498</v>
      </c>
      <c r="O71" s="15">
        <v>1.2924225758250287</v>
      </c>
      <c r="P71" s="15"/>
      <c r="Q71" s="15"/>
      <c r="R71" s="15"/>
      <c r="S71" s="15"/>
      <c r="T71" s="15"/>
      <c r="U71" s="15"/>
      <c r="V71" s="15"/>
      <c r="W71" s="15"/>
    </row>
    <row r="72" spans="1:23" s="21" customFormat="1" x14ac:dyDescent="0.55000000000000004">
      <c r="A72" s="17"/>
      <c r="B72"/>
      <c r="C72"/>
      <c r="D72"/>
      <c r="E72"/>
      <c r="F72" s="49">
        <v>39417</v>
      </c>
      <c r="G72" s="92">
        <v>127.6</v>
      </c>
      <c r="H72"/>
      <c r="I72"/>
      <c r="J72"/>
      <c r="K72"/>
      <c r="L72" s="58">
        <v>125.40258321414321</v>
      </c>
      <c r="M72" s="53"/>
      <c r="N72" s="53">
        <v>125.40258321414321</v>
      </c>
      <c r="O72" s="15">
        <v>2.1974167858567881</v>
      </c>
      <c r="P72" s="15"/>
      <c r="Q72" s="15"/>
      <c r="R72" s="15"/>
      <c r="S72" s="15"/>
      <c r="T72" s="15"/>
      <c r="U72" s="15"/>
      <c r="V72" s="15"/>
      <c r="W72" s="15"/>
    </row>
    <row r="73" spans="1:23" s="21" customFormat="1" x14ac:dyDescent="0.55000000000000004">
      <c r="A73" s="17"/>
      <c r="B73"/>
      <c r="C73"/>
      <c r="D73"/>
      <c r="E73"/>
      <c r="F73" s="49">
        <v>39448</v>
      </c>
      <c r="G73" s="92">
        <v>127.44</v>
      </c>
      <c r="H73"/>
      <c r="I73"/>
      <c r="J73"/>
      <c r="K73"/>
      <c r="L73" s="58">
        <v>125.63060909149402</v>
      </c>
      <c r="M73" s="53"/>
      <c r="N73" s="53">
        <v>125.63060909149402</v>
      </c>
      <c r="O73" s="15">
        <v>1.8093909085059749</v>
      </c>
      <c r="P73" s="15"/>
      <c r="Q73" s="15"/>
      <c r="R73" s="15"/>
      <c r="S73" s="15"/>
      <c r="T73" s="15"/>
      <c r="U73" s="15"/>
      <c r="V73" s="15"/>
      <c r="W73" s="15"/>
    </row>
    <row r="74" spans="1:23" s="21" customFormat="1" x14ac:dyDescent="0.55000000000000004">
      <c r="A74" s="17"/>
      <c r="B74"/>
      <c r="C74"/>
      <c r="D74"/>
      <c r="E74"/>
      <c r="F74" s="49">
        <v>39479</v>
      </c>
      <c r="G74" s="92">
        <v>127.11</v>
      </c>
      <c r="H74"/>
      <c r="I74"/>
      <c r="J74"/>
      <c r="K74"/>
      <c r="L74" s="58">
        <v>125.62882714995179</v>
      </c>
      <c r="M74" s="53"/>
      <c r="N74" s="53">
        <v>125.62882714995179</v>
      </c>
      <c r="O74" s="15">
        <v>1.4811728500482104</v>
      </c>
      <c r="P74" s="15"/>
      <c r="Q74" s="15"/>
      <c r="R74" s="15"/>
      <c r="S74" s="15"/>
      <c r="T74" s="15"/>
      <c r="U74" s="15"/>
      <c r="V74" s="15"/>
      <c r="W74" s="15"/>
    </row>
    <row r="75" spans="1:23" s="21" customFormat="1" x14ac:dyDescent="0.55000000000000004">
      <c r="A75" s="17"/>
      <c r="B75"/>
      <c r="C75"/>
      <c r="D75"/>
      <c r="E75"/>
      <c r="F75" s="49">
        <v>39508</v>
      </c>
      <c r="G75" s="92">
        <v>126.39</v>
      </c>
      <c r="H75"/>
      <c r="I75"/>
      <c r="J75"/>
      <c r="K75"/>
      <c r="L75" s="58">
        <v>125.52414139380232</v>
      </c>
      <c r="M75" s="53"/>
      <c r="N75" s="53">
        <v>125.52414139380232</v>
      </c>
      <c r="O75" s="15">
        <v>0.86585860619767629</v>
      </c>
      <c r="P75" s="15"/>
      <c r="Q75" s="15"/>
      <c r="R75" s="15"/>
      <c r="S75" s="15"/>
      <c r="T75" s="15"/>
      <c r="U75" s="15"/>
      <c r="V75" s="15"/>
      <c r="W75" s="15"/>
    </row>
    <row r="76" spans="1:23" s="21" customFormat="1" x14ac:dyDescent="0.55000000000000004">
      <c r="A76" s="17"/>
      <c r="B76"/>
      <c r="C76"/>
      <c r="D76"/>
      <c r="E76"/>
      <c r="F76" s="49">
        <v>39539</v>
      </c>
      <c r="G76" s="92">
        <v>128.02000000000001</v>
      </c>
      <c r="H76"/>
      <c r="I76"/>
      <c r="J76"/>
      <c r="K76"/>
      <c r="L76" s="58">
        <v>126.0898632649351</v>
      </c>
      <c r="M76" s="53"/>
      <c r="N76" s="53">
        <v>126.0898632649351</v>
      </c>
      <c r="O76" s="15">
        <v>1.9301367350649059</v>
      </c>
      <c r="P76" s="15"/>
      <c r="Q76" s="15"/>
      <c r="R76" s="15"/>
      <c r="S76" s="15"/>
      <c r="T76" s="15"/>
      <c r="U76" s="15"/>
      <c r="V76" s="15"/>
      <c r="W76" s="15"/>
    </row>
    <row r="77" spans="1:23" s="21" customFormat="1" x14ac:dyDescent="0.55000000000000004">
      <c r="A77" s="17"/>
      <c r="B77"/>
      <c r="C77"/>
      <c r="D77"/>
      <c r="E77"/>
      <c r="F77" s="49">
        <v>39569</v>
      </c>
      <c r="G77" s="92">
        <v>129.38999999999999</v>
      </c>
      <c r="H77"/>
      <c r="I77"/>
      <c r="J77"/>
      <c r="K77"/>
      <c r="L77" s="58">
        <v>126.48207979202843</v>
      </c>
      <c r="M77" s="53"/>
      <c r="N77" s="53">
        <v>126.48207979202843</v>
      </c>
      <c r="O77" s="15">
        <v>2.9079202079715571</v>
      </c>
      <c r="P77" s="15"/>
      <c r="Q77" s="15"/>
      <c r="R77" s="15"/>
      <c r="S77" s="15"/>
      <c r="T77" s="15"/>
      <c r="U77" s="15"/>
      <c r="V77" s="15"/>
      <c r="W77" s="15"/>
    </row>
    <row r="78" spans="1:23" s="21" customFormat="1" x14ac:dyDescent="0.55000000000000004">
      <c r="A78" s="17"/>
      <c r="B78"/>
      <c r="C78"/>
      <c r="D78"/>
      <c r="E78"/>
      <c r="F78" s="49">
        <v>39600</v>
      </c>
      <c r="G78" s="92">
        <v>130.47999999999999</v>
      </c>
      <c r="H78"/>
      <c r="I78"/>
      <c r="J78"/>
      <c r="K78"/>
      <c r="L78" s="58">
        <v>126.08708684735385</v>
      </c>
      <c r="M78" s="53"/>
      <c r="N78" s="53">
        <v>126.08708684735385</v>
      </c>
      <c r="O78" s="15">
        <v>4.3929131526461447</v>
      </c>
      <c r="P78" s="15"/>
      <c r="Q78" s="15"/>
      <c r="R78" s="15"/>
      <c r="S78" s="15"/>
      <c r="T78" s="15"/>
      <c r="U78" s="15"/>
      <c r="V78" s="15"/>
      <c r="W78" s="15"/>
    </row>
    <row r="79" spans="1:23" s="21" customFormat="1" x14ac:dyDescent="0.55000000000000004">
      <c r="A79" s="17"/>
      <c r="B79"/>
      <c r="C79"/>
      <c r="D79"/>
      <c r="E79"/>
      <c r="F79" s="49">
        <v>39630</v>
      </c>
      <c r="G79" s="92">
        <v>130.53</v>
      </c>
      <c r="H79"/>
      <c r="I79"/>
      <c r="J79"/>
      <c r="K79"/>
      <c r="L79" s="58">
        <v>127.67576639254747</v>
      </c>
      <c r="M79" s="53"/>
      <c r="N79" s="53">
        <v>127.67576639254747</v>
      </c>
      <c r="O79" s="15">
        <v>2.8542336074525281</v>
      </c>
      <c r="P79" s="15"/>
      <c r="Q79" s="15"/>
      <c r="R79" s="15"/>
      <c r="S79" s="15"/>
      <c r="T79" s="15"/>
      <c r="U79" s="15"/>
      <c r="V79" s="15"/>
      <c r="W79" s="15"/>
    </row>
    <row r="80" spans="1:23" s="21" customFormat="1" x14ac:dyDescent="0.55000000000000004">
      <c r="A80" s="17"/>
      <c r="B80"/>
      <c r="C80"/>
      <c r="D80"/>
      <c r="E80"/>
      <c r="F80" s="49">
        <v>39661</v>
      </c>
      <c r="G80" s="92">
        <v>131.08000000000001</v>
      </c>
      <c r="H80"/>
      <c r="I80"/>
      <c r="J80"/>
      <c r="K80"/>
      <c r="L80" s="58">
        <v>126.97672771722847</v>
      </c>
      <c r="M80" s="53"/>
      <c r="N80" s="53">
        <v>126.97672771722847</v>
      </c>
      <c r="O80" s="15">
        <v>4.1032722827715418</v>
      </c>
      <c r="P80" s="15"/>
      <c r="Q80" s="15"/>
      <c r="R80" s="15"/>
      <c r="S80" s="15"/>
      <c r="T80" s="15"/>
      <c r="U80" s="15"/>
      <c r="V80" s="15"/>
      <c r="W80" s="15"/>
    </row>
    <row r="81" spans="1:23" s="21" customFormat="1" x14ac:dyDescent="0.55000000000000004">
      <c r="A81" s="17"/>
      <c r="B81"/>
      <c r="C81"/>
      <c r="D81"/>
      <c r="E81"/>
      <c r="F81" s="49">
        <v>39692</v>
      </c>
      <c r="G81" s="92">
        <v>130.53</v>
      </c>
      <c r="H81"/>
      <c r="I81"/>
      <c r="J81"/>
      <c r="K81"/>
      <c r="L81" s="58">
        <v>127.55334956017944</v>
      </c>
      <c r="M81" s="53"/>
      <c r="N81" s="53">
        <v>127.55334956017944</v>
      </c>
      <c r="O81" s="15">
        <v>2.9766504398205598</v>
      </c>
      <c r="P81" s="15"/>
      <c r="Q81" s="15"/>
      <c r="R81" s="15"/>
      <c r="S81" s="15"/>
      <c r="T81" s="15"/>
      <c r="U81" s="15"/>
      <c r="V81" s="15"/>
      <c r="W81" s="15"/>
    </row>
    <row r="82" spans="1:23" s="21" customFormat="1" x14ac:dyDescent="0.55000000000000004">
      <c r="A82" s="17"/>
      <c r="B82"/>
      <c r="C82"/>
      <c r="D82"/>
      <c r="E82"/>
      <c r="F82" s="49">
        <v>39722</v>
      </c>
      <c r="G82" s="92">
        <v>128.13</v>
      </c>
      <c r="H82"/>
      <c r="I82"/>
      <c r="J82"/>
      <c r="K82"/>
      <c r="L82" s="58">
        <v>128.20540335232909</v>
      </c>
      <c r="M82" s="53"/>
      <c r="N82" s="53">
        <v>128.20540335232909</v>
      </c>
      <c r="O82" s="15">
        <v>-7.5403352329090012E-2</v>
      </c>
      <c r="P82" s="15"/>
      <c r="Q82" s="15"/>
      <c r="R82" s="15"/>
      <c r="S82" s="15"/>
      <c r="T82" s="15"/>
      <c r="U82" s="15"/>
      <c r="V82" s="15"/>
      <c r="W82" s="15"/>
    </row>
    <row r="83" spans="1:23" s="21" customFormat="1" x14ac:dyDescent="0.55000000000000004">
      <c r="A83" s="17"/>
      <c r="B83"/>
      <c r="C83"/>
      <c r="D83"/>
      <c r="E83"/>
      <c r="F83" s="49">
        <v>39753</v>
      </c>
      <c r="G83" s="92">
        <v>125.02</v>
      </c>
      <c r="H83"/>
      <c r="I83"/>
      <c r="J83"/>
      <c r="K83"/>
      <c r="L83" s="58">
        <v>128.07874107861809</v>
      </c>
      <c r="M83" s="53"/>
      <c r="N83" s="53">
        <v>128.07874107861809</v>
      </c>
      <c r="O83" s="15">
        <v>-3.0587410786180982</v>
      </c>
      <c r="P83" s="15"/>
      <c r="Q83" s="15"/>
      <c r="R83" s="15"/>
      <c r="S83" s="15"/>
      <c r="T83" s="15"/>
      <c r="U83" s="15"/>
      <c r="V83" s="15"/>
      <c r="W83" s="15"/>
    </row>
    <row r="84" spans="1:23" s="21" customFormat="1" x14ac:dyDescent="0.55000000000000004">
      <c r="A84" s="17"/>
      <c r="B84"/>
      <c r="C84"/>
      <c r="D84"/>
      <c r="E84"/>
      <c r="F84" s="49">
        <v>39783</v>
      </c>
      <c r="G84" s="92">
        <v>121.66</v>
      </c>
      <c r="H84"/>
      <c r="I84"/>
      <c r="J84"/>
      <c r="K84"/>
      <c r="L84" s="58">
        <v>129.36027863084809</v>
      </c>
      <c r="M84" s="53"/>
      <c r="N84" s="53">
        <v>129.36027863084809</v>
      </c>
      <c r="O84" s="15">
        <v>-7.7002786308480893</v>
      </c>
      <c r="P84" s="15"/>
      <c r="Q84" s="15"/>
      <c r="R84" s="15"/>
      <c r="S84" s="15"/>
      <c r="T84" s="15"/>
      <c r="U84" s="15"/>
      <c r="V84" s="15"/>
      <c r="W84" s="15"/>
    </row>
    <row r="85" spans="1:23" s="21" customFormat="1" x14ac:dyDescent="0.55000000000000004">
      <c r="A85" s="17"/>
      <c r="B85"/>
      <c r="C85"/>
      <c r="D85"/>
      <c r="E85"/>
      <c r="F85" s="49">
        <v>39814</v>
      </c>
      <c r="G85" s="92">
        <v>121.23</v>
      </c>
      <c r="H85"/>
      <c r="I85"/>
      <c r="J85"/>
      <c r="K85"/>
      <c r="L85" s="58">
        <v>128.97824738613801</v>
      </c>
      <c r="M85" s="53"/>
      <c r="N85" s="53">
        <v>128.97824738613801</v>
      </c>
      <c r="O85" s="15">
        <v>-7.7482473861380043</v>
      </c>
      <c r="P85" s="15"/>
      <c r="Q85" s="15"/>
      <c r="R85" s="15"/>
      <c r="S85" s="15"/>
      <c r="T85" s="15"/>
      <c r="U85" s="15"/>
      <c r="V85" s="15"/>
      <c r="W85" s="15"/>
    </row>
    <row r="86" spans="1:23" s="21" customFormat="1" x14ac:dyDescent="0.55000000000000004">
      <c r="A86" s="17"/>
      <c r="B86"/>
      <c r="C86"/>
      <c r="D86"/>
      <c r="E86"/>
      <c r="F86" s="49">
        <v>39845</v>
      </c>
      <c r="G86" s="92">
        <v>122.4</v>
      </c>
      <c r="H86"/>
      <c r="I86"/>
      <c r="J86"/>
      <c r="K86"/>
      <c r="L86" s="58">
        <v>129.22706151676559</v>
      </c>
      <c r="M86" s="53"/>
      <c r="N86" s="53">
        <v>129.22706151676559</v>
      </c>
      <c r="O86" s="15">
        <v>-6.8270615167655819</v>
      </c>
      <c r="P86" s="15"/>
      <c r="Q86" s="15"/>
      <c r="R86" s="15"/>
      <c r="S86" s="15"/>
      <c r="T86" s="15"/>
      <c r="U86" s="15"/>
      <c r="V86" s="15"/>
      <c r="W86" s="15"/>
    </row>
    <row r="87" spans="1:23" s="21" customFormat="1" x14ac:dyDescent="0.55000000000000004">
      <c r="A87" s="17"/>
      <c r="B87"/>
      <c r="C87"/>
      <c r="D87"/>
      <c r="E87"/>
      <c r="F87" s="49">
        <v>39873</v>
      </c>
      <c r="G87" s="92">
        <v>122.96</v>
      </c>
      <c r="H87"/>
      <c r="I87"/>
      <c r="J87"/>
      <c r="K87"/>
      <c r="L87" s="58">
        <v>128.89961815312373</v>
      </c>
      <c r="M87" s="53"/>
      <c r="N87" s="53">
        <v>128.89961815312373</v>
      </c>
      <c r="O87" s="15">
        <v>-5.9396181531237318</v>
      </c>
      <c r="P87" s="15"/>
      <c r="Q87" s="15"/>
      <c r="R87" s="15"/>
      <c r="S87" s="15"/>
      <c r="T87" s="15"/>
      <c r="U87" s="15"/>
      <c r="V87" s="15"/>
      <c r="W87" s="15"/>
    </row>
    <row r="88" spans="1:23" s="21" customFormat="1" x14ac:dyDescent="0.55000000000000004">
      <c r="A88" s="17"/>
      <c r="B88"/>
      <c r="C88"/>
      <c r="D88"/>
      <c r="E88"/>
      <c r="F88" s="49">
        <v>39904</v>
      </c>
      <c r="G88" s="92">
        <v>123.53</v>
      </c>
      <c r="H88"/>
      <c r="I88"/>
      <c r="J88"/>
      <c r="K88"/>
      <c r="L88" s="58">
        <v>129.876466248447</v>
      </c>
      <c r="M88" s="53"/>
      <c r="N88" s="53">
        <v>129.876466248447</v>
      </c>
      <c r="O88" s="15">
        <v>-6.3464662484470011</v>
      </c>
      <c r="P88" s="15"/>
      <c r="Q88" s="15"/>
      <c r="R88" s="15"/>
      <c r="S88" s="15"/>
      <c r="T88" s="15"/>
      <c r="U88" s="15"/>
      <c r="V88" s="15"/>
      <c r="W88" s="15"/>
    </row>
    <row r="89" spans="1:23" s="21" customFormat="1" x14ac:dyDescent="0.55000000000000004">
      <c r="A89" s="17"/>
      <c r="B89"/>
      <c r="C89"/>
      <c r="D89"/>
      <c r="E89"/>
      <c r="F89" s="49">
        <v>39934</v>
      </c>
      <c r="G89" s="92">
        <v>124.81</v>
      </c>
      <c r="H89"/>
      <c r="I89"/>
      <c r="J89"/>
      <c r="K89"/>
      <c r="L89" s="58">
        <v>130.20228768697939</v>
      </c>
      <c r="M89" s="53"/>
      <c r="N89" s="53">
        <v>130.20228768697939</v>
      </c>
      <c r="O89" s="15">
        <v>-5.3922876869793868</v>
      </c>
      <c r="P89" s="15"/>
      <c r="Q89" s="15"/>
      <c r="R89" s="15"/>
      <c r="S89" s="15"/>
      <c r="T89" s="15"/>
      <c r="U89" s="15"/>
      <c r="V89" s="15"/>
      <c r="W89" s="15"/>
    </row>
    <row r="90" spans="1:23" s="21" customFormat="1" x14ac:dyDescent="0.55000000000000004">
      <c r="A90" s="17"/>
      <c r="B90"/>
      <c r="C90"/>
      <c r="D90"/>
      <c r="E90"/>
      <c r="F90" s="49">
        <v>39965</v>
      </c>
      <c r="G90" s="92">
        <v>125.44</v>
      </c>
      <c r="H90"/>
      <c r="I90"/>
      <c r="J90"/>
      <c r="K90"/>
      <c r="L90" s="58">
        <v>131.00583296367108</v>
      </c>
      <c r="M90" s="53"/>
      <c r="N90" s="53">
        <v>131.00583296367108</v>
      </c>
      <c r="O90" s="15">
        <v>-5.5658329636710846</v>
      </c>
      <c r="P90" s="15"/>
      <c r="Q90" s="15"/>
      <c r="R90" s="15"/>
      <c r="S90" s="15"/>
      <c r="T90" s="15"/>
      <c r="U90" s="15"/>
      <c r="V90" s="15"/>
      <c r="W90" s="15"/>
    </row>
    <row r="91" spans="1:23" s="21" customFormat="1" x14ac:dyDescent="0.55000000000000004">
      <c r="A91" s="17"/>
      <c r="B91"/>
      <c r="C91"/>
      <c r="D91"/>
      <c r="E91"/>
      <c r="F91" s="49">
        <v>39995</v>
      </c>
      <c r="G91" s="92">
        <v>125.84</v>
      </c>
      <c r="H91"/>
      <c r="I91"/>
      <c r="J91"/>
      <c r="K91"/>
      <c r="L91" s="58">
        <v>131.42146454937318</v>
      </c>
      <c r="M91" s="53"/>
      <c r="N91" s="53">
        <v>131.42146454937318</v>
      </c>
      <c r="O91" s="15">
        <v>-5.5814645493731803</v>
      </c>
      <c r="P91" s="15"/>
      <c r="Q91" s="15"/>
      <c r="R91" s="15"/>
      <c r="S91" s="15"/>
      <c r="T91" s="15"/>
      <c r="U91" s="15"/>
      <c r="V91" s="15"/>
      <c r="W91" s="15"/>
    </row>
    <row r="92" spans="1:23" s="21" customFormat="1" x14ac:dyDescent="0.55000000000000004">
      <c r="A92" s="17"/>
      <c r="B92"/>
      <c r="C92"/>
      <c r="D92"/>
      <c r="E92"/>
      <c r="F92" s="49">
        <v>40026</v>
      </c>
      <c r="G92" s="92">
        <v>128.07</v>
      </c>
      <c r="H92"/>
      <c r="I92"/>
      <c r="J92"/>
      <c r="K92"/>
      <c r="L92" s="58">
        <v>131.47000468932404</v>
      </c>
      <c r="M92" s="53"/>
      <c r="N92" s="53">
        <v>131.47000468932404</v>
      </c>
      <c r="O92" s="15">
        <v>-3.4000046893240494</v>
      </c>
      <c r="P92" s="15"/>
      <c r="Q92" s="15"/>
      <c r="R92" s="15"/>
      <c r="S92" s="15"/>
      <c r="T92" s="15"/>
      <c r="U92" s="15"/>
      <c r="V92" s="15"/>
      <c r="W92" s="15"/>
    </row>
    <row r="93" spans="1:23" s="21" customFormat="1" x14ac:dyDescent="0.55000000000000004">
      <c r="A93" s="17"/>
      <c r="B93"/>
      <c r="C93"/>
      <c r="D93"/>
      <c r="E93"/>
      <c r="F93" s="49">
        <v>40057</v>
      </c>
      <c r="G93" s="92">
        <v>128.88999999999999</v>
      </c>
      <c r="H93"/>
      <c r="I93"/>
      <c r="J93"/>
      <c r="K93"/>
      <c r="L93" s="58">
        <v>131.61379825837156</v>
      </c>
      <c r="M93" s="53"/>
      <c r="N93" s="53">
        <v>131.61379825837156</v>
      </c>
      <c r="O93" s="15">
        <v>-2.7237982583715734</v>
      </c>
      <c r="P93" s="15"/>
      <c r="Q93" s="15"/>
      <c r="R93" s="15"/>
      <c r="S93" s="15"/>
      <c r="T93" s="15"/>
      <c r="U93" s="15"/>
      <c r="V93" s="15"/>
      <c r="W93" s="15"/>
    </row>
    <row r="94" spans="1:23" s="21" customFormat="1" x14ac:dyDescent="0.55000000000000004">
      <c r="A94" s="17"/>
      <c r="B94"/>
      <c r="C94"/>
      <c r="D94"/>
      <c r="E94"/>
      <c r="F94" s="49">
        <v>40087</v>
      </c>
      <c r="G94" s="92">
        <v>129.97</v>
      </c>
      <c r="H94"/>
      <c r="I94"/>
      <c r="J94"/>
      <c r="K94"/>
      <c r="L94" s="58">
        <v>132.25084041491439</v>
      </c>
      <c r="M94" s="53"/>
      <c r="N94" s="53">
        <v>132.25084041491439</v>
      </c>
      <c r="O94" s="15">
        <v>-2.2808404149143939</v>
      </c>
      <c r="P94" s="15"/>
      <c r="Q94" s="15"/>
      <c r="R94" s="15"/>
      <c r="S94" s="15"/>
      <c r="T94" s="15"/>
      <c r="U94" s="15"/>
      <c r="V94" s="15"/>
      <c r="W94" s="15"/>
    </row>
    <row r="95" spans="1:23" s="21" customFormat="1" x14ac:dyDescent="0.55000000000000004">
      <c r="A95" s="17"/>
      <c r="B95"/>
      <c r="C95"/>
      <c r="D95"/>
      <c r="E95"/>
      <c r="F95" s="49">
        <v>40118</v>
      </c>
      <c r="G95" s="92">
        <v>130.07</v>
      </c>
      <c r="H95"/>
      <c r="I95"/>
      <c r="J95"/>
      <c r="K95"/>
      <c r="L95" s="58">
        <v>132.14999117997726</v>
      </c>
      <c r="M95" s="53"/>
      <c r="N95" s="53">
        <v>132.14999117997726</v>
      </c>
      <c r="O95" s="15">
        <v>-2.0799911799772701</v>
      </c>
      <c r="P95" s="15"/>
      <c r="Q95" s="15"/>
      <c r="R95" s="15"/>
      <c r="S95" s="15"/>
      <c r="T95" s="15"/>
      <c r="U95" s="15"/>
      <c r="V95" s="15"/>
      <c r="W95" s="15"/>
    </row>
    <row r="96" spans="1:23" s="21" customFormat="1" x14ac:dyDescent="0.55000000000000004">
      <c r="A96" s="17"/>
      <c r="B96"/>
      <c r="C96"/>
      <c r="D96"/>
      <c r="E96"/>
      <c r="F96" s="49">
        <v>40148</v>
      </c>
      <c r="G96" s="92">
        <v>132.08000000000001</v>
      </c>
      <c r="H96"/>
      <c r="I96"/>
      <c r="J96"/>
      <c r="K96"/>
      <c r="L96" s="58">
        <v>133.37802989322151</v>
      </c>
      <c r="M96" s="53"/>
      <c r="N96" s="53">
        <v>133.37802989322151</v>
      </c>
      <c r="O96" s="15">
        <v>-1.2980298932214964</v>
      </c>
      <c r="P96" s="15"/>
      <c r="Q96" s="15"/>
      <c r="R96" s="15"/>
      <c r="S96" s="15"/>
      <c r="T96" s="15"/>
      <c r="U96" s="15"/>
      <c r="V96" s="15"/>
      <c r="W96" s="15"/>
    </row>
    <row r="97" spans="1:23" s="21" customFormat="1" x14ac:dyDescent="0.55000000000000004">
      <c r="A97" s="17"/>
      <c r="B97"/>
      <c r="C97"/>
      <c r="D97"/>
      <c r="E97"/>
      <c r="F97" s="49">
        <v>40179</v>
      </c>
      <c r="G97" s="92">
        <v>133.88</v>
      </c>
      <c r="H97"/>
      <c r="I97"/>
      <c r="J97"/>
      <c r="K97"/>
      <c r="L97" s="58">
        <v>133.08439561873567</v>
      </c>
      <c r="M97" s="53"/>
      <c r="N97" s="53">
        <v>133.08439561873567</v>
      </c>
      <c r="O97" s="15">
        <v>0.79560438126432587</v>
      </c>
      <c r="P97" s="15"/>
      <c r="Q97" s="15"/>
      <c r="R97" s="15"/>
      <c r="S97" s="15"/>
      <c r="T97" s="15"/>
      <c r="U97" s="15"/>
      <c r="V97" s="15"/>
      <c r="W97" s="15"/>
    </row>
    <row r="98" spans="1:23" s="21" customFormat="1" x14ac:dyDescent="0.55000000000000004">
      <c r="A98" s="17"/>
      <c r="B98"/>
      <c r="C98"/>
      <c r="D98"/>
      <c r="E98"/>
      <c r="F98" s="49">
        <v>40210</v>
      </c>
      <c r="G98" s="92">
        <v>135.35</v>
      </c>
      <c r="H98"/>
      <c r="I98"/>
      <c r="J98"/>
      <c r="K98"/>
      <c r="L98" s="58">
        <v>133.28173982956537</v>
      </c>
      <c r="M98" s="53"/>
      <c r="N98" s="53">
        <v>133.28173982956537</v>
      </c>
      <c r="O98" s="15">
        <v>2.0682601704346268</v>
      </c>
      <c r="P98" s="15"/>
      <c r="Q98" s="15"/>
      <c r="R98" s="15"/>
      <c r="S98" s="15"/>
      <c r="T98" s="15"/>
      <c r="U98" s="15"/>
      <c r="V98" s="15"/>
      <c r="W98" s="15"/>
    </row>
    <row r="99" spans="1:23" s="21" customFormat="1" x14ac:dyDescent="0.55000000000000004">
      <c r="A99" s="17"/>
      <c r="B99"/>
      <c r="C99"/>
      <c r="D99"/>
      <c r="E99"/>
      <c r="F99" s="49">
        <v>40238</v>
      </c>
      <c r="G99" s="92">
        <v>136.52000000000001</v>
      </c>
      <c r="H99"/>
      <c r="I99"/>
      <c r="J99"/>
      <c r="K99"/>
      <c r="L99" s="58">
        <v>133.05772948761216</v>
      </c>
      <c r="M99" s="53"/>
      <c r="N99" s="53">
        <v>133.05772948761216</v>
      </c>
      <c r="O99" s="15">
        <v>3.4622705123878461</v>
      </c>
      <c r="P99" s="15"/>
      <c r="Q99" s="15"/>
      <c r="R99" s="15"/>
      <c r="S99" s="15"/>
      <c r="T99" s="15"/>
      <c r="U99" s="15"/>
      <c r="V99" s="15"/>
      <c r="W99" s="15"/>
    </row>
    <row r="100" spans="1:23" s="21" customFormat="1" x14ac:dyDescent="0.55000000000000004">
      <c r="A100" s="17"/>
      <c r="B100"/>
      <c r="C100"/>
      <c r="D100"/>
      <c r="E100"/>
      <c r="F100" s="49">
        <v>40269</v>
      </c>
      <c r="G100" s="92">
        <v>137.13</v>
      </c>
      <c r="H100"/>
      <c r="I100"/>
      <c r="J100"/>
      <c r="K100"/>
      <c r="L100" s="58">
        <v>133.83983599701122</v>
      </c>
      <c r="M100" s="53"/>
      <c r="N100" s="53">
        <v>133.83983599701122</v>
      </c>
      <c r="O100" s="15">
        <v>3.2901640029887744</v>
      </c>
      <c r="P100" s="15"/>
      <c r="Q100" s="15"/>
      <c r="R100" s="15"/>
      <c r="S100" s="15"/>
      <c r="T100" s="15"/>
      <c r="U100" s="15"/>
      <c r="V100" s="15"/>
      <c r="W100" s="15"/>
    </row>
    <row r="101" spans="1:23" s="21" customFormat="1" x14ac:dyDescent="0.55000000000000004">
      <c r="A101" s="17"/>
      <c r="B101"/>
      <c r="C101"/>
      <c r="D101"/>
      <c r="E101"/>
      <c r="F101" s="49">
        <v>40299</v>
      </c>
      <c r="G101" s="92">
        <v>136.21</v>
      </c>
      <c r="H101"/>
      <c r="I101"/>
      <c r="J101"/>
      <c r="K101"/>
      <c r="L101" s="58">
        <v>134.34370189810127</v>
      </c>
      <c r="M101" s="53"/>
      <c r="N101" s="53">
        <v>134.34370189810127</v>
      </c>
      <c r="O101" s="15">
        <v>1.8662981018987352</v>
      </c>
      <c r="P101" s="15"/>
      <c r="Q101" s="15"/>
      <c r="R101" s="15"/>
      <c r="S101" s="15"/>
      <c r="T101" s="15"/>
      <c r="U101" s="15"/>
      <c r="V101" s="15"/>
      <c r="W101" s="15"/>
    </row>
    <row r="102" spans="1:23" s="21" customFormat="1" x14ac:dyDescent="0.55000000000000004">
      <c r="A102" s="17"/>
      <c r="B102"/>
      <c r="C102"/>
      <c r="D102"/>
      <c r="E102"/>
      <c r="F102" s="49">
        <v>40330</v>
      </c>
      <c r="G102" s="92">
        <v>135.88999999999999</v>
      </c>
      <c r="H102"/>
      <c r="I102"/>
      <c r="J102"/>
      <c r="K102"/>
      <c r="L102" s="58">
        <v>135.21687721845547</v>
      </c>
      <c r="M102" s="53"/>
      <c r="N102" s="53">
        <v>135.21687721845547</v>
      </c>
      <c r="O102" s="15">
        <v>0.67312278154452088</v>
      </c>
      <c r="P102" s="15"/>
      <c r="Q102" s="15"/>
      <c r="R102" s="15"/>
      <c r="S102" s="15"/>
      <c r="T102" s="15"/>
      <c r="U102" s="15"/>
      <c r="V102" s="15"/>
      <c r="W102" s="15"/>
    </row>
    <row r="103" spans="1:23" s="21" customFormat="1" x14ac:dyDescent="0.55000000000000004">
      <c r="A103" s="17"/>
      <c r="B103"/>
      <c r="C103"/>
      <c r="D103"/>
      <c r="E103"/>
      <c r="F103" s="49">
        <v>40360</v>
      </c>
      <c r="G103" s="92">
        <v>136.72</v>
      </c>
      <c r="H103"/>
      <c r="I103"/>
      <c r="J103"/>
      <c r="K103"/>
      <c r="L103" s="58">
        <v>135.08302442056694</v>
      </c>
      <c r="M103" s="53"/>
      <c r="N103" s="53">
        <v>135.08302442056694</v>
      </c>
      <c r="O103" s="15">
        <v>1.6369755794330558</v>
      </c>
      <c r="P103" s="15"/>
      <c r="Q103" s="15"/>
      <c r="R103" s="15"/>
      <c r="S103" s="15"/>
      <c r="T103" s="15"/>
      <c r="U103" s="15"/>
      <c r="V103" s="15"/>
      <c r="W103" s="15"/>
    </row>
    <row r="104" spans="1:23" s="21" customFormat="1" x14ac:dyDescent="0.55000000000000004">
      <c r="A104" s="17"/>
      <c r="B104"/>
      <c r="C104"/>
      <c r="D104"/>
      <c r="E104"/>
      <c r="F104" s="49">
        <v>40391</v>
      </c>
      <c r="G104" s="92">
        <v>137.71</v>
      </c>
      <c r="H104"/>
      <c r="I104"/>
      <c r="J104"/>
      <c r="K104"/>
      <c r="L104" s="58">
        <v>135.32643944537449</v>
      </c>
      <c r="M104" s="53"/>
      <c r="N104" s="53">
        <v>135.32643944537449</v>
      </c>
      <c r="O104" s="15">
        <v>2.3835605546255181</v>
      </c>
      <c r="P104" s="15"/>
      <c r="Q104" s="15"/>
      <c r="R104" s="15"/>
      <c r="S104" s="15"/>
      <c r="T104" s="15"/>
      <c r="U104" s="15"/>
      <c r="V104" s="15"/>
      <c r="W104" s="15"/>
    </row>
    <row r="105" spans="1:23" s="21" customFormat="1" x14ac:dyDescent="0.55000000000000004">
      <c r="A105" s="17"/>
      <c r="B105"/>
      <c r="C105"/>
      <c r="D105"/>
      <c r="E105"/>
      <c r="F105" s="49">
        <v>40422</v>
      </c>
      <c r="G105" s="92">
        <v>138.85</v>
      </c>
      <c r="H105"/>
      <c r="I105"/>
      <c r="J105"/>
      <c r="K105"/>
      <c r="L105" s="58">
        <v>134.77269211456706</v>
      </c>
      <c r="M105" s="53"/>
      <c r="N105" s="53">
        <v>134.77269211456706</v>
      </c>
      <c r="O105" s="15">
        <v>4.0773078854329299</v>
      </c>
      <c r="P105" s="15"/>
      <c r="Q105" s="15"/>
      <c r="R105" s="15"/>
      <c r="S105" s="15"/>
      <c r="T105" s="15"/>
      <c r="U105" s="15"/>
      <c r="V105" s="15"/>
      <c r="W105" s="15"/>
    </row>
    <row r="106" spans="1:23" s="21" customFormat="1" x14ac:dyDescent="0.55000000000000004">
      <c r="A106" s="17"/>
      <c r="B106"/>
      <c r="C106"/>
      <c r="D106"/>
      <c r="E106"/>
      <c r="F106" s="49">
        <v>40452</v>
      </c>
      <c r="G106" s="92">
        <v>138.68</v>
      </c>
      <c r="H106"/>
      <c r="I106"/>
      <c r="J106"/>
      <c r="K106"/>
      <c r="L106" s="58">
        <v>133.96682896229254</v>
      </c>
      <c r="M106" s="53"/>
      <c r="N106" s="53">
        <v>133.96682896229254</v>
      </c>
      <c r="O106" s="15">
        <v>4.7131710377074683</v>
      </c>
      <c r="P106" s="15"/>
      <c r="Q106" s="15"/>
      <c r="R106" s="15"/>
      <c r="S106" s="15"/>
      <c r="T106" s="15"/>
      <c r="U106" s="15"/>
      <c r="V106" s="15"/>
      <c r="W106" s="15"/>
    </row>
    <row r="107" spans="1:23" s="21" customFormat="1" x14ac:dyDescent="0.55000000000000004">
      <c r="A107" s="17"/>
      <c r="B107"/>
      <c r="C107"/>
      <c r="D107"/>
      <c r="E107"/>
      <c r="F107" s="49">
        <v>40483</v>
      </c>
      <c r="G107" s="92">
        <v>140.13999999999999</v>
      </c>
      <c r="H107"/>
      <c r="I107"/>
      <c r="J107"/>
      <c r="K107"/>
      <c r="L107" s="58">
        <v>132.95670855226729</v>
      </c>
      <c r="M107" s="53"/>
      <c r="N107" s="53">
        <v>132.95670855226729</v>
      </c>
      <c r="O107" s="15">
        <v>7.1832914477326995</v>
      </c>
      <c r="P107" s="15"/>
      <c r="Q107" s="15"/>
      <c r="R107" s="15"/>
      <c r="S107" s="15"/>
      <c r="T107" s="15"/>
      <c r="U107" s="15"/>
      <c r="V107" s="15"/>
      <c r="W107" s="15"/>
    </row>
    <row r="108" spans="1:23" s="21" customFormat="1" x14ac:dyDescent="0.55000000000000004">
      <c r="A108" s="17"/>
      <c r="B108"/>
      <c r="C108"/>
      <c r="D108"/>
      <c r="E108"/>
      <c r="F108" s="49">
        <v>40513</v>
      </c>
      <c r="G108" s="92">
        <v>138.66999999999999</v>
      </c>
      <c r="H108"/>
      <c r="I108"/>
      <c r="J108"/>
      <c r="K108"/>
      <c r="L108" s="58">
        <v>131.91035427567715</v>
      </c>
      <c r="M108" s="53"/>
      <c r="N108" s="53">
        <v>131.91035427567715</v>
      </c>
      <c r="O108" s="15">
        <v>6.7596457243228372</v>
      </c>
      <c r="P108" s="15"/>
      <c r="Q108" s="15"/>
      <c r="R108" s="15"/>
      <c r="S108" s="15"/>
      <c r="T108" s="15"/>
      <c r="U108" s="15"/>
      <c r="V108" s="15"/>
      <c r="W108" s="15"/>
    </row>
    <row r="109" spans="1:23" s="21" customFormat="1" x14ac:dyDescent="0.55000000000000004">
      <c r="A109" s="17"/>
      <c r="B109"/>
      <c r="C109"/>
      <c r="D109"/>
      <c r="E109"/>
      <c r="F109" s="49">
        <v>40544</v>
      </c>
      <c r="G109" s="92">
        <v>140.26</v>
      </c>
      <c r="H109"/>
      <c r="I109"/>
      <c r="J109"/>
      <c r="K109"/>
      <c r="L109" s="58">
        <v>132.14366733632252</v>
      </c>
      <c r="M109" s="53"/>
      <c r="N109" s="53">
        <v>132.14366733632252</v>
      </c>
      <c r="O109" s="15">
        <v>8.1163326636774684</v>
      </c>
      <c r="P109" s="15"/>
      <c r="Q109" s="15"/>
      <c r="R109" s="15"/>
      <c r="S109" s="15"/>
      <c r="T109" s="15"/>
      <c r="U109" s="15"/>
      <c r="V109" s="15"/>
      <c r="W109" s="15"/>
    </row>
    <row r="110" spans="1:23" s="21" customFormat="1" x14ac:dyDescent="0.55000000000000004">
      <c r="A110" s="17"/>
      <c r="B110"/>
      <c r="C110"/>
      <c r="D110"/>
      <c r="E110"/>
      <c r="F110" s="49">
        <v>40575</v>
      </c>
      <c r="G110" s="92">
        <v>140.93</v>
      </c>
      <c r="H110"/>
      <c r="I110"/>
      <c r="J110"/>
      <c r="K110"/>
      <c r="L110" s="58">
        <v>132.57775945314114</v>
      </c>
      <c r="M110" s="53"/>
      <c r="N110" s="53">
        <v>132.57775945314114</v>
      </c>
      <c r="O110" s="15">
        <v>8.3522405468588659</v>
      </c>
      <c r="P110" s="15"/>
      <c r="Q110" s="15"/>
      <c r="R110" s="15"/>
      <c r="S110" s="15"/>
      <c r="T110" s="15"/>
      <c r="U110" s="15"/>
      <c r="V110" s="15"/>
      <c r="W110" s="15"/>
    </row>
    <row r="111" spans="1:23" s="21" customFormat="1" x14ac:dyDescent="0.55000000000000004">
      <c r="A111" s="17"/>
      <c r="B111"/>
      <c r="C111"/>
      <c r="D111"/>
      <c r="E111"/>
      <c r="F111" s="49">
        <v>40603</v>
      </c>
      <c r="G111" s="92">
        <v>141.06</v>
      </c>
      <c r="H111"/>
      <c r="I111"/>
      <c r="J111"/>
      <c r="K111"/>
      <c r="L111" s="58">
        <v>132.7235658865296</v>
      </c>
      <c r="M111" s="53"/>
      <c r="N111" s="53">
        <v>132.7235658865296</v>
      </c>
      <c r="O111" s="15">
        <v>8.3364341134704034</v>
      </c>
      <c r="P111" s="15"/>
      <c r="Q111" s="15"/>
      <c r="R111" s="15"/>
      <c r="S111" s="15"/>
      <c r="T111" s="15"/>
      <c r="U111" s="15"/>
      <c r="V111" s="15"/>
      <c r="W111" s="15"/>
    </row>
    <row r="112" spans="1:23" s="21" customFormat="1" x14ac:dyDescent="0.55000000000000004">
      <c r="A112" s="17"/>
      <c r="B112"/>
      <c r="C112"/>
      <c r="D112"/>
      <c r="E112"/>
      <c r="F112" s="49">
        <v>40634</v>
      </c>
      <c r="G112" s="92">
        <v>140.97</v>
      </c>
      <c r="H112"/>
      <c r="I112"/>
      <c r="J112"/>
      <c r="K112"/>
      <c r="L112" s="58">
        <v>132.91257117030617</v>
      </c>
      <c r="M112" s="53"/>
      <c r="N112" s="53">
        <v>132.91257117030617</v>
      </c>
      <c r="O112" s="15">
        <v>8.0574288296938334</v>
      </c>
      <c r="P112" s="15"/>
      <c r="Q112" s="15"/>
      <c r="R112" s="15"/>
      <c r="S112" s="15"/>
      <c r="T112" s="15"/>
      <c r="U112" s="15"/>
      <c r="V112" s="15"/>
      <c r="W112" s="15"/>
    </row>
    <row r="113" spans="1:23" s="21" customFormat="1" x14ac:dyDescent="0.55000000000000004">
      <c r="A113" s="17"/>
      <c r="B113"/>
      <c r="C113"/>
      <c r="D113"/>
      <c r="E113"/>
      <c r="F113" s="49">
        <v>40664</v>
      </c>
      <c r="G113" s="92">
        <v>141.18</v>
      </c>
      <c r="H113"/>
      <c r="I113"/>
      <c r="J113"/>
      <c r="K113"/>
      <c r="L113" s="58">
        <v>132.6192453547103</v>
      </c>
      <c r="M113" s="53"/>
      <c r="N113" s="53">
        <v>132.6192453547103</v>
      </c>
      <c r="O113" s="15">
        <v>8.5607546452897054</v>
      </c>
      <c r="P113" s="15"/>
      <c r="Q113" s="15"/>
      <c r="R113" s="15"/>
      <c r="S113" s="15"/>
      <c r="T113" s="15"/>
      <c r="U113" s="15"/>
      <c r="V113" s="15"/>
      <c r="W113" s="15"/>
    </row>
    <row r="114" spans="1:23" s="21" customFormat="1" x14ac:dyDescent="0.55000000000000004">
      <c r="A114" s="17"/>
      <c r="B114"/>
      <c r="C114"/>
      <c r="D114"/>
      <c r="E114"/>
      <c r="F114" s="49">
        <v>40695</v>
      </c>
      <c r="G114" s="92">
        <v>141.85</v>
      </c>
      <c r="H114"/>
      <c r="I114"/>
      <c r="J114"/>
      <c r="K114"/>
      <c r="L114" s="58">
        <v>131.95872595880218</v>
      </c>
      <c r="M114" s="53"/>
      <c r="N114" s="53">
        <v>131.95872595880218</v>
      </c>
      <c r="O114" s="15">
        <v>9.8912740411978177</v>
      </c>
      <c r="P114" s="15"/>
      <c r="Q114" s="15"/>
      <c r="R114" s="15"/>
      <c r="S114" s="15"/>
      <c r="T114" s="15"/>
      <c r="U114" s="15"/>
      <c r="V114" s="15"/>
      <c r="W114" s="15"/>
    </row>
    <row r="115" spans="1:23" s="21" customFormat="1" x14ac:dyDescent="0.55000000000000004">
      <c r="A115" s="17"/>
      <c r="B115"/>
      <c r="C115"/>
      <c r="D115"/>
      <c r="E115"/>
      <c r="F115" s="49">
        <v>40725</v>
      </c>
      <c r="G115" s="92">
        <v>142.1</v>
      </c>
      <c r="H115"/>
      <c r="I115"/>
      <c r="J115"/>
      <c r="K115"/>
      <c r="L115" s="58">
        <v>131.9193782982083</v>
      </c>
      <c r="M115" s="53"/>
      <c r="N115" s="53">
        <v>131.9193782982083</v>
      </c>
      <c r="O115" s="15">
        <v>10.180621701791694</v>
      </c>
      <c r="P115" s="15"/>
      <c r="Q115" s="15"/>
      <c r="R115" s="15"/>
      <c r="S115" s="15"/>
      <c r="T115" s="15"/>
      <c r="U115" s="15"/>
      <c r="V115" s="15"/>
      <c r="W115" s="15"/>
    </row>
    <row r="116" spans="1:23" s="21" customFormat="1" x14ac:dyDescent="0.55000000000000004">
      <c r="A116" s="17"/>
      <c r="B116"/>
      <c r="C116"/>
      <c r="D116"/>
      <c r="E116"/>
      <c r="F116" s="49">
        <v>40756</v>
      </c>
      <c r="G116" s="92">
        <v>141.94</v>
      </c>
      <c r="H116"/>
      <c r="I116"/>
      <c r="J116"/>
      <c r="K116"/>
      <c r="L116" s="58">
        <v>132.75406689212608</v>
      </c>
      <c r="M116" s="53"/>
      <c r="N116" s="53">
        <v>132.75406689212608</v>
      </c>
      <c r="O116" s="15">
        <v>9.1859331078739217</v>
      </c>
      <c r="P116" s="15"/>
      <c r="Q116" s="15"/>
      <c r="R116" s="15"/>
      <c r="S116" s="15"/>
      <c r="T116" s="15"/>
      <c r="U116" s="15"/>
      <c r="V116" s="15"/>
      <c r="W116" s="15"/>
    </row>
    <row r="117" spans="1:23" s="21" customFormat="1" x14ac:dyDescent="0.55000000000000004">
      <c r="A117" s="17"/>
      <c r="B117"/>
      <c r="C117"/>
      <c r="D117"/>
      <c r="E117"/>
      <c r="F117" s="49">
        <v>40787</v>
      </c>
      <c r="G117" s="92">
        <v>141.58000000000001</v>
      </c>
      <c r="H117"/>
      <c r="I117"/>
      <c r="J117"/>
      <c r="K117"/>
      <c r="L117" s="58">
        <v>133.12002789290503</v>
      </c>
      <c r="M117" s="53"/>
      <c r="N117" s="53">
        <v>133.12002789290503</v>
      </c>
      <c r="O117" s="15">
        <v>8.459972107094984</v>
      </c>
      <c r="P117" s="15"/>
      <c r="Q117" s="15"/>
      <c r="R117" s="15"/>
      <c r="S117" s="15"/>
      <c r="T117" s="15"/>
      <c r="U117" s="15"/>
      <c r="V117" s="15"/>
      <c r="W117" s="15"/>
    </row>
    <row r="118" spans="1:23" s="21" customFormat="1" x14ac:dyDescent="0.55000000000000004">
      <c r="A118" s="17"/>
      <c r="B118"/>
      <c r="C118"/>
      <c r="D118"/>
      <c r="E118"/>
      <c r="F118" s="49">
        <v>40817</v>
      </c>
      <c r="G118" s="92">
        <v>141.61000000000001</v>
      </c>
      <c r="H118"/>
      <c r="I118"/>
      <c r="J118"/>
      <c r="K118"/>
      <c r="L118" s="58">
        <v>134.35881116951819</v>
      </c>
      <c r="M118" s="53"/>
      <c r="N118" s="53">
        <v>134.35881116951819</v>
      </c>
      <c r="O118" s="15">
        <v>7.2511888304818228</v>
      </c>
      <c r="P118" s="15"/>
      <c r="Q118" s="15"/>
      <c r="R118" s="15"/>
      <c r="S118" s="15"/>
      <c r="T118" s="15"/>
      <c r="U118" s="15"/>
      <c r="V118" s="15"/>
      <c r="W118" s="15"/>
    </row>
    <row r="119" spans="1:23" s="21" customFormat="1" x14ac:dyDescent="0.55000000000000004">
      <c r="A119" s="17"/>
      <c r="B119"/>
      <c r="C119"/>
      <c r="D119"/>
      <c r="E119"/>
      <c r="F119" s="49">
        <v>40848</v>
      </c>
      <c r="G119" s="92">
        <v>142.31</v>
      </c>
      <c r="H119"/>
      <c r="I119"/>
      <c r="J119"/>
      <c r="K119"/>
      <c r="L119" s="58">
        <v>134.33875122044503</v>
      </c>
      <c r="M119" s="53"/>
      <c r="N119" s="53">
        <v>134.33875122044503</v>
      </c>
      <c r="O119" s="15">
        <v>7.9712487795549691</v>
      </c>
      <c r="P119" s="15"/>
      <c r="Q119" s="15"/>
      <c r="R119" s="15"/>
      <c r="S119" s="15"/>
      <c r="T119" s="15"/>
      <c r="U119" s="15"/>
      <c r="V119" s="15"/>
      <c r="W119" s="15"/>
    </row>
    <row r="120" spans="1:23" s="21" customFormat="1" x14ac:dyDescent="0.55000000000000004">
      <c r="A120" s="17"/>
      <c r="B120"/>
      <c r="C120"/>
      <c r="D120"/>
      <c r="E120"/>
      <c r="F120" s="49">
        <v>40878</v>
      </c>
      <c r="G120" s="92">
        <v>140.91999999999999</v>
      </c>
      <c r="H120"/>
      <c r="I120"/>
      <c r="J120"/>
      <c r="K120"/>
      <c r="L120" s="58">
        <v>135.33411889824359</v>
      </c>
      <c r="M120" s="53"/>
      <c r="N120" s="53">
        <v>135.33411889824359</v>
      </c>
      <c r="O120" s="15">
        <v>5.5858811017563994</v>
      </c>
      <c r="P120" s="15"/>
      <c r="Q120" s="15"/>
      <c r="R120" s="15"/>
      <c r="S120" s="15"/>
      <c r="T120" s="15"/>
      <c r="U120" s="15"/>
      <c r="V120" s="15"/>
      <c r="W120" s="15"/>
    </row>
    <row r="121" spans="1:23" s="21" customFormat="1" x14ac:dyDescent="0.55000000000000004">
      <c r="A121" s="17"/>
      <c r="B121"/>
      <c r="C121"/>
      <c r="D121"/>
      <c r="E121"/>
      <c r="F121" s="49">
        <v>40909</v>
      </c>
      <c r="G121" s="92">
        <v>139.04</v>
      </c>
      <c r="H121"/>
      <c r="I121"/>
      <c r="J121"/>
      <c r="K121"/>
      <c r="L121" s="58">
        <v>136.08534045225636</v>
      </c>
      <c r="M121" s="53"/>
      <c r="N121" s="53">
        <v>136.08534045225636</v>
      </c>
      <c r="O121" s="15">
        <v>2.9546595477436313</v>
      </c>
      <c r="P121" s="15"/>
      <c r="Q121" s="15"/>
      <c r="R121" s="15"/>
      <c r="S121" s="15"/>
      <c r="T121" s="15"/>
      <c r="U121" s="15"/>
      <c r="V121" s="15"/>
      <c r="W121" s="15"/>
    </row>
    <row r="122" spans="1:23" s="21" customFormat="1" x14ac:dyDescent="0.55000000000000004">
      <c r="A122" s="17"/>
      <c r="B122"/>
      <c r="C122"/>
      <c r="D122"/>
      <c r="E122"/>
      <c r="F122" s="49">
        <v>40940</v>
      </c>
      <c r="G122" s="92">
        <v>140.55000000000001</v>
      </c>
      <c r="H122"/>
      <c r="I122"/>
      <c r="J122"/>
      <c r="K122"/>
      <c r="L122" s="58">
        <v>137.00408240831305</v>
      </c>
      <c r="M122" s="53"/>
      <c r="N122" s="53">
        <v>137.00408240831305</v>
      </c>
      <c r="O122" s="15">
        <v>3.5459175916869583</v>
      </c>
      <c r="P122" s="15"/>
      <c r="Q122" s="15"/>
      <c r="R122" s="15"/>
      <c r="S122" s="15"/>
      <c r="T122" s="15"/>
      <c r="U122" s="15"/>
      <c r="V122" s="15"/>
      <c r="W122" s="15"/>
    </row>
    <row r="123" spans="1:23" s="21" customFormat="1" x14ac:dyDescent="0.55000000000000004">
      <c r="A123" s="17"/>
      <c r="B123"/>
      <c r="C123"/>
      <c r="D123"/>
      <c r="E123"/>
      <c r="F123" s="49">
        <v>40969</v>
      </c>
      <c r="G123" s="92">
        <v>140.13999999999999</v>
      </c>
      <c r="H123"/>
      <c r="I123"/>
      <c r="J123"/>
      <c r="K123"/>
      <c r="L123" s="58">
        <v>137.64566024886653</v>
      </c>
      <c r="M123" s="53"/>
      <c r="N123" s="53">
        <v>137.64566024886653</v>
      </c>
      <c r="O123" s="15">
        <v>2.4943397511334524</v>
      </c>
      <c r="P123" s="15"/>
      <c r="Q123" s="15"/>
      <c r="R123" s="15"/>
      <c r="S123" s="15"/>
      <c r="T123" s="15"/>
      <c r="U123" s="15"/>
      <c r="V123" s="15"/>
      <c r="W123" s="15"/>
    </row>
    <row r="124" spans="1:23" s="21" customFormat="1" x14ac:dyDescent="0.55000000000000004">
      <c r="A124" s="17"/>
      <c r="B124"/>
      <c r="C124"/>
      <c r="D124"/>
      <c r="E124"/>
      <c r="F124" s="49">
        <v>41000</v>
      </c>
      <c r="G124" s="92">
        <v>140.76</v>
      </c>
      <c r="H124"/>
      <c r="I124"/>
      <c r="J124"/>
      <c r="K124"/>
      <c r="L124" s="58">
        <v>138.06573303298921</v>
      </c>
      <c r="M124" s="53"/>
      <c r="N124" s="53">
        <v>138.06573303298921</v>
      </c>
      <c r="O124" s="15">
        <v>2.6942669670107762</v>
      </c>
      <c r="P124" s="15"/>
      <c r="Q124" s="15"/>
      <c r="R124" s="15"/>
      <c r="S124" s="15"/>
      <c r="T124" s="15"/>
      <c r="U124" s="15"/>
      <c r="V124" s="15"/>
      <c r="W124" s="15"/>
    </row>
    <row r="125" spans="1:23" s="21" customFormat="1" x14ac:dyDescent="0.55000000000000004">
      <c r="A125" s="17"/>
      <c r="B125"/>
      <c r="C125"/>
      <c r="D125"/>
      <c r="E125"/>
      <c r="F125" s="49">
        <v>41030</v>
      </c>
      <c r="G125" s="92">
        <v>142.5</v>
      </c>
      <c r="H125"/>
      <c r="I125"/>
      <c r="J125"/>
      <c r="K125"/>
      <c r="L125" s="58">
        <v>137.69953055629125</v>
      </c>
      <c r="M125" s="53"/>
      <c r="N125" s="53">
        <v>137.69953055629125</v>
      </c>
      <c r="O125" s="15">
        <v>4.8004694437087494</v>
      </c>
      <c r="P125" s="15"/>
      <c r="Q125" s="15"/>
      <c r="R125" s="15"/>
      <c r="S125" s="15"/>
      <c r="T125" s="15"/>
      <c r="U125" s="15"/>
      <c r="V125" s="15"/>
      <c r="W125" s="15"/>
    </row>
    <row r="126" spans="1:23" s="21" customFormat="1" x14ac:dyDescent="0.55000000000000004">
      <c r="A126" s="17"/>
      <c r="B126"/>
      <c r="C126"/>
      <c r="D126"/>
      <c r="E126"/>
      <c r="F126" s="49">
        <v>41061</v>
      </c>
      <c r="G126" s="92">
        <v>143.55000000000001</v>
      </c>
      <c r="H126"/>
      <c r="I126"/>
      <c r="J126"/>
      <c r="K126"/>
      <c r="L126" s="58">
        <v>137.96422422122455</v>
      </c>
      <c r="M126" s="53"/>
      <c r="N126" s="53">
        <v>137.96422422122455</v>
      </c>
      <c r="O126" s="15">
        <v>5.5857757787754565</v>
      </c>
      <c r="P126" s="15"/>
      <c r="Q126" s="15"/>
      <c r="R126" s="15"/>
      <c r="S126" s="15"/>
      <c r="T126" s="15"/>
      <c r="U126" s="15"/>
      <c r="V126" s="15"/>
      <c r="W126" s="15"/>
    </row>
    <row r="127" spans="1:23" s="21" customFormat="1" x14ac:dyDescent="0.55000000000000004">
      <c r="A127" s="17"/>
      <c r="B127"/>
      <c r="C127"/>
      <c r="D127"/>
      <c r="E127"/>
      <c r="F127" s="49">
        <v>41091</v>
      </c>
      <c r="G127" s="92">
        <v>143.82</v>
      </c>
      <c r="H127"/>
      <c r="I127"/>
      <c r="J127"/>
      <c r="K127"/>
      <c r="L127" s="58">
        <v>138.30408375851772</v>
      </c>
      <c r="M127" s="53"/>
      <c r="N127" s="53">
        <v>138.30408375851772</v>
      </c>
      <c r="O127" s="15">
        <v>5.5159162414822731</v>
      </c>
      <c r="P127" s="15"/>
      <c r="Q127" s="15"/>
      <c r="R127" s="15"/>
      <c r="S127" s="15"/>
      <c r="T127" s="15"/>
      <c r="U127" s="15"/>
      <c r="V127" s="15"/>
      <c r="W127" s="15"/>
    </row>
    <row r="128" spans="1:23" s="21" customFormat="1" x14ac:dyDescent="0.55000000000000004">
      <c r="A128" s="17"/>
      <c r="B128"/>
      <c r="C128"/>
      <c r="D128"/>
      <c r="E128"/>
      <c r="F128" s="49">
        <v>41122</v>
      </c>
      <c r="G128" s="92">
        <v>144.26</v>
      </c>
      <c r="H128"/>
      <c r="I128"/>
      <c r="J128"/>
      <c r="K128"/>
      <c r="L128" s="58">
        <v>139.14507577700235</v>
      </c>
      <c r="M128" s="53"/>
      <c r="N128" s="53">
        <v>139.14507577700235</v>
      </c>
      <c r="O128" s="15">
        <v>5.1149242229976437</v>
      </c>
      <c r="P128" s="15"/>
      <c r="Q128" s="15"/>
      <c r="R128" s="15"/>
      <c r="S128" s="15"/>
      <c r="T128" s="15"/>
      <c r="U128" s="15"/>
      <c r="V128" s="15"/>
      <c r="W128" s="15"/>
    </row>
    <row r="129" spans="1:23" s="21" customFormat="1" x14ac:dyDescent="0.55000000000000004">
      <c r="A129" s="17"/>
      <c r="B129"/>
      <c r="C129"/>
      <c r="D129"/>
      <c r="E129"/>
      <c r="F129" s="49">
        <v>41153</v>
      </c>
      <c r="G129" s="92">
        <v>143.66</v>
      </c>
      <c r="H129"/>
      <c r="I129"/>
      <c r="J129"/>
      <c r="K129"/>
      <c r="L129" s="58">
        <v>140.0657621617608</v>
      </c>
      <c r="M129" s="53"/>
      <c r="N129" s="53">
        <v>140.0657621617608</v>
      </c>
      <c r="O129" s="15">
        <v>3.5942378382391951</v>
      </c>
      <c r="P129" s="15"/>
      <c r="Q129" s="15"/>
      <c r="R129" s="15"/>
      <c r="S129" s="15"/>
      <c r="T129" s="15"/>
      <c r="U129" s="15"/>
      <c r="V129" s="15"/>
      <c r="W129" s="15"/>
    </row>
    <row r="130" spans="1:23" s="21" customFormat="1" x14ac:dyDescent="0.55000000000000004">
      <c r="A130" s="17"/>
      <c r="B130"/>
      <c r="C130"/>
      <c r="D130"/>
      <c r="E130"/>
      <c r="F130" s="49">
        <v>41183</v>
      </c>
      <c r="G130" s="92">
        <v>144.84</v>
      </c>
      <c r="H130"/>
      <c r="I130"/>
      <c r="J130"/>
      <c r="K130"/>
      <c r="L130" s="58">
        <v>139.93248503199177</v>
      </c>
      <c r="M130" s="53"/>
      <c r="N130" s="53">
        <v>139.93248503199177</v>
      </c>
      <c r="O130" s="15">
        <v>4.9075149680082291</v>
      </c>
      <c r="P130" s="15"/>
      <c r="Q130" s="15"/>
      <c r="R130" s="15"/>
      <c r="S130" s="15"/>
      <c r="T130" s="15"/>
      <c r="U130" s="15"/>
      <c r="V130" s="15"/>
      <c r="W130" s="15"/>
    </row>
    <row r="131" spans="1:23" s="21" customFormat="1" x14ac:dyDescent="0.55000000000000004">
      <c r="A131" s="17"/>
      <c r="B131"/>
      <c r="C131"/>
      <c r="D131"/>
      <c r="E131"/>
      <c r="F131" s="49">
        <v>41214</v>
      </c>
      <c r="G131" s="92">
        <v>144.63999999999999</v>
      </c>
      <c r="H131"/>
      <c r="I131"/>
      <c r="J131"/>
      <c r="K131"/>
      <c r="L131" s="58">
        <v>140.59149747031168</v>
      </c>
      <c r="M131" s="53"/>
      <c r="N131" s="53">
        <v>140.59149747031168</v>
      </c>
      <c r="O131" s="15">
        <v>4.0485025296883066</v>
      </c>
      <c r="P131" s="15"/>
      <c r="Q131" s="15"/>
      <c r="R131" s="15"/>
      <c r="S131" s="15"/>
      <c r="T131" s="15"/>
      <c r="U131" s="15"/>
      <c r="V131" s="15"/>
      <c r="W131" s="15"/>
    </row>
    <row r="132" spans="1:23" s="21" customFormat="1" x14ac:dyDescent="0.55000000000000004">
      <c r="A132" s="17"/>
      <c r="B132"/>
      <c r="C132"/>
      <c r="D132"/>
      <c r="E132"/>
      <c r="F132" s="49">
        <v>41244</v>
      </c>
      <c r="G132" s="92">
        <v>144.15</v>
      </c>
      <c r="H132"/>
      <c r="I132"/>
      <c r="J132"/>
      <c r="K132"/>
      <c r="L132" s="58">
        <v>139.45100386754069</v>
      </c>
      <c r="M132" s="53"/>
      <c r="N132" s="53">
        <v>139.45100386754069</v>
      </c>
      <c r="O132" s="15">
        <v>4.6989961324593139</v>
      </c>
      <c r="P132" s="15"/>
      <c r="Q132" s="15"/>
      <c r="R132" s="15"/>
      <c r="S132" s="15"/>
      <c r="T132" s="15"/>
      <c r="U132" s="15"/>
      <c r="V132" s="15"/>
      <c r="W132" s="15"/>
    </row>
    <row r="133" spans="1:23" s="21" customFormat="1" x14ac:dyDescent="0.55000000000000004">
      <c r="A133" s="17"/>
      <c r="B133"/>
      <c r="C133"/>
      <c r="D133"/>
      <c r="E133"/>
      <c r="F133" s="49">
        <v>41275</v>
      </c>
      <c r="G133" s="92">
        <v>144.97999999999999</v>
      </c>
      <c r="H133"/>
      <c r="I133"/>
      <c r="J133"/>
      <c r="K133"/>
      <c r="L133" s="58">
        <v>140.56286403690663</v>
      </c>
      <c r="M133" s="53"/>
      <c r="N133" s="53">
        <v>140.56286403690663</v>
      </c>
      <c r="O133" s="15">
        <v>4.417135963093358</v>
      </c>
      <c r="P133" s="15"/>
      <c r="Q133" s="15"/>
      <c r="R133" s="15"/>
      <c r="S133" s="15"/>
      <c r="T133" s="15"/>
      <c r="U133" s="15"/>
      <c r="V133" s="15"/>
      <c r="W133" s="15"/>
    </row>
    <row r="134" spans="1:23" s="21" customFormat="1" x14ac:dyDescent="0.55000000000000004">
      <c r="A134" s="17"/>
      <c r="B134"/>
      <c r="C134"/>
      <c r="D134"/>
      <c r="E134"/>
      <c r="F134" s="49">
        <v>41306</v>
      </c>
      <c r="G134" s="92">
        <v>143.82</v>
      </c>
      <c r="H134"/>
      <c r="I134"/>
      <c r="J134"/>
      <c r="K134"/>
      <c r="L134" s="58">
        <v>140.39051526970854</v>
      </c>
      <c r="M134" s="53"/>
      <c r="N134" s="53">
        <v>140.39051526970854</v>
      </c>
      <c r="O134" s="15">
        <v>3.4294847302914491</v>
      </c>
      <c r="P134" s="15"/>
      <c r="Q134" s="15"/>
      <c r="R134" s="15"/>
      <c r="S134" s="15"/>
      <c r="T134" s="15"/>
      <c r="U134" s="15"/>
      <c r="V134" s="15"/>
      <c r="W134" s="15"/>
    </row>
    <row r="135" spans="1:23" s="21" customFormat="1" x14ac:dyDescent="0.55000000000000004">
      <c r="A135" s="17"/>
      <c r="B135"/>
      <c r="C135"/>
      <c r="D135"/>
      <c r="E135"/>
      <c r="F135" s="49">
        <v>41334</v>
      </c>
      <c r="G135" s="92">
        <v>145.04</v>
      </c>
      <c r="H135"/>
      <c r="I135"/>
      <c r="J135"/>
      <c r="K135"/>
      <c r="L135" s="58">
        <v>140.9651259369997</v>
      </c>
      <c r="M135" s="53"/>
      <c r="N135" s="53">
        <v>140.9651259369997</v>
      </c>
      <c r="O135" s="15">
        <v>4.0748740630002942</v>
      </c>
      <c r="P135" s="15"/>
      <c r="Q135" s="15"/>
      <c r="R135" s="15"/>
      <c r="S135" s="15"/>
      <c r="T135" s="15"/>
      <c r="U135" s="15"/>
      <c r="V135" s="15"/>
      <c r="W135" s="15"/>
    </row>
    <row r="136" spans="1:23" s="21" customFormat="1" x14ac:dyDescent="0.55000000000000004">
      <c r="A136" s="17"/>
      <c r="B136"/>
      <c r="C136"/>
      <c r="D136"/>
      <c r="E136"/>
      <c r="F136" s="49">
        <v>41365</v>
      </c>
      <c r="G136" s="92">
        <v>146.28</v>
      </c>
      <c r="H136"/>
      <c r="I136"/>
      <c r="J136"/>
      <c r="K136"/>
      <c r="L136" s="58">
        <v>141.2610252454688</v>
      </c>
      <c r="M136" s="53"/>
      <c r="N136" s="53">
        <v>141.2610252454688</v>
      </c>
      <c r="O136" s="15">
        <v>5.0189747545312002</v>
      </c>
      <c r="P136" s="15"/>
      <c r="Q136" s="15"/>
      <c r="R136" s="15"/>
      <c r="S136" s="15"/>
      <c r="T136" s="15"/>
      <c r="U136" s="15"/>
      <c r="V136" s="15"/>
      <c r="W136" s="15"/>
    </row>
    <row r="137" spans="1:23" s="21" customFormat="1" x14ac:dyDescent="0.55000000000000004">
      <c r="A137" s="17"/>
      <c r="B137"/>
      <c r="C137"/>
      <c r="D137"/>
      <c r="E137"/>
      <c r="F137" s="49">
        <v>41395</v>
      </c>
      <c r="G137" s="92">
        <v>146.79</v>
      </c>
      <c r="H137"/>
      <c r="I137"/>
      <c r="J137"/>
      <c r="K137"/>
      <c r="L137" s="58">
        <v>141.21368219805674</v>
      </c>
      <c r="M137" s="53"/>
      <c r="N137" s="53">
        <v>141.21368219805674</v>
      </c>
      <c r="O137" s="15">
        <v>5.5763178019432473</v>
      </c>
      <c r="P137" s="15"/>
      <c r="Q137" s="15"/>
      <c r="R137" s="15"/>
      <c r="S137" s="15"/>
      <c r="T137" s="15"/>
      <c r="U137" s="15"/>
      <c r="V137" s="15"/>
      <c r="W137" s="15"/>
    </row>
    <row r="138" spans="1:23" s="21" customFormat="1" x14ac:dyDescent="0.55000000000000004">
      <c r="A138" s="17"/>
      <c r="B138"/>
      <c r="C138"/>
      <c r="D138"/>
      <c r="E138"/>
      <c r="F138" s="49">
        <v>41426</v>
      </c>
      <c r="G138" s="92">
        <v>146.35</v>
      </c>
      <c r="H138"/>
      <c r="I138"/>
      <c r="J138"/>
      <c r="K138"/>
      <c r="L138" s="58">
        <v>141.37718013264174</v>
      </c>
      <c r="M138" s="53"/>
      <c r="N138" s="53">
        <v>141.37718013264174</v>
      </c>
      <c r="O138" s="15">
        <v>4.972819867358254</v>
      </c>
      <c r="P138" s="15"/>
      <c r="Q138" s="15"/>
      <c r="R138" s="15"/>
      <c r="S138" s="15"/>
      <c r="T138" s="15"/>
      <c r="U138" s="15"/>
      <c r="V138" s="15"/>
      <c r="W138" s="15"/>
    </row>
    <row r="139" spans="1:23" s="21" customFormat="1" x14ac:dyDescent="0.55000000000000004">
      <c r="A139" s="17"/>
      <c r="B139"/>
      <c r="C139"/>
      <c r="D139"/>
      <c r="E139"/>
      <c r="F139" s="49">
        <v>41456</v>
      </c>
      <c r="G139" s="92">
        <v>146.93</v>
      </c>
      <c r="H139"/>
      <c r="I139"/>
      <c r="J139"/>
      <c r="K139"/>
      <c r="L139" s="58">
        <v>141.74860062442301</v>
      </c>
      <c r="M139" s="53"/>
      <c r="N139" s="53">
        <v>141.74860062442301</v>
      </c>
      <c r="O139" s="15">
        <v>5.1813993755770014</v>
      </c>
      <c r="P139" s="15"/>
      <c r="Q139" s="15"/>
      <c r="R139" s="15"/>
      <c r="S139" s="15"/>
      <c r="T139" s="15"/>
      <c r="U139" s="15"/>
      <c r="V139" s="15"/>
      <c r="W139" s="15"/>
    </row>
    <row r="140" spans="1:23" s="21" customFormat="1" x14ac:dyDescent="0.55000000000000004">
      <c r="A140" s="17"/>
      <c r="B140"/>
      <c r="C140"/>
      <c r="D140"/>
      <c r="E140"/>
      <c r="F140" s="49">
        <v>41487</v>
      </c>
      <c r="G140" s="92">
        <v>147.18</v>
      </c>
      <c r="H140"/>
      <c r="I140"/>
      <c r="J140"/>
      <c r="K140"/>
      <c r="L140" s="58">
        <v>141.53590008253528</v>
      </c>
      <c r="M140" s="53"/>
      <c r="N140" s="53">
        <v>141.53590008253528</v>
      </c>
      <c r="O140" s="15">
        <v>5.6440999174647288</v>
      </c>
      <c r="P140" s="15"/>
      <c r="Q140" s="15"/>
      <c r="R140" s="15"/>
      <c r="S140" s="15"/>
      <c r="T140" s="15"/>
      <c r="U140" s="15"/>
      <c r="V140" s="15"/>
      <c r="W140" s="15"/>
    </row>
    <row r="141" spans="1:23" s="21" customFormat="1" x14ac:dyDescent="0.55000000000000004">
      <c r="A141" s="17"/>
      <c r="B141"/>
      <c r="C141"/>
      <c r="D141"/>
      <c r="E141"/>
      <c r="F141" s="49">
        <v>41518</v>
      </c>
      <c r="G141" s="92">
        <v>147.83000000000001</v>
      </c>
      <c r="H141"/>
      <c r="I141"/>
      <c r="J141"/>
      <c r="K141"/>
      <c r="L141" s="58">
        <v>141.6791073805841</v>
      </c>
      <c r="M141" s="53"/>
      <c r="N141" s="53">
        <v>141.6791073805841</v>
      </c>
      <c r="O141" s="15">
        <v>6.150892619415913</v>
      </c>
      <c r="P141" s="15"/>
      <c r="Q141" s="15"/>
      <c r="R141" s="15"/>
      <c r="S141" s="15"/>
      <c r="T141" s="15"/>
      <c r="U141" s="15"/>
      <c r="V141" s="15"/>
      <c r="W141" s="15"/>
    </row>
    <row r="142" spans="1:23" s="21" customFormat="1" x14ac:dyDescent="0.55000000000000004">
      <c r="A142" s="17"/>
      <c r="B142"/>
      <c r="C142"/>
      <c r="D142"/>
      <c r="E142"/>
      <c r="F142" s="49">
        <v>41548</v>
      </c>
      <c r="G142" s="92">
        <v>147.99</v>
      </c>
      <c r="H142"/>
      <c r="I142"/>
      <c r="J142"/>
      <c r="K142"/>
      <c r="L142" s="58">
        <v>141.68006059546437</v>
      </c>
      <c r="M142" s="53"/>
      <c r="N142" s="53">
        <v>141.68006059546437</v>
      </c>
      <c r="O142" s="15">
        <v>6.3099394045356405</v>
      </c>
      <c r="P142" s="15"/>
      <c r="Q142" s="15"/>
      <c r="R142" s="15"/>
      <c r="S142" s="15"/>
      <c r="T142" s="15"/>
      <c r="U142" s="15"/>
      <c r="V142" s="15"/>
      <c r="W142" s="15"/>
    </row>
    <row r="143" spans="1:23" s="21" customFormat="1" x14ac:dyDescent="0.55000000000000004">
      <c r="A143" s="17"/>
      <c r="B143"/>
      <c r="C143"/>
      <c r="D143"/>
      <c r="E143"/>
      <c r="F143" s="49">
        <v>41579</v>
      </c>
      <c r="G143" s="92">
        <v>148.36000000000001</v>
      </c>
      <c r="H143"/>
      <c r="I143"/>
      <c r="J143"/>
      <c r="K143"/>
      <c r="L143" s="58">
        <v>141.93953158651524</v>
      </c>
      <c r="M143" s="53"/>
      <c r="N143" s="53">
        <v>141.93953158651524</v>
      </c>
      <c r="O143" s="15">
        <v>6.4204684134847696</v>
      </c>
      <c r="P143" s="15"/>
      <c r="Q143" s="15"/>
      <c r="R143" s="15"/>
      <c r="S143" s="15"/>
      <c r="T143" s="15"/>
      <c r="U143" s="15"/>
      <c r="V143" s="15"/>
      <c r="W143" s="15"/>
    </row>
    <row r="144" spans="1:23" s="21" customFormat="1" x14ac:dyDescent="0.55000000000000004">
      <c r="A144" s="17"/>
      <c r="B144"/>
      <c r="C144"/>
      <c r="D144"/>
      <c r="E144"/>
      <c r="F144" s="49">
        <v>41609</v>
      </c>
      <c r="G144" s="92">
        <v>148.76</v>
      </c>
      <c r="H144"/>
      <c r="I144"/>
      <c r="J144"/>
      <c r="K144"/>
      <c r="L144" s="58">
        <v>141.27908791041045</v>
      </c>
      <c r="M144" s="53"/>
      <c r="N144" s="53">
        <v>141.27908791041045</v>
      </c>
      <c r="O144" s="15">
        <v>7.4809120895895376</v>
      </c>
      <c r="P144" s="15"/>
      <c r="Q144" s="15"/>
      <c r="R144" s="15"/>
      <c r="S144" s="15"/>
      <c r="T144" s="15"/>
      <c r="U144" s="15"/>
      <c r="V144" s="15"/>
      <c r="W144" s="15"/>
    </row>
    <row r="145" spans="1:23" s="21" customFormat="1" x14ac:dyDescent="0.55000000000000004">
      <c r="A145" s="17"/>
      <c r="B145"/>
      <c r="C145"/>
      <c r="D145"/>
      <c r="E145"/>
      <c r="F145" s="49">
        <v>41640</v>
      </c>
      <c r="G145" s="92">
        <v>148.31</v>
      </c>
      <c r="H145"/>
      <c r="I145"/>
      <c r="J145"/>
      <c r="K145"/>
      <c r="L145" s="58">
        <v>140.86250259506954</v>
      </c>
      <c r="M145" s="53"/>
      <c r="N145" s="53">
        <v>140.86250259506954</v>
      </c>
      <c r="O145" s="15">
        <v>7.4474974049304592</v>
      </c>
      <c r="P145" s="15"/>
      <c r="Q145" s="15"/>
      <c r="R145" s="15"/>
      <c r="S145" s="15"/>
      <c r="T145" s="15"/>
      <c r="U145" s="15"/>
      <c r="V145" s="15"/>
      <c r="W145" s="15"/>
    </row>
    <row r="146" spans="1:23" s="21" customFormat="1" x14ac:dyDescent="0.55000000000000004">
      <c r="A146" s="17"/>
      <c r="B146"/>
      <c r="C146"/>
      <c r="D146"/>
      <c r="E146"/>
      <c r="F146" s="49">
        <v>41671</v>
      </c>
      <c r="G146" s="92">
        <v>148</v>
      </c>
      <c r="H146"/>
      <c r="I146"/>
      <c r="J146"/>
      <c r="K146"/>
      <c r="L146" s="58">
        <v>141.53847081023179</v>
      </c>
      <c r="M146" s="53"/>
      <c r="N146" s="53">
        <v>141.53847081023179</v>
      </c>
      <c r="O146" s="15">
        <v>6.4615291897682141</v>
      </c>
      <c r="P146" s="15"/>
      <c r="Q146" s="15"/>
      <c r="R146" s="15"/>
      <c r="S146" s="15"/>
      <c r="T146" s="15"/>
      <c r="U146" s="15"/>
      <c r="V146" s="15"/>
      <c r="W146" s="15"/>
    </row>
    <row r="147" spans="1:23" s="21" customFormat="1" x14ac:dyDescent="0.55000000000000004">
      <c r="A147" s="17"/>
      <c r="B147"/>
      <c r="C147"/>
      <c r="D147"/>
      <c r="E147"/>
      <c r="F147" s="49">
        <v>41699</v>
      </c>
      <c r="G147" s="92">
        <v>147.78</v>
      </c>
      <c r="H147"/>
      <c r="I147"/>
      <c r="J147"/>
      <c r="K147"/>
      <c r="L147" s="58">
        <v>140.79032625112978</v>
      </c>
      <c r="M147" s="53"/>
      <c r="N147" s="53">
        <v>140.79032625112978</v>
      </c>
      <c r="O147" s="15">
        <v>6.9896737488702172</v>
      </c>
      <c r="P147" s="15"/>
      <c r="Q147" s="15"/>
      <c r="R147" s="15"/>
      <c r="S147" s="15"/>
      <c r="T147" s="15"/>
      <c r="U147" s="15"/>
      <c r="V147" s="15"/>
      <c r="W147" s="15"/>
    </row>
    <row r="148" spans="1:23" s="21" customFormat="1" x14ac:dyDescent="0.55000000000000004">
      <c r="A148" s="17"/>
      <c r="B148"/>
      <c r="C148"/>
      <c r="D148"/>
      <c r="E148"/>
      <c r="F148" s="49">
        <v>41730</v>
      </c>
      <c r="G148" s="92">
        <v>147.07</v>
      </c>
      <c r="H148"/>
      <c r="I148"/>
      <c r="J148"/>
      <c r="K148"/>
      <c r="L148" s="58">
        <v>141.74163050632021</v>
      </c>
      <c r="M148" s="53"/>
      <c r="N148" s="53">
        <v>141.74163050632021</v>
      </c>
      <c r="O148" s="15">
        <v>5.3283694936797872</v>
      </c>
      <c r="P148" s="15"/>
      <c r="Q148" s="15"/>
      <c r="R148" s="15"/>
      <c r="S148" s="15"/>
      <c r="T148" s="15"/>
      <c r="U148" s="15"/>
      <c r="V148" s="15"/>
      <c r="W148" s="15"/>
    </row>
    <row r="149" spans="1:23" s="21" customFormat="1" x14ac:dyDescent="0.55000000000000004">
      <c r="A149" s="17"/>
      <c r="B149"/>
      <c r="C149"/>
      <c r="D149"/>
      <c r="E149"/>
      <c r="F149" s="49">
        <v>41760</v>
      </c>
      <c r="G149" s="92">
        <v>146.37</v>
      </c>
      <c r="H149"/>
      <c r="I149"/>
      <c r="J149"/>
      <c r="K149"/>
      <c r="L149" s="58">
        <v>142.16369298326043</v>
      </c>
      <c r="M149" s="53"/>
      <c r="N149" s="53">
        <v>142.16369298326043</v>
      </c>
      <c r="O149" s="15">
        <v>4.2063070167395722</v>
      </c>
      <c r="P149" s="15"/>
      <c r="Q149" s="15"/>
      <c r="R149" s="15"/>
      <c r="S149" s="15"/>
      <c r="T149" s="15"/>
      <c r="U149" s="15"/>
      <c r="V149" s="15"/>
      <c r="W149" s="15"/>
    </row>
    <row r="150" spans="1:23" s="21" customFormat="1" x14ac:dyDescent="0.55000000000000004">
      <c r="A150" s="17"/>
      <c r="B150"/>
      <c r="C150"/>
      <c r="D150"/>
      <c r="E150"/>
      <c r="F150" s="49">
        <v>41791</v>
      </c>
      <c r="G150" s="92">
        <v>143.43</v>
      </c>
      <c r="H150"/>
      <c r="I150"/>
      <c r="J150"/>
      <c r="K150"/>
      <c r="L150" s="58">
        <v>142.16222295128952</v>
      </c>
      <c r="M150" s="53"/>
      <c r="N150" s="53">
        <v>142.16222295128952</v>
      </c>
      <c r="O150" s="15">
        <v>1.2677770487104851</v>
      </c>
      <c r="P150" s="15"/>
      <c r="Q150" s="15"/>
      <c r="R150" s="15"/>
      <c r="S150" s="15"/>
      <c r="T150" s="15"/>
      <c r="U150" s="15"/>
      <c r="V150" s="15"/>
      <c r="W150" s="15"/>
    </row>
    <row r="151" spans="1:23" s="21" customFormat="1" x14ac:dyDescent="0.55000000000000004">
      <c r="A151" s="17"/>
      <c r="B151"/>
      <c r="C151"/>
      <c r="D151"/>
      <c r="E151"/>
      <c r="F151" s="49">
        <v>41821</v>
      </c>
      <c r="G151" s="92">
        <v>144.66999999999999</v>
      </c>
      <c r="H151"/>
      <c r="I151"/>
      <c r="J151"/>
      <c r="K151"/>
      <c r="L151" s="58">
        <v>142.53006986249125</v>
      </c>
      <c r="M151" s="53"/>
      <c r="N151" s="53">
        <v>142.53006986249125</v>
      </c>
      <c r="O151" s="15">
        <v>2.1399301375087418</v>
      </c>
      <c r="P151" s="15"/>
      <c r="Q151" s="15"/>
      <c r="R151" s="15"/>
      <c r="S151" s="15"/>
      <c r="T151" s="15"/>
      <c r="U151" s="15"/>
      <c r="V151" s="15"/>
      <c r="W151" s="15"/>
    </row>
    <row r="152" spans="1:23" s="21" customFormat="1" x14ac:dyDescent="0.55000000000000004">
      <c r="A152" s="17"/>
      <c r="B152"/>
      <c r="C152"/>
      <c r="D152"/>
      <c r="E152"/>
      <c r="F152" s="49">
        <v>41852</v>
      </c>
      <c r="G152" s="92">
        <v>145.66</v>
      </c>
      <c r="H152"/>
      <c r="I152"/>
      <c r="J152"/>
      <c r="K152"/>
      <c r="L152" s="58">
        <v>142.41130314829599</v>
      </c>
      <c r="M152" s="53"/>
      <c r="N152" s="53">
        <v>142.41130314829599</v>
      </c>
      <c r="O152" s="15">
        <v>3.2486968517040111</v>
      </c>
      <c r="P152" s="15"/>
      <c r="Q152" s="15"/>
      <c r="R152" s="15"/>
      <c r="S152" s="15"/>
      <c r="T152" s="15"/>
      <c r="U152" s="15"/>
      <c r="V152" s="15"/>
      <c r="W152" s="15"/>
    </row>
    <row r="153" spans="1:23" s="21" customFormat="1" x14ac:dyDescent="0.55000000000000004">
      <c r="A153" s="17"/>
      <c r="B153"/>
      <c r="C153"/>
      <c r="D153"/>
      <c r="E153"/>
      <c r="F153" s="49">
        <v>41883</v>
      </c>
      <c r="G153" s="92">
        <v>146.22999999999999</v>
      </c>
      <c r="H153"/>
      <c r="I153"/>
      <c r="J153"/>
      <c r="K153"/>
      <c r="L153" s="58">
        <v>141.77566693193009</v>
      </c>
      <c r="M153" s="53"/>
      <c r="N153" s="53">
        <v>141.77566693193009</v>
      </c>
      <c r="O153" s="15">
        <v>4.4543330680699</v>
      </c>
      <c r="P153" s="15"/>
      <c r="Q153" s="15"/>
      <c r="R153" s="15"/>
      <c r="S153" s="15"/>
      <c r="T153" s="15"/>
      <c r="U153" s="15"/>
      <c r="V153" s="15"/>
      <c r="W153" s="15"/>
    </row>
    <row r="154" spans="1:23" s="21" customFormat="1" x14ac:dyDescent="0.55000000000000004">
      <c r="A154" s="17"/>
      <c r="B154"/>
      <c r="C154"/>
      <c r="D154"/>
      <c r="E154"/>
      <c r="F154" s="49">
        <v>41913</v>
      </c>
      <c r="G154" s="92">
        <v>145.41</v>
      </c>
      <c r="H154"/>
      <c r="I154"/>
      <c r="J154"/>
      <c r="K154"/>
      <c r="L154" s="58">
        <v>143.00962108031067</v>
      </c>
      <c r="M154" s="53"/>
      <c r="N154" s="53">
        <v>143.00962108031067</v>
      </c>
      <c r="O154" s="15">
        <v>2.4003789196893308</v>
      </c>
      <c r="P154" s="15"/>
      <c r="Q154" s="15"/>
      <c r="R154" s="15"/>
      <c r="S154" s="15"/>
      <c r="T154" s="15"/>
      <c r="U154" s="15"/>
      <c r="V154" s="15"/>
      <c r="W154" s="15"/>
    </row>
    <row r="155" spans="1:23" s="21" customFormat="1" x14ac:dyDescent="0.55000000000000004">
      <c r="A155" s="17"/>
      <c r="B155"/>
      <c r="C155"/>
      <c r="D155"/>
      <c r="E155"/>
      <c r="F155" s="49">
        <v>41944</v>
      </c>
      <c r="G155" s="92">
        <v>145.62</v>
      </c>
      <c r="H155"/>
      <c r="I155"/>
      <c r="J155"/>
      <c r="K155"/>
      <c r="L155" s="58">
        <v>142.69919833549395</v>
      </c>
      <c r="M155" s="53"/>
      <c r="N155" s="53">
        <v>142.69919833549395</v>
      </c>
      <c r="O155" s="15">
        <v>2.9208016645060582</v>
      </c>
      <c r="P155" s="15"/>
      <c r="Q155" s="15"/>
      <c r="R155" s="15"/>
      <c r="S155" s="15"/>
      <c r="T155" s="15"/>
      <c r="U155" s="15"/>
      <c r="V155" s="15"/>
      <c r="W155" s="15"/>
    </row>
    <row r="156" spans="1:23" s="21" customFormat="1" x14ac:dyDescent="0.55000000000000004">
      <c r="A156" s="17"/>
      <c r="B156"/>
      <c r="C156"/>
      <c r="D156"/>
      <c r="E156"/>
      <c r="F156" s="49">
        <v>41974</v>
      </c>
      <c r="G156" s="92">
        <v>146.28</v>
      </c>
      <c r="H156"/>
      <c r="I156"/>
      <c r="J156"/>
      <c r="K156"/>
      <c r="L156" s="58">
        <v>143.02157343723485</v>
      </c>
      <c r="M156" s="53"/>
      <c r="N156" s="53">
        <v>143.02157343723485</v>
      </c>
      <c r="O156" s="15">
        <v>3.2584265627651519</v>
      </c>
      <c r="P156" s="15"/>
      <c r="Q156" s="15"/>
      <c r="R156" s="15"/>
      <c r="S156" s="15"/>
      <c r="T156" s="15"/>
      <c r="U156" s="15"/>
      <c r="V156" s="15"/>
      <c r="W156" s="15"/>
    </row>
    <row r="157" spans="1:23" s="21" customFormat="1" x14ac:dyDescent="0.55000000000000004">
      <c r="A157" s="17"/>
      <c r="B157"/>
      <c r="C157"/>
      <c r="D157"/>
      <c r="E157"/>
      <c r="F157" s="49">
        <v>42005</v>
      </c>
      <c r="G157" s="92">
        <v>145.11000000000001</v>
      </c>
      <c r="H157"/>
      <c r="I157"/>
      <c r="J157"/>
      <c r="K157"/>
      <c r="L157" s="58">
        <v>143.66506600175424</v>
      </c>
      <c r="M157" s="53"/>
      <c r="N157" s="53">
        <v>143.66506600175424</v>
      </c>
      <c r="O157" s="15">
        <v>1.444933998245773</v>
      </c>
      <c r="P157" s="15"/>
      <c r="Q157" s="15"/>
      <c r="R157" s="15"/>
      <c r="S157" s="15"/>
      <c r="T157" s="15"/>
      <c r="U157" s="15"/>
      <c r="V157" s="15"/>
      <c r="W157" s="15"/>
    </row>
    <row r="158" spans="1:23" s="21" customFormat="1" x14ac:dyDescent="0.55000000000000004">
      <c r="A158" s="17"/>
      <c r="B158"/>
      <c r="C158"/>
      <c r="D158"/>
      <c r="E158"/>
      <c r="F158" s="49">
        <v>42036</v>
      </c>
      <c r="G158" s="92">
        <v>144.05000000000001</v>
      </c>
      <c r="H158"/>
      <c r="I158"/>
      <c r="J158"/>
      <c r="K158"/>
      <c r="L158" s="58">
        <v>142.82799945548922</v>
      </c>
      <c r="M158" s="53"/>
      <c r="N158" s="53">
        <v>142.82799945548922</v>
      </c>
      <c r="O158" s="15">
        <v>1.2220005445107915</v>
      </c>
      <c r="P158" s="15"/>
      <c r="Q158" s="15"/>
      <c r="R158" s="15"/>
      <c r="S158" s="15"/>
      <c r="T158" s="15"/>
      <c r="U158" s="15"/>
      <c r="V158" s="15"/>
      <c r="W158" s="15"/>
    </row>
    <row r="159" spans="1:23" s="21" customFormat="1" x14ac:dyDescent="0.55000000000000004">
      <c r="A159" s="17"/>
      <c r="B159"/>
      <c r="C159"/>
      <c r="D159"/>
      <c r="E159"/>
      <c r="F159" s="49">
        <v>42064</v>
      </c>
      <c r="G159" s="92">
        <v>143.72999999999999</v>
      </c>
      <c r="H159"/>
      <c r="I159"/>
      <c r="J159"/>
      <c r="K159"/>
      <c r="L159" s="58">
        <v>143.80578479030501</v>
      </c>
      <c r="M159" s="53"/>
      <c r="N159" s="53">
        <v>143.80578479030501</v>
      </c>
      <c r="O159" s="15">
        <v>-7.5784790305021943E-2</v>
      </c>
      <c r="P159" s="15"/>
      <c r="Q159" s="15"/>
      <c r="R159" s="15"/>
      <c r="S159" s="15"/>
      <c r="T159" s="15"/>
      <c r="U159" s="15"/>
      <c r="V159" s="15"/>
      <c r="W159" s="15"/>
    </row>
    <row r="160" spans="1:23" s="21" customFormat="1" x14ac:dyDescent="0.55000000000000004">
      <c r="A160" s="17"/>
      <c r="B160"/>
      <c r="C160"/>
      <c r="D160"/>
      <c r="E160"/>
      <c r="F160" s="49">
        <v>42095</v>
      </c>
      <c r="G160" s="92">
        <v>142.02000000000001</v>
      </c>
      <c r="H160"/>
      <c r="I160"/>
      <c r="J160"/>
      <c r="K160"/>
      <c r="L160" s="58">
        <v>143.92837155207491</v>
      </c>
      <c r="M160" s="53"/>
      <c r="N160" s="53">
        <v>143.92837155207491</v>
      </c>
      <c r="O160" s="15">
        <v>-1.9083715520748967</v>
      </c>
      <c r="P160" s="15"/>
      <c r="Q160" s="15"/>
      <c r="R160" s="15"/>
      <c r="S160" s="15"/>
      <c r="T160" s="15"/>
      <c r="U160" s="15"/>
      <c r="V160" s="15"/>
      <c r="W160" s="15"/>
    </row>
    <row r="161" spans="1:23" s="21" customFormat="1" x14ac:dyDescent="0.55000000000000004">
      <c r="A161" s="17"/>
      <c r="B161"/>
      <c r="C161"/>
      <c r="D161"/>
      <c r="E161"/>
      <c r="F161" s="49">
        <v>42125</v>
      </c>
      <c r="G161" s="92">
        <v>141.07</v>
      </c>
      <c r="H161"/>
      <c r="I161"/>
      <c r="J161"/>
      <c r="K161"/>
      <c r="L161" s="58">
        <v>144.09371845145344</v>
      </c>
      <c r="M161" s="53"/>
      <c r="N161" s="53">
        <v>144.09371845145344</v>
      </c>
      <c r="O161" s="15">
        <v>-3.0237184514534476</v>
      </c>
      <c r="P161" s="15"/>
      <c r="Q161" s="15"/>
      <c r="R161" s="15"/>
      <c r="S161" s="15"/>
      <c r="T161" s="15"/>
      <c r="U161" s="15"/>
      <c r="V161" s="15"/>
      <c r="W161" s="15"/>
    </row>
    <row r="162" spans="1:23" s="21" customFormat="1" x14ac:dyDescent="0.55000000000000004">
      <c r="A162" s="17"/>
      <c r="B162"/>
      <c r="C162"/>
      <c r="D162"/>
      <c r="E162"/>
      <c r="F162" s="49">
        <v>42156</v>
      </c>
      <c r="G162" s="92">
        <v>139.55000000000001</v>
      </c>
      <c r="H162"/>
      <c r="I162"/>
      <c r="J162"/>
      <c r="K162"/>
      <c r="L162" s="58">
        <v>144.2656729283195</v>
      </c>
      <c r="M162" s="53"/>
      <c r="N162" s="53">
        <v>144.2656729283195</v>
      </c>
      <c r="O162" s="15">
        <v>-4.715672928319492</v>
      </c>
      <c r="P162" s="15"/>
      <c r="Q162" s="15"/>
      <c r="R162" s="15"/>
      <c r="S162" s="15"/>
      <c r="T162" s="15"/>
      <c r="U162" s="15"/>
      <c r="V162" s="15"/>
      <c r="W162" s="15"/>
    </row>
    <row r="163" spans="1:23" s="21" customFormat="1" x14ac:dyDescent="0.55000000000000004">
      <c r="A163" s="17"/>
      <c r="B163"/>
      <c r="C163"/>
      <c r="D163"/>
      <c r="E163"/>
      <c r="F163" s="49">
        <v>42186</v>
      </c>
      <c r="G163" s="92">
        <v>138.41999999999999</v>
      </c>
      <c r="H163"/>
      <c r="I163"/>
      <c r="J163"/>
      <c r="K163"/>
      <c r="L163" s="58">
        <v>144.29135333968009</v>
      </c>
      <c r="M163" s="53"/>
      <c r="N163" s="53">
        <v>144.29135333968009</v>
      </c>
      <c r="O163" s="15">
        <v>-5.8713533396800983</v>
      </c>
      <c r="P163" s="15"/>
      <c r="Q163" s="15"/>
      <c r="R163" s="15"/>
      <c r="S163" s="15"/>
      <c r="T163" s="15"/>
      <c r="U163" s="15"/>
      <c r="V163" s="15"/>
      <c r="W163" s="15"/>
    </row>
    <row r="164" spans="1:23" s="21" customFormat="1" x14ac:dyDescent="0.55000000000000004">
      <c r="A164" s="17"/>
      <c r="B164"/>
      <c r="C164"/>
      <c r="D164"/>
      <c r="E164"/>
      <c r="F164" s="49">
        <v>42217</v>
      </c>
      <c r="G164" s="92">
        <v>138.83000000000001</v>
      </c>
      <c r="H164"/>
      <c r="I164"/>
      <c r="J164"/>
      <c r="K164"/>
      <c r="L164" s="58">
        <v>144.07202779059998</v>
      </c>
      <c r="M164" s="53"/>
      <c r="N164" s="53">
        <v>144.07202779059998</v>
      </c>
      <c r="O164" s="15">
        <v>-5.2420277905999626</v>
      </c>
      <c r="P164" s="15"/>
      <c r="Q164" s="15"/>
      <c r="R164" s="15"/>
      <c r="S164" s="15"/>
      <c r="T164" s="15"/>
      <c r="U164" s="15"/>
      <c r="V164" s="15"/>
      <c r="W164" s="15"/>
    </row>
    <row r="165" spans="1:23" s="21" customFormat="1" x14ac:dyDescent="0.55000000000000004">
      <c r="A165" s="17"/>
      <c r="B165"/>
      <c r="C165"/>
      <c r="D165"/>
      <c r="E165"/>
      <c r="F165" s="49">
        <v>42248</v>
      </c>
      <c r="G165" s="92">
        <v>137.71</v>
      </c>
      <c r="H165"/>
      <c r="I165"/>
      <c r="J165"/>
      <c r="K165"/>
      <c r="L165" s="58">
        <v>144.79272035647605</v>
      </c>
      <c r="M165" s="53"/>
      <c r="N165" s="53">
        <v>144.79272035647605</v>
      </c>
      <c r="O165" s="15">
        <v>-7.0827203564760453</v>
      </c>
      <c r="P165" s="15"/>
      <c r="Q165" s="15"/>
      <c r="R165" s="15"/>
      <c r="S165" s="15"/>
      <c r="T165" s="15"/>
      <c r="U165" s="15"/>
      <c r="V165" s="15"/>
      <c r="W165" s="15"/>
    </row>
    <row r="166" spans="1:23" s="21" customFormat="1" x14ac:dyDescent="0.55000000000000004">
      <c r="A166" s="17"/>
      <c r="B166"/>
      <c r="C166"/>
      <c r="D166"/>
      <c r="E166"/>
      <c r="F166" s="49">
        <v>42278</v>
      </c>
      <c r="G166" s="92">
        <v>138.78</v>
      </c>
      <c r="H166"/>
      <c r="I166"/>
      <c r="J166"/>
      <c r="K166"/>
      <c r="L166" s="58">
        <v>144.74628059721613</v>
      </c>
      <c r="M166" s="53"/>
      <c r="N166" s="53">
        <v>144.74628059721613</v>
      </c>
      <c r="O166" s="15">
        <v>-5.9662805972161266</v>
      </c>
      <c r="P166" s="15"/>
      <c r="Q166" s="15"/>
      <c r="R166" s="15"/>
      <c r="S166" s="15"/>
      <c r="T166" s="15"/>
      <c r="U166" s="15"/>
      <c r="V166" s="15"/>
      <c r="W166" s="15"/>
    </row>
    <row r="167" spans="1:23" s="21" customFormat="1" x14ac:dyDescent="0.55000000000000004">
      <c r="A167" s="17"/>
      <c r="B167"/>
      <c r="C167"/>
      <c r="D167"/>
      <c r="E167"/>
      <c r="F167" s="49">
        <v>42309</v>
      </c>
      <c r="G167" s="92">
        <v>136.81</v>
      </c>
      <c r="H167"/>
      <c r="I167"/>
      <c r="J167"/>
      <c r="K167"/>
      <c r="L167" s="58">
        <v>145.21451298838278</v>
      </c>
      <c r="M167" s="53"/>
      <c r="N167" s="53">
        <v>145.21451298838278</v>
      </c>
      <c r="O167" s="15">
        <v>-8.4045129883827769</v>
      </c>
      <c r="P167" s="15"/>
      <c r="Q167" s="15"/>
      <c r="R167" s="15"/>
      <c r="S167" s="15"/>
      <c r="T167" s="15"/>
      <c r="U167" s="15"/>
      <c r="V167" s="15"/>
      <c r="W167" s="15"/>
    </row>
    <row r="168" spans="1:23" s="21" customFormat="1" x14ac:dyDescent="0.55000000000000004">
      <c r="A168" s="17"/>
      <c r="B168"/>
      <c r="C168"/>
      <c r="D168"/>
      <c r="E168"/>
      <c r="F168" s="49">
        <v>42339</v>
      </c>
      <c r="G168" s="92">
        <v>136.47999999999999</v>
      </c>
      <c r="H168"/>
      <c r="I168"/>
      <c r="J168"/>
      <c r="K168"/>
      <c r="L168" s="58">
        <v>145.45101712009983</v>
      </c>
      <c r="M168" s="53"/>
      <c r="N168" s="53">
        <v>145.45101712009983</v>
      </c>
      <c r="O168" s="15">
        <v>-8.9710171200998445</v>
      </c>
      <c r="P168" s="15"/>
      <c r="Q168" s="15"/>
      <c r="R168" s="15"/>
      <c r="S168" s="15"/>
      <c r="T168" s="15"/>
      <c r="U168" s="15"/>
      <c r="V168" s="15"/>
      <c r="W168" s="15"/>
    </row>
    <row r="169" spans="1:23" s="21" customFormat="1" x14ac:dyDescent="0.55000000000000004">
      <c r="A169" s="17"/>
      <c r="B169"/>
      <c r="C169"/>
      <c r="D169"/>
      <c r="E169"/>
      <c r="F169" s="49">
        <v>42370</v>
      </c>
      <c r="G169" s="92">
        <v>135.58000000000001</v>
      </c>
      <c r="H169"/>
      <c r="I169"/>
      <c r="J169"/>
      <c r="K169"/>
      <c r="L169" s="58">
        <v>145.20263579343811</v>
      </c>
      <c r="M169" s="53"/>
      <c r="N169" s="53">
        <v>145.20263579343811</v>
      </c>
      <c r="O169" s="15">
        <v>-9.6226357934380928</v>
      </c>
      <c r="P169" s="15"/>
      <c r="Q169" s="15"/>
      <c r="R169" s="15"/>
      <c r="S169" s="15"/>
      <c r="T169" s="15"/>
      <c r="U169" s="15"/>
      <c r="V169" s="15"/>
      <c r="W169" s="15"/>
    </row>
    <row r="170" spans="1:23" s="21" customFormat="1" x14ac:dyDescent="0.55000000000000004">
      <c r="A170" s="17"/>
      <c r="B170"/>
      <c r="C170"/>
      <c r="D170"/>
      <c r="E170"/>
      <c r="F170" s="49">
        <v>42401</v>
      </c>
      <c r="G170" s="92">
        <v>135.41999999999999</v>
      </c>
      <c r="H170"/>
      <c r="I170"/>
      <c r="J170"/>
      <c r="K170"/>
      <c r="L170" s="58">
        <v>145.12149492367644</v>
      </c>
      <c r="M170" s="53"/>
      <c r="N170" s="53">
        <v>145.12149492367644</v>
      </c>
      <c r="O170" s="15">
        <v>-9.7014949236764494</v>
      </c>
      <c r="P170" s="15"/>
      <c r="Q170" s="15"/>
      <c r="R170" s="15"/>
      <c r="S170" s="15"/>
      <c r="T170" s="15"/>
      <c r="U170" s="15"/>
      <c r="V170" s="15"/>
      <c r="W170" s="15"/>
    </row>
    <row r="171" spans="1:23" s="21" customFormat="1" x14ac:dyDescent="0.55000000000000004">
      <c r="A171" s="17"/>
      <c r="B171"/>
      <c r="C171"/>
      <c r="D171"/>
      <c r="E171"/>
      <c r="F171" s="49">
        <v>42430</v>
      </c>
      <c r="G171" s="92">
        <v>134.47</v>
      </c>
      <c r="H171"/>
      <c r="I171"/>
      <c r="J171"/>
      <c r="K171"/>
      <c r="L171" s="58">
        <v>145.07655893190517</v>
      </c>
      <c r="M171" s="53"/>
      <c r="N171" s="53">
        <v>145.07655893190517</v>
      </c>
      <c r="O171" s="15">
        <v>-10.60655893190517</v>
      </c>
      <c r="P171" s="15"/>
      <c r="Q171" s="15"/>
      <c r="R171" s="15"/>
      <c r="S171" s="15"/>
      <c r="T171" s="15"/>
      <c r="U171" s="15"/>
      <c r="V171" s="15"/>
      <c r="W171" s="15"/>
    </row>
    <row r="172" spans="1:23" s="21" customFormat="1" x14ac:dyDescent="0.55000000000000004">
      <c r="A172" s="17"/>
      <c r="B172"/>
      <c r="C172"/>
      <c r="D172"/>
      <c r="E172"/>
      <c r="F172" s="49">
        <v>42461</v>
      </c>
      <c r="G172" s="92">
        <v>134.49</v>
      </c>
      <c r="H172"/>
      <c r="I172"/>
      <c r="J172"/>
      <c r="K172"/>
      <c r="L172" s="58">
        <v>144.82454904368313</v>
      </c>
      <c r="M172" s="53"/>
      <c r="N172" s="53">
        <v>144.82454904368313</v>
      </c>
      <c r="O172" s="15">
        <v>-10.334549043683126</v>
      </c>
      <c r="P172" s="15"/>
      <c r="Q172" s="15"/>
      <c r="R172" s="15"/>
      <c r="S172" s="15"/>
      <c r="T172" s="15"/>
      <c r="U172" s="15"/>
      <c r="V172" s="15"/>
      <c r="W172" s="15"/>
    </row>
    <row r="173" spans="1:23" s="21" customFormat="1" x14ac:dyDescent="0.55000000000000004">
      <c r="A173" s="17"/>
      <c r="B173"/>
      <c r="C173"/>
      <c r="D173"/>
      <c r="E173"/>
      <c r="F173" s="49">
        <v>42491</v>
      </c>
      <c r="G173" s="92">
        <v>134.07</v>
      </c>
      <c r="H173"/>
      <c r="I173"/>
      <c r="J173"/>
      <c r="K173"/>
      <c r="L173" s="58">
        <v>144.78301326700912</v>
      </c>
      <c r="M173" s="53"/>
      <c r="N173" s="53">
        <v>144.78301326700912</v>
      </c>
      <c r="O173" s="15">
        <v>-10.713013267009131</v>
      </c>
      <c r="P173" s="15"/>
      <c r="Q173" s="15"/>
      <c r="R173" s="15"/>
      <c r="S173" s="15"/>
      <c r="T173" s="15"/>
      <c r="U173" s="15"/>
      <c r="V173" s="15"/>
      <c r="W173" s="15"/>
    </row>
    <row r="174" spans="1:23" s="21" customFormat="1" x14ac:dyDescent="0.55000000000000004">
      <c r="A174" s="17"/>
      <c r="B174"/>
      <c r="C174"/>
      <c r="D174"/>
      <c r="E174"/>
      <c r="F174" s="49">
        <v>42522</v>
      </c>
      <c r="G174" s="92">
        <v>134.57</v>
      </c>
      <c r="H174"/>
      <c r="I174"/>
      <c r="J174"/>
      <c r="K174"/>
      <c r="L174" s="58">
        <v>143.42441967564645</v>
      </c>
      <c r="M174" s="53"/>
      <c r="N174" s="53">
        <v>143.42441967564645</v>
      </c>
      <c r="O174" s="15">
        <v>-8.8544196756464544</v>
      </c>
      <c r="P174" s="15"/>
      <c r="Q174" s="15"/>
      <c r="R174" s="15"/>
      <c r="S174" s="15"/>
      <c r="T174" s="15"/>
      <c r="U174" s="15"/>
      <c r="V174" s="15"/>
      <c r="W174" s="15"/>
    </row>
    <row r="175" spans="1:23" s="21" customFormat="1" x14ac:dyDescent="0.55000000000000004">
      <c r="A175" s="17"/>
      <c r="B175"/>
      <c r="C175"/>
      <c r="D175"/>
      <c r="E175"/>
      <c r="F175" s="49">
        <v>42552</v>
      </c>
      <c r="G175" s="92">
        <v>134.43</v>
      </c>
      <c r="H175"/>
      <c r="I175"/>
      <c r="J175"/>
      <c r="K175"/>
      <c r="L175" s="58">
        <v>144.37993041046641</v>
      </c>
      <c r="M175" s="53"/>
      <c r="N175" s="53">
        <v>144.37993041046641</v>
      </c>
      <c r="O175" s="15">
        <v>-9.9499304104664077</v>
      </c>
      <c r="P175" s="15"/>
      <c r="Q175" s="15"/>
      <c r="R175" s="15"/>
      <c r="S175" s="15"/>
      <c r="T175" s="15"/>
      <c r="U175" s="15"/>
      <c r="V175" s="15"/>
      <c r="W175" s="15"/>
    </row>
    <row r="176" spans="1:23" s="21" customFormat="1" x14ac:dyDescent="0.55000000000000004">
      <c r="A176" s="17"/>
      <c r="B176"/>
      <c r="C176"/>
      <c r="D176"/>
      <c r="E176"/>
      <c r="F176" s="49">
        <v>42583</v>
      </c>
      <c r="G176" s="92">
        <v>133.72</v>
      </c>
      <c r="H176"/>
      <c r="I176"/>
      <c r="J176"/>
      <c r="K176"/>
      <c r="L176" s="58">
        <v>144.13441940864075</v>
      </c>
      <c r="M176" s="53"/>
      <c r="N176" s="53">
        <v>144.13441940864075</v>
      </c>
      <c r="O176" s="15">
        <v>-10.414419408640754</v>
      </c>
      <c r="P176" s="15"/>
      <c r="Q176" s="15"/>
      <c r="R176" s="15"/>
      <c r="S176" s="15"/>
      <c r="T176" s="15"/>
      <c r="U176" s="15"/>
      <c r="V176" s="15"/>
      <c r="W176" s="15"/>
    </row>
    <row r="177" spans="1:23" s="21" customFormat="1" x14ac:dyDescent="0.55000000000000004">
      <c r="A177" s="17"/>
      <c r="B177"/>
      <c r="C177"/>
      <c r="D177"/>
      <c r="E177"/>
      <c r="F177" s="49">
        <v>42614</v>
      </c>
      <c r="G177" s="92">
        <v>133.63999999999999</v>
      </c>
      <c r="H177"/>
      <c r="I177"/>
      <c r="J177"/>
      <c r="K177"/>
      <c r="L177" s="58">
        <v>144.62903341624892</v>
      </c>
      <c r="M177" s="53"/>
      <c r="N177" s="53">
        <v>144.62903341624892</v>
      </c>
      <c r="O177" s="15">
        <v>-10.98903341624893</v>
      </c>
      <c r="P177" s="15"/>
      <c r="Q177" s="15"/>
      <c r="R177" s="15"/>
      <c r="S177" s="15"/>
      <c r="T177" s="15"/>
      <c r="U177" s="15"/>
      <c r="V177" s="15"/>
      <c r="W177" s="15"/>
    </row>
    <row r="178" spans="1:23" s="21" customFormat="1" x14ac:dyDescent="0.55000000000000004">
      <c r="A178" s="17"/>
      <c r="B178"/>
      <c r="C178"/>
      <c r="D178"/>
      <c r="E178"/>
      <c r="F178" s="49">
        <v>42644</v>
      </c>
      <c r="G178" s="92">
        <v>133.34</v>
      </c>
      <c r="H178"/>
      <c r="I178"/>
      <c r="J178"/>
      <c r="K178"/>
      <c r="L178" s="58">
        <v>144.28094831489122</v>
      </c>
      <c r="M178" s="53"/>
      <c r="N178" s="53">
        <v>144.28094831489122</v>
      </c>
      <c r="O178" s="15">
        <v>-10.940948314891216</v>
      </c>
      <c r="P178" s="15"/>
      <c r="Q178" s="15"/>
      <c r="R178" s="15"/>
      <c r="S178" s="15"/>
      <c r="T178" s="15"/>
      <c r="U178" s="15"/>
      <c r="V178" s="15"/>
      <c r="W178" s="15"/>
    </row>
    <row r="179" spans="1:23" s="21" customFormat="1" x14ac:dyDescent="0.55000000000000004">
      <c r="A179" s="17"/>
      <c r="B179"/>
      <c r="C179"/>
      <c r="D179"/>
      <c r="E179"/>
      <c r="F179" s="49">
        <v>42675</v>
      </c>
      <c r="G179" s="92">
        <v>133.13999999999999</v>
      </c>
      <c r="H179"/>
      <c r="I179"/>
      <c r="J179"/>
      <c r="K179"/>
      <c r="L179" s="58">
        <v>144.02709054944208</v>
      </c>
      <c r="M179" s="53"/>
      <c r="N179" s="53">
        <v>144.02709054944208</v>
      </c>
      <c r="O179" s="15">
        <v>-10.887090549442092</v>
      </c>
      <c r="P179" s="15"/>
      <c r="Q179" s="15"/>
      <c r="R179" s="15"/>
      <c r="S179" s="15"/>
      <c r="T179" s="15"/>
      <c r="U179" s="15"/>
      <c r="V179" s="15"/>
      <c r="W179" s="15"/>
    </row>
    <row r="180" spans="1:23" s="21" customFormat="1" x14ac:dyDescent="0.55000000000000004">
      <c r="A180" s="17"/>
      <c r="B180"/>
      <c r="C180"/>
      <c r="D180"/>
      <c r="E180"/>
      <c r="F180" s="49">
        <v>42705</v>
      </c>
      <c r="G180" s="92">
        <v>132.54</v>
      </c>
      <c r="H180"/>
      <c r="I180"/>
      <c r="J180"/>
      <c r="K180"/>
      <c r="L180" s="58">
        <v>143.83414024130371</v>
      </c>
      <c r="M180" s="53"/>
      <c r="N180" s="53">
        <v>143.83414024130371</v>
      </c>
      <c r="O180" s="15">
        <v>-11.294140241303722</v>
      </c>
      <c r="P180" s="15"/>
      <c r="Q180" s="15"/>
      <c r="R180" s="15"/>
      <c r="S180" s="15"/>
      <c r="T180" s="15"/>
      <c r="U180" s="15"/>
      <c r="V180" s="15"/>
      <c r="W180" s="15"/>
    </row>
    <row r="181" spans="1:23" s="21" customFormat="1" x14ac:dyDescent="0.55000000000000004">
      <c r="A181" s="17"/>
      <c r="B181"/>
      <c r="C181"/>
      <c r="D181"/>
      <c r="E181"/>
      <c r="F181" s="49">
        <v>42736</v>
      </c>
      <c r="G181" s="92">
        <v>133.61000000000001</v>
      </c>
      <c r="H181"/>
      <c r="I181"/>
      <c r="J181"/>
      <c r="K181"/>
      <c r="L181" s="58">
        <v>143.35146763184983</v>
      </c>
      <c r="M181" s="53"/>
      <c r="N181" s="53">
        <v>143.35146763184983</v>
      </c>
      <c r="O181" s="15">
        <v>-9.7414676318498152</v>
      </c>
      <c r="P181" s="15"/>
      <c r="Q181" s="15"/>
      <c r="R181" s="15"/>
      <c r="S181" s="15"/>
      <c r="T181" s="15"/>
      <c r="U181" s="15"/>
      <c r="V181" s="15"/>
      <c r="W181" s="15"/>
    </row>
    <row r="182" spans="1:23" s="21" customFormat="1" x14ac:dyDescent="0.55000000000000004">
      <c r="A182" s="17"/>
      <c r="B182"/>
      <c r="C182"/>
      <c r="D182"/>
      <c r="E182"/>
      <c r="F182" s="49">
        <v>42767</v>
      </c>
      <c r="G182" s="92">
        <v>135.55000000000001</v>
      </c>
      <c r="H182"/>
      <c r="I182"/>
      <c r="J182"/>
      <c r="K182"/>
      <c r="L182" s="58">
        <v>143.04266668702957</v>
      </c>
      <c r="M182" s="53"/>
      <c r="N182" s="53">
        <v>143.04266668702957</v>
      </c>
      <c r="O182" s="15">
        <v>-7.4926666870295549</v>
      </c>
      <c r="P182" s="15"/>
      <c r="Q182" s="15"/>
      <c r="R182" s="15"/>
      <c r="S182" s="15"/>
      <c r="T182" s="15"/>
      <c r="U182" s="15"/>
      <c r="V182" s="15"/>
      <c r="W182" s="15"/>
    </row>
    <row r="183" spans="1:23" s="21" customFormat="1" x14ac:dyDescent="0.55000000000000004">
      <c r="A183" s="17"/>
      <c r="B183"/>
      <c r="C183"/>
      <c r="D183"/>
      <c r="E183"/>
      <c r="F183" s="49">
        <v>42795</v>
      </c>
      <c r="G183" s="92">
        <v>135.34</v>
      </c>
      <c r="H183"/>
      <c r="I183"/>
      <c r="J183"/>
      <c r="K183"/>
      <c r="L183" s="58">
        <v>143.15531820089026</v>
      </c>
      <c r="M183" s="53"/>
      <c r="N183" s="53">
        <v>143.15531820089026</v>
      </c>
      <c r="O183" s="15">
        <v>-7.8153182008902604</v>
      </c>
      <c r="P183" s="15"/>
      <c r="Q183" s="15"/>
      <c r="R183" s="15"/>
      <c r="S183" s="15"/>
      <c r="T183" s="15"/>
      <c r="U183" s="15"/>
      <c r="V183" s="15"/>
      <c r="W183" s="15"/>
    </row>
    <row r="184" spans="1:23" s="21" customFormat="1" x14ac:dyDescent="0.55000000000000004">
      <c r="A184" s="17"/>
      <c r="B184"/>
      <c r="C184"/>
      <c r="D184"/>
      <c r="E184"/>
      <c r="F184" s="49">
        <v>42826</v>
      </c>
      <c r="G184" s="92">
        <v>135.29</v>
      </c>
      <c r="H184"/>
      <c r="I184"/>
      <c r="J184"/>
      <c r="K184"/>
      <c r="L184" s="58">
        <v>142.43406358798984</v>
      </c>
      <c r="M184" s="53"/>
      <c r="N184" s="53">
        <v>142.43406358798984</v>
      </c>
      <c r="O184" s="15">
        <v>-7.144063587989848</v>
      </c>
      <c r="P184" s="15"/>
      <c r="Q184" s="15"/>
      <c r="R184" s="15"/>
      <c r="S184" s="15"/>
      <c r="T184" s="15"/>
      <c r="U184" s="15"/>
      <c r="V184" s="15"/>
      <c r="W184" s="15"/>
    </row>
    <row r="185" spans="1:23" s="21" customFormat="1" x14ac:dyDescent="0.55000000000000004">
      <c r="A185" s="17"/>
      <c r="B185"/>
      <c r="C185"/>
      <c r="D185"/>
      <c r="E185"/>
      <c r="F185" s="49">
        <v>42856</v>
      </c>
      <c r="G185" s="92">
        <v>135.06</v>
      </c>
      <c r="H185"/>
      <c r="I185"/>
      <c r="J185"/>
      <c r="K185"/>
      <c r="L185" s="58">
        <v>142.47476307449674</v>
      </c>
      <c r="M185" s="53"/>
      <c r="N185" s="53">
        <v>142.47476307449674</v>
      </c>
      <c r="O185" s="15">
        <v>-7.414763074496733</v>
      </c>
      <c r="P185" s="15"/>
      <c r="Q185" s="15"/>
      <c r="R185" s="15"/>
      <c r="S185" s="15"/>
      <c r="T185" s="15"/>
      <c r="U185" s="15"/>
      <c r="V185" s="15"/>
      <c r="W185" s="15"/>
    </row>
    <row r="186" spans="1:23" s="21" customFormat="1" x14ac:dyDescent="0.55000000000000004">
      <c r="A186" s="17"/>
      <c r="B186"/>
      <c r="C186"/>
      <c r="D186"/>
      <c r="E186"/>
      <c r="F186" s="49">
        <v>42887</v>
      </c>
      <c r="G186" s="92">
        <v>135.94999999999999</v>
      </c>
      <c r="H186"/>
      <c r="I186"/>
      <c r="J186"/>
      <c r="K186"/>
      <c r="L186" s="58">
        <v>141.43337705747223</v>
      </c>
      <c r="M186" s="53"/>
      <c r="N186" s="53">
        <v>141.43337705747223</v>
      </c>
      <c r="O186" s="15">
        <v>-5.4833770574722394</v>
      </c>
      <c r="P186" s="15"/>
      <c r="Q186" s="15"/>
      <c r="R186" s="15"/>
      <c r="S186" s="15"/>
      <c r="T186" s="15"/>
      <c r="U186" s="15"/>
      <c r="V186" s="15"/>
      <c r="W186" s="15"/>
    </row>
    <row r="187" spans="1:23" s="21" customFormat="1" x14ac:dyDescent="0.55000000000000004">
      <c r="A187" s="17"/>
      <c r="B187"/>
      <c r="C187"/>
      <c r="D187"/>
      <c r="E187"/>
      <c r="F187" s="49">
        <v>42917</v>
      </c>
      <c r="G187" s="92">
        <v>136.34</v>
      </c>
      <c r="H187"/>
      <c r="I187"/>
      <c r="J187"/>
      <c r="K187"/>
      <c r="L187" s="58">
        <v>141.07089858290286</v>
      </c>
      <c r="M187" s="53"/>
      <c r="N187" s="53">
        <v>141.07089858290286</v>
      </c>
      <c r="O187" s="15">
        <v>-4.7308985829028529</v>
      </c>
      <c r="P187" s="15"/>
      <c r="Q187" s="15"/>
      <c r="R187" s="15"/>
      <c r="S187" s="15"/>
      <c r="T187" s="15"/>
      <c r="U187" s="15"/>
      <c r="V187" s="15"/>
      <c r="W187" s="15"/>
    </row>
    <row r="188" spans="1:23" s="21" customFormat="1" x14ac:dyDescent="0.55000000000000004">
      <c r="A188" s="17"/>
      <c r="B188"/>
      <c r="C188"/>
      <c r="D188"/>
      <c r="E188"/>
      <c r="F188" s="49">
        <v>42948</v>
      </c>
      <c r="G188" s="92">
        <v>135.63999999999999</v>
      </c>
      <c r="H188"/>
      <c r="I188"/>
      <c r="J188"/>
      <c r="K188"/>
      <c r="L188" s="58">
        <v>141.31999978661099</v>
      </c>
      <c r="M188" s="53"/>
      <c r="N188" s="53">
        <v>141.31999978661099</v>
      </c>
      <c r="O188" s="15">
        <v>-5.6799997866110061</v>
      </c>
      <c r="P188" s="15"/>
      <c r="Q188" s="15"/>
      <c r="R188" s="15"/>
      <c r="S188" s="15"/>
      <c r="T188" s="15"/>
      <c r="U188" s="15"/>
      <c r="V188" s="15"/>
      <c r="W188" s="15"/>
    </row>
    <row r="189" spans="1:23" s="21" customFormat="1" x14ac:dyDescent="0.55000000000000004">
      <c r="A189" s="17"/>
      <c r="B189"/>
      <c r="C189"/>
      <c r="D189"/>
      <c r="E189"/>
      <c r="F189" s="49">
        <v>42979</v>
      </c>
      <c r="G189" s="92">
        <v>135.63999999999999</v>
      </c>
      <c r="H189"/>
      <c r="I189"/>
      <c r="J189"/>
      <c r="K189"/>
      <c r="L189" s="58">
        <v>140.28886423903882</v>
      </c>
      <c r="M189" s="53"/>
      <c r="N189" s="53">
        <v>140.28886423903882</v>
      </c>
      <c r="O189" s="15">
        <v>-4.6488642390388293</v>
      </c>
      <c r="P189" s="15"/>
      <c r="Q189" s="15"/>
      <c r="R189" s="15"/>
      <c r="S189" s="15"/>
      <c r="T189" s="15"/>
      <c r="U189" s="15"/>
      <c r="V189" s="15"/>
      <c r="W189" s="15"/>
    </row>
    <row r="190" spans="1:23" s="21" customFormat="1" x14ac:dyDescent="0.55000000000000004">
      <c r="A190" s="17"/>
      <c r="B190"/>
      <c r="C190"/>
      <c r="D190"/>
      <c r="E190"/>
      <c r="F190" s="49">
        <v>43009</v>
      </c>
      <c r="G190" s="92">
        <v>136.04</v>
      </c>
      <c r="H190"/>
      <c r="I190"/>
      <c r="J190"/>
      <c r="K190"/>
      <c r="L190" s="58">
        <v>140.93826540979816</v>
      </c>
      <c r="M190" s="53"/>
      <c r="N190" s="53">
        <v>140.93826540979816</v>
      </c>
      <c r="O190" s="15">
        <v>-4.8982654097981708</v>
      </c>
      <c r="P190" s="15"/>
      <c r="Q190" s="15"/>
      <c r="R190" s="15"/>
      <c r="S190" s="15"/>
      <c r="T190" s="15"/>
      <c r="U190" s="15"/>
      <c r="V190" s="15"/>
      <c r="W190" s="15"/>
    </row>
    <row r="191" spans="1:23" s="21" customFormat="1" x14ac:dyDescent="0.55000000000000004">
      <c r="A191" s="17"/>
      <c r="B191"/>
      <c r="C191"/>
      <c r="D191"/>
      <c r="E191"/>
      <c r="F191" s="49">
        <v>43040</v>
      </c>
      <c r="G191" s="92">
        <v>135.99</v>
      </c>
      <c r="H191"/>
      <c r="I191"/>
      <c r="J191"/>
      <c r="K191"/>
      <c r="L191" s="58">
        <v>139.46424441772527</v>
      </c>
      <c r="M191" s="53"/>
      <c r="N191" s="53">
        <v>139.46424441772527</v>
      </c>
      <c r="O191" s="15">
        <v>-3.4742444177252594</v>
      </c>
      <c r="P191" s="15"/>
      <c r="Q191" s="15"/>
      <c r="R191" s="15"/>
      <c r="S191" s="15"/>
      <c r="T191" s="15"/>
      <c r="U191" s="15"/>
      <c r="V191" s="15"/>
      <c r="W191" s="15"/>
    </row>
    <row r="192" spans="1:23" s="21" customFormat="1" x14ac:dyDescent="0.55000000000000004">
      <c r="A192" s="17"/>
      <c r="B192"/>
      <c r="C192"/>
      <c r="D192"/>
      <c r="E192"/>
      <c r="F192" s="49">
        <v>43070</v>
      </c>
      <c r="G192" s="92">
        <v>138.11000000000001</v>
      </c>
      <c r="H192"/>
      <c r="I192"/>
      <c r="J192"/>
      <c r="K192"/>
      <c r="L192" s="58">
        <v>139.48634946012518</v>
      </c>
      <c r="M192" s="53"/>
      <c r="N192" s="53">
        <v>139.48634946012518</v>
      </c>
      <c r="O192" s="15">
        <v>-1.3763494601251693</v>
      </c>
      <c r="P192" s="15"/>
      <c r="Q192" s="15"/>
      <c r="R192" s="15"/>
      <c r="S192" s="15"/>
      <c r="T192" s="15"/>
      <c r="U192" s="15"/>
      <c r="V192" s="15"/>
      <c r="W192" s="15"/>
    </row>
    <row r="193" spans="1:23" s="21" customFormat="1" x14ac:dyDescent="0.55000000000000004">
      <c r="A193" s="17"/>
      <c r="B193"/>
      <c r="C193"/>
      <c r="D193"/>
      <c r="E193"/>
      <c r="F193" s="49">
        <v>43101</v>
      </c>
      <c r="G193" s="92">
        <v>137.41999999999999</v>
      </c>
      <c r="H193"/>
      <c r="I193"/>
      <c r="J193"/>
      <c r="K193"/>
      <c r="L193" s="58">
        <v>138.6353560383501</v>
      </c>
      <c r="M193" s="53"/>
      <c r="N193" s="53">
        <v>138.6353560383501</v>
      </c>
      <c r="O193" s="15">
        <v>-1.2153560383501087</v>
      </c>
      <c r="P193" s="15"/>
      <c r="Q193" s="15"/>
      <c r="R193" s="15"/>
      <c r="S193" s="15"/>
      <c r="T193" s="15"/>
      <c r="U193" s="15"/>
      <c r="V193" s="15"/>
      <c r="W193" s="15"/>
    </row>
    <row r="194" spans="1:23" s="21" customFormat="1" x14ac:dyDescent="0.55000000000000004">
      <c r="A194" s="17"/>
      <c r="B194"/>
      <c r="C194"/>
      <c r="D194"/>
      <c r="E194"/>
      <c r="F194" s="49">
        <v>43132</v>
      </c>
      <c r="G194" s="92">
        <v>136.83000000000001</v>
      </c>
      <c r="H194"/>
      <c r="I194"/>
      <c r="J194"/>
      <c r="K194"/>
      <c r="L194" s="58">
        <v>138.54519351252162</v>
      </c>
      <c r="M194" s="53"/>
      <c r="N194" s="53">
        <v>138.54519351252162</v>
      </c>
      <c r="O194" s="15">
        <v>-1.7151935125216085</v>
      </c>
      <c r="P194" s="15"/>
      <c r="Q194" s="15"/>
      <c r="R194" s="15"/>
      <c r="S194" s="15"/>
      <c r="T194" s="15"/>
      <c r="U194" s="15"/>
      <c r="V194" s="15"/>
      <c r="W194" s="15"/>
    </row>
    <row r="195" spans="1:23" s="21" customFormat="1" x14ac:dyDescent="0.55000000000000004">
      <c r="A195" s="17"/>
      <c r="B195"/>
      <c r="C195"/>
      <c r="D195"/>
      <c r="E195"/>
      <c r="F195" s="49">
        <v>43160</v>
      </c>
      <c r="G195" s="92">
        <v>136.59</v>
      </c>
      <c r="H195"/>
      <c r="I195"/>
      <c r="J195"/>
      <c r="K195"/>
      <c r="L195" s="58">
        <v>138.18396001450603</v>
      </c>
      <c r="M195" s="53"/>
      <c r="N195" s="53">
        <v>138.18396001450603</v>
      </c>
      <c r="O195" s="15">
        <v>-1.593960014506024</v>
      </c>
      <c r="P195" s="15"/>
      <c r="Q195" s="15"/>
      <c r="R195" s="15"/>
      <c r="S195" s="15"/>
      <c r="T195" s="15"/>
      <c r="U195" s="15"/>
      <c r="V195" s="15"/>
      <c r="W195" s="15"/>
    </row>
    <row r="196" spans="1:23" s="21" customFormat="1" x14ac:dyDescent="0.55000000000000004">
      <c r="A196" s="17"/>
      <c r="B196"/>
      <c r="C196"/>
      <c r="D196"/>
      <c r="E196"/>
      <c r="F196" s="49">
        <v>43191</v>
      </c>
      <c r="G196" s="92">
        <v>137.28</v>
      </c>
      <c r="H196"/>
      <c r="I196"/>
      <c r="J196"/>
      <c r="K196"/>
      <c r="L196" s="58">
        <v>138.45148564425958</v>
      </c>
      <c r="M196" s="53"/>
      <c r="N196" s="53">
        <v>138.45148564425958</v>
      </c>
      <c r="O196" s="15">
        <v>-1.171485644259576</v>
      </c>
      <c r="P196" s="15"/>
      <c r="Q196" s="15"/>
      <c r="R196" s="15"/>
      <c r="S196" s="15"/>
      <c r="T196" s="15"/>
      <c r="U196" s="15"/>
      <c r="V196" s="15"/>
      <c r="W196" s="15"/>
    </row>
    <row r="197" spans="1:23" s="21" customFormat="1" x14ac:dyDescent="0.55000000000000004">
      <c r="A197" s="17"/>
      <c r="B197"/>
      <c r="C197"/>
      <c r="D197"/>
      <c r="E197"/>
      <c r="F197" s="49">
        <v>43221</v>
      </c>
      <c r="G197" s="92">
        <v>133.07</v>
      </c>
      <c r="H197"/>
      <c r="I197"/>
      <c r="J197"/>
      <c r="K197"/>
      <c r="L197" s="58">
        <v>137.86357967123746</v>
      </c>
      <c r="M197" s="53"/>
      <c r="N197" s="53">
        <v>137.86357967123746</v>
      </c>
      <c r="O197" s="15">
        <v>-4.7935796712374668</v>
      </c>
      <c r="P197" s="15"/>
      <c r="Q197" s="15"/>
      <c r="R197" s="15"/>
      <c r="S197" s="15"/>
      <c r="T197" s="15"/>
      <c r="U197" s="15"/>
      <c r="V197" s="15"/>
      <c r="W197" s="15"/>
    </row>
    <row r="198" spans="1:23" s="21" customFormat="1" x14ac:dyDescent="0.55000000000000004">
      <c r="A198" s="17"/>
      <c r="B198"/>
      <c r="C198"/>
      <c r="D198"/>
      <c r="E198"/>
      <c r="F198" s="49">
        <v>43252</v>
      </c>
      <c r="G198" s="92">
        <v>137.38999999999999</v>
      </c>
      <c r="H198"/>
      <c r="I198"/>
      <c r="J198"/>
      <c r="K198"/>
      <c r="L198" s="58">
        <v>138.32569155777449</v>
      </c>
      <c r="M198" s="53"/>
      <c r="N198" s="53">
        <v>138.32569155777449</v>
      </c>
      <c r="O198" s="15">
        <v>-0.93569155777450419</v>
      </c>
      <c r="P198" s="15"/>
      <c r="Q198" s="15"/>
      <c r="R198" s="15"/>
      <c r="S198" s="15"/>
      <c r="T198" s="15"/>
      <c r="U198" s="15"/>
      <c r="V198" s="15"/>
      <c r="W198" s="15"/>
    </row>
    <row r="199" spans="1:23" s="21" customFormat="1" x14ac:dyDescent="0.55000000000000004">
      <c r="A199" s="17"/>
      <c r="B199"/>
      <c r="C199"/>
      <c r="D199"/>
      <c r="E199"/>
      <c r="F199" s="49">
        <v>43282</v>
      </c>
      <c r="G199" s="92">
        <v>137.91999999999999</v>
      </c>
      <c r="H199"/>
      <c r="I199"/>
      <c r="J199"/>
      <c r="K199"/>
      <c r="L199" s="58">
        <v>137.73817844463287</v>
      </c>
      <c r="M199" s="53"/>
      <c r="N199" s="53">
        <v>137.73817844463287</v>
      </c>
      <c r="O199" s="15">
        <v>0.1818215553671223</v>
      </c>
      <c r="P199" s="15"/>
      <c r="Q199" s="15"/>
      <c r="R199" s="15"/>
      <c r="S199" s="15"/>
      <c r="T199" s="15"/>
      <c r="U199" s="15"/>
      <c r="V199" s="15"/>
      <c r="W199" s="15"/>
    </row>
    <row r="200" spans="1:23" s="21" customFormat="1" x14ac:dyDescent="0.55000000000000004">
      <c r="A200" s="17"/>
      <c r="B200"/>
      <c r="C200"/>
      <c r="D200"/>
      <c r="E200"/>
      <c r="F200" s="49">
        <v>43313</v>
      </c>
      <c r="G200" s="92">
        <v>138.94999999999999</v>
      </c>
      <c r="H200"/>
      <c r="I200"/>
      <c r="J200"/>
      <c r="K200"/>
      <c r="L200" s="58">
        <v>137.50894924516737</v>
      </c>
      <c r="M200" s="53"/>
      <c r="N200" s="53">
        <v>137.50894924516737</v>
      </c>
      <c r="O200" s="15">
        <v>1.4410507548326166</v>
      </c>
      <c r="P200" s="15"/>
      <c r="Q200" s="15"/>
      <c r="R200" s="15"/>
      <c r="S200" s="15"/>
      <c r="T200" s="15"/>
      <c r="U200" s="15"/>
      <c r="V200" s="15"/>
      <c r="W200" s="15"/>
    </row>
    <row r="201" spans="1:23" s="21" customFormat="1" x14ac:dyDescent="0.55000000000000004">
      <c r="A201" s="17"/>
      <c r="B201"/>
      <c r="C201"/>
      <c r="D201"/>
      <c r="E201"/>
      <c r="F201" s="49">
        <v>43344</v>
      </c>
      <c r="G201" s="92">
        <v>138.22</v>
      </c>
      <c r="H201"/>
      <c r="I201"/>
      <c r="J201"/>
      <c r="K201"/>
      <c r="L201" s="58">
        <v>137.41173147358958</v>
      </c>
      <c r="M201" s="53"/>
      <c r="N201" s="53">
        <v>137.41173147358958</v>
      </c>
      <c r="O201" s="15">
        <v>0.80826852641041569</v>
      </c>
      <c r="P201" s="15"/>
      <c r="Q201" s="15"/>
      <c r="R201" s="15"/>
      <c r="S201" s="15"/>
      <c r="T201" s="15"/>
      <c r="U201" s="15"/>
      <c r="V201" s="15"/>
      <c r="W201" s="15"/>
    </row>
    <row r="202" spans="1:23" s="21" customFormat="1" x14ac:dyDescent="0.55000000000000004">
      <c r="A202" s="17"/>
      <c r="B202"/>
      <c r="C202"/>
      <c r="D202"/>
      <c r="E202"/>
      <c r="F202" s="49">
        <v>43374</v>
      </c>
      <c r="G202" s="92">
        <v>138.44</v>
      </c>
      <c r="H202"/>
      <c r="I202"/>
      <c r="J202"/>
      <c r="K202"/>
      <c r="L202" s="58">
        <v>137.12084942523754</v>
      </c>
      <c r="M202" s="53"/>
      <c r="N202" s="53">
        <v>137.12084942523754</v>
      </c>
      <c r="O202" s="15">
        <v>1.3191505747624603</v>
      </c>
      <c r="P202" s="15"/>
      <c r="Q202" s="15"/>
      <c r="R202" s="15"/>
      <c r="S202" s="15"/>
      <c r="T202" s="15"/>
      <c r="U202" s="15"/>
      <c r="V202" s="15"/>
      <c r="W202" s="15"/>
    </row>
    <row r="203" spans="1:23" s="21" customFormat="1" x14ac:dyDescent="0.55000000000000004">
      <c r="A203" s="17"/>
      <c r="B203"/>
      <c r="C203"/>
      <c r="D203"/>
      <c r="E203"/>
      <c r="F203" s="49">
        <v>43405</v>
      </c>
      <c r="G203" s="92">
        <v>138.61000000000001</v>
      </c>
      <c r="H203"/>
      <c r="I203"/>
      <c r="J203"/>
      <c r="K203"/>
      <c r="L203" s="58">
        <v>137.07838235359313</v>
      </c>
      <c r="M203" s="53"/>
      <c r="N203" s="53">
        <v>137.07838235359313</v>
      </c>
      <c r="O203" s="15">
        <v>1.531617646406886</v>
      </c>
      <c r="P203" s="15"/>
      <c r="Q203" s="15"/>
      <c r="R203" s="15"/>
      <c r="S203" s="15"/>
      <c r="T203" s="15"/>
      <c r="U203" s="15"/>
      <c r="V203" s="15"/>
      <c r="W203" s="15"/>
    </row>
    <row r="204" spans="1:23" s="21" customFormat="1" x14ac:dyDescent="0.55000000000000004">
      <c r="A204" s="17"/>
      <c r="B204"/>
      <c r="C204"/>
      <c r="D204"/>
      <c r="E204"/>
      <c r="F204" s="49">
        <v>43435</v>
      </c>
      <c r="G204" s="92">
        <v>139.18</v>
      </c>
      <c r="H204"/>
      <c r="I204"/>
      <c r="J204"/>
      <c r="K204"/>
      <c r="L204" s="58">
        <v>136.93107164418836</v>
      </c>
      <c r="M204" s="53"/>
      <c r="N204" s="53">
        <v>136.93107164418836</v>
      </c>
      <c r="O204" s="15">
        <v>2.2489283558116426</v>
      </c>
      <c r="P204" s="15"/>
      <c r="Q204" s="15"/>
      <c r="R204" s="15"/>
      <c r="S204" s="15"/>
      <c r="T204" s="15"/>
      <c r="U204" s="15"/>
      <c r="V204" s="15"/>
      <c r="W204" s="15"/>
    </row>
    <row r="205" spans="1:23" s="21" customFormat="1" x14ac:dyDescent="0.55000000000000004">
      <c r="A205" s="17"/>
      <c r="B205"/>
      <c r="C205"/>
      <c r="D205"/>
      <c r="E205"/>
      <c r="F205" s="49">
        <v>43466</v>
      </c>
      <c r="G205" s="92">
        <v>139.28</v>
      </c>
      <c r="H205"/>
      <c r="I205"/>
      <c r="J205"/>
      <c r="K205"/>
      <c r="L205" s="58">
        <v>137.40344869919088</v>
      </c>
      <c r="M205" s="53"/>
      <c r="N205" s="53">
        <v>137.40344869919088</v>
      </c>
      <c r="O205" s="15">
        <v>1.8765513008091261</v>
      </c>
      <c r="P205" s="15"/>
      <c r="Q205" s="15"/>
      <c r="R205" s="15"/>
      <c r="S205" s="15"/>
      <c r="T205" s="15"/>
      <c r="U205" s="15"/>
      <c r="V205" s="15"/>
      <c r="W205" s="15"/>
    </row>
    <row r="206" spans="1:23" s="21" customFormat="1" x14ac:dyDescent="0.55000000000000004">
      <c r="A206" s="17"/>
      <c r="B206"/>
      <c r="C206"/>
      <c r="D206"/>
      <c r="E206"/>
      <c r="F206" s="49">
        <v>43497</v>
      </c>
      <c r="G206" s="92">
        <v>137.69</v>
      </c>
      <c r="H206"/>
      <c r="I206"/>
      <c r="J206"/>
      <c r="K206"/>
      <c r="L206" s="58">
        <v>138.08108289307347</v>
      </c>
      <c r="M206" s="53"/>
      <c r="N206" s="53">
        <v>138.08108289307347</v>
      </c>
      <c r="O206" s="15">
        <v>-0.39108289307347377</v>
      </c>
      <c r="P206" s="15"/>
      <c r="Q206" s="15"/>
      <c r="R206" s="15"/>
      <c r="S206" s="15"/>
      <c r="T206" s="15"/>
      <c r="U206" s="15"/>
      <c r="V206" s="15"/>
      <c r="W206" s="15"/>
    </row>
    <row r="207" spans="1:23" s="21" customFormat="1" x14ac:dyDescent="0.55000000000000004">
      <c r="A207" s="17"/>
      <c r="B207"/>
      <c r="C207"/>
      <c r="D207"/>
      <c r="E207"/>
      <c r="F207" s="49">
        <v>43525</v>
      </c>
      <c r="G207" s="92">
        <v>137</v>
      </c>
      <c r="H207"/>
      <c r="I207"/>
      <c r="J207"/>
      <c r="K207"/>
      <c r="L207" s="58">
        <v>137.85732844853655</v>
      </c>
      <c r="M207" s="53"/>
      <c r="N207" s="53">
        <v>137.85732844853655</v>
      </c>
      <c r="O207" s="15">
        <v>-0.8573284485365491</v>
      </c>
      <c r="P207" s="15"/>
      <c r="Q207" s="15"/>
      <c r="R207" s="15"/>
      <c r="S207" s="15"/>
      <c r="T207" s="15"/>
      <c r="U207" s="15"/>
      <c r="V207" s="15"/>
      <c r="W207" s="15"/>
    </row>
    <row r="208" spans="1:23" s="21" customFormat="1" x14ac:dyDescent="0.55000000000000004">
      <c r="A208" s="17"/>
      <c r="B208"/>
      <c r="C208"/>
      <c r="D208"/>
      <c r="E208"/>
      <c r="F208" s="49">
        <v>43556</v>
      </c>
      <c r="G208" s="92">
        <v>136.87</v>
      </c>
      <c r="H208"/>
      <c r="I208"/>
      <c r="J208"/>
      <c r="K208"/>
      <c r="L208" s="58">
        <v>138.02988397142181</v>
      </c>
      <c r="M208" s="53"/>
      <c r="N208" s="53">
        <v>138.02988397142181</v>
      </c>
      <c r="O208" s="15">
        <v>-1.1598839714218059</v>
      </c>
      <c r="P208" s="15"/>
      <c r="Q208" s="15"/>
      <c r="R208" s="15"/>
      <c r="S208" s="15"/>
      <c r="T208" s="15"/>
      <c r="U208" s="15"/>
      <c r="V208" s="15"/>
      <c r="W208" s="15"/>
    </row>
    <row r="209" spans="1:23" s="21" customFormat="1" x14ac:dyDescent="0.55000000000000004">
      <c r="A209" s="17"/>
      <c r="B209"/>
      <c r="C209"/>
      <c r="D209"/>
      <c r="E209"/>
      <c r="F209" s="49">
        <v>43586</v>
      </c>
      <c r="G209" s="92">
        <v>138.63999999999999</v>
      </c>
      <c r="H209"/>
      <c r="I209"/>
      <c r="J209"/>
      <c r="K209"/>
      <c r="L209" s="58">
        <v>137.5586213282462</v>
      </c>
      <c r="M209" s="53"/>
      <c r="N209" s="53">
        <v>137.5586213282462</v>
      </c>
      <c r="O209" s="15">
        <v>1.0813786717537823</v>
      </c>
      <c r="P209" s="15"/>
      <c r="Q209" s="15"/>
      <c r="R209" s="15"/>
      <c r="S209" s="15"/>
      <c r="T209" s="15"/>
      <c r="U209" s="15"/>
      <c r="V209" s="15"/>
      <c r="W209" s="15"/>
    </row>
    <row r="210" spans="1:23" s="21" customFormat="1" x14ac:dyDescent="0.55000000000000004">
      <c r="A210" s="17"/>
      <c r="B210"/>
      <c r="C210"/>
      <c r="D210"/>
      <c r="E210"/>
      <c r="F210" s="49">
        <v>43617</v>
      </c>
      <c r="G210" s="92">
        <v>138.86000000000001</v>
      </c>
      <c r="H210"/>
      <c r="I210"/>
      <c r="J210"/>
      <c r="K210"/>
      <c r="L210" s="58">
        <v>137.92616768171371</v>
      </c>
      <c r="M210" s="53"/>
      <c r="N210" s="53">
        <v>137.92616768171371</v>
      </c>
      <c r="O210" s="15">
        <v>0.93383231828630642</v>
      </c>
      <c r="P210" s="15"/>
      <c r="Q210" s="15"/>
      <c r="R210" s="15"/>
      <c r="S210" s="15"/>
      <c r="T210" s="15"/>
      <c r="U210" s="15"/>
      <c r="V210" s="15"/>
      <c r="W210" s="15"/>
    </row>
    <row r="211" spans="1:23" s="21" customFormat="1" x14ac:dyDescent="0.55000000000000004">
      <c r="A211" s="17"/>
      <c r="B211"/>
      <c r="C211"/>
      <c r="D211"/>
      <c r="E211"/>
      <c r="F211" s="49">
        <v>43647</v>
      </c>
      <c r="G211" s="92">
        <v>138.29</v>
      </c>
      <c r="H211"/>
      <c r="I211"/>
      <c r="J211"/>
      <c r="K211"/>
      <c r="L211" s="58">
        <v>138.20802322173742</v>
      </c>
      <c r="M211" s="53"/>
      <c r="N211" s="53">
        <v>138.20802322173742</v>
      </c>
      <c r="O211" s="15">
        <v>8.197677826257177E-2</v>
      </c>
      <c r="P211" s="15"/>
      <c r="Q211" s="15"/>
      <c r="R211" s="15"/>
      <c r="S211" s="15"/>
      <c r="T211" s="15"/>
      <c r="U211" s="15"/>
      <c r="V211" s="15"/>
      <c r="W211" s="15"/>
    </row>
    <row r="212" spans="1:23" s="21" customFormat="1" x14ac:dyDescent="0.55000000000000004">
      <c r="A212" s="17"/>
      <c r="B212"/>
      <c r="C212"/>
      <c r="D212"/>
      <c r="E212"/>
      <c r="F212" s="49">
        <v>43678</v>
      </c>
      <c r="G212" s="92">
        <v>138.35</v>
      </c>
      <c r="H212"/>
      <c r="I212"/>
      <c r="J212"/>
      <c r="K212"/>
      <c r="L212" s="58">
        <v>138.1135755725243</v>
      </c>
      <c r="M212" s="53"/>
      <c r="N212" s="53">
        <v>138.1135755725243</v>
      </c>
      <c r="O212" s="15">
        <v>0.23642442747569703</v>
      </c>
      <c r="P212" s="15"/>
      <c r="Q212" s="15"/>
      <c r="R212" s="15"/>
      <c r="S212" s="15"/>
      <c r="T212" s="15"/>
      <c r="U212" s="15"/>
      <c r="V212" s="15"/>
      <c r="W212" s="15"/>
    </row>
    <row r="213" spans="1:23" s="21" customFormat="1" x14ac:dyDescent="0.55000000000000004">
      <c r="A213" s="17"/>
      <c r="B213"/>
      <c r="C213"/>
      <c r="D213"/>
      <c r="E213"/>
      <c r="F213" s="49">
        <v>43709</v>
      </c>
      <c r="G213" s="92">
        <v>139.16</v>
      </c>
      <c r="H213"/>
      <c r="I213"/>
      <c r="J213"/>
      <c r="K213"/>
      <c r="L213" s="58">
        <v>138.47421588813017</v>
      </c>
      <c r="M213" s="53"/>
      <c r="N213" s="53">
        <v>138.47421588813017</v>
      </c>
      <c r="O213" s="15">
        <v>0.6857841118698218</v>
      </c>
      <c r="P213" s="15"/>
      <c r="Q213" s="15"/>
      <c r="R213" s="15"/>
      <c r="S213" s="15"/>
      <c r="T213" s="15"/>
      <c r="U213" s="15"/>
      <c r="V213" s="15"/>
      <c r="W213" s="15"/>
    </row>
    <row r="214" spans="1:23" s="21" customFormat="1" x14ac:dyDescent="0.55000000000000004">
      <c r="A214" s="17"/>
      <c r="B214"/>
      <c r="C214"/>
      <c r="D214"/>
      <c r="E214"/>
      <c r="F214" s="49">
        <v>43739</v>
      </c>
      <c r="G214" s="92">
        <v>140.56</v>
      </c>
      <c r="H214"/>
      <c r="I214"/>
      <c r="J214"/>
      <c r="K214"/>
      <c r="L214" s="58">
        <v>138.60114271201203</v>
      </c>
      <c r="M214" s="53"/>
      <c r="N214" s="53">
        <v>138.60114271201203</v>
      </c>
      <c r="O214" s="15">
        <v>1.9588572879879678</v>
      </c>
      <c r="P214" s="15"/>
      <c r="Q214" s="15"/>
      <c r="R214" s="15"/>
      <c r="S214" s="15"/>
      <c r="T214" s="15"/>
      <c r="U214" s="15"/>
      <c r="V214" s="15"/>
      <c r="W214" s="15"/>
    </row>
    <row r="215" spans="1:23" s="21" customFormat="1" x14ac:dyDescent="0.55000000000000004">
      <c r="A215" s="17"/>
      <c r="B215"/>
      <c r="C215"/>
      <c r="D215"/>
      <c r="E215"/>
      <c r="F215" s="49">
        <v>43770</v>
      </c>
      <c r="G215" s="92">
        <v>139.88</v>
      </c>
      <c r="H215"/>
      <c r="I215"/>
      <c r="J215"/>
      <c r="K215"/>
      <c r="L215" s="58">
        <v>138.44116987905434</v>
      </c>
      <c r="M215" s="53"/>
      <c r="N215" s="53">
        <v>138.44116987905434</v>
      </c>
      <c r="O215" s="15">
        <v>1.4388301209456529</v>
      </c>
      <c r="P215" s="15"/>
      <c r="Q215" s="15"/>
      <c r="R215" s="15"/>
      <c r="S215" s="15"/>
      <c r="T215" s="15"/>
      <c r="U215" s="15"/>
      <c r="V215" s="15"/>
      <c r="W215" s="15"/>
    </row>
    <row r="216" spans="1:23" s="21" customFormat="1" x14ac:dyDescent="0.55000000000000004">
      <c r="A216" s="17"/>
      <c r="B216"/>
      <c r="C216"/>
      <c r="D216"/>
      <c r="E216"/>
      <c r="F216" s="49">
        <v>43800</v>
      </c>
      <c r="G216" s="92">
        <v>139.28</v>
      </c>
      <c r="H216"/>
      <c r="I216"/>
      <c r="J216"/>
      <c r="K216"/>
      <c r="L216" s="58">
        <v>139.57701360570422</v>
      </c>
      <c r="M216" s="53"/>
      <c r="N216" s="53">
        <v>139.57701360570422</v>
      </c>
      <c r="O216" s="15">
        <v>-0.29701360570422253</v>
      </c>
      <c r="P216" s="15"/>
      <c r="Q216" s="15"/>
      <c r="R216" s="15"/>
      <c r="S216" s="15"/>
      <c r="T216" s="15"/>
      <c r="U216" s="15"/>
      <c r="V216" s="15"/>
      <c r="W216" s="15"/>
    </row>
    <row r="217" spans="1:23" s="21" customFormat="1" x14ac:dyDescent="0.55000000000000004">
      <c r="A217" s="17"/>
      <c r="B217"/>
      <c r="C217"/>
      <c r="D217"/>
      <c r="E217"/>
      <c r="F217" s="49">
        <v>43831</v>
      </c>
      <c r="G217" s="92">
        <v>140.05000000000001</v>
      </c>
      <c r="H217"/>
      <c r="I217"/>
      <c r="J217"/>
      <c r="K217"/>
      <c r="L217" s="58">
        <v>138.80752270465356</v>
      </c>
      <c r="M217" s="53"/>
      <c r="N217" s="53">
        <v>138.80752270465356</v>
      </c>
      <c r="O217" s="15">
        <v>1.2424772953464469</v>
      </c>
      <c r="P217" s="15"/>
      <c r="Q217" s="15"/>
      <c r="R217" s="15"/>
      <c r="S217" s="15"/>
      <c r="T217" s="15"/>
      <c r="U217" s="15"/>
      <c r="V217" s="15"/>
      <c r="W217" s="15"/>
    </row>
    <row r="218" spans="1:23" s="21" customFormat="1" x14ac:dyDescent="0.55000000000000004">
      <c r="A218" s="17"/>
      <c r="B218"/>
      <c r="C218"/>
      <c r="D218"/>
      <c r="E218"/>
      <c r="F218" s="49">
        <v>43862</v>
      </c>
      <c r="G218" s="92">
        <v>139.65</v>
      </c>
      <c r="H218"/>
      <c r="I218"/>
      <c r="J218"/>
      <c r="K218"/>
      <c r="L218" s="58">
        <v>139.16075952411043</v>
      </c>
      <c r="M218" s="53"/>
      <c r="N218" s="53">
        <v>139.16075952411043</v>
      </c>
      <c r="O218" s="15">
        <v>0.48924047588957364</v>
      </c>
      <c r="P218" s="15"/>
      <c r="Q218" s="15"/>
      <c r="R218" s="15"/>
      <c r="S218" s="15"/>
      <c r="T218" s="15"/>
      <c r="U218" s="15"/>
      <c r="V218" s="15"/>
      <c r="W218" s="15"/>
    </row>
    <row r="219" spans="1:23" s="21" customFormat="1" x14ac:dyDescent="0.55000000000000004">
      <c r="A219" s="17"/>
      <c r="B219"/>
      <c r="C219"/>
      <c r="D219"/>
      <c r="E219"/>
      <c r="F219" s="49">
        <v>43891</v>
      </c>
      <c r="G219" s="92">
        <v>129.71</v>
      </c>
      <c r="H219"/>
      <c r="I219"/>
      <c r="J219"/>
      <c r="K219"/>
      <c r="L219" s="58">
        <v>138.81171380336218</v>
      </c>
      <c r="M219" s="53"/>
      <c r="N219" s="53">
        <v>138.81171380336218</v>
      </c>
      <c r="O219" s="15">
        <v>-9.1017138033621734</v>
      </c>
      <c r="P219" s="15"/>
      <c r="Q219" s="15"/>
      <c r="R219" s="15"/>
      <c r="S219" s="15"/>
      <c r="T219" s="15"/>
      <c r="U219" s="15"/>
      <c r="V219" s="15"/>
      <c r="W219" s="15"/>
    </row>
    <row r="220" spans="1:23" s="21" customFormat="1" x14ac:dyDescent="0.55000000000000004">
      <c r="A220" s="17"/>
      <c r="B220"/>
      <c r="C220"/>
      <c r="D220"/>
      <c r="E220"/>
      <c r="F220" s="49">
        <v>43922</v>
      </c>
      <c r="G220" s="92">
        <v>117.19</v>
      </c>
      <c r="H220"/>
      <c r="I220"/>
      <c r="J220"/>
      <c r="K220"/>
      <c r="L220" s="58">
        <v>138.83125455842674</v>
      </c>
      <c r="M220" s="53"/>
      <c r="N220" s="53">
        <v>138.83125455842674</v>
      </c>
      <c r="O220" s="15">
        <v>-21.641254558426738</v>
      </c>
      <c r="P220" s="15"/>
      <c r="Q220" s="15"/>
      <c r="R220" s="15"/>
      <c r="S220" s="15"/>
      <c r="T220" s="15"/>
      <c r="U220" s="15"/>
      <c r="V220" s="15"/>
      <c r="W220" s="15"/>
    </row>
    <row r="221" spans="1:23" s="21" customFormat="1" x14ac:dyDescent="0.55000000000000004">
      <c r="A221" s="17"/>
      <c r="B221"/>
      <c r="C221"/>
      <c r="D221"/>
      <c r="E221"/>
      <c r="F221" s="49">
        <v>43952</v>
      </c>
      <c r="G221" s="92">
        <v>121.03</v>
      </c>
      <c r="H221"/>
      <c r="I221"/>
      <c r="J221"/>
      <c r="K221"/>
      <c r="L221" s="58">
        <v>137.15936104773417</v>
      </c>
      <c r="M221" s="53"/>
      <c r="N221" s="53">
        <v>137.15936104773417</v>
      </c>
      <c r="O221" s="15">
        <v>-16.129361047734164</v>
      </c>
      <c r="P221" s="15"/>
      <c r="Q221" s="15"/>
      <c r="R221" s="15"/>
      <c r="S221" s="15"/>
      <c r="T221" s="15"/>
      <c r="U221" s="15"/>
      <c r="V221" s="15"/>
      <c r="W221" s="15"/>
    </row>
    <row r="222" spans="1:23" s="21" customFormat="1" x14ac:dyDescent="0.55000000000000004">
      <c r="A222" s="17"/>
      <c r="B222"/>
      <c r="C222"/>
      <c r="D222"/>
      <c r="E222"/>
      <c r="F222" s="49">
        <v>43983</v>
      </c>
      <c r="G222" s="92">
        <v>127.06</v>
      </c>
      <c r="H222"/>
      <c r="I222"/>
      <c r="J222"/>
      <c r="K222"/>
      <c r="L222" s="58">
        <v>140.14364135266845</v>
      </c>
      <c r="M222" s="53"/>
      <c r="N222" s="53">
        <v>140.14364135266845</v>
      </c>
      <c r="O222" s="15">
        <v>-13.083641352668451</v>
      </c>
      <c r="P222" s="15"/>
      <c r="Q222" s="15"/>
      <c r="R222" s="15"/>
      <c r="S222" s="15"/>
      <c r="T222" s="15"/>
      <c r="U222" s="15"/>
      <c r="V222" s="15"/>
      <c r="W222" s="15"/>
    </row>
    <row r="223" spans="1:23" s="21" customFormat="1" x14ac:dyDescent="0.55000000000000004">
      <c r="A223" s="17"/>
      <c r="B223"/>
      <c r="C223"/>
      <c r="D223"/>
      <c r="E223"/>
      <c r="F223" s="49">
        <v>44013</v>
      </c>
      <c r="G223" s="92">
        <v>130.99</v>
      </c>
      <c r="H223"/>
      <c r="I223"/>
      <c r="J223"/>
      <c r="K223"/>
      <c r="L223" s="58">
        <v>138.71838488464996</v>
      </c>
      <c r="M223" s="53"/>
      <c r="N223" s="53">
        <v>138.71838488464996</v>
      </c>
      <c r="O223" s="15">
        <v>-7.7283848846499552</v>
      </c>
      <c r="P223" s="15"/>
      <c r="Q223" s="15"/>
      <c r="R223" s="15"/>
      <c r="S223" s="15"/>
      <c r="T223" s="15"/>
      <c r="U223" s="15"/>
      <c r="V223" s="15"/>
      <c r="W223" s="15"/>
    </row>
    <row r="224" spans="1:23" s="21" customFormat="1" x14ac:dyDescent="0.55000000000000004">
      <c r="A224" s="17"/>
      <c r="B224"/>
      <c r="C224"/>
      <c r="D224"/>
      <c r="E224"/>
      <c r="F224" s="49">
        <v>44044</v>
      </c>
      <c r="G224" s="92">
        <v>133.86000000000001</v>
      </c>
      <c r="H224"/>
      <c r="I224"/>
      <c r="J224"/>
      <c r="K224"/>
      <c r="L224" s="58">
        <v>140.56338979667589</v>
      </c>
      <c r="M224" s="53"/>
      <c r="N224" s="53">
        <v>140.56338979667589</v>
      </c>
      <c r="O224" s="15">
        <v>-6.7033897966758786</v>
      </c>
      <c r="P224" s="15"/>
      <c r="Q224" s="15"/>
      <c r="R224" s="15"/>
      <c r="S224" s="15"/>
      <c r="T224" s="15"/>
      <c r="U224" s="15"/>
      <c r="V224" s="15"/>
      <c r="W224" s="15"/>
    </row>
    <row r="225" spans="1:23" s="21" customFormat="1" x14ac:dyDescent="0.55000000000000004">
      <c r="A225" s="17"/>
      <c r="B225"/>
      <c r="C225"/>
      <c r="D225"/>
      <c r="E225"/>
      <c r="F225" s="49">
        <v>44075</v>
      </c>
      <c r="G225" s="92">
        <v>136.84</v>
      </c>
      <c r="H225"/>
      <c r="I225"/>
      <c r="J225"/>
      <c r="K225"/>
      <c r="L225" s="58">
        <v>139.80144089868159</v>
      </c>
      <c r="M225" s="53"/>
      <c r="N225" s="53">
        <v>139.80144089868159</v>
      </c>
      <c r="O225" s="15">
        <v>-2.9614408986815874</v>
      </c>
      <c r="P225" s="15"/>
      <c r="Q225" s="15"/>
      <c r="R225" s="15"/>
      <c r="S225" s="15"/>
      <c r="T225" s="15"/>
      <c r="U225" s="15"/>
      <c r="V225" s="15"/>
      <c r="W225" s="15"/>
    </row>
    <row r="226" spans="1:23" s="21" customFormat="1" x14ac:dyDescent="0.55000000000000004">
      <c r="A226" s="17"/>
      <c r="B226"/>
      <c r="C226"/>
      <c r="D226"/>
      <c r="E226"/>
      <c r="F226" s="49">
        <v>44105</v>
      </c>
      <c r="G226" s="92">
        <v>139.32</v>
      </c>
      <c r="H226"/>
      <c r="I226"/>
      <c r="J226"/>
      <c r="K226"/>
      <c r="L226" s="58">
        <v>139.32200186307205</v>
      </c>
      <c r="M226" s="53"/>
      <c r="N226" s="53">
        <v>139.32200186307205</v>
      </c>
      <c r="O226" s="15">
        <v>-2.0018630720528563E-3</v>
      </c>
      <c r="P226" s="15"/>
      <c r="Q226" s="15"/>
      <c r="R226" s="15"/>
      <c r="S226" s="15"/>
      <c r="T226" s="15"/>
      <c r="U226" s="15"/>
      <c r="V226" s="15"/>
      <c r="W226" s="15"/>
    </row>
    <row r="227" spans="1:23" s="21" customFormat="1" x14ac:dyDescent="0.55000000000000004">
      <c r="A227" s="17"/>
      <c r="B227"/>
      <c r="C227"/>
      <c r="D227"/>
      <c r="E227"/>
      <c r="F227" s="49">
        <v>44136</v>
      </c>
      <c r="G227" s="92">
        <v>139.24</v>
      </c>
      <c r="H227"/>
      <c r="I227"/>
      <c r="J227"/>
      <c r="K227"/>
      <c r="L227" s="58">
        <v>139.2936058281561</v>
      </c>
      <c r="M227" s="53"/>
      <c r="N227" s="53">
        <v>139.2936058281561</v>
      </c>
      <c r="O227" s="15">
        <v>-5.3605828156094049E-2</v>
      </c>
      <c r="P227" s="15"/>
      <c r="Q227" s="15"/>
      <c r="R227" s="15"/>
      <c r="S227" s="15"/>
      <c r="T227" s="15"/>
      <c r="U227" s="15"/>
      <c r="V227" s="15"/>
      <c r="W227" s="15"/>
    </row>
    <row r="228" spans="1:23" s="21" customFormat="1" x14ac:dyDescent="0.55000000000000004">
      <c r="A228" s="17"/>
      <c r="B228"/>
      <c r="C228"/>
      <c r="D228"/>
      <c r="E228"/>
      <c r="F228" s="49">
        <v>44166</v>
      </c>
      <c r="G228" s="92">
        <v>139.54</v>
      </c>
      <c r="H228"/>
      <c r="I228"/>
      <c r="J228"/>
      <c r="K228"/>
      <c r="L228" s="58">
        <v>139.9444235875651</v>
      </c>
      <c r="M228" s="53"/>
      <c r="N228" s="53">
        <v>139.9444235875651</v>
      </c>
      <c r="O228" s="15">
        <v>-0.40442358756510544</v>
      </c>
      <c r="P228" s="15"/>
      <c r="Q228" s="15"/>
      <c r="R228" s="15"/>
      <c r="S228" s="15"/>
      <c r="T228" s="15"/>
      <c r="U228" s="15"/>
      <c r="V228" s="15"/>
      <c r="W228" s="15"/>
    </row>
    <row r="229" spans="1:23" s="21" customFormat="1" x14ac:dyDescent="0.55000000000000004">
      <c r="A229" s="17"/>
      <c r="B229"/>
      <c r="C229"/>
      <c r="D229"/>
      <c r="E229"/>
      <c r="F229" s="49">
        <v>44197</v>
      </c>
      <c r="G229" s="92">
        <v>140.13</v>
      </c>
      <c r="H229"/>
      <c r="I229"/>
      <c r="J229"/>
      <c r="K229"/>
      <c r="L229" s="58">
        <v>139.58924943499233</v>
      </c>
      <c r="M229" s="53"/>
      <c r="N229" s="53">
        <v>139.58924943499233</v>
      </c>
      <c r="O229" s="15">
        <v>0.54075056500767005</v>
      </c>
      <c r="P229" s="15"/>
      <c r="Q229" s="15"/>
      <c r="R229" s="15"/>
      <c r="S229" s="15"/>
      <c r="T229" s="15"/>
      <c r="U229" s="15"/>
      <c r="V229" s="15"/>
      <c r="W229" s="15"/>
    </row>
    <row r="230" spans="1:23" s="21" customFormat="1" x14ac:dyDescent="0.55000000000000004">
      <c r="A230" s="17"/>
      <c r="B230"/>
      <c r="C230"/>
      <c r="D230"/>
      <c r="E230"/>
      <c r="F230" s="49">
        <v>44228</v>
      </c>
      <c r="G230" s="92">
        <v>140.97999999999999</v>
      </c>
      <c r="H230"/>
      <c r="I230"/>
      <c r="J230"/>
      <c r="K230"/>
      <c r="L230" s="58">
        <v>139.8622981066716</v>
      </c>
      <c r="M230" s="53"/>
      <c r="N230" s="53">
        <v>139.8622981066716</v>
      </c>
      <c r="O230" s="15">
        <v>1.1177018933283875</v>
      </c>
      <c r="P230" s="15"/>
      <c r="Q230" s="15"/>
      <c r="R230" s="15"/>
      <c r="S230" s="15"/>
      <c r="T230" s="15"/>
      <c r="U230" s="15"/>
      <c r="V230" s="15"/>
      <c r="W230" s="15"/>
    </row>
    <row r="231" spans="1:23" s="21" customFormat="1" x14ac:dyDescent="0.55000000000000004">
      <c r="A231" s="17"/>
      <c r="B231"/>
      <c r="C231"/>
      <c r="D231"/>
      <c r="E231"/>
      <c r="F231" s="49">
        <v>44256</v>
      </c>
      <c r="G231" s="92">
        <v>135.72</v>
      </c>
      <c r="H231"/>
      <c r="I231"/>
      <c r="J231"/>
      <c r="K231"/>
      <c r="L231" s="58">
        <v>139.64272022684642</v>
      </c>
      <c r="M231" s="53"/>
      <c r="N231" s="53">
        <v>139.64272022684642</v>
      </c>
      <c r="O231" s="15">
        <v>-3.9227202268464225</v>
      </c>
      <c r="P231" s="15"/>
      <c r="Q231" s="15"/>
      <c r="R231" s="15"/>
      <c r="S231" s="15"/>
      <c r="T231" s="15"/>
      <c r="U231" s="15"/>
      <c r="V231" s="15"/>
      <c r="W231" s="15"/>
    </row>
    <row r="232" spans="1:23" s="21" customFormat="1" x14ac:dyDescent="0.55000000000000004">
      <c r="A232" s="17"/>
      <c r="B232"/>
      <c r="C232"/>
      <c r="D232"/>
      <c r="E232"/>
      <c r="F232" s="49">
        <v>44287</v>
      </c>
      <c r="G232" s="92">
        <v>137.44</v>
      </c>
      <c r="H232"/>
      <c r="I232"/>
      <c r="J232"/>
      <c r="K232"/>
      <c r="L232" s="58">
        <v>139.3550466492934</v>
      </c>
      <c r="M232" s="53"/>
      <c r="N232" s="53">
        <v>139.3550466492934</v>
      </c>
      <c r="O232" s="15">
        <v>-1.9150466492934015</v>
      </c>
      <c r="P232" s="15"/>
      <c r="Q232" s="15"/>
      <c r="R232" s="15"/>
      <c r="S232" s="15"/>
      <c r="T232" s="15"/>
      <c r="U232" s="15"/>
      <c r="V232" s="15"/>
      <c r="W232" s="15"/>
    </row>
    <row r="233" spans="1:23" s="21" customFormat="1" x14ac:dyDescent="0.55000000000000004">
      <c r="A233" s="17"/>
      <c r="B233"/>
      <c r="C233"/>
      <c r="D233"/>
      <c r="E233"/>
      <c r="F233" s="49">
        <v>44317</v>
      </c>
      <c r="G233" s="92">
        <v>138.74</v>
      </c>
      <c r="H233"/>
      <c r="I233"/>
      <c r="J233"/>
      <c r="K233"/>
      <c r="L233" s="58">
        <v>140.05155798226443</v>
      </c>
      <c r="M233" s="53"/>
      <c r="N233" s="53">
        <v>140.05155798226443</v>
      </c>
      <c r="O233" s="15">
        <v>-1.3115579822644179</v>
      </c>
      <c r="P233" s="15"/>
      <c r="Q233" s="15"/>
      <c r="R233" s="15"/>
      <c r="S233" s="15"/>
      <c r="T233" s="15"/>
      <c r="U233" s="15"/>
      <c r="V233" s="15"/>
      <c r="W233" s="15"/>
    </row>
    <row r="234" spans="1:23" s="21" customFormat="1" x14ac:dyDescent="0.55000000000000004">
      <c r="A234" s="17"/>
      <c r="B234"/>
      <c r="C234"/>
      <c r="D234"/>
      <c r="E234"/>
      <c r="F234" s="49">
        <v>44348</v>
      </c>
      <c r="G234" s="92">
        <v>138.94999999999999</v>
      </c>
      <c r="H234"/>
      <c r="I234"/>
      <c r="J234"/>
      <c r="K234"/>
      <c r="L234" s="58">
        <v>140.13498677755047</v>
      </c>
      <c r="M234" s="53"/>
      <c r="N234" s="53">
        <v>140.13498677755047</v>
      </c>
      <c r="O234" s="15">
        <v>-1.1849867775504777</v>
      </c>
      <c r="P234" s="15"/>
      <c r="Q234" s="15"/>
      <c r="R234" s="15"/>
      <c r="S234" s="15"/>
      <c r="T234" s="15"/>
      <c r="U234" s="15"/>
      <c r="V234" s="15"/>
      <c r="W234" s="15"/>
    </row>
    <row r="235" spans="1:23" s="21" customFormat="1" x14ac:dyDescent="0.55000000000000004">
      <c r="A235" s="17"/>
      <c r="B235"/>
      <c r="C235"/>
      <c r="D235"/>
      <c r="E235"/>
      <c r="F235" s="49">
        <v>44378</v>
      </c>
      <c r="G235" s="92">
        <v>138.49</v>
      </c>
      <c r="H235"/>
      <c r="I235"/>
      <c r="J235"/>
      <c r="K235"/>
      <c r="L235" s="58">
        <v>140.12480327941705</v>
      </c>
      <c r="M235" s="53"/>
      <c r="N235" s="53">
        <v>140.12480327941705</v>
      </c>
      <c r="O235" s="15">
        <v>-1.6348032794170422</v>
      </c>
      <c r="P235" s="15"/>
      <c r="Q235" s="15"/>
      <c r="R235" s="15"/>
      <c r="S235" s="15"/>
      <c r="T235" s="15"/>
      <c r="U235" s="15"/>
      <c r="V235" s="15"/>
      <c r="W235" s="15"/>
    </row>
    <row r="236" spans="1:23" s="21" customFormat="1" x14ac:dyDescent="0.55000000000000004">
      <c r="A236" s="17"/>
      <c r="B236"/>
      <c r="C236"/>
      <c r="D236"/>
      <c r="E236"/>
      <c r="F236" s="49">
        <v>44409</v>
      </c>
      <c r="G236" s="92">
        <v>138.91999999999999</v>
      </c>
      <c r="H236"/>
      <c r="I236"/>
      <c r="J236"/>
      <c r="K236"/>
      <c r="L236" s="58">
        <v>139.99356373888548</v>
      </c>
      <c r="M236" s="53"/>
      <c r="N236" s="53">
        <v>139.99356373888548</v>
      </c>
      <c r="O236" s="15">
        <v>-1.0735637388854968</v>
      </c>
      <c r="P236" s="15"/>
      <c r="Q236" s="15"/>
      <c r="R236" s="15"/>
      <c r="S236" s="15"/>
      <c r="T236" s="15"/>
      <c r="U236" s="15"/>
      <c r="V236" s="15"/>
      <c r="W236" s="15"/>
    </row>
    <row r="237" spans="1:23" s="21" customFormat="1" x14ac:dyDescent="0.55000000000000004">
      <c r="A237" s="17"/>
      <c r="B237"/>
      <c r="C237"/>
      <c r="D237"/>
      <c r="E237"/>
      <c r="F237" s="49">
        <v>44440</v>
      </c>
      <c r="G237" s="92">
        <v>138.86000000000001</v>
      </c>
      <c r="H237"/>
      <c r="I237"/>
      <c r="J237"/>
      <c r="K237"/>
      <c r="L237" s="58">
        <v>139.94022339677554</v>
      </c>
      <c r="M237" s="53"/>
      <c r="N237" s="53">
        <v>139.94022339677554</v>
      </c>
      <c r="O237" s="15">
        <v>-1.0802233967755228</v>
      </c>
      <c r="P237" s="15"/>
      <c r="Q237" s="15"/>
      <c r="R237" s="15"/>
      <c r="S237" s="15"/>
      <c r="T237" s="15"/>
      <c r="U237" s="15"/>
      <c r="V237" s="15"/>
      <c r="W237" s="15"/>
    </row>
    <row r="238" spans="1:23" s="21" customFormat="1" x14ac:dyDescent="0.55000000000000004">
      <c r="A238" s="17"/>
      <c r="B238"/>
      <c r="C238"/>
      <c r="D238"/>
      <c r="E238"/>
      <c r="F238" s="49">
        <v>44470</v>
      </c>
      <c r="G238" s="92">
        <v>139.62</v>
      </c>
      <c r="H238"/>
      <c r="I238"/>
      <c r="J238"/>
      <c r="K238"/>
      <c r="L238" s="58">
        <v>140.40762796129781</v>
      </c>
      <c r="M238" s="53"/>
      <c r="N238" s="53">
        <v>140.40762796129781</v>
      </c>
      <c r="O238" s="15">
        <v>-0.78762796129780099</v>
      </c>
      <c r="P238" s="15"/>
      <c r="Q238" s="15"/>
      <c r="R238" s="15"/>
      <c r="S238" s="15"/>
      <c r="T238" s="15"/>
      <c r="U238" s="15"/>
      <c r="V238" s="15"/>
      <c r="W238" s="15"/>
    </row>
    <row r="239" spans="1:23" s="21" customFormat="1" x14ac:dyDescent="0.55000000000000004">
      <c r="A239" s="17"/>
      <c r="B239"/>
      <c r="C239"/>
      <c r="D239"/>
      <c r="E239"/>
      <c r="F239" s="49">
        <v>44501</v>
      </c>
      <c r="G239" s="92">
        <v>141.05000000000001</v>
      </c>
      <c r="H239"/>
      <c r="I239"/>
      <c r="J239"/>
      <c r="K239"/>
      <c r="L239" s="58">
        <v>140.22107541052972</v>
      </c>
      <c r="M239" s="53"/>
      <c r="N239" s="53">
        <v>140.22107541052972</v>
      </c>
      <c r="O239" s="15">
        <v>0.82892458947029013</v>
      </c>
      <c r="P239" s="15"/>
      <c r="Q239" s="15"/>
      <c r="R239" s="15"/>
      <c r="S239" s="15"/>
      <c r="T239" s="15"/>
      <c r="U239" s="15"/>
      <c r="V239" s="15"/>
      <c r="W239" s="15"/>
    </row>
    <row r="240" spans="1:23" s="21" customFormat="1" x14ac:dyDescent="0.55000000000000004">
      <c r="A240" s="17"/>
      <c r="B240"/>
      <c r="C240"/>
      <c r="D240"/>
      <c r="E240"/>
      <c r="F240" s="49">
        <v>44531</v>
      </c>
      <c r="G240" s="92">
        <v>141.22</v>
      </c>
      <c r="H240"/>
      <c r="I240"/>
      <c r="J240"/>
      <c r="K240"/>
      <c r="L240" s="58">
        <v>140.33051663975826</v>
      </c>
      <c r="M240" s="53"/>
      <c r="N240" s="53">
        <v>140.33051663975826</v>
      </c>
      <c r="O240" s="15">
        <v>0.88948336024174068</v>
      </c>
      <c r="P240" s="15"/>
      <c r="Q240" s="15"/>
      <c r="R240" s="15"/>
      <c r="S240" s="15"/>
      <c r="T240" s="15"/>
      <c r="U240" s="15"/>
      <c r="V240" s="15"/>
      <c r="W240" s="15"/>
    </row>
    <row r="241" spans="1:23" s="21" customFormat="1" x14ac:dyDescent="0.55000000000000004">
      <c r="A241" s="17"/>
      <c r="B241"/>
      <c r="C241"/>
      <c r="D241"/>
      <c r="E241"/>
      <c r="F241" s="49">
        <v>44562</v>
      </c>
      <c r="G241" s="92">
        <v>140.26</v>
      </c>
      <c r="H241"/>
      <c r="I241"/>
      <c r="J241"/>
      <c r="K241"/>
      <c r="L241" s="58">
        <v>140.71000428235095</v>
      </c>
      <c r="M241" s="53"/>
      <c r="N241" s="53">
        <v>140.71000428235095</v>
      </c>
      <c r="O241" s="15">
        <v>-0.45000428235096024</v>
      </c>
      <c r="P241" s="15"/>
      <c r="Q241" s="15"/>
      <c r="R241" s="15"/>
      <c r="S241" s="15"/>
      <c r="T241" s="15"/>
      <c r="U241" s="15"/>
      <c r="V241" s="15"/>
      <c r="W241" s="15"/>
    </row>
    <row r="242" spans="1:23" s="21" customFormat="1" x14ac:dyDescent="0.55000000000000004">
      <c r="A242" s="17"/>
      <c r="B242"/>
      <c r="C242"/>
      <c r="D242"/>
      <c r="E242"/>
      <c r="F242" s="49">
        <v>44593</v>
      </c>
      <c r="G242" s="92">
        <v>140.82</v>
      </c>
      <c r="H242"/>
      <c r="I242"/>
      <c r="J242"/>
      <c r="K242"/>
      <c r="L242" s="58">
        <v>140.24627533621378</v>
      </c>
      <c r="M242" s="53"/>
      <c r="N242" s="53">
        <v>140.24627533621378</v>
      </c>
      <c r="O242" s="15">
        <v>0.57372466378620857</v>
      </c>
      <c r="P242" s="15"/>
      <c r="Q242" s="15"/>
      <c r="R242" s="15"/>
      <c r="S242" s="15"/>
      <c r="T242" s="15"/>
      <c r="U242" s="15"/>
      <c r="V242" s="15"/>
      <c r="W242" s="15"/>
    </row>
    <row r="243" spans="1:23" x14ac:dyDescent="0.55000000000000004">
      <c r="F243" s="49">
        <v>44621</v>
      </c>
      <c r="G243" s="92">
        <v>141.94</v>
      </c>
      <c r="L243" s="15">
        <v>136.1424447460827</v>
      </c>
      <c r="N243" s="15">
        <v>136.1424447460827</v>
      </c>
      <c r="O243" s="15">
        <v>5.7975552539172952</v>
      </c>
    </row>
    <row r="244" spans="1:23" x14ac:dyDescent="0.55000000000000004">
      <c r="F244" s="49">
        <v>44652</v>
      </c>
      <c r="G244" s="92">
        <v>142.19</v>
      </c>
      <c r="L244" s="15">
        <v>132.04261374678961</v>
      </c>
      <c r="N244" s="15">
        <v>132.04261374678961</v>
      </c>
      <c r="O244" s="15">
        <v>10.147386253210385</v>
      </c>
    </row>
    <row r="245" spans="1:23" x14ac:dyDescent="0.55000000000000004">
      <c r="F245" s="49">
        <v>44682</v>
      </c>
      <c r="G245" s="92">
        <v>142.15</v>
      </c>
      <c r="L245" s="15">
        <v>133.88162976263044</v>
      </c>
      <c r="N245" s="15">
        <v>133.88162976263044</v>
      </c>
      <c r="O245" s="15">
        <v>8.2683702373695667</v>
      </c>
    </row>
    <row r="246" spans="1:23" x14ac:dyDescent="0.55000000000000004">
      <c r="F246" s="49">
        <v>44713</v>
      </c>
      <c r="G246" s="92">
        <v>142.88999999999999</v>
      </c>
      <c r="L246" s="15">
        <v>134.77555817898468</v>
      </c>
      <c r="N246" s="15">
        <v>134.77555817898468</v>
      </c>
      <c r="O246" s="15">
        <v>8.1144418210153049</v>
      </c>
    </row>
    <row r="247" spans="1:23" x14ac:dyDescent="0.55000000000000004">
      <c r="F247" s="49">
        <v>44743</v>
      </c>
      <c r="G247" s="92">
        <v>145.41999999999999</v>
      </c>
      <c r="L247" s="15">
        <v>138.15595324318681</v>
      </c>
      <c r="N247" s="15">
        <v>138.15595324318681</v>
      </c>
      <c r="O247" s="15">
        <v>7.2640467568131726</v>
      </c>
    </row>
    <row r="248" spans="1:23" x14ac:dyDescent="0.55000000000000004">
      <c r="F248" s="49">
        <v>44774</v>
      </c>
      <c r="G248" s="92">
        <v>144.47999999999999</v>
      </c>
      <c r="L248" s="15">
        <v>139.30810840494206</v>
      </c>
      <c r="N248" s="15">
        <v>139.30810840494206</v>
      </c>
      <c r="O248" s="15">
        <v>5.1718915950579287</v>
      </c>
    </row>
    <row r="249" spans="1:23" x14ac:dyDescent="0.55000000000000004">
      <c r="F249" s="49">
        <v>44805</v>
      </c>
      <c r="G249" s="92">
        <v>144.49</v>
      </c>
      <c r="L249" s="15">
        <v>138.1089717020362</v>
      </c>
      <c r="N249" s="15">
        <v>138.1089717020362</v>
      </c>
      <c r="O249" s="15">
        <v>6.3810282979638089</v>
      </c>
    </row>
    <row r="250" spans="1:23" x14ac:dyDescent="0.55000000000000004">
      <c r="F250" s="49">
        <v>44835</v>
      </c>
      <c r="G250" s="92">
        <v>144.68</v>
      </c>
      <c r="L250" s="15">
        <v>137.61964119542301</v>
      </c>
      <c r="N250" s="15">
        <v>137.61964119542301</v>
      </c>
      <c r="O250" s="15">
        <v>7.0603588045769925</v>
      </c>
    </row>
    <row r="251" spans="1:23" x14ac:dyDescent="0.55000000000000004">
      <c r="F251" s="49">
        <v>44866</v>
      </c>
      <c r="G251" s="92">
        <v>142.74</v>
      </c>
      <c r="L251" s="15">
        <v>136.29177138227573</v>
      </c>
      <c r="N251" s="15">
        <v>136.29177138227573</v>
      </c>
      <c r="O251" s="15">
        <v>6.4482286177242827</v>
      </c>
    </row>
    <row r="252" spans="1:23" x14ac:dyDescent="0.55000000000000004">
      <c r="F252" s="49">
        <v>44896</v>
      </c>
      <c r="G252" s="92">
        <v>142.30000000000001</v>
      </c>
      <c r="L252" s="15">
        <v>136.28091867690435</v>
      </c>
      <c r="N252" s="15">
        <v>136.28091867690435</v>
      </c>
      <c r="O252" s="15">
        <v>6.0190813230956621</v>
      </c>
    </row>
    <row r="253" spans="1:23" x14ac:dyDescent="0.55000000000000004">
      <c r="F253" s="49">
        <v>44927</v>
      </c>
      <c r="G253" s="92">
        <v>143.47999999999999</v>
      </c>
      <c r="L253" s="15">
        <v>138.57111771243109</v>
      </c>
      <c r="N253" s="15">
        <v>138.57111771243109</v>
      </c>
      <c r="O253" s="15">
        <v>4.9088822875689004</v>
      </c>
    </row>
    <row r="254" spans="1:23" x14ac:dyDescent="0.55000000000000004">
      <c r="F254" s="49">
        <v>44958</v>
      </c>
      <c r="G254" s="92">
        <v>147.52000000000001</v>
      </c>
      <c r="L254" s="15">
        <v>140.46614477244643</v>
      </c>
      <c r="N254" s="15">
        <v>140.46614477244643</v>
      </c>
      <c r="O254" s="15">
        <v>7.0538552275535835</v>
      </c>
    </row>
    <row r="255" spans="1:23" x14ac:dyDescent="0.55000000000000004">
      <c r="F255" s="49">
        <v>44986</v>
      </c>
      <c r="G255" s="92">
        <v>147.02000000000001</v>
      </c>
      <c r="L255" s="15">
        <v>138.73030095572057</v>
      </c>
      <c r="N255" s="15">
        <v>138.73030095572057</v>
      </c>
      <c r="O255" s="15">
        <v>8.2896990442794447</v>
      </c>
    </row>
    <row r="256" spans="1:23" x14ac:dyDescent="0.55000000000000004">
      <c r="F256" s="49">
        <v>45017</v>
      </c>
      <c r="G256" s="92">
        <v>148.88</v>
      </c>
      <c r="L256" s="15">
        <v>140.61439282168664</v>
      </c>
      <c r="N256" s="15">
        <v>140.61439282168664</v>
      </c>
      <c r="O256" s="15">
        <v>8.2656071783133598</v>
      </c>
    </row>
    <row r="257" spans="6:15" x14ac:dyDescent="0.55000000000000004">
      <c r="F257" s="49">
        <v>45047</v>
      </c>
      <c r="G257" s="92">
        <v>146.16</v>
      </c>
      <c r="L257" s="15">
        <v>139.91548538124823</v>
      </c>
      <c r="N257" s="15">
        <v>139.91548538124823</v>
      </c>
      <c r="O257" s="15">
        <v>6.2445146187517651</v>
      </c>
    </row>
    <row r="258" spans="6:15" x14ac:dyDescent="0.55000000000000004">
      <c r="F258" s="49">
        <v>45078</v>
      </c>
      <c r="G258" s="92">
        <v>146.55000000000001</v>
      </c>
      <c r="L258" s="15">
        <v>140.74965317464378</v>
      </c>
      <c r="N258" s="15">
        <v>140.74965317464378</v>
      </c>
      <c r="O258" s="15">
        <v>5.8003468253562289</v>
      </c>
    </row>
    <row r="259" spans="6:15" x14ac:dyDescent="0.55000000000000004">
      <c r="F259" s="49">
        <v>45108</v>
      </c>
      <c r="G259" s="92">
        <v>146.97999999999999</v>
      </c>
      <c r="L259" s="15">
        <v>140.80140425961193</v>
      </c>
      <c r="N259" s="15">
        <v>140.80140425961193</v>
      </c>
      <c r="O259" s="15">
        <v>6.1785957403880616</v>
      </c>
    </row>
    <row r="260" spans="6:15" x14ac:dyDescent="0.55000000000000004">
      <c r="F260" s="49">
        <v>45139</v>
      </c>
      <c r="G260" s="92">
        <v>146.13999999999999</v>
      </c>
      <c r="L260" s="15">
        <v>140.28821327451965</v>
      </c>
      <c r="N260" s="15">
        <v>140.28821327451965</v>
      </c>
      <c r="O260" s="15">
        <v>5.8517867254803377</v>
      </c>
    </row>
    <row r="261" spans="6:15" x14ac:dyDescent="0.55000000000000004">
      <c r="F261" s="49">
        <v>45170</v>
      </c>
      <c r="G261" s="92">
        <v>146.19</v>
      </c>
      <c r="L261" s="15">
        <v>139.88255965369464</v>
      </c>
      <c r="N261" s="15">
        <v>139.88255965369464</v>
      </c>
      <c r="O261" s="15">
        <v>6.3074403463053557</v>
      </c>
    </row>
    <row r="262" spans="6:15" x14ac:dyDescent="0.55000000000000004">
      <c r="F262" s="49">
        <v>45200</v>
      </c>
      <c r="G262" s="92">
        <v>146.26</v>
      </c>
      <c r="L262" s="15">
        <v>140.53170833317262</v>
      </c>
      <c r="N262" s="15">
        <v>140.53170833317262</v>
      </c>
      <c r="O262" s="15">
        <v>5.7282916668273742</v>
      </c>
    </row>
    <row r="263" spans="6:15" x14ac:dyDescent="0.55000000000000004">
      <c r="F263" s="49">
        <v>45231</v>
      </c>
      <c r="G263" s="92">
        <v>146.41</v>
      </c>
      <c r="L263" s="15">
        <v>140.34423576550594</v>
      </c>
      <c r="N263" s="15">
        <v>140.34423576550594</v>
      </c>
      <c r="O263" s="15">
        <v>6.0657642344940541</v>
      </c>
    </row>
    <row r="264" spans="6:15" x14ac:dyDescent="0.55000000000000004">
      <c r="F264" s="49">
        <v>45261</v>
      </c>
      <c r="G264" s="92">
        <v>147.61000000000001</v>
      </c>
      <c r="L264" s="15">
        <v>140.92611485780904</v>
      </c>
      <c r="N264" s="15">
        <v>140.92611485780904</v>
      </c>
      <c r="O264" s="15">
        <v>6.6838851421909737</v>
      </c>
    </row>
    <row r="265" spans="6:15" x14ac:dyDescent="0.55000000000000004">
      <c r="F265" s="49">
        <v>45292</v>
      </c>
      <c r="G265" s="92">
        <v>148.5</v>
      </c>
      <c r="L265" s="15">
        <v>140.91111556602223</v>
      </c>
      <c r="N265" s="15">
        <v>140.91111556602223</v>
      </c>
      <c r="O265" s="15">
        <v>7.5888844339777677</v>
      </c>
    </row>
  </sheetData>
  <mergeCells count="2">
    <mergeCell ref="D16:D17"/>
    <mergeCell ref="A4:J4"/>
  </mergeCells>
  <pageMargins left="0.511811024" right="0.511811024" top="0.78740157499999996" bottom="0.78740157499999996" header="0.31496062000000002" footer="0.31496062000000002"/>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07D6E-3DFE-DD4B-9C79-C1C8C70E5EB2}">
  <sheetPr codeName="Planilha121">
    <tabColor theme="9" tint="0.59999389629810485"/>
  </sheetPr>
  <dimension ref="A1:X266"/>
  <sheetViews>
    <sheetView showGridLines="0" zoomScaleNormal="100" workbookViewId="0">
      <selection activeCell="F13" sqref="F13:G266"/>
    </sheetView>
  </sheetViews>
  <sheetFormatPr defaultColWidth="8.796875" defaultRowHeight="18" x14ac:dyDescent="0.55000000000000004"/>
  <cols>
    <col min="1" max="1" width="12.6640625" style="17" customWidth="1"/>
    <col min="2" max="2" width="54.33203125" customWidth="1"/>
    <col min="4" max="4" width="44.33203125" bestFit="1" customWidth="1"/>
    <col min="5" max="5" width="4.6640625" customWidth="1"/>
    <col min="6" max="7" width="7.1328125" bestFit="1" customWidth="1"/>
    <col min="8" max="8" width="10.6640625" bestFit="1" customWidth="1"/>
    <col min="9" max="9" width="12.33203125" bestFit="1" customWidth="1"/>
    <col min="10" max="11" width="11" bestFit="1" customWidth="1"/>
    <col min="12" max="12" width="4.33203125" customWidth="1"/>
    <col min="13" max="13" width="12.1328125" style="15" customWidth="1"/>
    <col min="14" max="15" width="9" style="15" customWidth="1"/>
    <col min="16" max="24" width="8.796875" style="15"/>
  </cols>
  <sheetData>
    <row r="1" spans="1:24" x14ac:dyDescent="0.55000000000000004">
      <c r="A1" s="83" t="s">
        <v>1315</v>
      </c>
      <c r="M1" s="14"/>
      <c r="N1" s="14"/>
      <c r="O1" s="14"/>
      <c r="P1" s="14"/>
      <c r="Q1" s="14"/>
      <c r="R1" s="14"/>
      <c r="S1" s="14"/>
      <c r="T1" s="14"/>
      <c r="U1" s="14"/>
      <c r="V1" s="14"/>
      <c r="W1" s="14"/>
      <c r="X1" s="14"/>
    </row>
    <row r="2" spans="1:24" x14ac:dyDescent="0.55000000000000004">
      <c r="A2" s="17" t="s">
        <v>1314</v>
      </c>
      <c r="M2" s="14"/>
      <c r="N2" s="14"/>
      <c r="O2" s="14"/>
      <c r="P2" s="14"/>
      <c r="Q2" s="14"/>
      <c r="R2" s="14"/>
      <c r="S2" s="14"/>
      <c r="T2" s="14"/>
      <c r="U2" s="14"/>
      <c r="V2" s="14"/>
      <c r="W2" s="14"/>
      <c r="X2" s="14"/>
    </row>
    <row r="3" spans="1:24" x14ac:dyDescent="0.55000000000000004">
      <c r="M3" s="14"/>
      <c r="N3" s="14"/>
      <c r="O3" s="14"/>
      <c r="P3" s="14"/>
      <c r="Q3" s="14"/>
      <c r="R3" s="14"/>
      <c r="S3" s="14"/>
      <c r="T3" s="14"/>
      <c r="U3" s="14"/>
      <c r="V3" s="14"/>
      <c r="W3" s="14"/>
      <c r="X3" s="14"/>
    </row>
    <row r="4" spans="1:24" ht="41.25" customHeight="1" x14ac:dyDescent="0.45">
      <c r="A4" s="172" t="s">
        <v>1316</v>
      </c>
      <c r="B4" s="172"/>
      <c r="C4" s="172"/>
      <c r="D4" s="172"/>
      <c r="E4" s="172"/>
      <c r="F4" s="172"/>
      <c r="G4" s="172"/>
      <c r="H4" s="172"/>
      <c r="I4" s="172"/>
      <c r="J4" s="172"/>
      <c r="K4" s="172"/>
      <c r="M4" s="14"/>
      <c r="N4" s="14"/>
      <c r="O4" s="14"/>
      <c r="P4" s="14"/>
      <c r="Q4" s="14"/>
      <c r="R4" s="14"/>
      <c r="S4" s="14"/>
      <c r="T4" s="14"/>
      <c r="U4" s="14"/>
      <c r="V4" s="14"/>
      <c r="W4" s="14"/>
      <c r="X4" s="14"/>
    </row>
    <row r="6" spans="1:24" ht="15.75" x14ac:dyDescent="0.5">
      <c r="A6" s="2" t="s">
        <v>15</v>
      </c>
      <c r="B6" s="2" t="s">
        <v>16</v>
      </c>
    </row>
    <row r="7" spans="1:24" ht="15.75" x14ac:dyDescent="0.5">
      <c r="A7" s="23" t="s">
        <v>165</v>
      </c>
      <c r="B7" s="24" t="s">
        <v>498</v>
      </c>
    </row>
    <row r="8" spans="1:24" ht="15.75" customHeight="1" x14ac:dyDescent="0.45">
      <c r="A8" s="23" t="s">
        <v>1132</v>
      </c>
      <c r="B8" s="26" t="s">
        <v>1105</v>
      </c>
    </row>
    <row r="9" spans="1:24" ht="63" x14ac:dyDescent="0.5">
      <c r="A9" s="159" t="s">
        <v>1320</v>
      </c>
      <c r="B9" s="160" t="s">
        <v>1318</v>
      </c>
    </row>
    <row r="10" spans="1:24" ht="63" x14ac:dyDescent="0.5">
      <c r="A10" s="159" t="s">
        <v>1321</v>
      </c>
      <c r="B10" s="160" t="s">
        <v>1319</v>
      </c>
    </row>
    <row r="11" spans="1:24" ht="47.25" x14ac:dyDescent="0.5">
      <c r="A11" s="23" t="s">
        <v>1097</v>
      </c>
      <c r="B11" s="24" t="s">
        <v>1104</v>
      </c>
    </row>
    <row r="12" spans="1:24" ht="15.75" x14ac:dyDescent="0.5">
      <c r="A12" s="23"/>
      <c r="B12" s="24"/>
    </row>
    <row r="13" spans="1:24" x14ac:dyDescent="0.55000000000000004">
      <c r="D13" s="1" t="s">
        <v>17</v>
      </c>
      <c r="F13" t="s">
        <v>1102</v>
      </c>
      <c r="G13" s="13" t="s">
        <v>165</v>
      </c>
      <c r="H13" s="13" t="s">
        <v>197</v>
      </c>
      <c r="I13" s="13" t="s">
        <v>1320</v>
      </c>
      <c r="J13" s="13" t="s">
        <v>1321</v>
      </c>
      <c r="K13" s="13" t="s">
        <v>1097</v>
      </c>
      <c r="M13" s="58" t="s">
        <v>192</v>
      </c>
      <c r="O13" s="15" t="s">
        <v>201</v>
      </c>
      <c r="P13" s="15" t="s">
        <v>202</v>
      </c>
    </row>
    <row r="14" spans="1:24" x14ac:dyDescent="0.55000000000000004">
      <c r="D14" t="s">
        <v>195</v>
      </c>
      <c r="F14" s="49">
        <v>37622</v>
      </c>
      <c r="G14" s="92">
        <v>100.42</v>
      </c>
      <c r="H14" s="54" t="s">
        <v>200</v>
      </c>
      <c r="I14" s="54">
        <v>4</v>
      </c>
      <c r="J14" s="54">
        <v>12</v>
      </c>
      <c r="K14" s="54">
        <v>4</v>
      </c>
      <c r="M14" s="58" t="e" cm="1">
        <f t="array" ref="M14:M266">_xlfn.LAMBDA(_xlpm.values,_xlop.trendCycle,_xlop.lowerLead,_xlop.upperLead,_xlop.lagLength,
_xlfn.LET(
_xlpm.y, VEC(_xlpm.values),
_xlpm.N, ROWS(_xlpm.y),
_xlpm.trendCycle, IF( OR(_xlfn.ISOMITTED(_xlpm.trendCycle),ISBLANK(_xlpm.trendCycle)), "t", LOWER(_xlpm.trendCycle) ),
_xlpm.leadLength, IF( OR(_xlfn.ISOMITTED(leadLength),ISBLANK(leadLength)), 8, leadLength ),
_xlpm.lagLength, IF( OR(_xlfn.ISOMITTED(_xlpm.lagLength),ISBLANK(_xlpm.lagLength)), 4, _xlpm.lagLength ),
_xlpm.lowerLead, IF( OR(_xlfn.ISOMITTED(_xlpm.lowerLead),ISBLANK(_xlpm.lowerLead)), _xlpm.lagLength, _xlpm.lowerLead ),
_xlpm.upperLead, IF( OR(_xlfn.ISOMITTED(_xlpm.upperLead),ISBLANK(_xlpm.upperLead)), 3*_xlpm.lagLength, _xlpm.upperLead ),
_xlpm.cycle, _xlfn.BYROW(_xlfn.REDUCE(HFILTER(_xlpm.y,"C",_xlpm.lowerLead,_xlpm.lagLength),_xlfn.SEQUENCE(_xlpm.upperLead-_xlpm.lowerLead,1,_xlpm.lowerLead+1),_xlfn.LAMBDA(_xlpm.init,_xlpm.x, _xlfn.HSTACK(_xlpm.init, HFILTER(_xlpm.y,"C",_xlpm.x,_xlpm.lagLength)))), _xlfn.LAMBDA(_xlpm.x,AVERAGE(_xlpm.x))),
_xlpm.final, IF(_xlpm.trendCycle = "t", _xlpm.y - _xlpm.cycle, IF(_xlpm.trendCycle = "c", _xlpm.cycle, "#trendCycle must be either ""t"" or ""c""") ),
_xlpm.final
))($G$14:$G$266,$H$14,$I$14,$J$14,$K$14)</f>
        <v>#N/A</v>
      </c>
      <c r="N14" s="53"/>
      <c r="O14" s="53" t="e" cm="1">
        <f t="array" ref="O14:O266">MHFILTER($G$14:$G$266,"T",$I$14,$J$14,$K$14)</f>
        <v>#N/A</v>
      </c>
      <c r="P14" s="15" t="e" cm="1">
        <f t="array" ref="P14:P266">MHFILTER($G$14:$G$266,"C",$I$14,$J$14,$K$14)</f>
        <v>#N/A</v>
      </c>
    </row>
    <row r="15" spans="1:24" x14ac:dyDescent="0.55000000000000004">
      <c r="D15" t="s">
        <v>222</v>
      </c>
      <c r="F15" s="49">
        <v>37653</v>
      </c>
      <c r="G15" s="92">
        <v>101.99</v>
      </c>
      <c r="M15" s="58" t="e">
        <v>#N/A</v>
      </c>
      <c r="N15" s="53"/>
      <c r="O15" s="53" t="e">
        <v>#N/A</v>
      </c>
      <c r="P15" s="15" t="e">
        <v>#N/A</v>
      </c>
    </row>
    <row r="16" spans="1:24" x14ac:dyDescent="0.55000000000000004">
      <c r="F16" s="49">
        <v>37681</v>
      </c>
      <c r="G16" s="92">
        <v>101.8</v>
      </c>
      <c r="M16" s="58" t="e">
        <v>#N/A</v>
      </c>
      <c r="N16" s="53"/>
      <c r="O16" s="53" t="e">
        <v>#N/A</v>
      </c>
      <c r="P16" s="15" t="e">
        <v>#N/A</v>
      </c>
    </row>
    <row r="17" spans="1:24" ht="18.75" customHeight="1" x14ac:dyDescent="0.55000000000000004">
      <c r="D17" s="55"/>
      <c r="F17" s="49">
        <v>37712</v>
      </c>
      <c r="G17" s="92">
        <v>101.01</v>
      </c>
      <c r="M17" s="58" t="e">
        <v>#N/A</v>
      </c>
      <c r="N17" s="53"/>
      <c r="O17" s="53" t="e">
        <v>#N/A</v>
      </c>
      <c r="P17" s="15" t="e">
        <v>#N/A</v>
      </c>
    </row>
    <row r="18" spans="1:24" x14ac:dyDescent="0.55000000000000004">
      <c r="D18" s="55"/>
      <c r="F18" s="49">
        <v>37742</v>
      </c>
      <c r="G18" s="92">
        <v>99.97</v>
      </c>
      <c r="M18" s="58" t="e">
        <v>#N/A</v>
      </c>
      <c r="N18" s="53"/>
      <c r="O18" s="53" t="e">
        <v>#N/A</v>
      </c>
      <c r="P18" s="15" t="e">
        <v>#N/A</v>
      </c>
    </row>
    <row r="19" spans="1:24" x14ac:dyDescent="0.55000000000000004">
      <c r="D19" s="46"/>
      <c r="F19" s="49">
        <v>37773</v>
      </c>
      <c r="G19" s="92">
        <v>100.14</v>
      </c>
      <c r="M19" s="58" t="e">
        <v>#N/A</v>
      </c>
      <c r="N19" s="53"/>
      <c r="O19" s="53" t="e">
        <v>#N/A</v>
      </c>
      <c r="P19" s="15" t="e">
        <v>#N/A</v>
      </c>
    </row>
    <row r="20" spans="1:24" x14ac:dyDescent="0.55000000000000004">
      <c r="F20" s="49">
        <v>37803</v>
      </c>
      <c r="G20" s="92">
        <v>98.94</v>
      </c>
      <c r="M20" s="58" t="e">
        <v>#N/A</v>
      </c>
      <c r="N20" s="53"/>
      <c r="O20" s="53" t="e">
        <v>#N/A</v>
      </c>
      <c r="P20" s="15" t="e">
        <v>#N/A</v>
      </c>
    </row>
    <row r="21" spans="1:24" x14ac:dyDescent="0.55000000000000004">
      <c r="F21" s="49">
        <v>37834</v>
      </c>
      <c r="G21" s="92">
        <v>99.82</v>
      </c>
      <c r="M21" s="58" t="e">
        <v>#N/A</v>
      </c>
      <c r="N21" s="53"/>
      <c r="O21" s="53" t="e">
        <v>#N/A</v>
      </c>
      <c r="P21" s="15" t="e">
        <v>#N/A</v>
      </c>
    </row>
    <row r="22" spans="1:24" x14ac:dyDescent="0.55000000000000004">
      <c r="F22" s="49">
        <v>37865</v>
      </c>
      <c r="G22" s="92">
        <v>101.66</v>
      </c>
      <c r="M22" s="58" t="e">
        <v>#N/A</v>
      </c>
      <c r="N22" s="53"/>
      <c r="O22" s="53" t="e">
        <v>#N/A</v>
      </c>
      <c r="P22" s="15" t="e">
        <v>#N/A</v>
      </c>
    </row>
    <row r="23" spans="1:24" s="21" customFormat="1" x14ac:dyDescent="0.55000000000000004">
      <c r="A23" s="17"/>
      <c r="B23"/>
      <c r="C23"/>
      <c r="D23"/>
      <c r="E23"/>
      <c r="F23" s="49">
        <v>37895</v>
      </c>
      <c r="G23" s="92">
        <v>101.86</v>
      </c>
      <c r="H23"/>
      <c r="I23"/>
      <c r="J23"/>
      <c r="K23"/>
      <c r="L23"/>
      <c r="M23" s="58" t="e">
        <v>#N/A</v>
      </c>
      <c r="N23" s="53"/>
      <c r="O23" s="53" t="e">
        <v>#N/A</v>
      </c>
      <c r="P23" s="15" t="e">
        <v>#N/A</v>
      </c>
      <c r="Q23" s="15"/>
      <c r="R23" s="15"/>
      <c r="S23" s="15"/>
      <c r="T23" s="15"/>
      <c r="U23" s="15"/>
      <c r="V23" s="15"/>
      <c r="W23" s="15"/>
      <c r="X23" s="15"/>
    </row>
    <row r="24" spans="1:24" s="21" customFormat="1" x14ac:dyDescent="0.55000000000000004">
      <c r="A24" s="17"/>
      <c r="B24"/>
      <c r="C24"/>
      <c r="D24"/>
      <c r="E24"/>
      <c r="F24" s="49">
        <v>37926</v>
      </c>
      <c r="G24" s="92">
        <v>102</v>
      </c>
      <c r="H24"/>
      <c r="I24"/>
      <c r="J24"/>
      <c r="K24"/>
      <c r="L24"/>
      <c r="M24" s="58" t="e">
        <v>#N/A</v>
      </c>
      <c r="N24" s="53"/>
      <c r="O24" s="53" t="e">
        <v>#N/A</v>
      </c>
      <c r="P24" s="15" t="e">
        <v>#N/A</v>
      </c>
      <c r="Q24" s="15"/>
      <c r="R24" s="15"/>
      <c r="S24" s="15"/>
      <c r="T24" s="15"/>
      <c r="U24" s="15"/>
      <c r="V24" s="15"/>
      <c r="W24" s="15"/>
      <c r="X24" s="15"/>
    </row>
    <row r="25" spans="1:24" s="21" customFormat="1" x14ac:dyDescent="0.55000000000000004">
      <c r="A25" s="17"/>
      <c r="B25"/>
      <c r="C25"/>
      <c r="D25"/>
      <c r="E25"/>
      <c r="F25" s="49">
        <v>37956</v>
      </c>
      <c r="G25" s="92">
        <v>101.94</v>
      </c>
      <c r="H25"/>
      <c r="I25"/>
      <c r="J25"/>
      <c r="K25"/>
      <c r="L25"/>
      <c r="M25" s="58" t="e">
        <v>#N/A</v>
      </c>
      <c r="N25" s="53"/>
      <c r="O25" s="53" t="e">
        <v>#N/A</v>
      </c>
      <c r="P25" s="15" t="e">
        <v>#N/A</v>
      </c>
      <c r="Q25" s="15"/>
      <c r="R25" s="15"/>
      <c r="S25" s="15"/>
      <c r="T25" s="15"/>
      <c r="U25" s="15"/>
      <c r="V25" s="15"/>
      <c r="W25" s="15"/>
      <c r="X25" s="15"/>
    </row>
    <row r="26" spans="1:24" s="21" customFormat="1" x14ac:dyDescent="0.55000000000000004">
      <c r="A26" s="17"/>
      <c r="B26"/>
      <c r="C26"/>
      <c r="D26"/>
      <c r="E26"/>
      <c r="F26" s="49">
        <v>37987</v>
      </c>
      <c r="G26" s="92">
        <v>103.64</v>
      </c>
      <c r="H26"/>
      <c r="I26"/>
      <c r="J26"/>
      <c r="K26"/>
      <c r="L26"/>
      <c r="M26" s="58" t="e">
        <v>#N/A</v>
      </c>
      <c r="N26" s="53"/>
      <c r="O26" s="53" t="e">
        <v>#N/A</v>
      </c>
      <c r="P26" s="15" t="e">
        <v>#N/A</v>
      </c>
      <c r="Q26" s="15"/>
      <c r="R26" s="15"/>
      <c r="S26" s="15"/>
      <c r="T26" s="15"/>
      <c r="U26" s="15"/>
      <c r="V26" s="15"/>
      <c r="W26" s="15"/>
      <c r="X26" s="15"/>
    </row>
    <row r="27" spans="1:24" s="21" customFormat="1" x14ac:dyDescent="0.55000000000000004">
      <c r="A27" s="17"/>
      <c r="B27"/>
      <c r="C27"/>
      <c r="D27"/>
      <c r="E27"/>
      <c r="F27" s="49">
        <v>38018</v>
      </c>
      <c r="G27" s="92">
        <v>104.52</v>
      </c>
      <c r="H27"/>
      <c r="I27"/>
      <c r="J27"/>
      <c r="K27"/>
      <c r="L27"/>
      <c r="M27" s="58" t="e">
        <v>#N/A</v>
      </c>
      <c r="N27" s="53"/>
      <c r="O27" s="53" t="e">
        <v>#N/A</v>
      </c>
      <c r="P27" s="15" t="e">
        <v>#N/A</v>
      </c>
      <c r="Q27" s="15"/>
      <c r="R27" s="15"/>
      <c r="S27" s="15"/>
      <c r="T27" s="15"/>
      <c r="U27" s="15"/>
      <c r="V27" s="15"/>
      <c r="W27" s="15"/>
      <c r="X27" s="15"/>
    </row>
    <row r="28" spans="1:24" s="21" customFormat="1" x14ac:dyDescent="0.55000000000000004">
      <c r="A28" s="17"/>
      <c r="B28"/>
      <c r="C28"/>
      <c r="D28"/>
      <c r="E28"/>
      <c r="F28" s="49">
        <v>38047</v>
      </c>
      <c r="G28" s="92">
        <v>105.83</v>
      </c>
      <c r="H28"/>
      <c r="I28"/>
      <c r="J28"/>
      <c r="K28"/>
      <c r="L28"/>
      <c r="M28" s="58" t="e">
        <v>#N/A</v>
      </c>
      <c r="N28" s="53"/>
      <c r="O28" s="53" t="e">
        <v>#N/A</v>
      </c>
      <c r="P28" s="15" t="e">
        <v>#N/A</v>
      </c>
      <c r="Q28" s="15"/>
      <c r="R28" s="15"/>
      <c r="S28" s="15"/>
      <c r="T28" s="15"/>
      <c r="U28" s="15"/>
      <c r="V28" s="15"/>
      <c r="W28" s="15"/>
      <c r="X28" s="15"/>
    </row>
    <row r="29" spans="1:24" s="21" customFormat="1" x14ac:dyDescent="0.55000000000000004">
      <c r="A29" s="17"/>
      <c r="B29"/>
      <c r="C29"/>
      <c r="D29"/>
      <c r="E29"/>
      <c r="F29" s="49">
        <v>38078</v>
      </c>
      <c r="G29" s="92">
        <v>106.41</v>
      </c>
      <c r="H29"/>
      <c r="I29"/>
      <c r="J29"/>
      <c r="K29"/>
      <c r="L29"/>
      <c r="M29" s="58">
        <v>106.90587222614559</v>
      </c>
      <c r="N29" s="53"/>
      <c r="O29" s="53">
        <v>106.90587222614559</v>
      </c>
      <c r="P29" s="15">
        <v>-0.49587222614559479</v>
      </c>
      <c r="Q29" s="15"/>
      <c r="R29" s="15"/>
      <c r="S29" s="15"/>
      <c r="T29" s="15"/>
      <c r="U29" s="15"/>
      <c r="V29" s="15"/>
      <c r="W29" s="15"/>
      <c r="X29" s="15"/>
    </row>
    <row r="30" spans="1:24" s="21" customFormat="1" x14ac:dyDescent="0.55000000000000004">
      <c r="A30" s="17"/>
      <c r="B30"/>
      <c r="C30"/>
      <c r="D30"/>
      <c r="E30"/>
      <c r="F30" s="49">
        <v>38108</v>
      </c>
      <c r="G30" s="92">
        <v>106.33</v>
      </c>
      <c r="H30"/>
      <c r="I30"/>
      <c r="J30"/>
      <c r="K30"/>
      <c r="L30"/>
      <c r="M30" s="58">
        <v>107.23315300324354</v>
      </c>
      <c r="N30" s="53"/>
      <c r="O30" s="53">
        <v>107.23315300324354</v>
      </c>
      <c r="P30" s="15">
        <v>-0.90315300324355186</v>
      </c>
      <c r="Q30" s="15"/>
      <c r="R30" s="15"/>
      <c r="S30" s="15"/>
      <c r="T30" s="15"/>
      <c r="U30" s="15"/>
      <c r="V30" s="15"/>
      <c r="W30" s="15"/>
      <c r="X30" s="15"/>
    </row>
    <row r="31" spans="1:24" s="21" customFormat="1" x14ac:dyDescent="0.55000000000000004">
      <c r="A31" s="17"/>
      <c r="B31"/>
      <c r="C31"/>
      <c r="D31"/>
      <c r="E31"/>
      <c r="F31" s="49">
        <v>38139</v>
      </c>
      <c r="G31" s="92">
        <v>107.19</v>
      </c>
      <c r="H31"/>
      <c r="I31"/>
      <c r="J31"/>
      <c r="K31"/>
      <c r="L31"/>
      <c r="M31" s="58">
        <v>107.56443322248451</v>
      </c>
      <c r="N31" s="53"/>
      <c r="O31" s="53">
        <v>107.56443322248451</v>
      </c>
      <c r="P31" s="15">
        <v>-0.3744332224845171</v>
      </c>
      <c r="Q31" s="15"/>
      <c r="R31" s="15"/>
      <c r="S31" s="15"/>
      <c r="T31" s="15"/>
      <c r="U31" s="15"/>
      <c r="V31" s="15"/>
      <c r="W31" s="15"/>
      <c r="X31" s="15"/>
    </row>
    <row r="32" spans="1:24" s="21" customFormat="1" x14ac:dyDescent="0.55000000000000004">
      <c r="A32" s="17"/>
      <c r="B32"/>
      <c r="C32"/>
      <c r="D32"/>
      <c r="E32"/>
      <c r="F32" s="49">
        <v>38169</v>
      </c>
      <c r="G32" s="92">
        <v>107.67</v>
      </c>
      <c r="H32"/>
      <c r="I32"/>
      <c r="J32"/>
      <c r="K32"/>
      <c r="L32"/>
      <c r="M32" s="58">
        <v>107.93826778997452</v>
      </c>
      <c r="N32" s="53"/>
      <c r="O32" s="53">
        <v>107.93826778997452</v>
      </c>
      <c r="P32" s="15">
        <v>-0.26826778997451112</v>
      </c>
      <c r="Q32" s="15"/>
      <c r="R32" s="15"/>
      <c r="S32" s="15"/>
      <c r="T32" s="15"/>
      <c r="U32" s="15"/>
      <c r="V32" s="15"/>
      <c r="W32" s="15"/>
      <c r="X32" s="15"/>
    </row>
    <row r="33" spans="1:24" s="21" customFormat="1" x14ac:dyDescent="0.55000000000000004">
      <c r="A33" s="17"/>
      <c r="B33"/>
      <c r="C33"/>
      <c r="D33"/>
      <c r="E33"/>
      <c r="F33" s="49">
        <v>38200</v>
      </c>
      <c r="G33" s="92">
        <v>108.18</v>
      </c>
      <c r="H33"/>
      <c r="I33"/>
      <c r="J33"/>
      <c r="K33"/>
      <c r="L33"/>
      <c r="M33" s="58">
        <v>108.63020164874604</v>
      </c>
      <c r="N33" s="53"/>
      <c r="O33" s="53">
        <v>108.63020164874604</v>
      </c>
      <c r="P33" s="15">
        <v>-0.45020164874602941</v>
      </c>
      <c r="Q33" s="15"/>
      <c r="R33" s="15"/>
      <c r="S33" s="15"/>
      <c r="T33" s="15"/>
      <c r="U33" s="15"/>
      <c r="V33" s="15"/>
      <c r="W33" s="15"/>
      <c r="X33" s="15"/>
    </row>
    <row r="34" spans="1:24" s="21" customFormat="1" x14ac:dyDescent="0.55000000000000004">
      <c r="A34" s="17"/>
      <c r="B34"/>
      <c r="C34"/>
      <c r="D34"/>
      <c r="E34"/>
      <c r="F34" s="49">
        <v>38231</v>
      </c>
      <c r="G34" s="92">
        <v>109.16</v>
      </c>
      <c r="H34"/>
      <c r="I34"/>
      <c r="J34"/>
      <c r="K34"/>
      <c r="L34"/>
      <c r="M34" s="58">
        <v>109.15017721904123</v>
      </c>
      <c r="N34" s="53"/>
      <c r="O34" s="53">
        <v>109.15017721904123</v>
      </c>
      <c r="P34" s="15">
        <v>9.8227809587743617E-3</v>
      </c>
      <c r="Q34" s="15"/>
      <c r="R34" s="15"/>
      <c r="S34" s="15"/>
      <c r="T34" s="15"/>
      <c r="U34" s="15"/>
      <c r="V34" s="15"/>
      <c r="W34" s="15"/>
      <c r="X34" s="15"/>
    </row>
    <row r="35" spans="1:24" s="21" customFormat="1" x14ac:dyDescent="0.55000000000000004">
      <c r="A35" s="17"/>
      <c r="B35"/>
      <c r="C35"/>
      <c r="D35"/>
      <c r="E35"/>
      <c r="F35" s="49">
        <v>38261</v>
      </c>
      <c r="G35" s="92">
        <v>108.73</v>
      </c>
      <c r="H35"/>
      <c r="I35"/>
      <c r="J35"/>
      <c r="K35"/>
      <c r="L35"/>
      <c r="M35" s="58">
        <v>109.67240654397668</v>
      </c>
      <c r="N35" s="53"/>
      <c r="O35" s="53">
        <v>109.67240654397668</v>
      </c>
      <c r="P35" s="15">
        <v>-0.94240654397667667</v>
      </c>
      <c r="Q35" s="15"/>
      <c r="R35" s="15"/>
      <c r="S35" s="15"/>
      <c r="T35" s="15"/>
      <c r="U35" s="15"/>
      <c r="V35" s="15"/>
      <c r="W35" s="15"/>
      <c r="X35" s="15"/>
    </row>
    <row r="36" spans="1:24" s="21" customFormat="1" x14ac:dyDescent="0.55000000000000004">
      <c r="A36" s="17"/>
      <c r="B36"/>
      <c r="C36"/>
      <c r="D36"/>
      <c r="E36"/>
      <c r="F36" s="49">
        <v>38292</v>
      </c>
      <c r="G36" s="92">
        <v>109.67</v>
      </c>
      <c r="H36"/>
      <c r="I36"/>
      <c r="J36"/>
      <c r="K36"/>
      <c r="L36"/>
      <c r="M36" s="58">
        <v>110.23225937155155</v>
      </c>
      <c r="N36" s="53"/>
      <c r="O36" s="53">
        <v>110.23225937155155</v>
      </c>
      <c r="P36" s="15">
        <v>-0.56225937155154626</v>
      </c>
      <c r="Q36" s="15"/>
      <c r="R36" s="15"/>
      <c r="S36" s="15"/>
      <c r="T36" s="15"/>
      <c r="U36" s="15"/>
      <c r="V36" s="15"/>
      <c r="W36" s="15"/>
      <c r="X36" s="15"/>
    </row>
    <row r="37" spans="1:24" s="21" customFormat="1" x14ac:dyDescent="0.55000000000000004">
      <c r="A37" s="17"/>
      <c r="B37"/>
      <c r="C37"/>
      <c r="D37"/>
      <c r="E37"/>
      <c r="F37" s="49">
        <v>38322</v>
      </c>
      <c r="G37" s="92">
        <v>109.08</v>
      </c>
      <c r="H37"/>
      <c r="I37"/>
      <c r="J37"/>
      <c r="K37"/>
      <c r="L37"/>
      <c r="M37" s="58">
        <v>110.85764618491795</v>
      </c>
      <c r="N37" s="53"/>
      <c r="O37" s="53">
        <v>110.85764618491795</v>
      </c>
      <c r="P37" s="15">
        <v>-1.7776461849179508</v>
      </c>
      <c r="Q37" s="15"/>
      <c r="R37" s="15"/>
      <c r="S37" s="15"/>
      <c r="T37" s="15"/>
      <c r="U37" s="15"/>
      <c r="V37" s="15"/>
      <c r="W37" s="15"/>
      <c r="X37" s="15"/>
    </row>
    <row r="38" spans="1:24" s="21" customFormat="1" x14ac:dyDescent="0.55000000000000004">
      <c r="A38" s="17"/>
      <c r="B38"/>
      <c r="C38"/>
      <c r="D38"/>
      <c r="E38"/>
      <c r="F38" s="49">
        <v>38353</v>
      </c>
      <c r="G38" s="92">
        <v>109.54</v>
      </c>
      <c r="H38"/>
      <c r="I38"/>
      <c r="J38"/>
      <c r="K38"/>
      <c r="L38"/>
      <c r="M38" s="58">
        <v>111.54937114912472</v>
      </c>
      <c r="N38" s="53"/>
      <c r="O38" s="53">
        <v>111.54937114912472</v>
      </c>
      <c r="P38" s="15">
        <v>-2.0093711491247195</v>
      </c>
      <c r="Q38" s="15"/>
      <c r="R38" s="53"/>
      <c r="S38" s="15"/>
      <c r="T38" s="15"/>
      <c r="U38" s="15"/>
      <c r="V38" s="15"/>
      <c r="W38" s="15"/>
      <c r="X38" s="15"/>
    </row>
    <row r="39" spans="1:24" s="21" customFormat="1" x14ac:dyDescent="0.55000000000000004">
      <c r="A39" s="17"/>
      <c r="B39"/>
      <c r="C39"/>
      <c r="D39"/>
      <c r="E39"/>
      <c r="F39" s="49">
        <v>38384</v>
      </c>
      <c r="G39" s="92">
        <v>110.2</v>
      </c>
      <c r="H39"/>
      <c r="I39"/>
      <c r="J39"/>
      <c r="K39"/>
      <c r="L39"/>
      <c r="M39" s="58">
        <v>112.00936175540883</v>
      </c>
      <c r="N39" s="53"/>
      <c r="O39" s="53">
        <v>112.00936175540883</v>
      </c>
      <c r="P39" s="15">
        <v>-1.8093617554088344</v>
      </c>
      <c r="Q39" s="15"/>
      <c r="R39" s="15"/>
      <c r="S39" s="15"/>
      <c r="T39" s="15"/>
      <c r="U39" s="15"/>
      <c r="V39" s="15"/>
      <c r="W39" s="15"/>
      <c r="X39" s="15"/>
    </row>
    <row r="40" spans="1:24" s="21" customFormat="1" x14ac:dyDescent="0.55000000000000004">
      <c r="A40" s="17"/>
      <c r="B40"/>
      <c r="C40"/>
      <c r="D40"/>
      <c r="E40"/>
      <c r="F40" s="49">
        <v>38412</v>
      </c>
      <c r="G40" s="92">
        <v>110.38</v>
      </c>
      <c r="H40"/>
      <c r="I40"/>
      <c r="J40"/>
      <c r="K40"/>
      <c r="L40"/>
      <c r="M40" s="58">
        <v>112.55550483268433</v>
      </c>
      <c r="N40" s="53"/>
      <c r="O40" s="53">
        <v>112.55550483268433</v>
      </c>
      <c r="P40" s="15">
        <v>-2.1755048326843442</v>
      </c>
      <c r="Q40" s="15"/>
      <c r="R40" s="15"/>
      <c r="S40" s="15"/>
      <c r="T40" s="15"/>
      <c r="U40" s="15"/>
      <c r="V40" s="15"/>
      <c r="W40" s="15"/>
      <c r="X40" s="15"/>
    </row>
    <row r="41" spans="1:24" s="21" customFormat="1" x14ac:dyDescent="0.55000000000000004">
      <c r="A41" s="17"/>
      <c r="B41"/>
      <c r="C41"/>
      <c r="D41"/>
      <c r="E41"/>
      <c r="F41" s="49">
        <v>38443</v>
      </c>
      <c r="G41" s="92">
        <v>111.11</v>
      </c>
      <c r="H41"/>
      <c r="I41"/>
      <c r="J41"/>
      <c r="K41"/>
      <c r="L41"/>
      <c r="M41" s="58">
        <v>112.87942772735282</v>
      </c>
      <c r="N41" s="53"/>
      <c r="O41" s="53">
        <v>112.87942772735282</v>
      </c>
      <c r="P41" s="15">
        <v>-1.7694277273528263</v>
      </c>
      <c r="Q41" s="15"/>
      <c r="R41" s="15"/>
      <c r="S41" s="15"/>
      <c r="T41" s="15"/>
      <c r="U41" s="15"/>
      <c r="V41" s="15"/>
      <c r="W41" s="15"/>
      <c r="X41" s="15"/>
    </row>
    <row r="42" spans="1:24" s="21" customFormat="1" x14ac:dyDescent="0.55000000000000004">
      <c r="A42" s="17"/>
      <c r="B42"/>
      <c r="C42"/>
      <c r="D42"/>
      <c r="E42"/>
      <c r="F42" s="49">
        <v>38473</v>
      </c>
      <c r="G42" s="92">
        <v>111</v>
      </c>
      <c r="H42"/>
      <c r="I42"/>
      <c r="J42"/>
      <c r="K42"/>
      <c r="L42"/>
      <c r="M42" s="58">
        <v>113.22070358238479</v>
      </c>
      <c r="N42" s="53"/>
      <c r="O42" s="53">
        <v>113.22070358238479</v>
      </c>
      <c r="P42" s="15">
        <v>-2.220703582384786</v>
      </c>
      <c r="Q42" s="15"/>
      <c r="R42" s="15"/>
      <c r="S42" s="15"/>
      <c r="T42" s="15"/>
      <c r="U42" s="15"/>
      <c r="V42" s="15"/>
      <c r="W42" s="15"/>
      <c r="X42" s="15"/>
    </row>
    <row r="43" spans="1:24" s="21" customFormat="1" x14ac:dyDescent="0.55000000000000004">
      <c r="A43" s="17"/>
      <c r="B43"/>
      <c r="C43"/>
      <c r="D43"/>
      <c r="E43"/>
      <c r="F43" s="49">
        <v>38504</v>
      </c>
      <c r="G43" s="92">
        <v>110.33</v>
      </c>
      <c r="H43"/>
      <c r="I43"/>
      <c r="J43"/>
      <c r="K43"/>
      <c r="L43"/>
      <c r="M43" s="58">
        <v>113.67778712960602</v>
      </c>
      <c r="N43" s="53"/>
      <c r="O43" s="53">
        <v>113.67778712960602</v>
      </c>
      <c r="P43" s="15">
        <v>-3.3477871296060204</v>
      </c>
      <c r="Q43" s="15"/>
      <c r="R43" s="15"/>
      <c r="S43" s="15"/>
      <c r="T43" s="15"/>
      <c r="U43" s="15"/>
      <c r="V43" s="15"/>
      <c r="W43" s="15"/>
      <c r="X43" s="15"/>
    </row>
    <row r="44" spans="1:24" s="21" customFormat="1" x14ac:dyDescent="0.55000000000000004">
      <c r="A44" s="17"/>
      <c r="B44"/>
      <c r="C44"/>
      <c r="D44"/>
      <c r="E44"/>
      <c r="F44" s="49">
        <v>38534</v>
      </c>
      <c r="G44" s="92">
        <v>110.43</v>
      </c>
      <c r="H44"/>
      <c r="I44"/>
      <c r="J44"/>
      <c r="K44"/>
      <c r="L44"/>
      <c r="M44" s="58">
        <v>113.94477764105754</v>
      </c>
      <c r="N44" s="53"/>
      <c r="O44" s="53">
        <v>113.94477764105754</v>
      </c>
      <c r="P44" s="15">
        <v>-3.5147776410575409</v>
      </c>
      <c r="Q44" s="15"/>
      <c r="R44" s="15"/>
      <c r="S44" s="15"/>
      <c r="T44" s="15"/>
      <c r="U44" s="15"/>
      <c r="V44" s="15"/>
      <c r="W44" s="15"/>
      <c r="X44" s="15"/>
    </row>
    <row r="45" spans="1:24" s="21" customFormat="1" x14ac:dyDescent="0.55000000000000004">
      <c r="A45" s="17"/>
      <c r="B45"/>
      <c r="C45"/>
      <c r="D45"/>
      <c r="E45"/>
      <c r="F45" s="49">
        <v>38565</v>
      </c>
      <c r="G45" s="92">
        <v>111.22</v>
      </c>
      <c r="H45"/>
      <c r="I45"/>
      <c r="J45"/>
      <c r="K45"/>
      <c r="L45"/>
      <c r="M45" s="58">
        <v>114.32109610238714</v>
      </c>
      <c r="N45" s="53"/>
      <c r="O45" s="53">
        <v>114.32109610238714</v>
      </c>
      <c r="P45" s="15">
        <v>-3.1010961023871411</v>
      </c>
      <c r="Q45" s="15"/>
      <c r="R45" s="15"/>
      <c r="S45" s="15"/>
      <c r="T45" s="15"/>
      <c r="U45" s="15"/>
      <c r="V45" s="15"/>
      <c r="W45" s="15"/>
      <c r="X45" s="15"/>
    </row>
    <row r="46" spans="1:24" s="21" customFormat="1" x14ac:dyDescent="0.55000000000000004">
      <c r="A46" s="17"/>
      <c r="B46"/>
      <c r="C46"/>
      <c r="D46"/>
      <c r="E46"/>
      <c r="F46" s="49">
        <v>38596</v>
      </c>
      <c r="G46" s="92">
        <v>110.72</v>
      </c>
      <c r="H46"/>
      <c r="I46"/>
      <c r="J46"/>
      <c r="K46"/>
      <c r="L46"/>
      <c r="M46" s="58">
        <v>114.54264001576003</v>
      </c>
      <c r="N46" s="53"/>
      <c r="O46" s="53">
        <v>114.54264001576003</v>
      </c>
      <c r="P46" s="15">
        <v>-3.8226400157600344</v>
      </c>
      <c r="Q46" s="15"/>
      <c r="R46" s="15"/>
      <c r="S46" s="15"/>
      <c r="T46" s="15"/>
      <c r="U46" s="15"/>
      <c r="V46" s="15"/>
      <c r="W46" s="15"/>
      <c r="X46" s="15"/>
    </row>
    <row r="47" spans="1:24" s="21" customFormat="1" x14ac:dyDescent="0.55000000000000004">
      <c r="A47" s="17"/>
      <c r="B47"/>
      <c r="C47"/>
      <c r="D47"/>
      <c r="E47"/>
      <c r="F47" s="49">
        <v>38626</v>
      </c>
      <c r="G47" s="92">
        <v>111.1</v>
      </c>
      <c r="H47"/>
      <c r="I47"/>
      <c r="J47"/>
      <c r="K47"/>
      <c r="L47"/>
      <c r="M47" s="58">
        <v>114.67130038219744</v>
      </c>
      <c r="N47" s="53"/>
      <c r="O47" s="53">
        <v>114.67130038219744</v>
      </c>
      <c r="P47" s="15">
        <v>-3.5713003821974545</v>
      </c>
      <c r="Q47" s="15"/>
      <c r="R47" s="15"/>
      <c r="S47" s="15"/>
      <c r="T47" s="15"/>
      <c r="U47" s="15"/>
      <c r="V47" s="15"/>
      <c r="W47" s="15"/>
      <c r="X47" s="15"/>
    </row>
    <row r="48" spans="1:24" s="21" customFormat="1" x14ac:dyDescent="0.55000000000000004">
      <c r="A48" s="17"/>
      <c r="B48"/>
      <c r="C48"/>
      <c r="D48"/>
      <c r="E48"/>
      <c r="F48" s="49">
        <v>38657</v>
      </c>
      <c r="G48" s="92">
        <v>111.85</v>
      </c>
      <c r="H48"/>
      <c r="I48"/>
      <c r="J48"/>
      <c r="K48"/>
      <c r="L48"/>
      <c r="M48" s="58">
        <v>114.87357440629734</v>
      </c>
      <c r="N48" s="53"/>
      <c r="O48" s="53">
        <v>114.87357440629734</v>
      </c>
      <c r="P48" s="15">
        <v>-3.0235744062973393</v>
      </c>
      <c r="Q48" s="15"/>
      <c r="R48" s="15"/>
      <c r="S48" s="15"/>
      <c r="T48" s="15"/>
      <c r="U48" s="15"/>
      <c r="V48" s="15"/>
      <c r="W48" s="15"/>
      <c r="X48" s="15"/>
    </row>
    <row r="49" spans="1:24" s="21" customFormat="1" x14ac:dyDescent="0.55000000000000004">
      <c r="A49" s="17"/>
      <c r="B49"/>
      <c r="C49"/>
      <c r="D49"/>
      <c r="E49"/>
      <c r="F49" s="49">
        <v>38687</v>
      </c>
      <c r="G49" s="92">
        <v>112.92</v>
      </c>
      <c r="H49"/>
      <c r="I49"/>
      <c r="J49"/>
      <c r="K49"/>
      <c r="L49"/>
      <c r="M49" s="58">
        <v>115.06902866076989</v>
      </c>
      <c r="N49" s="53"/>
      <c r="O49" s="53">
        <v>115.06902866076989</v>
      </c>
      <c r="P49" s="15">
        <v>-2.1490286607698881</v>
      </c>
      <c r="Q49" s="15"/>
      <c r="R49" s="15"/>
      <c r="S49" s="15"/>
      <c r="T49" s="15"/>
      <c r="U49" s="15"/>
      <c r="V49" s="15"/>
      <c r="W49" s="15"/>
      <c r="X49" s="15"/>
    </row>
    <row r="50" spans="1:24" s="21" customFormat="1" x14ac:dyDescent="0.55000000000000004">
      <c r="A50" s="17"/>
      <c r="B50"/>
      <c r="C50"/>
      <c r="D50"/>
      <c r="E50"/>
      <c r="F50" s="49">
        <v>38718</v>
      </c>
      <c r="G50" s="92">
        <v>113.5</v>
      </c>
      <c r="H50"/>
      <c r="I50"/>
      <c r="J50"/>
      <c r="K50"/>
      <c r="L50"/>
      <c r="M50" s="58">
        <v>115.24422217165369</v>
      </c>
      <c r="N50" s="53"/>
      <c r="O50" s="53">
        <v>115.24422217165369</v>
      </c>
      <c r="P50" s="15">
        <v>-1.7442221716536861</v>
      </c>
      <c r="Q50" s="15"/>
      <c r="R50" s="15"/>
      <c r="S50" s="15"/>
      <c r="T50" s="15"/>
      <c r="U50" s="15"/>
      <c r="V50" s="15"/>
      <c r="W50" s="15"/>
      <c r="X50" s="15"/>
    </row>
    <row r="51" spans="1:24" s="21" customFormat="1" x14ac:dyDescent="0.55000000000000004">
      <c r="A51" s="17"/>
      <c r="B51"/>
      <c r="C51"/>
      <c r="D51"/>
      <c r="E51"/>
      <c r="F51" s="49">
        <v>38749</v>
      </c>
      <c r="G51" s="92">
        <v>113.72</v>
      </c>
      <c r="H51"/>
      <c r="I51"/>
      <c r="J51"/>
      <c r="K51"/>
      <c r="L51"/>
      <c r="M51" s="58">
        <v>115.36342092457063</v>
      </c>
      <c r="N51" s="53"/>
      <c r="O51" s="53">
        <v>115.36342092457063</v>
      </c>
      <c r="P51" s="15">
        <v>-1.6434209245706279</v>
      </c>
      <c r="Q51" s="15"/>
      <c r="R51" s="15"/>
      <c r="S51" s="15"/>
      <c r="T51" s="15"/>
      <c r="U51" s="15"/>
      <c r="V51" s="15"/>
      <c r="W51" s="15"/>
      <c r="X51" s="15"/>
    </row>
    <row r="52" spans="1:24" s="21" customFormat="1" x14ac:dyDescent="0.55000000000000004">
      <c r="A52" s="17"/>
      <c r="B52"/>
      <c r="C52"/>
      <c r="D52"/>
      <c r="E52"/>
      <c r="F52" s="49">
        <v>38777</v>
      </c>
      <c r="G52" s="92">
        <v>113.48</v>
      </c>
      <c r="H52"/>
      <c r="I52"/>
      <c r="J52"/>
      <c r="K52"/>
      <c r="L52"/>
      <c r="M52" s="58">
        <v>115.57231033607459</v>
      </c>
      <c r="N52" s="53"/>
      <c r="O52" s="53">
        <v>115.57231033607459</v>
      </c>
      <c r="P52" s="15">
        <v>-2.0923103360745898</v>
      </c>
      <c r="Q52" s="15"/>
      <c r="R52" s="15"/>
      <c r="S52" s="15"/>
      <c r="T52" s="15"/>
      <c r="U52" s="15"/>
      <c r="V52" s="15"/>
      <c r="W52" s="15"/>
      <c r="X52" s="15"/>
    </row>
    <row r="53" spans="1:24" s="21" customFormat="1" x14ac:dyDescent="0.55000000000000004">
      <c r="A53" s="17"/>
      <c r="B53"/>
      <c r="C53"/>
      <c r="D53"/>
      <c r="E53"/>
      <c r="F53" s="49">
        <v>38808</v>
      </c>
      <c r="G53" s="92">
        <v>114.36</v>
      </c>
      <c r="H53"/>
      <c r="I53"/>
      <c r="J53"/>
      <c r="K53"/>
      <c r="L53"/>
      <c r="M53" s="58">
        <v>115.8373589962099</v>
      </c>
      <c r="N53" s="53"/>
      <c r="O53" s="53">
        <v>115.8373589962099</v>
      </c>
      <c r="P53" s="15">
        <v>-1.4773589962098979</v>
      </c>
      <c r="Q53" s="15"/>
      <c r="R53" s="15"/>
      <c r="S53" s="15"/>
      <c r="T53" s="15"/>
      <c r="U53" s="15"/>
      <c r="V53" s="15"/>
      <c r="W53" s="15"/>
      <c r="X53" s="15"/>
    </row>
    <row r="54" spans="1:24" s="21" customFormat="1" x14ac:dyDescent="0.55000000000000004">
      <c r="A54" s="17"/>
      <c r="B54"/>
      <c r="C54"/>
      <c r="D54"/>
      <c r="E54"/>
      <c r="F54" s="49">
        <v>38838</v>
      </c>
      <c r="G54" s="92">
        <v>115.67</v>
      </c>
      <c r="H54"/>
      <c r="I54"/>
      <c r="J54"/>
      <c r="K54"/>
      <c r="L54"/>
      <c r="M54" s="58">
        <v>115.98707867368655</v>
      </c>
      <c r="N54" s="53"/>
      <c r="O54" s="53">
        <v>115.98707867368655</v>
      </c>
      <c r="P54" s="15">
        <v>-0.31707867368655385</v>
      </c>
      <c r="Q54" s="15"/>
      <c r="R54" s="15"/>
      <c r="S54" s="15"/>
      <c r="T54" s="15"/>
      <c r="U54" s="15"/>
      <c r="V54" s="15"/>
      <c r="W54" s="15"/>
      <c r="X54" s="15"/>
    </row>
    <row r="55" spans="1:24" s="21" customFormat="1" x14ac:dyDescent="0.55000000000000004">
      <c r="A55" s="17"/>
      <c r="B55"/>
      <c r="C55"/>
      <c r="D55"/>
      <c r="E55"/>
      <c r="F55" s="49">
        <v>38869</v>
      </c>
      <c r="G55" s="92">
        <v>114.35</v>
      </c>
      <c r="H55"/>
      <c r="I55"/>
      <c r="J55"/>
      <c r="K55"/>
      <c r="L55"/>
      <c r="M55" s="58">
        <v>116.15689935937257</v>
      </c>
      <c r="N55" s="53"/>
      <c r="O55" s="53">
        <v>116.15689935937257</v>
      </c>
      <c r="P55" s="15">
        <v>-1.8068993593725793</v>
      </c>
      <c r="Q55" s="15"/>
      <c r="R55" s="15"/>
      <c r="S55" s="15"/>
      <c r="T55" s="15"/>
      <c r="U55" s="15"/>
      <c r="V55" s="15"/>
      <c r="W55" s="15"/>
      <c r="X55" s="15"/>
    </row>
    <row r="56" spans="1:24" s="21" customFormat="1" x14ac:dyDescent="0.55000000000000004">
      <c r="A56" s="17"/>
      <c r="B56"/>
      <c r="C56"/>
      <c r="D56"/>
      <c r="E56"/>
      <c r="F56" s="49">
        <v>38899</v>
      </c>
      <c r="G56" s="92">
        <v>116.57</v>
      </c>
      <c r="H56"/>
      <c r="I56"/>
      <c r="J56"/>
      <c r="K56"/>
      <c r="L56"/>
      <c r="M56" s="58">
        <v>116.4672581464615</v>
      </c>
      <c r="N56" s="53"/>
      <c r="O56" s="53">
        <v>116.4672581464615</v>
      </c>
      <c r="P56" s="15">
        <v>0.10274185353848332</v>
      </c>
      <c r="Q56" s="15"/>
      <c r="R56" s="15"/>
      <c r="S56" s="15"/>
      <c r="T56" s="15"/>
      <c r="U56" s="15"/>
      <c r="V56" s="15"/>
      <c r="W56" s="15"/>
      <c r="X56" s="15"/>
    </row>
    <row r="57" spans="1:24" s="21" customFormat="1" x14ac:dyDescent="0.55000000000000004">
      <c r="A57" s="17"/>
      <c r="B57"/>
      <c r="C57"/>
      <c r="D57"/>
      <c r="E57"/>
      <c r="F57" s="49">
        <v>38930</v>
      </c>
      <c r="G57" s="92">
        <v>116.62</v>
      </c>
      <c r="H57"/>
      <c r="I57"/>
      <c r="J57"/>
      <c r="K57"/>
      <c r="L57"/>
      <c r="M57" s="58">
        <v>116.81653688769039</v>
      </c>
      <c r="N57" s="53"/>
      <c r="O57" s="53">
        <v>116.81653688769039</v>
      </c>
      <c r="P57" s="15">
        <v>-0.19653688769038999</v>
      </c>
      <c r="Q57" s="15"/>
      <c r="R57" s="15"/>
      <c r="S57" s="15"/>
      <c r="T57" s="15"/>
      <c r="U57" s="15"/>
      <c r="V57" s="15"/>
      <c r="W57" s="15"/>
      <c r="X57" s="15"/>
    </row>
    <row r="58" spans="1:24" s="21" customFormat="1" x14ac:dyDescent="0.55000000000000004">
      <c r="A58" s="17"/>
      <c r="B58"/>
      <c r="C58"/>
      <c r="D58"/>
      <c r="E58"/>
      <c r="F58" s="49">
        <v>38961</v>
      </c>
      <c r="G58" s="92">
        <v>116.69</v>
      </c>
      <c r="H58"/>
      <c r="I58"/>
      <c r="J58"/>
      <c r="K58"/>
      <c r="L58"/>
      <c r="M58" s="58">
        <v>117.23631910273038</v>
      </c>
      <c r="N58" s="53"/>
      <c r="O58" s="53">
        <v>117.23631910273038</v>
      </c>
      <c r="P58" s="15">
        <v>-0.54631910273038409</v>
      </c>
      <c r="Q58" s="15"/>
      <c r="R58" s="15"/>
      <c r="S58" s="15"/>
      <c r="T58" s="15"/>
      <c r="U58" s="15"/>
      <c r="V58" s="15"/>
      <c r="W58" s="15"/>
      <c r="X58" s="15"/>
    </row>
    <row r="59" spans="1:24" s="21" customFormat="1" x14ac:dyDescent="0.55000000000000004">
      <c r="A59" s="17"/>
      <c r="B59"/>
      <c r="C59"/>
      <c r="D59"/>
      <c r="E59"/>
      <c r="F59" s="49">
        <v>38991</v>
      </c>
      <c r="G59" s="92">
        <v>118.11</v>
      </c>
      <c r="H59"/>
      <c r="I59"/>
      <c r="J59"/>
      <c r="K59"/>
      <c r="L59"/>
      <c r="M59" s="58">
        <v>117.50788721852115</v>
      </c>
      <c r="N59" s="53"/>
      <c r="O59" s="53">
        <v>117.50788721852115</v>
      </c>
      <c r="P59" s="15">
        <v>0.60211278147884983</v>
      </c>
      <c r="Q59" s="15"/>
      <c r="R59" s="15"/>
      <c r="S59" s="15"/>
      <c r="T59" s="15"/>
      <c r="U59" s="15"/>
      <c r="V59" s="15"/>
      <c r="W59" s="15"/>
      <c r="X59" s="15"/>
    </row>
    <row r="60" spans="1:24" s="21" customFormat="1" x14ac:dyDescent="0.55000000000000004">
      <c r="A60" s="17"/>
      <c r="B60"/>
      <c r="C60"/>
      <c r="D60"/>
      <c r="E60"/>
      <c r="F60" s="49">
        <v>39022</v>
      </c>
      <c r="G60" s="92">
        <v>118.91</v>
      </c>
      <c r="H60"/>
      <c r="I60"/>
      <c r="J60"/>
      <c r="K60"/>
      <c r="L60"/>
      <c r="M60" s="58">
        <v>118.06175340857392</v>
      </c>
      <c r="N60" s="53"/>
      <c r="O60" s="53">
        <v>118.06175340857392</v>
      </c>
      <c r="P60" s="15">
        <v>0.84824659142607095</v>
      </c>
      <c r="Q60" s="15"/>
      <c r="R60" s="15"/>
      <c r="S60" s="15"/>
      <c r="T60" s="15"/>
      <c r="U60" s="15"/>
      <c r="V60" s="15"/>
      <c r="W60" s="15"/>
      <c r="X60" s="15"/>
    </row>
    <row r="61" spans="1:24" s="21" customFormat="1" x14ac:dyDescent="0.55000000000000004">
      <c r="A61" s="17"/>
      <c r="B61"/>
      <c r="C61"/>
      <c r="D61"/>
      <c r="E61"/>
      <c r="F61" s="49">
        <v>39052</v>
      </c>
      <c r="G61" s="92">
        <v>120.7</v>
      </c>
      <c r="H61"/>
      <c r="I61"/>
      <c r="J61"/>
      <c r="K61"/>
      <c r="L61"/>
      <c r="M61" s="58">
        <v>118.54773054146163</v>
      </c>
      <c r="N61" s="53"/>
      <c r="O61" s="53">
        <v>118.54773054146163</v>
      </c>
      <c r="P61" s="15">
        <v>2.1522694585383766</v>
      </c>
      <c r="Q61" s="15"/>
      <c r="R61" s="15"/>
      <c r="S61" s="15"/>
      <c r="T61" s="15"/>
      <c r="U61" s="15"/>
      <c r="V61" s="15"/>
      <c r="W61" s="15"/>
      <c r="X61" s="15"/>
    </row>
    <row r="62" spans="1:24" s="21" customFormat="1" x14ac:dyDescent="0.55000000000000004">
      <c r="A62" s="17"/>
      <c r="B62"/>
      <c r="C62"/>
      <c r="D62"/>
      <c r="E62"/>
      <c r="F62" s="49">
        <v>39083</v>
      </c>
      <c r="G62" s="92">
        <v>119.93</v>
      </c>
      <c r="H62"/>
      <c r="I62"/>
      <c r="J62"/>
      <c r="K62"/>
      <c r="L62"/>
      <c r="M62" s="58">
        <v>118.83825073668321</v>
      </c>
      <c r="N62" s="53"/>
      <c r="O62" s="53">
        <v>118.83825073668321</v>
      </c>
      <c r="P62" s="15">
        <v>1.091749263316798</v>
      </c>
      <c r="Q62" s="15"/>
      <c r="R62" s="15"/>
      <c r="S62" s="15"/>
      <c r="T62" s="15"/>
      <c r="U62" s="15"/>
      <c r="V62" s="15"/>
      <c r="W62" s="15"/>
      <c r="X62" s="15"/>
    </row>
    <row r="63" spans="1:24" s="21" customFormat="1" x14ac:dyDescent="0.55000000000000004">
      <c r="A63" s="17"/>
      <c r="B63"/>
      <c r="C63"/>
      <c r="D63"/>
      <c r="E63"/>
      <c r="F63" s="49">
        <v>39114</v>
      </c>
      <c r="G63" s="92">
        <v>120.36</v>
      </c>
      <c r="H63"/>
      <c r="I63"/>
      <c r="J63"/>
      <c r="K63"/>
      <c r="L63"/>
      <c r="M63" s="58">
        <v>119.30107173336381</v>
      </c>
      <c r="N63" s="53"/>
      <c r="O63" s="53">
        <v>119.30107173336381</v>
      </c>
      <c r="P63" s="15">
        <v>1.058928266636193</v>
      </c>
      <c r="Q63" s="15"/>
      <c r="R63" s="15"/>
      <c r="S63" s="15"/>
      <c r="T63" s="15"/>
      <c r="U63" s="15"/>
      <c r="V63" s="15"/>
      <c r="W63" s="15"/>
      <c r="X63" s="15"/>
    </row>
    <row r="64" spans="1:24" s="21" customFormat="1" x14ac:dyDescent="0.55000000000000004">
      <c r="A64" s="17"/>
      <c r="B64"/>
      <c r="C64"/>
      <c r="D64"/>
      <c r="E64"/>
      <c r="F64" s="49">
        <v>39142</v>
      </c>
      <c r="G64" s="92">
        <v>119.48</v>
      </c>
      <c r="H64"/>
      <c r="I64"/>
      <c r="J64"/>
      <c r="K64"/>
      <c r="L64"/>
      <c r="M64" s="58">
        <v>119.7793810262479</v>
      </c>
      <c r="N64" s="53"/>
      <c r="O64" s="53">
        <v>119.7793810262479</v>
      </c>
      <c r="P64" s="15">
        <v>-0.29938102624790175</v>
      </c>
      <c r="Q64" s="15"/>
      <c r="R64" s="15"/>
      <c r="S64" s="15"/>
      <c r="T64" s="15"/>
      <c r="U64" s="15"/>
      <c r="V64" s="15"/>
      <c r="W64" s="15"/>
      <c r="X64" s="15"/>
    </row>
    <row r="65" spans="1:24" s="21" customFormat="1" x14ac:dyDescent="0.55000000000000004">
      <c r="A65" s="17"/>
      <c r="B65"/>
      <c r="C65"/>
      <c r="D65"/>
      <c r="E65"/>
      <c r="F65" s="49">
        <v>39173</v>
      </c>
      <c r="G65" s="92">
        <v>121.1</v>
      </c>
      <c r="H65"/>
      <c r="I65"/>
      <c r="J65"/>
      <c r="K65"/>
      <c r="L65"/>
      <c r="M65" s="58">
        <v>120.52434103385694</v>
      </c>
      <c r="N65" s="53"/>
      <c r="O65" s="53">
        <v>120.52434103385694</v>
      </c>
      <c r="P65" s="15">
        <v>0.57565896614305878</v>
      </c>
      <c r="Q65" s="15"/>
      <c r="R65" s="15"/>
      <c r="S65" s="15"/>
      <c r="T65" s="15"/>
      <c r="U65" s="15"/>
      <c r="V65" s="15"/>
      <c r="W65" s="15"/>
      <c r="X65" s="15"/>
    </row>
    <row r="66" spans="1:24" s="21" customFormat="1" x14ac:dyDescent="0.55000000000000004">
      <c r="A66" s="17"/>
      <c r="B66"/>
      <c r="C66"/>
      <c r="D66"/>
      <c r="E66"/>
      <c r="F66" s="49">
        <v>39203</v>
      </c>
      <c r="G66" s="92">
        <v>122.21</v>
      </c>
      <c r="H66"/>
      <c r="I66"/>
      <c r="J66"/>
      <c r="K66"/>
      <c r="L66"/>
      <c r="M66" s="58">
        <v>120.83832082460621</v>
      </c>
      <c r="N66" s="53"/>
      <c r="O66" s="53">
        <v>120.83832082460621</v>
      </c>
      <c r="P66" s="15">
        <v>1.3716791753937736</v>
      </c>
      <c r="Q66" s="15"/>
      <c r="R66" s="15"/>
      <c r="S66" s="15"/>
      <c r="T66" s="15"/>
      <c r="U66" s="15"/>
      <c r="V66" s="15"/>
      <c r="W66" s="15"/>
      <c r="X66" s="15"/>
    </row>
    <row r="67" spans="1:24" s="21" customFormat="1" x14ac:dyDescent="0.55000000000000004">
      <c r="A67" s="17"/>
      <c r="B67"/>
      <c r="C67"/>
      <c r="D67"/>
      <c r="E67"/>
      <c r="F67" s="49">
        <v>39234</v>
      </c>
      <c r="G67" s="92">
        <v>122.99</v>
      </c>
      <c r="H67"/>
      <c r="I67"/>
      <c r="J67"/>
      <c r="K67"/>
      <c r="L67"/>
      <c r="M67" s="58">
        <v>121.28857507071977</v>
      </c>
      <c r="N67" s="53"/>
      <c r="O67" s="53">
        <v>121.28857507071977</v>
      </c>
      <c r="P67" s="15">
        <v>1.7014249292802188</v>
      </c>
      <c r="Q67" s="15"/>
      <c r="R67" s="15"/>
      <c r="S67" s="15"/>
      <c r="T67" s="15"/>
      <c r="U67" s="15"/>
      <c r="V67" s="15"/>
      <c r="W67" s="15"/>
      <c r="X67" s="15"/>
    </row>
    <row r="68" spans="1:24" s="21" customFormat="1" x14ac:dyDescent="0.55000000000000004">
      <c r="A68" s="17"/>
      <c r="B68"/>
      <c r="C68"/>
      <c r="D68"/>
      <c r="E68"/>
      <c r="F68" s="49">
        <v>39264</v>
      </c>
      <c r="G68" s="92">
        <v>123.81</v>
      </c>
      <c r="H68"/>
      <c r="I68"/>
      <c r="J68"/>
      <c r="K68"/>
      <c r="L68"/>
      <c r="M68" s="58">
        <v>121.87782318111854</v>
      </c>
      <c r="N68" s="53"/>
      <c r="O68" s="53">
        <v>121.87782318111854</v>
      </c>
      <c r="P68" s="15">
        <v>1.9321768188814525</v>
      </c>
      <c r="Q68" s="15"/>
      <c r="R68" s="15"/>
      <c r="S68" s="15"/>
      <c r="T68" s="15"/>
      <c r="U68" s="15"/>
      <c r="V68" s="15"/>
      <c r="W68" s="15"/>
      <c r="X68" s="15"/>
    </row>
    <row r="69" spans="1:24" s="21" customFormat="1" x14ac:dyDescent="0.55000000000000004">
      <c r="A69" s="17"/>
      <c r="B69"/>
      <c r="C69"/>
      <c r="D69"/>
      <c r="E69"/>
      <c r="F69" s="49">
        <v>39295</v>
      </c>
      <c r="G69" s="92">
        <v>124.24</v>
      </c>
      <c r="H69"/>
      <c r="I69"/>
      <c r="J69"/>
      <c r="K69"/>
      <c r="L69"/>
      <c r="M69" s="58">
        <v>122.29942923206279</v>
      </c>
      <c r="N69" s="53"/>
      <c r="O69" s="53">
        <v>122.29942923206279</v>
      </c>
      <c r="P69" s="15">
        <v>1.9405707679371997</v>
      </c>
      <c r="Q69" s="15"/>
      <c r="R69" s="15"/>
      <c r="S69" s="15"/>
      <c r="T69" s="15"/>
      <c r="U69" s="15"/>
      <c r="V69" s="15"/>
      <c r="W69" s="15"/>
      <c r="X69" s="15"/>
    </row>
    <row r="70" spans="1:24" s="21" customFormat="1" x14ac:dyDescent="0.55000000000000004">
      <c r="A70" s="17"/>
      <c r="B70"/>
      <c r="C70"/>
      <c r="D70"/>
      <c r="E70"/>
      <c r="F70" s="49">
        <v>39326</v>
      </c>
      <c r="G70" s="92">
        <v>125.04</v>
      </c>
      <c r="H70"/>
      <c r="I70"/>
      <c r="J70"/>
      <c r="K70"/>
      <c r="L70"/>
      <c r="M70" s="58">
        <v>122.93517433107918</v>
      </c>
      <c r="N70" s="53"/>
      <c r="O70" s="53">
        <v>122.93517433107918</v>
      </c>
      <c r="P70" s="15">
        <v>2.1048256689208307</v>
      </c>
      <c r="Q70" s="15"/>
      <c r="R70" s="15"/>
      <c r="S70" s="15"/>
      <c r="T70" s="15"/>
      <c r="U70" s="15"/>
      <c r="V70" s="15"/>
      <c r="W70" s="15"/>
      <c r="X70" s="15"/>
    </row>
    <row r="71" spans="1:24" s="21" customFormat="1" x14ac:dyDescent="0.55000000000000004">
      <c r="A71" s="17"/>
      <c r="B71"/>
      <c r="C71"/>
      <c r="D71"/>
      <c r="E71"/>
      <c r="F71" s="49">
        <v>39356</v>
      </c>
      <c r="G71" s="92">
        <v>126.27</v>
      </c>
      <c r="H71"/>
      <c r="I71"/>
      <c r="J71"/>
      <c r="K71"/>
      <c r="L71"/>
      <c r="M71" s="58">
        <v>123.46269508501865</v>
      </c>
      <c r="N71" s="53"/>
      <c r="O71" s="53">
        <v>123.46269508501865</v>
      </c>
      <c r="P71" s="15">
        <v>2.8073049149813474</v>
      </c>
      <c r="Q71" s="15"/>
      <c r="R71" s="15"/>
      <c r="S71" s="15"/>
      <c r="T71" s="15"/>
      <c r="U71" s="15"/>
      <c r="V71" s="15"/>
      <c r="W71" s="15"/>
      <c r="X71" s="15"/>
    </row>
    <row r="72" spans="1:24" s="21" customFormat="1" x14ac:dyDescent="0.55000000000000004">
      <c r="A72" s="17"/>
      <c r="B72"/>
      <c r="C72"/>
      <c r="D72"/>
      <c r="E72"/>
      <c r="F72" s="49">
        <v>39387</v>
      </c>
      <c r="G72" s="92">
        <v>126.23</v>
      </c>
      <c r="H72"/>
      <c r="I72"/>
      <c r="J72"/>
      <c r="K72"/>
      <c r="L72"/>
      <c r="M72" s="58">
        <v>124.02460604945119</v>
      </c>
      <c r="N72" s="53"/>
      <c r="O72" s="53">
        <v>124.02460604945119</v>
      </c>
      <c r="P72" s="15">
        <v>2.2053939505488085</v>
      </c>
      <c r="Q72" s="15"/>
      <c r="R72" s="15"/>
      <c r="S72" s="15"/>
      <c r="T72" s="15"/>
      <c r="U72" s="15"/>
      <c r="V72" s="15"/>
      <c r="W72" s="15"/>
      <c r="X72" s="15"/>
    </row>
    <row r="73" spans="1:24" s="21" customFormat="1" x14ac:dyDescent="0.55000000000000004">
      <c r="A73" s="17"/>
      <c r="B73"/>
      <c r="C73"/>
      <c r="D73"/>
      <c r="E73"/>
      <c r="F73" s="49">
        <v>39417</v>
      </c>
      <c r="G73" s="92">
        <v>127.6</v>
      </c>
      <c r="H73"/>
      <c r="I73"/>
      <c r="J73"/>
      <c r="K73"/>
      <c r="L73"/>
      <c r="M73" s="58">
        <v>124.46988338060473</v>
      </c>
      <c r="N73" s="53"/>
      <c r="O73" s="53">
        <v>124.46988338060473</v>
      </c>
      <c r="P73" s="15">
        <v>3.1301166193952619</v>
      </c>
      <c r="Q73" s="15"/>
      <c r="R73" s="15"/>
      <c r="S73" s="15"/>
      <c r="T73" s="15"/>
      <c r="U73" s="15"/>
      <c r="V73" s="15"/>
      <c r="W73" s="15"/>
      <c r="X73" s="15"/>
    </row>
    <row r="74" spans="1:24" s="21" customFormat="1" x14ac:dyDescent="0.55000000000000004">
      <c r="A74" s="17"/>
      <c r="B74"/>
      <c r="C74"/>
      <c r="D74"/>
      <c r="E74"/>
      <c r="F74" s="49">
        <v>39448</v>
      </c>
      <c r="G74" s="92">
        <v>127.44</v>
      </c>
      <c r="H74"/>
      <c r="I74"/>
      <c r="J74"/>
      <c r="K74"/>
      <c r="L74"/>
      <c r="M74" s="58">
        <v>124.91351762804649</v>
      </c>
      <c r="N74" s="53"/>
      <c r="O74" s="53">
        <v>124.91351762804649</v>
      </c>
      <c r="P74" s="15">
        <v>2.5264823719535028</v>
      </c>
      <c r="Q74" s="15"/>
      <c r="R74" s="15"/>
      <c r="S74" s="15"/>
      <c r="T74" s="15"/>
      <c r="U74" s="15"/>
      <c r="V74" s="15"/>
      <c r="W74" s="15"/>
      <c r="X74" s="15"/>
    </row>
    <row r="75" spans="1:24" s="21" customFormat="1" x14ac:dyDescent="0.55000000000000004">
      <c r="A75" s="17"/>
      <c r="B75"/>
      <c r="C75"/>
      <c r="D75"/>
      <c r="E75"/>
      <c r="F75" s="49">
        <v>39479</v>
      </c>
      <c r="G75" s="92">
        <v>127.11</v>
      </c>
      <c r="H75"/>
      <c r="I75"/>
      <c r="J75"/>
      <c r="K75"/>
      <c r="L75"/>
      <c r="M75" s="58">
        <v>125.48282720673602</v>
      </c>
      <c r="N75" s="53"/>
      <c r="O75" s="53">
        <v>125.48282720673602</v>
      </c>
      <c r="P75" s="15">
        <v>1.6271727932639743</v>
      </c>
      <c r="Q75" s="15"/>
      <c r="R75" s="15"/>
      <c r="S75" s="15"/>
      <c r="T75" s="15"/>
      <c r="U75" s="15"/>
      <c r="V75" s="15"/>
      <c r="W75" s="15"/>
      <c r="X75" s="15"/>
    </row>
    <row r="76" spans="1:24" s="21" customFormat="1" x14ac:dyDescent="0.55000000000000004">
      <c r="A76" s="17"/>
      <c r="B76"/>
      <c r="C76"/>
      <c r="D76"/>
      <c r="E76"/>
      <c r="F76" s="49">
        <v>39508</v>
      </c>
      <c r="G76" s="92">
        <v>126.39</v>
      </c>
      <c r="H76"/>
      <c r="I76"/>
      <c r="J76"/>
      <c r="K76"/>
      <c r="L76"/>
      <c r="M76" s="58">
        <v>125.99788629990023</v>
      </c>
      <c r="N76" s="53"/>
      <c r="O76" s="53">
        <v>125.99788629990023</v>
      </c>
      <c r="P76" s="15">
        <v>0.39211370009977031</v>
      </c>
      <c r="Q76" s="15"/>
      <c r="R76" s="15"/>
      <c r="S76" s="15"/>
      <c r="T76" s="15"/>
      <c r="U76" s="15"/>
      <c r="V76" s="15"/>
      <c r="W76" s="15"/>
      <c r="X76" s="15"/>
    </row>
    <row r="77" spans="1:24" s="21" customFormat="1" x14ac:dyDescent="0.55000000000000004">
      <c r="A77" s="17"/>
      <c r="B77"/>
      <c r="C77"/>
      <c r="D77"/>
      <c r="E77"/>
      <c r="F77" s="49">
        <v>39539</v>
      </c>
      <c r="G77" s="92">
        <v>128.02000000000001</v>
      </c>
      <c r="H77"/>
      <c r="I77"/>
      <c r="J77"/>
      <c r="K77"/>
      <c r="L77"/>
      <c r="M77" s="58">
        <v>126.77197929068528</v>
      </c>
      <c r="N77" s="53"/>
      <c r="O77" s="53">
        <v>126.77197929068528</v>
      </c>
      <c r="P77" s="15">
        <v>1.2480207093147315</v>
      </c>
      <c r="Q77" s="15"/>
      <c r="R77" s="15"/>
      <c r="S77" s="15"/>
      <c r="T77" s="15"/>
      <c r="U77" s="15"/>
      <c r="V77" s="15"/>
      <c r="W77" s="15"/>
      <c r="X77" s="15"/>
    </row>
    <row r="78" spans="1:24" s="21" customFormat="1" x14ac:dyDescent="0.55000000000000004">
      <c r="A78" s="17"/>
      <c r="B78"/>
      <c r="C78"/>
      <c r="D78"/>
      <c r="E78"/>
      <c r="F78" s="49">
        <v>39569</v>
      </c>
      <c r="G78" s="92">
        <v>129.38999999999999</v>
      </c>
      <c r="H78"/>
      <c r="I78"/>
      <c r="J78"/>
      <c r="K78"/>
      <c r="L78"/>
      <c r="M78" s="58">
        <v>127.33735245572275</v>
      </c>
      <c r="N78" s="53"/>
      <c r="O78" s="53">
        <v>127.33735245572275</v>
      </c>
      <c r="P78" s="15">
        <v>2.0526475442772383</v>
      </c>
      <c r="Q78" s="15"/>
      <c r="R78" s="15"/>
      <c r="S78" s="15"/>
      <c r="T78" s="15"/>
      <c r="U78" s="15"/>
      <c r="V78" s="15"/>
      <c r="W78" s="15"/>
      <c r="X78" s="15"/>
    </row>
    <row r="79" spans="1:24" s="21" customFormat="1" x14ac:dyDescent="0.55000000000000004">
      <c r="A79" s="17"/>
      <c r="B79"/>
      <c r="C79"/>
      <c r="D79"/>
      <c r="E79"/>
      <c r="F79" s="49">
        <v>39600</v>
      </c>
      <c r="G79" s="92">
        <v>130.47999999999999</v>
      </c>
      <c r="H79"/>
      <c r="I79"/>
      <c r="J79"/>
      <c r="K79"/>
      <c r="L79"/>
      <c r="M79" s="58">
        <v>127.78442916900836</v>
      </c>
      <c r="N79" s="53"/>
      <c r="O79" s="53">
        <v>127.78442916900836</v>
      </c>
      <c r="P79" s="15">
        <v>2.6955708309916324</v>
      </c>
      <c r="Q79" s="15"/>
      <c r="R79" s="15"/>
      <c r="S79" s="15"/>
      <c r="T79" s="15"/>
      <c r="U79" s="15"/>
      <c r="V79" s="15"/>
      <c r="W79" s="15"/>
      <c r="X79" s="15"/>
    </row>
    <row r="80" spans="1:24" s="21" customFormat="1" x14ac:dyDescent="0.55000000000000004">
      <c r="A80" s="17"/>
      <c r="B80"/>
      <c r="C80"/>
      <c r="D80"/>
      <c r="E80"/>
      <c r="F80" s="49">
        <v>39630</v>
      </c>
      <c r="G80" s="92">
        <v>130.53</v>
      </c>
      <c r="H80"/>
      <c r="I80"/>
      <c r="J80"/>
      <c r="K80"/>
      <c r="L80"/>
      <c r="M80" s="58">
        <v>128.17762955535821</v>
      </c>
      <c r="N80" s="53"/>
      <c r="O80" s="53">
        <v>128.17762955535821</v>
      </c>
      <c r="P80" s="15">
        <v>2.3523704446418048</v>
      </c>
      <c r="Q80" s="15"/>
      <c r="R80" s="15"/>
      <c r="S80" s="15"/>
      <c r="T80" s="15"/>
      <c r="U80" s="15"/>
      <c r="V80" s="15"/>
      <c r="W80" s="15"/>
      <c r="X80" s="15"/>
    </row>
    <row r="81" spans="1:24" s="21" customFormat="1" x14ac:dyDescent="0.55000000000000004">
      <c r="A81" s="17"/>
      <c r="B81"/>
      <c r="C81"/>
      <c r="D81"/>
      <c r="E81"/>
      <c r="F81" s="49">
        <v>39661</v>
      </c>
      <c r="G81" s="92">
        <v>131.08000000000001</v>
      </c>
      <c r="H81"/>
      <c r="I81"/>
      <c r="J81"/>
      <c r="K81"/>
      <c r="L81"/>
      <c r="M81" s="58">
        <v>128.68685946082707</v>
      </c>
      <c r="N81" s="53"/>
      <c r="O81" s="53">
        <v>128.68685946082707</v>
      </c>
      <c r="P81" s="15">
        <v>2.3931405391729359</v>
      </c>
      <c r="Q81" s="15"/>
      <c r="R81" s="15"/>
      <c r="S81" s="15"/>
      <c r="T81" s="15"/>
      <c r="U81" s="15"/>
      <c r="V81" s="15"/>
      <c r="W81" s="15"/>
      <c r="X81" s="15"/>
    </row>
    <row r="82" spans="1:24" s="21" customFormat="1" x14ac:dyDescent="0.55000000000000004">
      <c r="A82" s="17"/>
      <c r="B82"/>
      <c r="C82"/>
      <c r="D82"/>
      <c r="E82"/>
      <c r="F82" s="49">
        <v>39692</v>
      </c>
      <c r="G82" s="92">
        <v>130.53</v>
      </c>
      <c r="H82"/>
      <c r="I82"/>
      <c r="J82"/>
      <c r="K82"/>
      <c r="L82"/>
      <c r="M82" s="58">
        <v>129.30049426297001</v>
      </c>
      <c r="N82" s="53"/>
      <c r="O82" s="53">
        <v>129.30049426297001</v>
      </c>
      <c r="P82" s="15">
        <v>1.2295057370300053</v>
      </c>
      <c r="Q82" s="15"/>
      <c r="R82" s="15"/>
      <c r="S82" s="15"/>
      <c r="T82" s="15"/>
      <c r="U82" s="15"/>
      <c r="V82" s="15"/>
      <c r="W82" s="15"/>
      <c r="X82" s="15"/>
    </row>
    <row r="83" spans="1:24" s="21" customFormat="1" x14ac:dyDescent="0.55000000000000004">
      <c r="A83" s="17"/>
      <c r="B83"/>
      <c r="C83"/>
      <c r="D83"/>
      <c r="E83"/>
      <c r="F83" s="49">
        <v>39722</v>
      </c>
      <c r="G83" s="92">
        <v>128.13</v>
      </c>
      <c r="H83"/>
      <c r="I83"/>
      <c r="J83"/>
      <c r="K83"/>
      <c r="L83"/>
      <c r="M83" s="58">
        <v>129.70573193417115</v>
      </c>
      <c r="N83" s="53"/>
      <c r="O83" s="53">
        <v>129.70573193417115</v>
      </c>
      <c r="P83" s="15">
        <v>-1.5757319341711467</v>
      </c>
      <c r="Q83" s="15"/>
      <c r="R83" s="15"/>
      <c r="S83" s="15"/>
      <c r="T83" s="15"/>
      <c r="U83" s="15"/>
      <c r="V83" s="15"/>
      <c r="W83" s="15"/>
      <c r="X83" s="15"/>
    </row>
    <row r="84" spans="1:24" s="21" customFormat="1" x14ac:dyDescent="0.55000000000000004">
      <c r="A84" s="17"/>
      <c r="B84"/>
      <c r="C84"/>
      <c r="D84"/>
      <c r="E84"/>
      <c r="F84" s="49">
        <v>39753</v>
      </c>
      <c r="G84" s="92">
        <v>125.02</v>
      </c>
      <c r="H84"/>
      <c r="I84"/>
      <c r="J84"/>
      <c r="K84"/>
      <c r="L84"/>
      <c r="M84" s="58">
        <v>130.06761854777054</v>
      </c>
      <c r="N84" s="53"/>
      <c r="O84" s="53">
        <v>130.06761854777054</v>
      </c>
      <c r="P84" s="15">
        <v>-5.0476185477705338</v>
      </c>
      <c r="Q84" s="15"/>
      <c r="R84" s="15"/>
      <c r="S84" s="15"/>
      <c r="T84" s="15"/>
      <c r="U84" s="15"/>
      <c r="V84" s="15"/>
      <c r="W84" s="15"/>
      <c r="X84" s="15"/>
    </row>
    <row r="85" spans="1:24" s="21" customFormat="1" x14ac:dyDescent="0.55000000000000004">
      <c r="A85" s="17"/>
      <c r="B85"/>
      <c r="C85"/>
      <c r="D85"/>
      <c r="E85"/>
      <c r="F85" s="49">
        <v>39783</v>
      </c>
      <c r="G85" s="92">
        <v>121.66</v>
      </c>
      <c r="H85"/>
      <c r="I85"/>
      <c r="J85"/>
      <c r="K85"/>
      <c r="L85"/>
      <c r="M85" s="58">
        <v>130.5221718352864</v>
      </c>
      <c r="N85" s="53"/>
      <c r="O85" s="53">
        <v>130.5221718352864</v>
      </c>
      <c r="P85" s="15">
        <v>-8.8621718352863947</v>
      </c>
      <c r="Q85" s="15"/>
      <c r="R85" s="15"/>
      <c r="S85" s="15"/>
      <c r="T85" s="15"/>
      <c r="U85" s="15"/>
      <c r="V85" s="15"/>
      <c r="W85" s="15"/>
      <c r="X85" s="15"/>
    </row>
    <row r="86" spans="1:24" s="21" customFormat="1" x14ac:dyDescent="0.55000000000000004">
      <c r="A86" s="17"/>
      <c r="B86"/>
      <c r="C86"/>
      <c r="D86"/>
      <c r="E86"/>
      <c r="F86" s="49">
        <v>39814</v>
      </c>
      <c r="G86" s="92">
        <v>121.23</v>
      </c>
      <c r="H86"/>
      <c r="I86"/>
      <c r="J86"/>
      <c r="K86"/>
      <c r="L86"/>
      <c r="M86" s="58">
        <v>130.80085006090192</v>
      </c>
      <c r="N86" s="53"/>
      <c r="O86" s="53">
        <v>130.80085006090192</v>
      </c>
      <c r="P86" s="15">
        <v>-9.5708500609019147</v>
      </c>
      <c r="Q86" s="15"/>
      <c r="R86" s="15"/>
      <c r="S86" s="15"/>
      <c r="T86" s="15"/>
      <c r="U86" s="15"/>
      <c r="V86" s="15"/>
      <c r="W86" s="15"/>
      <c r="X86" s="15"/>
    </row>
    <row r="87" spans="1:24" s="21" customFormat="1" x14ac:dyDescent="0.55000000000000004">
      <c r="A87" s="17"/>
      <c r="B87"/>
      <c r="C87"/>
      <c r="D87"/>
      <c r="E87"/>
      <c r="F87" s="49">
        <v>39845</v>
      </c>
      <c r="G87" s="92">
        <v>122.4</v>
      </c>
      <c r="H87"/>
      <c r="I87"/>
      <c r="J87"/>
      <c r="K87"/>
      <c r="L87"/>
      <c r="M87" s="58">
        <v>130.78296425442034</v>
      </c>
      <c r="N87" s="53"/>
      <c r="O87" s="53">
        <v>130.78296425442034</v>
      </c>
      <c r="P87" s="15">
        <v>-8.382964254420326</v>
      </c>
      <c r="Q87" s="15"/>
      <c r="R87" s="15"/>
      <c r="S87" s="15"/>
      <c r="T87" s="15"/>
      <c r="U87" s="15"/>
      <c r="V87" s="15"/>
      <c r="W87" s="15"/>
      <c r="X87" s="15"/>
    </row>
    <row r="88" spans="1:24" s="21" customFormat="1" x14ac:dyDescent="0.55000000000000004">
      <c r="A88" s="17"/>
      <c r="B88"/>
      <c r="C88"/>
      <c r="D88"/>
      <c r="E88"/>
      <c r="F88" s="49">
        <v>39873</v>
      </c>
      <c r="G88" s="92">
        <v>122.96</v>
      </c>
      <c r="H88"/>
      <c r="I88"/>
      <c r="J88"/>
      <c r="K88"/>
      <c r="L88"/>
      <c r="M88" s="58">
        <v>130.6829904633434</v>
      </c>
      <c r="N88" s="53"/>
      <c r="O88" s="53">
        <v>130.6829904633434</v>
      </c>
      <c r="P88" s="15">
        <v>-7.722990463343411</v>
      </c>
      <c r="Q88" s="15"/>
      <c r="R88" s="15"/>
      <c r="S88" s="15"/>
      <c r="T88" s="15"/>
      <c r="U88" s="15"/>
      <c r="V88" s="15"/>
      <c r="W88" s="15"/>
      <c r="X88" s="15"/>
    </row>
    <row r="89" spans="1:24" s="21" customFormat="1" x14ac:dyDescent="0.55000000000000004">
      <c r="A89" s="17"/>
      <c r="B89"/>
      <c r="C89"/>
      <c r="D89"/>
      <c r="E89"/>
      <c r="F89" s="49">
        <v>39904</v>
      </c>
      <c r="G89" s="92">
        <v>123.53</v>
      </c>
      <c r="H89"/>
      <c r="I89"/>
      <c r="J89"/>
      <c r="K89"/>
      <c r="L89"/>
      <c r="M89" s="58">
        <v>130.45231947015637</v>
      </c>
      <c r="N89" s="53"/>
      <c r="O89" s="53">
        <v>130.45231947015637</v>
      </c>
      <c r="P89" s="15">
        <v>-6.9223194701563733</v>
      </c>
      <c r="Q89" s="15"/>
      <c r="R89" s="15"/>
      <c r="S89" s="15"/>
      <c r="T89" s="15"/>
      <c r="U89" s="15"/>
      <c r="V89" s="15"/>
      <c r="W89" s="15"/>
      <c r="X89" s="15"/>
    </row>
    <row r="90" spans="1:24" s="21" customFormat="1" x14ac:dyDescent="0.55000000000000004">
      <c r="A90" s="17"/>
      <c r="B90"/>
      <c r="C90"/>
      <c r="D90"/>
      <c r="E90"/>
      <c r="F90" s="49">
        <v>39934</v>
      </c>
      <c r="G90" s="92">
        <v>124.81</v>
      </c>
      <c r="H90"/>
      <c r="I90"/>
      <c r="J90"/>
      <c r="K90"/>
      <c r="L90"/>
      <c r="M90" s="58">
        <v>130.12991860151945</v>
      </c>
      <c r="N90" s="53"/>
      <c r="O90" s="53">
        <v>130.12991860151945</v>
      </c>
      <c r="P90" s="15">
        <v>-5.3199186015194577</v>
      </c>
      <c r="Q90" s="15"/>
      <c r="R90" s="15"/>
      <c r="S90" s="15"/>
      <c r="T90" s="15"/>
      <c r="U90" s="15"/>
      <c r="V90" s="15"/>
      <c r="W90" s="15"/>
      <c r="X90" s="15"/>
    </row>
    <row r="91" spans="1:24" s="21" customFormat="1" x14ac:dyDescent="0.55000000000000004">
      <c r="A91" s="17"/>
      <c r="B91"/>
      <c r="C91"/>
      <c r="D91"/>
      <c r="E91"/>
      <c r="F91" s="49">
        <v>39965</v>
      </c>
      <c r="G91" s="92">
        <v>125.44</v>
      </c>
      <c r="H91"/>
      <c r="I91"/>
      <c r="J91"/>
      <c r="K91"/>
      <c r="L91"/>
      <c r="M91" s="58">
        <v>129.72948952965649</v>
      </c>
      <c r="N91" s="53"/>
      <c r="O91" s="53">
        <v>129.72948952965649</v>
      </c>
      <c r="P91" s="15">
        <v>-4.2894895296564828</v>
      </c>
      <c r="Q91" s="15"/>
      <c r="R91" s="15"/>
      <c r="S91" s="15"/>
      <c r="T91" s="15"/>
      <c r="U91" s="15"/>
      <c r="V91" s="15"/>
      <c r="W91" s="15"/>
      <c r="X91" s="15"/>
    </row>
    <row r="92" spans="1:24" s="21" customFormat="1" x14ac:dyDescent="0.55000000000000004">
      <c r="A92" s="17"/>
      <c r="B92"/>
      <c r="C92"/>
      <c r="D92"/>
      <c r="E92"/>
      <c r="F92" s="49">
        <v>39995</v>
      </c>
      <c r="G92" s="92">
        <v>125.84</v>
      </c>
      <c r="H92"/>
      <c r="I92"/>
      <c r="J92"/>
      <c r="K92"/>
      <c r="L92"/>
      <c r="M92" s="58">
        <v>129.10398412399502</v>
      </c>
      <c r="N92" s="53"/>
      <c r="O92" s="53">
        <v>129.10398412399502</v>
      </c>
      <c r="P92" s="15">
        <v>-3.26398412399503</v>
      </c>
      <c r="Q92" s="15"/>
      <c r="R92" s="15"/>
      <c r="S92" s="15"/>
      <c r="T92" s="15"/>
      <c r="U92" s="15"/>
      <c r="V92" s="15"/>
      <c r="W92" s="15"/>
      <c r="X92" s="15"/>
    </row>
    <row r="93" spans="1:24" s="21" customFormat="1" x14ac:dyDescent="0.55000000000000004">
      <c r="A93" s="17"/>
      <c r="B93"/>
      <c r="C93"/>
      <c r="D93"/>
      <c r="E93"/>
      <c r="F93" s="49">
        <v>40026</v>
      </c>
      <c r="G93" s="92">
        <v>128.07</v>
      </c>
      <c r="H93"/>
      <c r="I93"/>
      <c r="J93"/>
      <c r="K93"/>
      <c r="L93"/>
      <c r="M93" s="58">
        <v>128.43084423925373</v>
      </c>
      <c r="N93" s="53"/>
      <c r="O93" s="53">
        <v>128.43084423925373</v>
      </c>
      <c r="P93" s="15">
        <v>-0.36084423925374015</v>
      </c>
      <c r="Q93" s="15"/>
      <c r="R93" s="15"/>
      <c r="S93" s="15"/>
      <c r="T93" s="15"/>
      <c r="U93" s="15"/>
      <c r="V93" s="15"/>
      <c r="W93" s="15"/>
      <c r="X93" s="15"/>
    </row>
    <row r="94" spans="1:24" s="21" customFormat="1" x14ac:dyDescent="0.55000000000000004">
      <c r="A94" s="17"/>
      <c r="B94"/>
      <c r="C94"/>
      <c r="D94"/>
      <c r="E94"/>
      <c r="F94" s="49">
        <v>40057</v>
      </c>
      <c r="G94" s="92">
        <v>128.88999999999999</v>
      </c>
      <c r="H94"/>
      <c r="I94"/>
      <c r="J94"/>
      <c r="K94"/>
      <c r="L94"/>
      <c r="M94" s="58">
        <v>127.76080465923269</v>
      </c>
      <c r="N94" s="53"/>
      <c r="O94" s="53">
        <v>127.76080465923269</v>
      </c>
      <c r="P94" s="15">
        <v>1.1291953407673025</v>
      </c>
      <c r="Q94" s="15"/>
      <c r="R94" s="15"/>
      <c r="S94" s="15"/>
      <c r="T94" s="15"/>
      <c r="U94" s="15"/>
      <c r="V94" s="15"/>
      <c r="W94" s="15"/>
      <c r="X94" s="15"/>
    </row>
    <row r="95" spans="1:24" s="21" customFormat="1" x14ac:dyDescent="0.55000000000000004">
      <c r="A95" s="17"/>
      <c r="B95"/>
      <c r="C95"/>
      <c r="D95"/>
      <c r="E95"/>
      <c r="F95" s="49">
        <v>40087</v>
      </c>
      <c r="G95" s="92">
        <v>129.97</v>
      </c>
      <c r="H95"/>
      <c r="I95"/>
      <c r="J95"/>
      <c r="K95"/>
      <c r="L95"/>
      <c r="M95" s="58">
        <v>127.15498856930668</v>
      </c>
      <c r="N95" s="53"/>
      <c r="O95" s="53">
        <v>127.15498856930668</v>
      </c>
      <c r="P95" s="15">
        <v>2.8150114306933207</v>
      </c>
      <c r="Q95" s="15"/>
      <c r="R95" s="15"/>
      <c r="S95" s="15"/>
      <c r="T95" s="15"/>
      <c r="U95" s="15"/>
      <c r="V95" s="15"/>
      <c r="W95" s="15"/>
      <c r="X95" s="15"/>
    </row>
    <row r="96" spans="1:24" s="21" customFormat="1" x14ac:dyDescent="0.55000000000000004">
      <c r="A96" s="17"/>
      <c r="B96"/>
      <c r="C96"/>
      <c r="D96"/>
      <c r="E96"/>
      <c r="F96" s="49">
        <v>40118</v>
      </c>
      <c r="G96" s="92">
        <v>130.07</v>
      </c>
      <c r="H96"/>
      <c r="I96"/>
      <c r="J96"/>
      <c r="K96"/>
      <c r="L96"/>
      <c r="M96" s="58">
        <v>126.69864088925709</v>
      </c>
      <c r="N96" s="53"/>
      <c r="O96" s="53">
        <v>126.69864088925709</v>
      </c>
      <c r="P96" s="15">
        <v>3.3713591107428993</v>
      </c>
      <c r="Q96" s="15"/>
      <c r="R96" s="15"/>
      <c r="S96" s="15"/>
      <c r="T96" s="15"/>
      <c r="U96" s="15"/>
      <c r="V96" s="15"/>
      <c r="W96" s="15"/>
      <c r="X96" s="15"/>
    </row>
    <row r="97" spans="1:24" s="21" customFormat="1" x14ac:dyDescent="0.55000000000000004">
      <c r="A97" s="17"/>
      <c r="B97"/>
      <c r="C97"/>
      <c r="D97"/>
      <c r="E97"/>
      <c r="F97" s="49">
        <v>40148</v>
      </c>
      <c r="G97" s="92">
        <v>132.08000000000001</v>
      </c>
      <c r="H97"/>
      <c r="I97"/>
      <c r="J97"/>
      <c r="K97"/>
      <c r="L97"/>
      <c r="M97" s="58">
        <v>126.8256554587132</v>
      </c>
      <c r="N97" s="53"/>
      <c r="O97" s="53">
        <v>126.8256554587132</v>
      </c>
      <c r="P97" s="15">
        <v>5.2543445412868159</v>
      </c>
      <c r="Q97" s="15"/>
      <c r="R97" s="15"/>
      <c r="S97" s="15"/>
      <c r="T97" s="15"/>
      <c r="U97" s="15"/>
      <c r="V97" s="15"/>
      <c r="W97" s="15"/>
      <c r="X97" s="15"/>
    </row>
    <row r="98" spans="1:24" s="21" customFormat="1" x14ac:dyDescent="0.55000000000000004">
      <c r="A98" s="17"/>
      <c r="B98"/>
      <c r="C98"/>
      <c r="D98"/>
      <c r="E98"/>
      <c r="F98" s="49">
        <v>40179</v>
      </c>
      <c r="G98" s="92">
        <v>133.88</v>
      </c>
      <c r="H98"/>
      <c r="I98"/>
      <c r="J98"/>
      <c r="K98"/>
      <c r="L98"/>
      <c r="M98" s="58">
        <v>127.36248616946253</v>
      </c>
      <c r="N98" s="53"/>
      <c r="O98" s="53">
        <v>127.36248616946253</v>
      </c>
      <c r="P98" s="15">
        <v>6.5175138305374691</v>
      </c>
      <c r="Q98" s="15"/>
      <c r="R98" s="15"/>
      <c r="S98" s="15"/>
      <c r="T98" s="15"/>
      <c r="U98" s="15"/>
      <c r="V98" s="15"/>
      <c r="W98" s="15"/>
      <c r="X98" s="15"/>
    </row>
    <row r="99" spans="1:24" s="21" customFormat="1" x14ac:dyDescent="0.55000000000000004">
      <c r="A99" s="17"/>
      <c r="B99"/>
      <c r="C99"/>
      <c r="D99"/>
      <c r="E99"/>
      <c r="F99" s="49">
        <v>40210</v>
      </c>
      <c r="G99" s="92">
        <v>135.35</v>
      </c>
      <c r="H99"/>
      <c r="I99"/>
      <c r="J99"/>
      <c r="K99"/>
      <c r="L99"/>
      <c r="M99" s="58">
        <v>127.96019294258225</v>
      </c>
      <c r="N99" s="53"/>
      <c r="O99" s="53">
        <v>127.96019294258225</v>
      </c>
      <c r="P99" s="15">
        <v>7.3898070574177472</v>
      </c>
      <c r="Q99" s="15"/>
      <c r="R99" s="15"/>
      <c r="S99" s="15"/>
      <c r="T99" s="15"/>
      <c r="U99" s="15"/>
      <c r="V99" s="15"/>
      <c r="W99" s="15"/>
      <c r="X99" s="15"/>
    </row>
    <row r="100" spans="1:24" s="21" customFormat="1" x14ac:dyDescent="0.55000000000000004">
      <c r="A100" s="17"/>
      <c r="B100"/>
      <c r="C100"/>
      <c r="D100"/>
      <c r="E100"/>
      <c r="F100" s="49">
        <v>40238</v>
      </c>
      <c r="G100" s="92">
        <v>136.52000000000001</v>
      </c>
      <c r="H100"/>
      <c r="I100"/>
      <c r="J100"/>
      <c r="K100"/>
      <c r="L100"/>
      <c r="M100" s="58">
        <v>128.53155685301203</v>
      </c>
      <c r="N100" s="53"/>
      <c r="O100" s="53">
        <v>128.53155685301203</v>
      </c>
      <c r="P100" s="15">
        <v>7.9884431469879713</v>
      </c>
      <c r="Q100" s="15"/>
      <c r="R100" s="15"/>
      <c r="S100" s="15"/>
      <c r="T100" s="15"/>
      <c r="U100" s="15"/>
      <c r="V100" s="15"/>
      <c r="W100" s="15"/>
      <c r="X100" s="15"/>
    </row>
    <row r="101" spans="1:24" s="21" customFormat="1" x14ac:dyDescent="0.55000000000000004">
      <c r="A101" s="17"/>
      <c r="B101"/>
      <c r="C101"/>
      <c r="D101"/>
      <c r="E101"/>
      <c r="F101" s="49">
        <v>40269</v>
      </c>
      <c r="G101" s="92">
        <v>137.13</v>
      </c>
      <c r="H101"/>
      <c r="I101"/>
      <c r="J101"/>
      <c r="K101"/>
      <c r="L101"/>
      <c r="M101" s="58">
        <v>129.42745742193418</v>
      </c>
      <c r="N101" s="53"/>
      <c r="O101" s="53">
        <v>129.42745742193418</v>
      </c>
      <c r="P101" s="15">
        <v>7.7025425780658292</v>
      </c>
      <c r="Q101" s="15"/>
      <c r="R101" s="15"/>
      <c r="S101" s="15"/>
      <c r="T101" s="15"/>
      <c r="U101" s="15"/>
      <c r="V101" s="15"/>
      <c r="W101" s="15"/>
      <c r="X101" s="15"/>
    </row>
    <row r="102" spans="1:24" s="21" customFormat="1" x14ac:dyDescent="0.55000000000000004">
      <c r="A102" s="17"/>
      <c r="B102"/>
      <c r="C102"/>
      <c r="D102"/>
      <c r="E102"/>
      <c r="F102" s="49">
        <v>40299</v>
      </c>
      <c r="G102" s="92">
        <v>136.21</v>
      </c>
      <c r="H102"/>
      <c r="I102"/>
      <c r="J102"/>
      <c r="K102"/>
      <c r="L102"/>
      <c r="M102" s="58">
        <v>130.45537843323925</v>
      </c>
      <c r="N102" s="53"/>
      <c r="O102" s="53">
        <v>130.45537843323925</v>
      </c>
      <c r="P102" s="15">
        <v>5.7546215667607488</v>
      </c>
      <c r="Q102" s="15"/>
      <c r="R102" s="15"/>
      <c r="S102" s="15"/>
      <c r="T102" s="15"/>
      <c r="U102" s="15"/>
      <c r="V102" s="15"/>
      <c r="W102" s="15"/>
      <c r="X102" s="15"/>
    </row>
    <row r="103" spans="1:24" s="21" customFormat="1" x14ac:dyDescent="0.55000000000000004">
      <c r="A103" s="17"/>
      <c r="B103"/>
      <c r="C103"/>
      <c r="D103"/>
      <c r="E103"/>
      <c r="F103" s="49">
        <v>40330</v>
      </c>
      <c r="G103" s="92">
        <v>135.88999999999999</v>
      </c>
      <c r="H103"/>
      <c r="I103"/>
      <c r="J103"/>
      <c r="K103"/>
      <c r="L103"/>
      <c r="M103" s="58">
        <v>131.30711051545512</v>
      </c>
      <c r="N103" s="53"/>
      <c r="O103" s="53">
        <v>131.30711051545512</v>
      </c>
      <c r="P103" s="15">
        <v>4.582889484544868</v>
      </c>
      <c r="Q103" s="15"/>
      <c r="R103" s="15"/>
      <c r="S103" s="15"/>
      <c r="T103" s="15"/>
      <c r="U103" s="15"/>
      <c r="V103" s="15"/>
      <c r="W103" s="15"/>
      <c r="X103" s="15"/>
    </row>
    <row r="104" spans="1:24" s="21" customFormat="1" x14ac:dyDescent="0.55000000000000004">
      <c r="A104" s="17"/>
      <c r="B104"/>
      <c r="C104"/>
      <c r="D104"/>
      <c r="E104"/>
      <c r="F104" s="49">
        <v>40360</v>
      </c>
      <c r="G104" s="92">
        <v>136.72</v>
      </c>
      <c r="H104"/>
      <c r="I104"/>
      <c r="J104"/>
      <c r="K104"/>
      <c r="L104"/>
      <c r="M104" s="58">
        <v>132.34250199358561</v>
      </c>
      <c r="N104" s="53"/>
      <c r="O104" s="53">
        <v>132.34250199358561</v>
      </c>
      <c r="P104" s="15">
        <v>4.3774980064143723</v>
      </c>
      <c r="Q104" s="15"/>
      <c r="R104" s="15"/>
      <c r="S104" s="15"/>
      <c r="T104" s="15"/>
      <c r="U104" s="15"/>
      <c r="V104" s="15"/>
      <c r="W104" s="15"/>
      <c r="X104" s="15"/>
    </row>
    <row r="105" spans="1:24" s="21" customFormat="1" x14ac:dyDescent="0.55000000000000004">
      <c r="A105" s="17"/>
      <c r="B105"/>
      <c r="C105"/>
      <c r="D105"/>
      <c r="E105"/>
      <c r="F105" s="49">
        <v>40391</v>
      </c>
      <c r="G105" s="92">
        <v>137.71</v>
      </c>
      <c r="H105"/>
      <c r="I105"/>
      <c r="J105"/>
      <c r="K105"/>
      <c r="L105"/>
      <c r="M105" s="58">
        <v>133.36804595953421</v>
      </c>
      <c r="N105" s="53"/>
      <c r="O105" s="53">
        <v>133.36804595953421</v>
      </c>
      <c r="P105" s="15">
        <v>4.3419540404657875</v>
      </c>
      <c r="Q105" s="15"/>
      <c r="R105" s="15"/>
      <c r="S105" s="15"/>
      <c r="T105" s="15"/>
      <c r="U105" s="15"/>
      <c r="V105" s="15"/>
      <c r="W105" s="15"/>
      <c r="X105" s="15"/>
    </row>
    <row r="106" spans="1:24" s="21" customFormat="1" x14ac:dyDescent="0.55000000000000004">
      <c r="A106" s="17"/>
      <c r="B106"/>
      <c r="C106"/>
      <c r="D106"/>
      <c r="E106"/>
      <c r="F106" s="49">
        <v>40422</v>
      </c>
      <c r="G106" s="92">
        <v>138.85</v>
      </c>
      <c r="H106"/>
      <c r="I106"/>
      <c r="J106"/>
      <c r="K106"/>
      <c r="L106"/>
      <c r="M106" s="58">
        <v>134.11711384376412</v>
      </c>
      <c r="N106" s="53"/>
      <c r="O106" s="53">
        <v>134.11711384376412</v>
      </c>
      <c r="P106" s="15">
        <v>4.7328861562358782</v>
      </c>
      <c r="Q106" s="15"/>
      <c r="R106" s="15"/>
      <c r="S106" s="15"/>
      <c r="T106" s="15"/>
      <c r="U106" s="15"/>
      <c r="V106" s="15"/>
      <c r="W106" s="15"/>
      <c r="X106" s="15"/>
    </row>
    <row r="107" spans="1:24" s="21" customFormat="1" x14ac:dyDescent="0.55000000000000004">
      <c r="A107" s="17"/>
      <c r="B107"/>
      <c r="C107"/>
      <c r="D107"/>
      <c r="E107"/>
      <c r="F107" s="49">
        <v>40452</v>
      </c>
      <c r="G107" s="92">
        <v>138.68</v>
      </c>
      <c r="H107"/>
      <c r="I107"/>
      <c r="J107"/>
      <c r="K107"/>
      <c r="L107"/>
      <c r="M107" s="58">
        <v>134.80491003899357</v>
      </c>
      <c r="N107" s="53"/>
      <c r="O107" s="53">
        <v>134.80491003899357</v>
      </c>
      <c r="P107" s="15">
        <v>3.8750899610064349</v>
      </c>
      <c r="Q107" s="15"/>
      <c r="R107" s="15"/>
      <c r="S107" s="15"/>
      <c r="T107" s="15"/>
      <c r="U107" s="15"/>
      <c r="V107" s="15"/>
      <c r="W107" s="15"/>
      <c r="X107" s="15"/>
    </row>
    <row r="108" spans="1:24" s="21" customFormat="1" x14ac:dyDescent="0.55000000000000004">
      <c r="A108" s="17"/>
      <c r="B108"/>
      <c r="C108"/>
      <c r="D108"/>
      <c r="E108"/>
      <c r="F108" s="49">
        <v>40483</v>
      </c>
      <c r="G108" s="92">
        <v>140.13999999999999</v>
      </c>
      <c r="H108"/>
      <c r="I108"/>
      <c r="J108"/>
      <c r="K108"/>
      <c r="L108"/>
      <c r="M108" s="58">
        <v>135.62303502414161</v>
      </c>
      <c r="N108" s="53"/>
      <c r="O108" s="53">
        <v>135.62303502414161</v>
      </c>
      <c r="P108" s="15">
        <v>4.5169649758583779</v>
      </c>
      <c r="Q108" s="15"/>
      <c r="R108" s="15"/>
      <c r="S108" s="15"/>
      <c r="T108" s="15"/>
      <c r="U108" s="15"/>
      <c r="V108" s="15"/>
      <c r="W108" s="15"/>
      <c r="X108" s="15"/>
    </row>
    <row r="109" spans="1:24" s="21" customFormat="1" x14ac:dyDescent="0.55000000000000004">
      <c r="A109" s="17"/>
      <c r="B109"/>
      <c r="C109"/>
      <c r="D109"/>
      <c r="E109"/>
      <c r="F109" s="49">
        <v>40513</v>
      </c>
      <c r="G109" s="92">
        <v>138.66999999999999</v>
      </c>
      <c r="H109"/>
      <c r="I109"/>
      <c r="J109"/>
      <c r="K109"/>
      <c r="L109"/>
      <c r="M109" s="58">
        <v>136.47788361900714</v>
      </c>
      <c r="N109" s="53"/>
      <c r="O109" s="53">
        <v>136.47788361900714</v>
      </c>
      <c r="P109" s="15">
        <v>2.1921163809928492</v>
      </c>
      <c r="Q109" s="15"/>
      <c r="R109" s="15"/>
      <c r="S109" s="15"/>
      <c r="T109" s="15"/>
      <c r="U109" s="15"/>
      <c r="V109" s="15"/>
      <c r="W109" s="15"/>
      <c r="X109" s="15"/>
    </row>
    <row r="110" spans="1:24" s="21" customFormat="1" x14ac:dyDescent="0.55000000000000004">
      <c r="A110" s="17"/>
      <c r="B110"/>
      <c r="C110"/>
      <c r="D110"/>
      <c r="E110"/>
      <c r="F110" s="49">
        <v>40544</v>
      </c>
      <c r="G110" s="92">
        <v>140.26</v>
      </c>
      <c r="H110"/>
      <c r="I110"/>
      <c r="J110"/>
      <c r="K110"/>
      <c r="L110"/>
      <c r="M110" s="58">
        <v>137.13796658766307</v>
      </c>
      <c r="N110" s="53"/>
      <c r="O110" s="53">
        <v>137.13796658766307</v>
      </c>
      <c r="P110" s="15">
        <v>3.1220334123369122</v>
      </c>
      <c r="Q110" s="15"/>
      <c r="R110" s="15"/>
      <c r="S110" s="15"/>
      <c r="T110" s="15"/>
      <c r="U110" s="15"/>
      <c r="V110" s="15"/>
      <c r="W110" s="15"/>
      <c r="X110" s="15"/>
    </row>
    <row r="111" spans="1:24" s="21" customFormat="1" x14ac:dyDescent="0.55000000000000004">
      <c r="A111" s="17"/>
      <c r="B111"/>
      <c r="C111"/>
      <c r="D111"/>
      <c r="E111"/>
      <c r="F111" s="49">
        <v>40575</v>
      </c>
      <c r="G111" s="92">
        <v>140.93</v>
      </c>
      <c r="H111"/>
      <c r="I111"/>
      <c r="J111"/>
      <c r="K111"/>
      <c r="L111"/>
      <c r="M111" s="58">
        <v>137.5818964670504</v>
      </c>
      <c r="N111" s="53"/>
      <c r="O111" s="53">
        <v>137.5818964670504</v>
      </c>
      <c r="P111" s="15">
        <v>3.3481035329496081</v>
      </c>
      <c r="Q111" s="15"/>
      <c r="R111" s="15"/>
      <c r="S111" s="15"/>
      <c r="T111" s="15"/>
      <c r="U111" s="15"/>
      <c r="V111" s="15"/>
      <c r="W111" s="15"/>
      <c r="X111" s="15"/>
    </row>
    <row r="112" spans="1:24" s="21" customFormat="1" x14ac:dyDescent="0.55000000000000004">
      <c r="A112" s="17"/>
      <c r="B112"/>
      <c r="C112"/>
      <c r="D112"/>
      <c r="E112"/>
      <c r="F112" s="49">
        <v>40603</v>
      </c>
      <c r="G112" s="92">
        <v>141.06</v>
      </c>
      <c r="H112"/>
      <c r="I112"/>
      <c r="J112"/>
      <c r="K112"/>
      <c r="L112"/>
      <c r="M112" s="58">
        <v>138.12729176717531</v>
      </c>
      <c r="N112" s="53"/>
      <c r="O112" s="53">
        <v>138.12729176717531</v>
      </c>
      <c r="P112" s="15">
        <v>2.9327082328246914</v>
      </c>
      <c r="Q112" s="15"/>
      <c r="R112" s="15"/>
      <c r="S112" s="15"/>
      <c r="T112" s="15"/>
      <c r="U112" s="15"/>
      <c r="V112" s="15"/>
      <c r="W112" s="15"/>
      <c r="X112" s="15"/>
    </row>
    <row r="113" spans="1:24" s="21" customFormat="1" x14ac:dyDescent="0.55000000000000004">
      <c r="A113" s="17"/>
      <c r="B113"/>
      <c r="C113"/>
      <c r="D113"/>
      <c r="E113"/>
      <c r="F113" s="49">
        <v>40634</v>
      </c>
      <c r="G113" s="92">
        <v>140.97</v>
      </c>
      <c r="H113"/>
      <c r="I113"/>
      <c r="J113"/>
      <c r="K113"/>
      <c r="L113"/>
      <c r="M113" s="58">
        <v>138.31798224615764</v>
      </c>
      <c r="N113" s="53"/>
      <c r="O113" s="53">
        <v>138.31798224615764</v>
      </c>
      <c r="P113" s="15">
        <v>2.6520177538423613</v>
      </c>
      <c r="Q113" s="15"/>
      <c r="R113" s="15"/>
      <c r="S113" s="15"/>
      <c r="T113" s="15"/>
      <c r="U113" s="15"/>
      <c r="V113" s="15"/>
      <c r="W113" s="15"/>
      <c r="X113" s="15"/>
    </row>
    <row r="114" spans="1:24" s="21" customFormat="1" x14ac:dyDescent="0.55000000000000004">
      <c r="A114" s="17"/>
      <c r="B114"/>
      <c r="C114"/>
      <c r="D114"/>
      <c r="E114"/>
      <c r="F114" s="49">
        <v>40664</v>
      </c>
      <c r="G114" s="92">
        <v>141.18</v>
      </c>
      <c r="H114"/>
      <c r="I114"/>
      <c r="J114"/>
      <c r="K114"/>
      <c r="L114"/>
      <c r="M114" s="58">
        <v>138.61581330340712</v>
      </c>
      <c r="N114" s="53"/>
      <c r="O114" s="53">
        <v>138.61581330340712</v>
      </c>
      <c r="P114" s="15">
        <v>2.5641866965928841</v>
      </c>
      <c r="Q114" s="15"/>
      <c r="R114" s="15"/>
      <c r="S114" s="15"/>
      <c r="T114" s="15"/>
      <c r="U114" s="15"/>
      <c r="V114" s="15"/>
      <c r="W114" s="15"/>
      <c r="X114" s="15"/>
    </row>
    <row r="115" spans="1:24" s="21" customFormat="1" x14ac:dyDescent="0.55000000000000004">
      <c r="A115" s="17"/>
      <c r="B115"/>
      <c r="C115"/>
      <c r="D115"/>
      <c r="E115"/>
      <c r="F115" s="49">
        <v>40695</v>
      </c>
      <c r="G115" s="92">
        <v>141.85</v>
      </c>
      <c r="H115"/>
      <c r="I115"/>
      <c r="J115"/>
      <c r="K115"/>
      <c r="L115"/>
      <c r="M115" s="58">
        <v>139.15706582158853</v>
      </c>
      <c r="N115" s="53"/>
      <c r="O115" s="53">
        <v>139.15706582158853</v>
      </c>
      <c r="P115" s="15">
        <v>2.692934178411472</v>
      </c>
      <c r="Q115" s="15"/>
      <c r="R115" s="15"/>
      <c r="S115" s="15"/>
      <c r="T115" s="15"/>
      <c r="U115" s="15"/>
      <c r="V115" s="15"/>
      <c r="W115" s="15"/>
      <c r="X115" s="15"/>
    </row>
    <row r="116" spans="1:24" s="21" customFormat="1" x14ac:dyDescent="0.55000000000000004">
      <c r="A116" s="17"/>
      <c r="B116"/>
      <c r="C116"/>
      <c r="D116"/>
      <c r="E116"/>
      <c r="F116" s="49">
        <v>40725</v>
      </c>
      <c r="G116" s="92">
        <v>142.1</v>
      </c>
      <c r="H116"/>
      <c r="I116"/>
      <c r="J116"/>
      <c r="K116"/>
      <c r="L116"/>
      <c r="M116" s="58">
        <v>139.55783283512864</v>
      </c>
      <c r="N116" s="53"/>
      <c r="O116" s="53">
        <v>139.55783283512864</v>
      </c>
      <c r="P116" s="15">
        <v>2.5421671648713584</v>
      </c>
      <c r="Q116" s="15"/>
      <c r="R116" s="15"/>
      <c r="S116" s="15"/>
      <c r="T116" s="15"/>
      <c r="U116" s="15"/>
      <c r="V116" s="15"/>
      <c r="W116" s="15"/>
      <c r="X116" s="15"/>
    </row>
    <row r="117" spans="1:24" s="21" customFormat="1" x14ac:dyDescent="0.55000000000000004">
      <c r="A117" s="17"/>
      <c r="B117"/>
      <c r="C117"/>
      <c r="D117"/>
      <c r="E117"/>
      <c r="F117" s="49">
        <v>40756</v>
      </c>
      <c r="G117" s="92">
        <v>141.94</v>
      </c>
      <c r="H117"/>
      <c r="I117"/>
      <c r="J117"/>
      <c r="K117"/>
      <c r="L117"/>
      <c r="M117" s="58">
        <v>139.9590094334329</v>
      </c>
      <c r="N117" s="53"/>
      <c r="O117" s="53">
        <v>139.9590094334329</v>
      </c>
      <c r="P117" s="15">
        <v>1.9809905665671106</v>
      </c>
      <c r="Q117" s="15"/>
      <c r="R117" s="15"/>
      <c r="S117" s="15"/>
      <c r="T117" s="15"/>
      <c r="U117" s="15"/>
      <c r="V117" s="15"/>
      <c r="W117" s="15"/>
      <c r="X117" s="15"/>
    </row>
    <row r="118" spans="1:24" s="21" customFormat="1" x14ac:dyDescent="0.55000000000000004">
      <c r="A118" s="17"/>
      <c r="B118"/>
      <c r="C118"/>
      <c r="D118"/>
      <c r="E118"/>
      <c r="F118" s="49">
        <v>40787</v>
      </c>
      <c r="G118" s="92">
        <v>141.58000000000001</v>
      </c>
      <c r="H118"/>
      <c r="I118"/>
      <c r="J118"/>
      <c r="K118"/>
      <c r="L118"/>
      <c r="M118" s="58">
        <v>140.25240024412025</v>
      </c>
      <c r="N118" s="53"/>
      <c r="O118" s="53">
        <v>140.25240024412025</v>
      </c>
      <c r="P118" s="15">
        <v>1.3275997558797503</v>
      </c>
      <c r="Q118" s="15"/>
      <c r="R118" s="15"/>
      <c r="S118" s="15"/>
      <c r="T118" s="15"/>
      <c r="U118" s="15"/>
      <c r="V118" s="15"/>
      <c r="W118" s="15"/>
      <c r="X118" s="15"/>
    </row>
    <row r="119" spans="1:24" s="21" customFormat="1" x14ac:dyDescent="0.55000000000000004">
      <c r="A119" s="17"/>
      <c r="B119"/>
      <c r="C119"/>
      <c r="D119"/>
      <c r="E119"/>
      <c r="F119" s="49">
        <v>40817</v>
      </c>
      <c r="G119" s="92">
        <v>141.61000000000001</v>
      </c>
      <c r="H119"/>
      <c r="I119"/>
      <c r="J119"/>
      <c r="K119"/>
      <c r="L119"/>
      <c r="M119" s="58">
        <v>140.68991026711942</v>
      </c>
      <c r="N119" s="53"/>
      <c r="O119" s="53">
        <v>140.68991026711942</v>
      </c>
      <c r="P119" s="15">
        <v>0.92008973288060425</v>
      </c>
      <c r="Q119" s="15"/>
      <c r="R119" s="15"/>
      <c r="S119" s="15"/>
      <c r="T119" s="15"/>
      <c r="U119" s="15"/>
      <c r="V119" s="15"/>
      <c r="W119" s="15"/>
      <c r="X119" s="15"/>
    </row>
    <row r="120" spans="1:24" s="21" customFormat="1" x14ac:dyDescent="0.55000000000000004">
      <c r="A120" s="17"/>
      <c r="B120"/>
      <c r="C120"/>
      <c r="D120"/>
      <c r="E120"/>
      <c r="F120" s="49">
        <v>40848</v>
      </c>
      <c r="G120" s="92">
        <v>142.31</v>
      </c>
      <c r="H120"/>
      <c r="I120"/>
      <c r="J120"/>
      <c r="K120"/>
      <c r="L120"/>
      <c r="M120" s="58">
        <v>140.95997314255735</v>
      </c>
      <c r="N120" s="53"/>
      <c r="O120" s="53">
        <v>140.95997314255735</v>
      </c>
      <c r="P120" s="15">
        <v>1.3500268574426508</v>
      </c>
      <c r="Q120" s="15"/>
      <c r="R120" s="15"/>
      <c r="S120" s="15"/>
      <c r="T120" s="15"/>
      <c r="U120" s="15"/>
      <c r="V120" s="15"/>
      <c r="W120" s="15"/>
      <c r="X120" s="15"/>
    </row>
    <row r="121" spans="1:24" s="21" customFormat="1" x14ac:dyDescent="0.55000000000000004">
      <c r="A121" s="17"/>
      <c r="B121"/>
      <c r="C121"/>
      <c r="D121"/>
      <c r="E121"/>
      <c r="F121" s="49">
        <v>40878</v>
      </c>
      <c r="G121" s="92">
        <v>140.91999999999999</v>
      </c>
      <c r="H121"/>
      <c r="I121"/>
      <c r="J121"/>
      <c r="K121"/>
      <c r="L121"/>
      <c r="M121" s="58">
        <v>141.11911444966924</v>
      </c>
      <c r="N121" s="53"/>
      <c r="O121" s="53">
        <v>141.11911444966924</v>
      </c>
      <c r="P121" s="15">
        <v>-0.19911444966926536</v>
      </c>
      <c r="Q121" s="15"/>
      <c r="R121" s="15"/>
      <c r="S121" s="15"/>
      <c r="T121" s="15"/>
      <c r="U121" s="15"/>
      <c r="V121" s="15"/>
      <c r="W121" s="15"/>
      <c r="X121" s="15"/>
    </row>
    <row r="122" spans="1:24" s="21" customFormat="1" x14ac:dyDescent="0.55000000000000004">
      <c r="A122" s="17"/>
      <c r="B122"/>
      <c r="C122"/>
      <c r="D122"/>
      <c r="E122"/>
      <c r="F122" s="49">
        <v>40909</v>
      </c>
      <c r="G122" s="92">
        <v>139.04</v>
      </c>
      <c r="H122"/>
      <c r="I122"/>
      <c r="J122"/>
      <c r="K122"/>
      <c r="L122"/>
      <c r="M122" s="58">
        <v>141.45701752131126</v>
      </c>
      <c r="N122" s="53"/>
      <c r="O122" s="53">
        <v>141.45701752131126</v>
      </c>
      <c r="P122" s="15">
        <v>-2.4170175213112532</v>
      </c>
      <c r="Q122" s="15"/>
      <c r="R122" s="15"/>
      <c r="S122" s="15"/>
      <c r="T122" s="15"/>
      <c r="U122" s="15"/>
      <c r="V122" s="15"/>
      <c r="W122" s="15"/>
      <c r="X122" s="15"/>
    </row>
    <row r="123" spans="1:24" s="21" customFormat="1" x14ac:dyDescent="0.55000000000000004">
      <c r="A123" s="17"/>
      <c r="B123"/>
      <c r="C123"/>
      <c r="D123"/>
      <c r="E123"/>
      <c r="F123" s="49">
        <v>40940</v>
      </c>
      <c r="G123" s="92">
        <v>140.55000000000001</v>
      </c>
      <c r="H123"/>
      <c r="I123"/>
      <c r="J123"/>
      <c r="K123"/>
      <c r="L123"/>
      <c r="M123" s="58">
        <v>141.60700932982417</v>
      </c>
      <c r="N123" s="53"/>
      <c r="O123" s="53">
        <v>141.60700932982417</v>
      </c>
      <c r="P123" s="15">
        <v>-1.0570093298241607</v>
      </c>
      <c r="Q123" s="15"/>
      <c r="R123" s="15"/>
      <c r="S123" s="15"/>
      <c r="T123" s="15"/>
      <c r="U123" s="15"/>
      <c r="V123" s="15"/>
      <c r="W123" s="15"/>
      <c r="X123" s="15"/>
    </row>
    <row r="124" spans="1:24" s="21" customFormat="1" x14ac:dyDescent="0.55000000000000004">
      <c r="A124" s="17"/>
      <c r="B124"/>
      <c r="C124"/>
      <c r="D124"/>
      <c r="E124"/>
      <c r="F124" s="49">
        <v>40969</v>
      </c>
      <c r="G124" s="92">
        <v>140.13999999999999</v>
      </c>
      <c r="H124"/>
      <c r="I124"/>
      <c r="J124"/>
      <c r="K124"/>
      <c r="L124"/>
      <c r="M124" s="58">
        <v>141.78128848542639</v>
      </c>
      <c r="N124" s="53"/>
      <c r="O124" s="53">
        <v>141.78128848542639</v>
      </c>
      <c r="P124" s="15">
        <v>-1.6412884854264038</v>
      </c>
      <c r="Q124" s="15"/>
      <c r="R124" s="15"/>
      <c r="S124" s="15"/>
      <c r="T124" s="15"/>
      <c r="U124" s="15"/>
      <c r="V124" s="15"/>
      <c r="W124" s="15"/>
      <c r="X124" s="15"/>
    </row>
    <row r="125" spans="1:24" s="21" customFormat="1" x14ac:dyDescent="0.55000000000000004">
      <c r="A125" s="17"/>
      <c r="B125"/>
      <c r="C125"/>
      <c r="D125"/>
      <c r="E125"/>
      <c r="F125" s="49">
        <v>41000</v>
      </c>
      <c r="G125" s="92">
        <v>140.76</v>
      </c>
      <c r="H125"/>
      <c r="I125"/>
      <c r="J125"/>
      <c r="K125"/>
      <c r="L125"/>
      <c r="M125" s="58">
        <v>141.7601922333304</v>
      </c>
      <c r="N125" s="53"/>
      <c r="O125" s="53">
        <v>141.7601922333304</v>
      </c>
      <c r="P125" s="15">
        <v>-1.0001922333303968</v>
      </c>
      <c r="Q125" s="15"/>
      <c r="R125" s="15"/>
      <c r="S125" s="15"/>
      <c r="T125" s="15"/>
      <c r="U125" s="15"/>
      <c r="V125" s="15"/>
      <c r="W125" s="15"/>
      <c r="X125" s="15"/>
    </row>
    <row r="126" spans="1:24" s="21" customFormat="1" x14ac:dyDescent="0.55000000000000004">
      <c r="A126" s="17"/>
      <c r="B126"/>
      <c r="C126"/>
      <c r="D126"/>
      <c r="E126"/>
      <c r="F126" s="49">
        <v>41030</v>
      </c>
      <c r="G126" s="92">
        <v>142.5</v>
      </c>
      <c r="H126"/>
      <c r="I126"/>
      <c r="J126"/>
      <c r="K126"/>
      <c r="L126"/>
      <c r="M126" s="58">
        <v>141.58198585621122</v>
      </c>
      <c r="N126" s="53"/>
      <c r="O126" s="53">
        <v>141.58198585621122</v>
      </c>
      <c r="P126" s="15">
        <v>0.91801414378878432</v>
      </c>
      <c r="Q126" s="15"/>
      <c r="R126" s="15"/>
      <c r="S126" s="15"/>
      <c r="T126" s="15"/>
      <c r="U126" s="15"/>
      <c r="V126" s="15"/>
      <c r="W126" s="15"/>
      <c r="X126" s="15"/>
    </row>
    <row r="127" spans="1:24" s="21" customFormat="1" x14ac:dyDescent="0.55000000000000004">
      <c r="A127" s="17"/>
      <c r="B127"/>
      <c r="C127"/>
      <c r="D127"/>
      <c r="E127"/>
      <c r="F127" s="49">
        <v>41061</v>
      </c>
      <c r="G127" s="92">
        <v>143.55000000000001</v>
      </c>
      <c r="H127"/>
      <c r="I127"/>
      <c r="J127"/>
      <c r="K127"/>
      <c r="L127"/>
      <c r="M127" s="58">
        <v>141.69672090895443</v>
      </c>
      <c r="N127" s="53"/>
      <c r="O127" s="53">
        <v>141.69672090895443</v>
      </c>
      <c r="P127" s="15">
        <v>1.8532790910455788</v>
      </c>
      <c r="Q127" s="15"/>
      <c r="R127" s="15"/>
      <c r="S127" s="15"/>
      <c r="T127" s="15"/>
      <c r="U127" s="15"/>
      <c r="V127" s="15"/>
      <c r="W127" s="15"/>
      <c r="X127" s="15"/>
    </row>
    <row r="128" spans="1:24" s="21" customFormat="1" x14ac:dyDescent="0.55000000000000004">
      <c r="A128" s="17"/>
      <c r="B128"/>
      <c r="C128"/>
      <c r="D128"/>
      <c r="E128"/>
      <c r="F128" s="49">
        <v>41091</v>
      </c>
      <c r="G128" s="92">
        <v>143.82</v>
      </c>
      <c r="H128"/>
      <c r="I128"/>
      <c r="J128"/>
      <c r="K128"/>
      <c r="L128"/>
      <c r="M128" s="58">
        <v>141.60862985437495</v>
      </c>
      <c r="N128" s="53"/>
      <c r="O128" s="53">
        <v>141.60862985437495</v>
      </c>
      <c r="P128" s="15">
        <v>2.2113701456250521</v>
      </c>
      <c r="Q128" s="15"/>
      <c r="R128" s="15"/>
      <c r="S128" s="15"/>
      <c r="T128" s="15"/>
      <c r="U128" s="15"/>
      <c r="V128" s="15"/>
      <c r="W128" s="15"/>
      <c r="X128" s="15"/>
    </row>
    <row r="129" spans="1:24" s="21" customFormat="1" x14ac:dyDescent="0.55000000000000004">
      <c r="A129" s="17"/>
      <c r="B129"/>
      <c r="C129"/>
      <c r="D129"/>
      <c r="E129"/>
      <c r="F129" s="49">
        <v>41122</v>
      </c>
      <c r="G129" s="92">
        <v>144.26</v>
      </c>
      <c r="H129"/>
      <c r="I129"/>
      <c r="J129"/>
      <c r="K129"/>
      <c r="L129"/>
      <c r="M129" s="58">
        <v>141.43547226842443</v>
      </c>
      <c r="N129" s="53"/>
      <c r="O129" s="53">
        <v>141.43547226842443</v>
      </c>
      <c r="P129" s="15">
        <v>2.8245277315755448</v>
      </c>
      <c r="Q129" s="15"/>
      <c r="R129" s="15"/>
      <c r="S129" s="15"/>
      <c r="T129" s="15"/>
      <c r="U129" s="15"/>
      <c r="V129" s="15"/>
      <c r="W129" s="15"/>
      <c r="X129" s="15"/>
    </row>
    <row r="130" spans="1:24" s="21" customFormat="1" x14ac:dyDescent="0.55000000000000004">
      <c r="A130" s="17"/>
      <c r="B130"/>
      <c r="C130"/>
      <c r="D130"/>
      <c r="E130"/>
      <c r="F130" s="49">
        <v>41153</v>
      </c>
      <c r="G130" s="92">
        <v>143.66</v>
      </c>
      <c r="H130"/>
      <c r="I130"/>
      <c r="J130"/>
      <c r="K130"/>
      <c r="L130"/>
      <c r="M130" s="58">
        <v>141.49572051430354</v>
      </c>
      <c r="N130" s="53"/>
      <c r="O130" s="53">
        <v>141.49572051430354</v>
      </c>
      <c r="P130" s="15">
        <v>2.1642794856964604</v>
      </c>
      <c r="Q130" s="15"/>
      <c r="R130" s="15"/>
      <c r="S130" s="15"/>
      <c r="T130" s="15"/>
      <c r="U130" s="15"/>
      <c r="V130" s="15"/>
      <c r="W130" s="15"/>
      <c r="X130" s="15"/>
    </row>
    <row r="131" spans="1:24" s="21" customFormat="1" x14ac:dyDescent="0.55000000000000004">
      <c r="A131" s="17"/>
      <c r="B131"/>
      <c r="C131"/>
      <c r="D131"/>
      <c r="E131"/>
      <c r="F131" s="49">
        <v>41183</v>
      </c>
      <c r="G131" s="92">
        <v>144.84</v>
      </c>
      <c r="H131"/>
      <c r="I131"/>
      <c r="J131"/>
      <c r="K131"/>
      <c r="L131"/>
      <c r="M131" s="58">
        <v>141.66349669919694</v>
      </c>
      <c r="N131" s="53"/>
      <c r="O131" s="53">
        <v>141.66349669919694</v>
      </c>
      <c r="P131" s="15">
        <v>3.1765033008030565</v>
      </c>
      <c r="Q131" s="15"/>
      <c r="R131" s="15"/>
      <c r="S131" s="15"/>
      <c r="T131" s="15"/>
      <c r="U131" s="15"/>
      <c r="V131" s="15"/>
      <c r="W131" s="15"/>
      <c r="X131" s="15"/>
    </row>
    <row r="132" spans="1:24" s="21" customFormat="1" x14ac:dyDescent="0.55000000000000004">
      <c r="A132" s="17"/>
      <c r="B132"/>
      <c r="C132"/>
      <c r="D132"/>
      <c r="E132"/>
      <c r="F132" s="49">
        <v>41214</v>
      </c>
      <c r="G132" s="92">
        <v>144.63999999999999</v>
      </c>
      <c r="H132"/>
      <c r="I132"/>
      <c r="J132"/>
      <c r="K132"/>
      <c r="L132"/>
      <c r="M132" s="58">
        <v>141.74814615335367</v>
      </c>
      <c r="N132" s="53"/>
      <c r="O132" s="53">
        <v>141.74814615335367</v>
      </c>
      <c r="P132" s="15">
        <v>2.8918538466463257</v>
      </c>
      <c r="Q132" s="15"/>
      <c r="R132" s="15"/>
      <c r="S132" s="15"/>
      <c r="T132" s="15"/>
      <c r="U132" s="15"/>
      <c r="V132" s="15"/>
      <c r="W132" s="15"/>
      <c r="X132" s="15"/>
    </row>
    <row r="133" spans="1:24" s="21" customFormat="1" x14ac:dyDescent="0.55000000000000004">
      <c r="A133" s="17"/>
      <c r="B133"/>
      <c r="C133"/>
      <c r="D133"/>
      <c r="E133"/>
      <c r="F133" s="49">
        <v>41244</v>
      </c>
      <c r="G133" s="92">
        <v>144.15</v>
      </c>
      <c r="H133"/>
      <c r="I133"/>
      <c r="J133"/>
      <c r="K133"/>
      <c r="L133"/>
      <c r="M133" s="58">
        <v>141.7180816792125</v>
      </c>
      <c r="N133" s="53"/>
      <c r="O133" s="53">
        <v>141.7180816792125</v>
      </c>
      <c r="P133" s="15">
        <v>2.4319183207875152</v>
      </c>
      <c r="Q133" s="15"/>
      <c r="R133" s="15"/>
      <c r="S133" s="15"/>
      <c r="T133" s="15"/>
      <c r="U133" s="15"/>
      <c r="V133" s="15"/>
      <c r="W133" s="15"/>
      <c r="X133" s="15"/>
    </row>
    <row r="134" spans="1:24" s="21" customFormat="1" x14ac:dyDescent="0.55000000000000004">
      <c r="A134" s="17"/>
      <c r="B134"/>
      <c r="C134"/>
      <c r="D134"/>
      <c r="E134"/>
      <c r="F134" s="49">
        <v>41275</v>
      </c>
      <c r="G134" s="92">
        <v>144.97999999999999</v>
      </c>
      <c r="H134"/>
      <c r="I134"/>
      <c r="J134"/>
      <c r="K134"/>
      <c r="L134"/>
      <c r="M134" s="58">
        <v>142.00746532204133</v>
      </c>
      <c r="N134" s="53"/>
      <c r="O134" s="53">
        <v>142.00746532204133</v>
      </c>
      <c r="P134" s="15">
        <v>2.9725346779586661</v>
      </c>
      <c r="Q134" s="15"/>
      <c r="R134" s="15"/>
      <c r="S134" s="15"/>
      <c r="T134" s="15"/>
      <c r="U134" s="15"/>
      <c r="V134" s="15"/>
      <c r="W134" s="15"/>
      <c r="X134" s="15"/>
    </row>
    <row r="135" spans="1:24" s="21" customFormat="1" x14ac:dyDescent="0.55000000000000004">
      <c r="A135" s="17"/>
      <c r="B135"/>
      <c r="C135"/>
      <c r="D135"/>
      <c r="E135"/>
      <c r="F135" s="49">
        <v>41306</v>
      </c>
      <c r="G135" s="92">
        <v>143.82</v>
      </c>
      <c r="H135"/>
      <c r="I135"/>
      <c r="J135"/>
      <c r="K135"/>
      <c r="L135"/>
      <c r="M135" s="58">
        <v>142.55872736812731</v>
      </c>
      <c r="N135" s="53"/>
      <c r="O135" s="53">
        <v>142.55872736812731</v>
      </c>
      <c r="P135" s="15">
        <v>1.261272631872673</v>
      </c>
      <c r="Q135" s="15"/>
      <c r="R135" s="15"/>
      <c r="S135" s="15"/>
      <c r="T135" s="15"/>
      <c r="U135" s="15"/>
      <c r="V135" s="15"/>
      <c r="W135" s="15"/>
      <c r="X135" s="15"/>
    </row>
    <row r="136" spans="1:24" s="21" customFormat="1" x14ac:dyDescent="0.55000000000000004">
      <c r="A136" s="17"/>
      <c r="B136"/>
      <c r="C136"/>
      <c r="D136"/>
      <c r="E136"/>
      <c r="F136" s="49">
        <v>41334</v>
      </c>
      <c r="G136" s="92">
        <v>145.04</v>
      </c>
      <c r="H136"/>
      <c r="I136"/>
      <c r="J136"/>
      <c r="K136"/>
      <c r="L136"/>
      <c r="M136" s="58">
        <v>142.85342087157872</v>
      </c>
      <c r="N136" s="53"/>
      <c r="O136" s="53">
        <v>142.85342087157872</v>
      </c>
      <c r="P136" s="15">
        <v>2.1865791284212688</v>
      </c>
      <c r="Q136" s="15"/>
      <c r="R136" s="15"/>
      <c r="S136" s="15"/>
      <c r="T136" s="15"/>
      <c r="U136" s="15"/>
      <c r="V136" s="15"/>
      <c r="W136" s="15"/>
      <c r="X136" s="15"/>
    </row>
    <row r="137" spans="1:24" s="21" customFormat="1" x14ac:dyDescent="0.55000000000000004">
      <c r="A137" s="17"/>
      <c r="B137"/>
      <c r="C137"/>
      <c r="D137"/>
      <c r="E137"/>
      <c r="F137" s="49">
        <v>41365</v>
      </c>
      <c r="G137" s="92">
        <v>146.28</v>
      </c>
      <c r="H137"/>
      <c r="I137"/>
      <c r="J137"/>
      <c r="K137"/>
      <c r="L137"/>
      <c r="M137" s="58">
        <v>143.22746430092917</v>
      </c>
      <c r="N137" s="53"/>
      <c r="O137" s="53">
        <v>143.22746430092917</v>
      </c>
      <c r="P137" s="15">
        <v>3.0525356990708397</v>
      </c>
      <c r="Q137" s="15"/>
      <c r="R137" s="15"/>
      <c r="S137" s="15"/>
      <c r="T137" s="15"/>
      <c r="U137" s="15"/>
      <c r="V137" s="15"/>
      <c r="W137" s="15"/>
      <c r="X137" s="15"/>
    </row>
    <row r="138" spans="1:24" s="21" customFormat="1" x14ac:dyDescent="0.55000000000000004">
      <c r="A138" s="17"/>
      <c r="B138"/>
      <c r="C138"/>
      <c r="D138"/>
      <c r="E138"/>
      <c r="F138" s="49">
        <v>41395</v>
      </c>
      <c r="G138" s="92">
        <v>146.79</v>
      </c>
      <c r="H138"/>
      <c r="I138"/>
      <c r="J138"/>
      <c r="K138"/>
      <c r="L138"/>
      <c r="M138" s="58">
        <v>143.73698769392232</v>
      </c>
      <c r="N138" s="53"/>
      <c r="O138" s="53">
        <v>143.73698769392232</v>
      </c>
      <c r="P138" s="15">
        <v>3.0530123060776697</v>
      </c>
      <c r="Q138" s="15"/>
      <c r="R138" s="15"/>
      <c r="S138" s="15"/>
      <c r="T138" s="15"/>
      <c r="U138" s="15"/>
      <c r="V138" s="15"/>
      <c r="W138" s="15"/>
      <c r="X138" s="15"/>
    </row>
    <row r="139" spans="1:24" s="21" customFormat="1" x14ac:dyDescent="0.55000000000000004">
      <c r="A139" s="17"/>
      <c r="B139"/>
      <c r="C139"/>
      <c r="D139"/>
      <c r="E139"/>
      <c r="F139" s="49">
        <v>41426</v>
      </c>
      <c r="G139" s="92">
        <v>146.35</v>
      </c>
      <c r="H139"/>
      <c r="I139"/>
      <c r="J139"/>
      <c r="K139"/>
      <c r="L139"/>
      <c r="M139" s="58">
        <v>143.85944298921115</v>
      </c>
      <c r="N139" s="53"/>
      <c r="O139" s="53">
        <v>143.85944298921115</v>
      </c>
      <c r="P139" s="15">
        <v>2.4905570107888511</v>
      </c>
      <c r="Q139" s="15"/>
      <c r="R139" s="15"/>
      <c r="S139" s="15"/>
      <c r="T139" s="15"/>
      <c r="U139" s="15"/>
      <c r="V139" s="15"/>
      <c r="W139" s="15"/>
      <c r="X139" s="15"/>
    </row>
    <row r="140" spans="1:24" s="21" customFormat="1" x14ac:dyDescent="0.55000000000000004">
      <c r="A140" s="17"/>
      <c r="B140"/>
      <c r="C140"/>
      <c r="D140"/>
      <c r="E140"/>
      <c r="F140" s="49">
        <v>41456</v>
      </c>
      <c r="G140" s="92">
        <v>146.93</v>
      </c>
      <c r="H140"/>
      <c r="I140"/>
      <c r="J140"/>
      <c r="K140"/>
      <c r="L140"/>
      <c r="M140" s="58">
        <v>144.10669147017799</v>
      </c>
      <c r="N140" s="53"/>
      <c r="O140" s="53">
        <v>144.10669147017799</v>
      </c>
      <c r="P140" s="15">
        <v>2.8233085298220053</v>
      </c>
      <c r="Q140" s="15"/>
      <c r="R140" s="15"/>
      <c r="S140" s="15"/>
      <c r="T140" s="15"/>
      <c r="U140" s="15"/>
      <c r="V140" s="15"/>
      <c r="W140" s="15"/>
      <c r="X140" s="15"/>
    </row>
    <row r="141" spans="1:24" s="21" customFormat="1" x14ac:dyDescent="0.55000000000000004">
      <c r="A141" s="17"/>
      <c r="B141"/>
      <c r="C141"/>
      <c r="D141"/>
      <c r="E141"/>
      <c r="F141" s="49">
        <v>41487</v>
      </c>
      <c r="G141" s="92">
        <v>147.18</v>
      </c>
      <c r="H141"/>
      <c r="I141"/>
      <c r="J141"/>
      <c r="K141"/>
      <c r="L141"/>
      <c r="M141" s="58">
        <v>144.39087055356856</v>
      </c>
      <c r="N141" s="53"/>
      <c r="O141" s="53">
        <v>144.39087055356856</v>
      </c>
      <c r="P141" s="15">
        <v>2.7891294464314393</v>
      </c>
      <c r="Q141" s="15"/>
      <c r="R141" s="15"/>
      <c r="S141" s="15"/>
      <c r="T141" s="15"/>
      <c r="U141" s="15"/>
      <c r="V141" s="15"/>
      <c r="W141" s="15"/>
      <c r="X141" s="15"/>
    </row>
    <row r="142" spans="1:24" s="21" customFormat="1" x14ac:dyDescent="0.55000000000000004">
      <c r="A142" s="17"/>
      <c r="B142"/>
      <c r="C142"/>
      <c r="D142"/>
      <c r="E142"/>
      <c r="F142" s="49">
        <v>41518</v>
      </c>
      <c r="G142" s="92">
        <v>147.83000000000001</v>
      </c>
      <c r="H142"/>
      <c r="I142"/>
      <c r="J142"/>
      <c r="K142"/>
      <c r="L142"/>
      <c r="M142" s="58">
        <v>144.6023302073524</v>
      </c>
      <c r="N142" s="53"/>
      <c r="O142" s="53">
        <v>144.6023302073524</v>
      </c>
      <c r="P142" s="15">
        <v>3.2276697926476206</v>
      </c>
      <c r="Q142" s="15"/>
      <c r="R142" s="15"/>
      <c r="S142" s="15"/>
      <c r="T142" s="15"/>
      <c r="U142" s="15"/>
      <c r="V142" s="15"/>
      <c r="W142" s="15"/>
      <c r="X142" s="15"/>
    </row>
    <row r="143" spans="1:24" s="21" customFormat="1" x14ac:dyDescent="0.55000000000000004">
      <c r="A143" s="17"/>
      <c r="B143"/>
      <c r="C143"/>
      <c r="D143"/>
      <c r="E143"/>
      <c r="F143" s="49">
        <v>41548</v>
      </c>
      <c r="G143" s="92">
        <v>147.99</v>
      </c>
      <c r="H143"/>
      <c r="I143"/>
      <c r="J143"/>
      <c r="K143"/>
      <c r="L143"/>
      <c r="M143" s="58">
        <v>144.80204648384679</v>
      </c>
      <c r="N143" s="53"/>
      <c r="O143" s="53">
        <v>144.80204648384679</v>
      </c>
      <c r="P143" s="15">
        <v>3.1879535161532178</v>
      </c>
      <c r="Q143" s="15"/>
      <c r="R143" s="15"/>
      <c r="S143" s="15"/>
      <c r="T143" s="15"/>
      <c r="U143" s="15"/>
      <c r="V143" s="15"/>
      <c r="W143" s="15"/>
      <c r="X143" s="15"/>
    </row>
    <row r="144" spans="1:24" s="21" customFormat="1" x14ac:dyDescent="0.55000000000000004">
      <c r="A144" s="17"/>
      <c r="B144"/>
      <c r="C144"/>
      <c r="D144"/>
      <c r="E144"/>
      <c r="F144" s="49">
        <v>41579</v>
      </c>
      <c r="G144" s="92">
        <v>148.36000000000001</v>
      </c>
      <c r="H144"/>
      <c r="I144"/>
      <c r="J144"/>
      <c r="K144"/>
      <c r="L144"/>
      <c r="M144" s="58">
        <v>144.92098419286603</v>
      </c>
      <c r="N144" s="53"/>
      <c r="O144" s="53">
        <v>144.92098419286603</v>
      </c>
      <c r="P144" s="15">
        <v>3.439015807133984</v>
      </c>
      <c r="Q144" s="15"/>
      <c r="R144" s="15"/>
      <c r="S144" s="15"/>
      <c r="T144" s="15"/>
      <c r="U144" s="15"/>
      <c r="V144" s="15"/>
      <c r="W144" s="15"/>
      <c r="X144" s="15"/>
    </row>
    <row r="145" spans="1:24" s="21" customFormat="1" x14ac:dyDescent="0.55000000000000004">
      <c r="A145" s="17"/>
      <c r="B145"/>
      <c r="C145"/>
      <c r="D145"/>
      <c r="E145"/>
      <c r="F145" s="49">
        <v>41609</v>
      </c>
      <c r="G145" s="92">
        <v>148.76</v>
      </c>
      <c r="H145"/>
      <c r="I145"/>
      <c r="J145"/>
      <c r="K145"/>
      <c r="L145"/>
      <c r="M145" s="58">
        <v>145.25910418042938</v>
      </c>
      <c r="N145" s="53"/>
      <c r="O145" s="53">
        <v>145.25910418042938</v>
      </c>
      <c r="P145" s="15">
        <v>3.5008958195706126</v>
      </c>
      <c r="Q145" s="15"/>
      <c r="R145" s="15"/>
      <c r="S145" s="15"/>
      <c r="T145" s="15"/>
      <c r="U145" s="15"/>
      <c r="V145" s="15"/>
      <c r="W145" s="15"/>
      <c r="X145" s="15"/>
    </row>
    <row r="146" spans="1:24" s="21" customFormat="1" x14ac:dyDescent="0.55000000000000004">
      <c r="A146" s="17"/>
      <c r="B146"/>
      <c r="C146"/>
      <c r="D146"/>
      <c r="E146"/>
      <c r="F146" s="49">
        <v>41640</v>
      </c>
      <c r="G146" s="92">
        <v>148.31</v>
      </c>
      <c r="H146"/>
      <c r="I146"/>
      <c r="J146"/>
      <c r="K146"/>
      <c r="L146"/>
      <c r="M146" s="58">
        <v>145.54439951375352</v>
      </c>
      <c r="N146" s="53"/>
      <c r="O146" s="53">
        <v>145.54439951375352</v>
      </c>
      <c r="P146" s="15">
        <v>2.7656004862464871</v>
      </c>
      <c r="Q146" s="15"/>
      <c r="R146" s="15"/>
      <c r="S146" s="15"/>
      <c r="T146" s="15"/>
      <c r="U146" s="15"/>
      <c r="V146" s="15"/>
      <c r="W146" s="15"/>
      <c r="X146" s="15"/>
    </row>
    <row r="147" spans="1:24" s="21" customFormat="1" x14ac:dyDescent="0.55000000000000004">
      <c r="A147" s="17"/>
      <c r="B147"/>
      <c r="C147"/>
      <c r="D147"/>
      <c r="E147"/>
      <c r="F147" s="49">
        <v>41671</v>
      </c>
      <c r="G147" s="92">
        <v>148</v>
      </c>
      <c r="H147"/>
      <c r="I147"/>
      <c r="J147"/>
      <c r="K147"/>
      <c r="L147"/>
      <c r="M147" s="58">
        <v>145.78444039271454</v>
      </c>
      <c r="N147" s="53"/>
      <c r="O147" s="53">
        <v>145.78444039271454</v>
      </c>
      <c r="P147" s="15">
        <v>2.2155596072854689</v>
      </c>
      <c r="Q147" s="15"/>
      <c r="R147" s="15"/>
      <c r="S147" s="15"/>
      <c r="T147" s="15"/>
      <c r="U147" s="15"/>
      <c r="V147" s="15"/>
      <c r="W147" s="15"/>
      <c r="X147" s="15"/>
    </row>
    <row r="148" spans="1:24" s="21" customFormat="1" x14ac:dyDescent="0.55000000000000004">
      <c r="A148" s="17"/>
      <c r="B148"/>
      <c r="C148"/>
      <c r="D148"/>
      <c r="E148"/>
      <c r="F148" s="49">
        <v>41699</v>
      </c>
      <c r="G148" s="92">
        <v>147.78</v>
      </c>
      <c r="H148"/>
      <c r="I148"/>
      <c r="J148"/>
      <c r="K148"/>
      <c r="L148"/>
      <c r="M148" s="58">
        <v>146.24253369200585</v>
      </c>
      <c r="N148" s="53"/>
      <c r="O148" s="53">
        <v>146.24253369200585</v>
      </c>
      <c r="P148" s="15">
        <v>1.5374663079941639</v>
      </c>
      <c r="Q148" s="15"/>
      <c r="R148" s="15"/>
      <c r="S148" s="15"/>
      <c r="T148" s="15"/>
      <c r="U148" s="15"/>
      <c r="V148" s="15"/>
      <c r="W148" s="15"/>
      <c r="X148" s="15"/>
    </row>
    <row r="149" spans="1:24" s="21" customFormat="1" x14ac:dyDescent="0.55000000000000004">
      <c r="A149" s="17"/>
      <c r="B149"/>
      <c r="C149"/>
      <c r="D149"/>
      <c r="E149"/>
      <c r="F149" s="49">
        <v>41730</v>
      </c>
      <c r="G149" s="92">
        <v>147.07</v>
      </c>
      <c r="H149"/>
      <c r="I149"/>
      <c r="J149"/>
      <c r="K149"/>
      <c r="L149"/>
      <c r="M149" s="58">
        <v>146.61486365363032</v>
      </c>
      <c r="N149" s="53"/>
      <c r="O149" s="53">
        <v>146.61486365363032</v>
      </c>
      <c r="P149" s="15">
        <v>0.45513634636965761</v>
      </c>
      <c r="Q149" s="15"/>
      <c r="R149" s="15"/>
      <c r="S149" s="15"/>
      <c r="T149" s="15"/>
      <c r="U149" s="15"/>
      <c r="V149" s="15"/>
      <c r="W149" s="15"/>
      <c r="X149" s="15"/>
    </row>
    <row r="150" spans="1:24" s="21" customFormat="1" x14ac:dyDescent="0.55000000000000004">
      <c r="A150" s="17"/>
      <c r="B150"/>
      <c r="C150"/>
      <c r="D150"/>
      <c r="E150"/>
      <c r="F150" s="49">
        <v>41760</v>
      </c>
      <c r="G150" s="92">
        <v>146.37</v>
      </c>
      <c r="H150"/>
      <c r="I150"/>
      <c r="J150"/>
      <c r="K150"/>
      <c r="L150"/>
      <c r="M150" s="58">
        <v>146.74945854831384</v>
      </c>
      <c r="N150" s="53"/>
      <c r="O150" s="53">
        <v>146.74945854831384</v>
      </c>
      <c r="P150" s="15">
        <v>-0.37945854831383169</v>
      </c>
      <c r="Q150" s="15"/>
      <c r="R150" s="15"/>
      <c r="S150" s="15"/>
      <c r="T150" s="15"/>
      <c r="U150" s="15"/>
      <c r="V150" s="15"/>
      <c r="W150" s="15"/>
      <c r="X150" s="15"/>
    </row>
    <row r="151" spans="1:24" s="21" customFormat="1" x14ac:dyDescent="0.55000000000000004">
      <c r="A151" s="17"/>
      <c r="B151"/>
      <c r="C151"/>
      <c r="D151"/>
      <c r="E151"/>
      <c r="F151" s="49">
        <v>41791</v>
      </c>
      <c r="G151" s="92">
        <v>143.43</v>
      </c>
      <c r="H151"/>
      <c r="I151"/>
      <c r="J151"/>
      <c r="K151"/>
      <c r="L151"/>
      <c r="M151" s="58">
        <v>146.91303840914847</v>
      </c>
      <c r="N151" s="53"/>
      <c r="O151" s="53">
        <v>146.91303840914847</v>
      </c>
      <c r="P151" s="15">
        <v>-3.4830384091484601</v>
      </c>
      <c r="Q151" s="15"/>
      <c r="R151" s="15"/>
      <c r="S151" s="15"/>
      <c r="T151" s="15"/>
      <c r="U151" s="15"/>
      <c r="V151" s="15"/>
      <c r="W151" s="15"/>
      <c r="X151" s="15"/>
    </row>
    <row r="152" spans="1:24" s="21" customFormat="1" x14ac:dyDescent="0.55000000000000004">
      <c r="A152" s="17"/>
      <c r="B152"/>
      <c r="C152"/>
      <c r="D152"/>
      <c r="E152"/>
      <c r="F152" s="49">
        <v>41821</v>
      </c>
      <c r="G152" s="92">
        <v>144.66999999999999</v>
      </c>
      <c r="H152"/>
      <c r="I152"/>
      <c r="J152"/>
      <c r="K152"/>
      <c r="L152"/>
      <c r="M152" s="58">
        <v>147.11552089648197</v>
      </c>
      <c r="N152" s="53"/>
      <c r="O152" s="53">
        <v>147.11552089648197</v>
      </c>
      <c r="P152" s="15">
        <v>-2.4455208964819928</v>
      </c>
      <c r="Q152" s="15"/>
      <c r="R152" s="15"/>
      <c r="S152" s="15"/>
      <c r="T152" s="15"/>
      <c r="U152" s="15"/>
      <c r="V152" s="15"/>
      <c r="W152" s="15"/>
      <c r="X152" s="15"/>
    </row>
    <row r="153" spans="1:24" s="21" customFormat="1" x14ac:dyDescent="0.55000000000000004">
      <c r="A153" s="17"/>
      <c r="B153"/>
      <c r="C153"/>
      <c r="D153"/>
      <c r="E153"/>
      <c r="F153" s="49">
        <v>41852</v>
      </c>
      <c r="G153" s="92">
        <v>145.66</v>
      </c>
      <c r="H153"/>
      <c r="I153"/>
      <c r="J153"/>
      <c r="K153"/>
      <c r="L153"/>
      <c r="M153" s="58">
        <v>147.16934161048357</v>
      </c>
      <c r="N153" s="53"/>
      <c r="O153" s="53">
        <v>147.16934161048357</v>
      </c>
      <c r="P153" s="15">
        <v>-1.509341610483574</v>
      </c>
      <c r="Q153" s="15"/>
      <c r="R153" s="15"/>
      <c r="S153" s="15"/>
      <c r="T153" s="15"/>
      <c r="U153" s="15"/>
      <c r="V153" s="15"/>
      <c r="W153" s="15"/>
      <c r="X153" s="15"/>
    </row>
    <row r="154" spans="1:24" s="21" customFormat="1" x14ac:dyDescent="0.55000000000000004">
      <c r="A154" s="17"/>
      <c r="B154"/>
      <c r="C154"/>
      <c r="D154"/>
      <c r="E154"/>
      <c r="F154" s="49">
        <v>41883</v>
      </c>
      <c r="G154" s="92">
        <v>146.22999999999999</v>
      </c>
      <c r="H154"/>
      <c r="I154"/>
      <c r="J154"/>
      <c r="K154"/>
      <c r="L154"/>
      <c r="M154" s="58">
        <v>147.13138194791631</v>
      </c>
      <c r="N154" s="53"/>
      <c r="O154" s="53">
        <v>147.13138194791631</v>
      </c>
      <c r="P154" s="15">
        <v>-0.90138194791632031</v>
      </c>
      <c r="Q154" s="15"/>
      <c r="R154" s="15"/>
      <c r="S154" s="15"/>
      <c r="T154" s="15"/>
      <c r="U154" s="15"/>
      <c r="V154" s="15"/>
      <c r="W154" s="15"/>
      <c r="X154" s="15"/>
    </row>
    <row r="155" spans="1:24" s="21" customFormat="1" x14ac:dyDescent="0.55000000000000004">
      <c r="A155" s="17"/>
      <c r="B155"/>
      <c r="C155"/>
      <c r="D155"/>
      <c r="E155"/>
      <c r="F155" s="49">
        <v>41913</v>
      </c>
      <c r="G155" s="92">
        <v>145.41</v>
      </c>
      <c r="H155"/>
      <c r="I155"/>
      <c r="J155"/>
      <c r="K155"/>
      <c r="L155"/>
      <c r="M155" s="58">
        <v>146.74362649780062</v>
      </c>
      <c r="N155" s="53"/>
      <c r="O155" s="53">
        <v>146.74362649780062</v>
      </c>
      <c r="P155" s="15">
        <v>-1.3336264978006289</v>
      </c>
      <c r="Q155" s="15"/>
      <c r="R155" s="15"/>
      <c r="S155" s="15"/>
      <c r="T155" s="15"/>
      <c r="U155" s="15"/>
      <c r="V155" s="15"/>
      <c r="W155" s="15"/>
      <c r="X155" s="15"/>
    </row>
    <row r="156" spans="1:24" s="21" customFormat="1" x14ac:dyDescent="0.55000000000000004">
      <c r="A156" s="17"/>
      <c r="B156"/>
      <c r="C156"/>
      <c r="D156"/>
      <c r="E156"/>
      <c r="F156" s="49">
        <v>41944</v>
      </c>
      <c r="G156" s="92">
        <v>145.62</v>
      </c>
      <c r="H156"/>
      <c r="I156"/>
      <c r="J156"/>
      <c r="K156"/>
      <c r="L156"/>
      <c r="M156" s="58">
        <v>146.62754626954771</v>
      </c>
      <c r="N156" s="53"/>
      <c r="O156" s="53">
        <v>146.62754626954771</v>
      </c>
      <c r="P156" s="15">
        <v>-1.0075462695477029</v>
      </c>
      <c r="Q156" s="15"/>
      <c r="R156" s="15"/>
      <c r="S156" s="15"/>
      <c r="T156" s="15"/>
      <c r="U156" s="15"/>
      <c r="V156" s="15"/>
      <c r="W156" s="15"/>
      <c r="X156" s="15"/>
    </row>
    <row r="157" spans="1:24" s="21" customFormat="1" x14ac:dyDescent="0.55000000000000004">
      <c r="A157" s="17"/>
      <c r="B157"/>
      <c r="C157"/>
      <c r="D157"/>
      <c r="E157"/>
      <c r="F157" s="49">
        <v>41974</v>
      </c>
      <c r="G157" s="92">
        <v>146.28</v>
      </c>
      <c r="H157"/>
      <c r="I157"/>
      <c r="J157"/>
      <c r="K157"/>
      <c r="L157"/>
      <c r="M157" s="58">
        <v>146.53175837648766</v>
      </c>
      <c r="N157" s="53"/>
      <c r="O157" s="53">
        <v>146.53175837648766</v>
      </c>
      <c r="P157" s="15">
        <v>-0.25175837648764815</v>
      </c>
      <c r="Q157" s="15"/>
      <c r="R157" s="15"/>
      <c r="S157" s="15"/>
      <c r="T157" s="15"/>
      <c r="U157" s="15"/>
      <c r="V157" s="15"/>
      <c r="W157" s="15"/>
      <c r="X157" s="15"/>
    </row>
    <row r="158" spans="1:24" s="21" customFormat="1" x14ac:dyDescent="0.55000000000000004">
      <c r="A158" s="17"/>
      <c r="B158"/>
      <c r="C158"/>
      <c r="D158"/>
      <c r="E158"/>
      <c r="F158" s="49">
        <v>42005</v>
      </c>
      <c r="G158" s="92">
        <v>145.11000000000001</v>
      </c>
      <c r="H158"/>
      <c r="I158"/>
      <c r="J158"/>
      <c r="K158"/>
      <c r="L158"/>
      <c r="M158" s="58">
        <v>146.20828066835315</v>
      </c>
      <c r="N158" s="53"/>
      <c r="O158" s="53">
        <v>146.20828066835315</v>
      </c>
      <c r="P158" s="15">
        <v>-1.0982806683531376</v>
      </c>
      <c r="Q158" s="15"/>
      <c r="R158" s="15"/>
      <c r="S158" s="15"/>
      <c r="T158" s="15"/>
      <c r="U158" s="15"/>
      <c r="V158" s="15"/>
      <c r="W158" s="15"/>
      <c r="X158" s="15"/>
    </row>
    <row r="159" spans="1:24" s="21" customFormat="1" x14ac:dyDescent="0.55000000000000004">
      <c r="A159" s="17"/>
      <c r="B159"/>
      <c r="C159"/>
      <c r="D159"/>
      <c r="E159"/>
      <c r="F159" s="49">
        <v>42036</v>
      </c>
      <c r="G159" s="92">
        <v>144.05000000000001</v>
      </c>
      <c r="H159"/>
      <c r="I159"/>
      <c r="J159"/>
      <c r="K159"/>
      <c r="L159"/>
      <c r="M159" s="58">
        <v>145.85229885277289</v>
      </c>
      <c r="N159" s="53"/>
      <c r="O159" s="53">
        <v>145.85229885277289</v>
      </c>
      <c r="P159" s="15">
        <v>-1.802298852772888</v>
      </c>
      <c r="Q159" s="15"/>
      <c r="R159" s="15"/>
      <c r="S159" s="15"/>
      <c r="T159" s="15"/>
      <c r="U159" s="15"/>
      <c r="V159" s="15"/>
      <c r="W159" s="15"/>
      <c r="X159" s="15"/>
    </row>
    <row r="160" spans="1:24" s="21" customFormat="1" x14ac:dyDescent="0.55000000000000004">
      <c r="A160" s="17"/>
      <c r="B160"/>
      <c r="C160"/>
      <c r="D160"/>
      <c r="E160"/>
      <c r="F160" s="49">
        <v>42064</v>
      </c>
      <c r="G160" s="92">
        <v>143.72999999999999</v>
      </c>
      <c r="H160"/>
      <c r="I160"/>
      <c r="J160"/>
      <c r="K160"/>
      <c r="L160"/>
      <c r="M160" s="58">
        <v>145.5697558189047</v>
      </c>
      <c r="N160" s="53"/>
      <c r="O160" s="53">
        <v>145.5697558189047</v>
      </c>
      <c r="P160" s="15">
        <v>-1.839755818904703</v>
      </c>
      <c r="Q160" s="15"/>
      <c r="R160" s="15"/>
      <c r="S160" s="15"/>
      <c r="T160" s="15"/>
      <c r="U160" s="15"/>
      <c r="V160" s="15"/>
      <c r="W160" s="15"/>
      <c r="X160" s="15"/>
    </row>
    <row r="161" spans="1:24" s="21" customFormat="1" x14ac:dyDescent="0.55000000000000004">
      <c r="A161" s="17"/>
      <c r="B161"/>
      <c r="C161"/>
      <c r="D161"/>
      <c r="E161"/>
      <c r="F161" s="49">
        <v>42095</v>
      </c>
      <c r="G161" s="92">
        <v>142.02000000000001</v>
      </c>
      <c r="H161"/>
      <c r="I161"/>
      <c r="J161"/>
      <c r="K161"/>
      <c r="L161"/>
      <c r="M161" s="58">
        <v>145.5113002628577</v>
      </c>
      <c r="N161" s="53"/>
      <c r="O161" s="53">
        <v>145.5113002628577</v>
      </c>
      <c r="P161" s="15">
        <v>-3.4913002628576857</v>
      </c>
      <c r="Q161" s="15"/>
      <c r="R161" s="15"/>
      <c r="S161" s="15"/>
      <c r="T161" s="15"/>
      <c r="U161" s="15"/>
      <c r="V161" s="15"/>
      <c r="W161" s="15"/>
      <c r="X161" s="15"/>
    </row>
    <row r="162" spans="1:24" s="21" customFormat="1" x14ac:dyDescent="0.55000000000000004">
      <c r="A162" s="17"/>
      <c r="B162"/>
      <c r="C162"/>
      <c r="D162"/>
      <c r="E162"/>
      <c r="F162" s="49">
        <v>42125</v>
      </c>
      <c r="G162" s="92">
        <v>141.07</v>
      </c>
      <c r="H162"/>
      <c r="I162"/>
      <c r="J162"/>
      <c r="K162"/>
      <c r="L162"/>
      <c r="M162" s="58">
        <v>145.12302896160034</v>
      </c>
      <c r="N162" s="53"/>
      <c r="O162" s="53">
        <v>145.12302896160034</v>
      </c>
      <c r="P162" s="15">
        <v>-4.0530289616003348</v>
      </c>
      <c r="Q162" s="15"/>
      <c r="R162" s="15"/>
      <c r="S162" s="15"/>
      <c r="T162" s="15"/>
      <c r="U162" s="15"/>
      <c r="V162" s="15"/>
      <c r="W162" s="15"/>
      <c r="X162" s="15"/>
    </row>
    <row r="163" spans="1:24" s="21" customFormat="1" x14ac:dyDescent="0.55000000000000004">
      <c r="A163" s="17"/>
      <c r="B163"/>
      <c r="C163"/>
      <c r="D163"/>
      <c r="E163"/>
      <c r="F163" s="49">
        <v>42156</v>
      </c>
      <c r="G163" s="92">
        <v>139.55000000000001</v>
      </c>
      <c r="H163"/>
      <c r="I163"/>
      <c r="J163"/>
      <c r="K163"/>
      <c r="L163"/>
      <c r="M163" s="58">
        <v>144.85094232525995</v>
      </c>
      <c r="N163" s="53"/>
      <c r="O163" s="53">
        <v>144.85094232525995</v>
      </c>
      <c r="P163" s="15">
        <v>-5.3009423252599328</v>
      </c>
      <c r="Q163" s="15"/>
      <c r="R163" s="15"/>
      <c r="S163" s="15"/>
      <c r="T163" s="15"/>
      <c r="U163" s="15"/>
      <c r="V163" s="15"/>
      <c r="W163" s="15"/>
      <c r="X163" s="15"/>
    </row>
    <row r="164" spans="1:24" s="21" customFormat="1" x14ac:dyDescent="0.55000000000000004">
      <c r="A164" s="17"/>
      <c r="B164"/>
      <c r="C164"/>
      <c r="D164"/>
      <c r="E164"/>
      <c r="F164" s="49">
        <v>42186</v>
      </c>
      <c r="G164" s="92">
        <v>138.41999999999999</v>
      </c>
      <c r="H164"/>
      <c r="I164"/>
      <c r="J164"/>
      <c r="K164"/>
      <c r="L164"/>
      <c r="M164" s="58">
        <v>144.98321529877967</v>
      </c>
      <c r="N164" s="53"/>
      <c r="O164" s="53">
        <v>144.98321529877967</v>
      </c>
      <c r="P164" s="15">
        <v>-6.5632152987796877</v>
      </c>
      <c r="Q164" s="15"/>
      <c r="R164" s="15"/>
      <c r="S164" s="15"/>
      <c r="T164" s="15"/>
      <c r="U164" s="15"/>
      <c r="V164" s="15"/>
      <c r="W164" s="15"/>
      <c r="X164" s="15"/>
    </row>
    <row r="165" spans="1:24" s="21" customFormat="1" x14ac:dyDescent="0.55000000000000004">
      <c r="A165" s="17"/>
      <c r="B165"/>
      <c r="C165"/>
      <c r="D165"/>
      <c r="E165"/>
      <c r="F165" s="49">
        <v>42217</v>
      </c>
      <c r="G165" s="92">
        <v>138.83000000000001</v>
      </c>
      <c r="H165"/>
      <c r="I165"/>
      <c r="J165"/>
      <c r="K165"/>
      <c r="L165"/>
      <c r="M165" s="58">
        <v>144.75375705668873</v>
      </c>
      <c r="N165" s="53"/>
      <c r="O165" s="53">
        <v>144.75375705668873</v>
      </c>
      <c r="P165" s="15">
        <v>-5.9237570566887081</v>
      </c>
      <c r="Q165" s="15"/>
      <c r="R165" s="15"/>
      <c r="S165" s="15"/>
      <c r="T165" s="15"/>
      <c r="U165" s="15"/>
      <c r="V165" s="15"/>
      <c r="W165" s="15"/>
      <c r="X165" s="15"/>
    </row>
    <row r="166" spans="1:24" s="21" customFormat="1" x14ac:dyDescent="0.55000000000000004">
      <c r="A166" s="17"/>
      <c r="B166"/>
      <c r="C166"/>
      <c r="D166"/>
      <c r="E166"/>
      <c r="F166" s="49">
        <v>42248</v>
      </c>
      <c r="G166" s="92">
        <v>137.71</v>
      </c>
      <c r="H166"/>
      <c r="I166"/>
      <c r="J166"/>
      <c r="K166"/>
      <c r="L166"/>
      <c r="M166" s="58">
        <v>144.32948837692223</v>
      </c>
      <c r="N166" s="53"/>
      <c r="O166" s="53">
        <v>144.32948837692223</v>
      </c>
      <c r="P166" s="15">
        <v>-6.6194883769222201</v>
      </c>
      <c r="Q166" s="15"/>
      <c r="R166" s="15"/>
      <c r="S166" s="15"/>
      <c r="T166" s="15"/>
      <c r="U166" s="15"/>
      <c r="V166" s="15"/>
      <c r="W166" s="15"/>
      <c r="X166" s="15"/>
    </row>
    <row r="167" spans="1:24" s="21" customFormat="1" x14ac:dyDescent="0.55000000000000004">
      <c r="A167" s="17"/>
      <c r="B167"/>
      <c r="C167"/>
      <c r="D167"/>
      <c r="E167"/>
      <c r="F167" s="49">
        <v>42278</v>
      </c>
      <c r="G167" s="92">
        <v>138.78</v>
      </c>
      <c r="H167"/>
      <c r="I167"/>
      <c r="J167"/>
      <c r="K167"/>
      <c r="L167"/>
      <c r="M167" s="58">
        <v>143.80963657314956</v>
      </c>
      <c r="N167" s="53"/>
      <c r="O167" s="53">
        <v>143.80963657314956</v>
      </c>
      <c r="P167" s="15">
        <v>-5.0296365731495563</v>
      </c>
      <c r="Q167" s="15"/>
      <c r="R167" s="15"/>
      <c r="S167" s="15"/>
      <c r="T167" s="15"/>
      <c r="U167" s="15"/>
      <c r="V167" s="15"/>
      <c r="W167" s="15"/>
      <c r="X167" s="15"/>
    </row>
    <row r="168" spans="1:24" s="21" customFormat="1" x14ac:dyDescent="0.55000000000000004">
      <c r="A168" s="17"/>
      <c r="B168"/>
      <c r="C168"/>
      <c r="D168"/>
      <c r="E168"/>
      <c r="F168" s="49">
        <v>42309</v>
      </c>
      <c r="G168" s="92">
        <v>136.81</v>
      </c>
      <c r="H168"/>
      <c r="I168"/>
      <c r="J168"/>
      <c r="K168"/>
      <c r="L168"/>
      <c r="M168" s="58">
        <v>143.31786099139299</v>
      </c>
      <c r="N168" s="53"/>
      <c r="O168" s="53">
        <v>143.31786099139299</v>
      </c>
      <c r="P168" s="15">
        <v>-6.5078609913929881</v>
      </c>
      <c r="Q168" s="15"/>
      <c r="R168" s="15"/>
      <c r="S168" s="15"/>
      <c r="T168" s="15"/>
      <c r="U168" s="15"/>
      <c r="V168" s="15"/>
      <c r="W168" s="15"/>
      <c r="X168" s="15"/>
    </row>
    <row r="169" spans="1:24" s="21" customFormat="1" x14ac:dyDescent="0.55000000000000004">
      <c r="A169" s="17"/>
      <c r="B169"/>
      <c r="C169"/>
      <c r="D169"/>
      <c r="E169"/>
      <c r="F169" s="49">
        <v>42339</v>
      </c>
      <c r="G169" s="92">
        <v>136.47999999999999</v>
      </c>
      <c r="H169"/>
      <c r="I169"/>
      <c r="J169"/>
      <c r="K169"/>
      <c r="L169"/>
      <c r="M169" s="58">
        <v>142.7806096349851</v>
      </c>
      <c r="N169" s="53"/>
      <c r="O169" s="53">
        <v>142.7806096349851</v>
      </c>
      <c r="P169" s="15">
        <v>-6.3006096349851015</v>
      </c>
      <c r="Q169" s="15"/>
      <c r="R169" s="15"/>
      <c r="S169" s="15"/>
      <c r="T169" s="15"/>
      <c r="U169" s="15"/>
      <c r="V169" s="15"/>
      <c r="W169" s="15"/>
      <c r="X169" s="15"/>
    </row>
    <row r="170" spans="1:24" s="21" customFormat="1" x14ac:dyDescent="0.55000000000000004">
      <c r="A170" s="17"/>
      <c r="B170"/>
      <c r="C170"/>
      <c r="D170"/>
      <c r="E170"/>
      <c r="F170" s="49">
        <v>42370</v>
      </c>
      <c r="G170" s="92">
        <v>135.58000000000001</v>
      </c>
      <c r="H170"/>
      <c r="I170"/>
      <c r="J170"/>
      <c r="K170"/>
      <c r="L170"/>
      <c r="M170" s="58">
        <v>141.9324377268313</v>
      </c>
      <c r="N170" s="53"/>
      <c r="O170" s="53">
        <v>141.9324377268313</v>
      </c>
      <c r="P170" s="15">
        <v>-6.3524377268312895</v>
      </c>
      <c r="Q170" s="15"/>
      <c r="R170" s="15"/>
      <c r="S170" s="15"/>
      <c r="T170" s="15"/>
      <c r="U170" s="15"/>
      <c r="V170" s="15"/>
      <c r="W170" s="15"/>
      <c r="X170" s="15"/>
    </row>
    <row r="171" spans="1:24" s="21" customFormat="1" x14ac:dyDescent="0.55000000000000004">
      <c r="A171" s="17"/>
      <c r="B171"/>
      <c r="C171"/>
      <c r="D171"/>
      <c r="E171"/>
      <c r="F171" s="49">
        <v>42401</v>
      </c>
      <c r="G171" s="92">
        <v>135.41999999999999</v>
      </c>
      <c r="H171"/>
      <c r="I171"/>
      <c r="J171"/>
      <c r="K171"/>
      <c r="L171"/>
      <c r="M171" s="58">
        <v>141.39399582465538</v>
      </c>
      <c r="N171" s="53"/>
      <c r="O171" s="53">
        <v>141.39399582465538</v>
      </c>
      <c r="P171" s="15">
        <v>-5.9739958246553861</v>
      </c>
      <c r="Q171" s="15"/>
      <c r="R171" s="15"/>
      <c r="S171" s="15"/>
      <c r="T171" s="15"/>
      <c r="U171" s="15"/>
      <c r="V171" s="15"/>
      <c r="W171" s="15"/>
      <c r="X171" s="15"/>
    </row>
    <row r="172" spans="1:24" s="21" customFormat="1" x14ac:dyDescent="0.55000000000000004">
      <c r="A172" s="17"/>
      <c r="B172"/>
      <c r="C172"/>
      <c r="D172"/>
      <c r="E172"/>
      <c r="F172" s="49">
        <v>42430</v>
      </c>
      <c r="G172" s="92">
        <v>134.47</v>
      </c>
      <c r="H172"/>
      <c r="I172"/>
      <c r="J172"/>
      <c r="K172"/>
      <c r="L172"/>
      <c r="M172" s="58">
        <v>140.62752619072796</v>
      </c>
      <c r="N172" s="53"/>
      <c r="O172" s="53">
        <v>140.62752619072796</v>
      </c>
      <c r="P172" s="15">
        <v>-6.1575261907279515</v>
      </c>
      <c r="Q172" s="15"/>
      <c r="R172" s="15"/>
      <c r="S172" s="15"/>
      <c r="T172" s="15"/>
      <c r="U172" s="15"/>
      <c r="V172" s="15"/>
      <c r="W172" s="15"/>
      <c r="X172" s="15"/>
    </row>
    <row r="173" spans="1:24" s="21" customFormat="1" x14ac:dyDescent="0.55000000000000004">
      <c r="A173" s="17"/>
      <c r="B173"/>
      <c r="C173"/>
      <c r="D173"/>
      <c r="E173"/>
      <c r="F173" s="49">
        <v>42461</v>
      </c>
      <c r="G173" s="92">
        <v>134.49</v>
      </c>
      <c r="H173"/>
      <c r="I173"/>
      <c r="J173"/>
      <c r="K173"/>
      <c r="L173"/>
      <c r="M173" s="58">
        <v>139.85813490159254</v>
      </c>
      <c r="N173" s="53"/>
      <c r="O173" s="53">
        <v>139.85813490159254</v>
      </c>
      <c r="P173" s="15">
        <v>-5.3681349015925166</v>
      </c>
      <c r="Q173" s="15"/>
      <c r="R173" s="15"/>
      <c r="S173" s="15"/>
      <c r="T173" s="15"/>
      <c r="U173" s="15"/>
      <c r="V173" s="15"/>
      <c r="W173" s="15"/>
      <c r="X173" s="15"/>
    </row>
    <row r="174" spans="1:24" s="21" customFormat="1" x14ac:dyDescent="0.55000000000000004">
      <c r="A174" s="17"/>
      <c r="B174"/>
      <c r="C174"/>
      <c r="D174"/>
      <c r="E174"/>
      <c r="F174" s="49">
        <v>42491</v>
      </c>
      <c r="G174" s="92">
        <v>134.07</v>
      </c>
      <c r="H174"/>
      <c r="I174"/>
      <c r="J174"/>
      <c r="K174"/>
      <c r="L174"/>
      <c r="M174" s="58">
        <v>139.28718622215348</v>
      </c>
      <c r="N174" s="53"/>
      <c r="O174" s="53">
        <v>139.28718622215348</v>
      </c>
      <c r="P174" s="15">
        <v>-5.217186222153483</v>
      </c>
      <c r="Q174" s="15"/>
      <c r="R174" s="15"/>
      <c r="S174" s="15"/>
      <c r="T174" s="15"/>
      <c r="U174" s="15"/>
      <c r="V174" s="15"/>
      <c r="W174" s="15"/>
      <c r="X174" s="15"/>
    </row>
    <row r="175" spans="1:24" s="21" customFormat="1" x14ac:dyDescent="0.55000000000000004">
      <c r="A175" s="17"/>
      <c r="B175"/>
      <c r="C175"/>
      <c r="D175"/>
      <c r="E175"/>
      <c r="F175" s="49">
        <v>42522</v>
      </c>
      <c r="G175" s="92">
        <v>134.57</v>
      </c>
      <c r="H175"/>
      <c r="I175"/>
      <c r="J175"/>
      <c r="K175"/>
      <c r="L175"/>
      <c r="M175" s="58">
        <v>138.67492314274693</v>
      </c>
      <c r="N175" s="53"/>
      <c r="O175" s="53">
        <v>138.67492314274693</v>
      </c>
      <c r="P175" s="15">
        <v>-4.1049231427469506</v>
      </c>
      <c r="Q175" s="15"/>
      <c r="R175" s="15"/>
      <c r="S175" s="15"/>
      <c r="T175" s="15"/>
      <c r="U175" s="15"/>
      <c r="V175" s="15"/>
      <c r="W175" s="15"/>
      <c r="X175" s="15"/>
    </row>
    <row r="176" spans="1:24" s="21" customFormat="1" x14ac:dyDescent="0.55000000000000004">
      <c r="A176" s="17"/>
      <c r="B176"/>
      <c r="C176"/>
      <c r="D176"/>
      <c r="E176"/>
      <c r="F176" s="49">
        <v>42552</v>
      </c>
      <c r="G176" s="92">
        <v>134.43</v>
      </c>
      <c r="H176"/>
      <c r="I176"/>
      <c r="J176"/>
      <c r="K176"/>
      <c r="L176"/>
      <c r="M176" s="58">
        <v>138.22767484388712</v>
      </c>
      <c r="N176" s="53"/>
      <c r="O176" s="53">
        <v>138.22767484388712</v>
      </c>
      <c r="P176" s="15">
        <v>-3.7976748438871146</v>
      </c>
      <c r="Q176" s="15"/>
      <c r="R176" s="15"/>
      <c r="S176" s="15"/>
      <c r="T176" s="15"/>
      <c r="U176" s="15"/>
      <c r="V176" s="15"/>
      <c r="W176" s="15"/>
      <c r="X176" s="15"/>
    </row>
    <row r="177" spans="1:24" s="21" customFormat="1" x14ac:dyDescent="0.55000000000000004">
      <c r="A177" s="17"/>
      <c r="B177"/>
      <c r="C177"/>
      <c r="D177"/>
      <c r="E177"/>
      <c r="F177" s="49">
        <v>42583</v>
      </c>
      <c r="G177" s="92">
        <v>133.72</v>
      </c>
      <c r="H177"/>
      <c r="I177"/>
      <c r="J177"/>
      <c r="K177"/>
      <c r="L177"/>
      <c r="M177" s="58">
        <v>137.76239549597383</v>
      </c>
      <c r="N177" s="53"/>
      <c r="O177" s="53">
        <v>137.76239549597383</v>
      </c>
      <c r="P177" s="15">
        <v>-4.0423954959738255</v>
      </c>
      <c r="Q177" s="15"/>
      <c r="R177" s="15"/>
      <c r="S177" s="15"/>
      <c r="T177" s="15"/>
      <c r="U177" s="15"/>
      <c r="V177" s="15"/>
      <c r="W177" s="15"/>
      <c r="X177" s="15"/>
    </row>
    <row r="178" spans="1:24" s="21" customFormat="1" x14ac:dyDescent="0.55000000000000004">
      <c r="A178" s="17"/>
      <c r="B178"/>
      <c r="C178"/>
      <c r="D178"/>
      <c r="E178"/>
      <c r="F178" s="49">
        <v>42614</v>
      </c>
      <c r="G178" s="92">
        <v>133.63999999999999</v>
      </c>
      <c r="H178"/>
      <c r="I178"/>
      <c r="J178"/>
      <c r="K178"/>
      <c r="L178"/>
      <c r="M178" s="58">
        <v>137.37825129365442</v>
      </c>
      <c r="N178" s="53"/>
      <c r="O178" s="53">
        <v>137.37825129365442</v>
      </c>
      <c r="P178" s="15">
        <v>-3.738251293654435</v>
      </c>
      <c r="Q178" s="15"/>
      <c r="R178" s="15"/>
      <c r="S178" s="15"/>
      <c r="T178" s="15"/>
      <c r="U178" s="15"/>
      <c r="V178" s="15"/>
      <c r="W178" s="15"/>
      <c r="X178" s="15"/>
    </row>
    <row r="179" spans="1:24" s="21" customFormat="1" x14ac:dyDescent="0.55000000000000004">
      <c r="A179" s="17"/>
      <c r="B179"/>
      <c r="C179"/>
      <c r="D179"/>
      <c r="E179"/>
      <c r="F179" s="49">
        <v>42644</v>
      </c>
      <c r="G179" s="92">
        <v>133.34</v>
      </c>
      <c r="H179"/>
      <c r="I179"/>
      <c r="J179"/>
      <c r="K179"/>
      <c r="L179"/>
      <c r="M179" s="58">
        <v>137.03494685350802</v>
      </c>
      <c r="N179" s="53"/>
      <c r="O179" s="53">
        <v>137.03494685350802</v>
      </c>
      <c r="P179" s="15">
        <v>-3.6949468535080205</v>
      </c>
      <c r="Q179" s="15"/>
      <c r="R179" s="15"/>
      <c r="S179" s="15"/>
      <c r="T179" s="15"/>
      <c r="U179" s="15"/>
      <c r="V179" s="15"/>
      <c r="W179" s="15"/>
      <c r="X179" s="15"/>
    </row>
    <row r="180" spans="1:24" s="21" customFormat="1" x14ac:dyDescent="0.55000000000000004">
      <c r="A180" s="17"/>
      <c r="B180"/>
      <c r="C180"/>
      <c r="D180"/>
      <c r="E180"/>
      <c r="F180" s="49">
        <v>42675</v>
      </c>
      <c r="G180" s="92">
        <v>133.13999999999999</v>
      </c>
      <c r="H180"/>
      <c r="I180"/>
      <c r="J180"/>
      <c r="K180"/>
      <c r="L180"/>
      <c r="M180" s="58">
        <v>136.58646631536425</v>
      </c>
      <c r="N180" s="53"/>
      <c r="O180" s="53">
        <v>136.58646631536425</v>
      </c>
      <c r="P180" s="15">
        <v>-3.4464663153642618</v>
      </c>
      <c r="Q180" s="15"/>
      <c r="R180" s="15"/>
      <c r="S180" s="15"/>
      <c r="T180" s="15"/>
      <c r="U180" s="15"/>
      <c r="V180" s="15"/>
      <c r="W180" s="15"/>
      <c r="X180" s="15"/>
    </row>
    <row r="181" spans="1:24" s="21" customFormat="1" x14ac:dyDescent="0.55000000000000004">
      <c r="A181" s="17"/>
      <c r="B181"/>
      <c r="C181"/>
      <c r="D181"/>
      <c r="E181"/>
      <c r="F181" s="49">
        <v>42705</v>
      </c>
      <c r="G181" s="92">
        <v>132.54</v>
      </c>
      <c r="H181"/>
      <c r="I181"/>
      <c r="J181"/>
      <c r="K181"/>
      <c r="L181"/>
      <c r="M181" s="58">
        <v>136.22661044028527</v>
      </c>
      <c r="N181" s="53"/>
      <c r="O181" s="53">
        <v>136.22661044028527</v>
      </c>
      <c r="P181" s="15">
        <v>-3.6866104402852908</v>
      </c>
      <c r="Q181" s="15"/>
      <c r="R181" s="15"/>
      <c r="S181" s="15"/>
      <c r="T181" s="15"/>
      <c r="U181" s="15"/>
      <c r="V181" s="15"/>
      <c r="W181" s="15"/>
      <c r="X181" s="15"/>
    </row>
    <row r="182" spans="1:24" s="21" customFormat="1" x14ac:dyDescent="0.55000000000000004">
      <c r="A182" s="17"/>
      <c r="B182"/>
      <c r="C182"/>
      <c r="D182"/>
      <c r="E182"/>
      <c r="F182" s="49">
        <v>42736</v>
      </c>
      <c r="G182" s="92">
        <v>133.61000000000001</v>
      </c>
      <c r="H182"/>
      <c r="I182"/>
      <c r="J182"/>
      <c r="K182"/>
      <c r="L182"/>
      <c r="M182" s="58">
        <v>135.95853884555487</v>
      </c>
      <c r="N182" s="53"/>
      <c r="O182" s="53">
        <v>135.95853884555487</v>
      </c>
      <c r="P182" s="15">
        <v>-2.3485388455548621</v>
      </c>
      <c r="Q182" s="15"/>
      <c r="R182" s="15"/>
      <c r="S182" s="15"/>
      <c r="T182" s="15"/>
      <c r="U182" s="15"/>
      <c r="V182" s="15"/>
      <c r="W182" s="15"/>
      <c r="X182" s="15"/>
    </row>
    <row r="183" spans="1:24" s="21" customFormat="1" x14ac:dyDescent="0.55000000000000004">
      <c r="A183" s="17"/>
      <c r="B183"/>
      <c r="C183"/>
      <c r="D183"/>
      <c r="E183"/>
      <c r="F183" s="49">
        <v>42767</v>
      </c>
      <c r="G183" s="92">
        <v>135.55000000000001</v>
      </c>
      <c r="H183"/>
      <c r="I183"/>
      <c r="J183"/>
      <c r="K183"/>
      <c r="L183"/>
      <c r="M183" s="58">
        <v>135.70229208241014</v>
      </c>
      <c r="N183" s="53"/>
      <c r="O183" s="53">
        <v>135.70229208241014</v>
      </c>
      <c r="P183" s="15">
        <v>-0.15229208241014033</v>
      </c>
      <c r="Q183" s="15"/>
      <c r="R183" s="15"/>
      <c r="S183" s="15"/>
      <c r="T183" s="15"/>
      <c r="U183" s="15"/>
      <c r="V183" s="15"/>
      <c r="W183" s="15"/>
      <c r="X183" s="15"/>
    </row>
    <row r="184" spans="1:24" s="21" customFormat="1" x14ac:dyDescent="0.55000000000000004">
      <c r="A184" s="17"/>
      <c r="B184"/>
      <c r="C184"/>
      <c r="D184"/>
      <c r="E184"/>
      <c r="F184" s="49">
        <v>42795</v>
      </c>
      <c r="G184" s="92">
        <v>135.34</v>
      </c>
      <c r="H184"/>
      <c r="I184"/>
      <c r="J184"/>
      <c r="K184"/>
      <c r="L184"/>
      <c r="M184" s="58">
        <v>135.47677143888285</v>
      </c>
      <c r="N184" s="53"/>
      <c r="O184" s="53">
        <v>135.47677143888285</v>
      </c>
      <c r="P184" s="15">
        <v>-0.13677143888283971</v>
      </c>
      <c r="Q184" s="15"/>
      <c r="R184" s="15"/>
      <c r="S184" s="15"/>
      <c r="T184" s="15"/>
      <c r="U184" s="15"/>
      <c r="V184" s="15"/>
      <c r="W184" s="15"/>
      <c r="X184" s="15"/>
    </row>
    <row r="185" spans="1:24" s="21" customFormat="1" x14ac:dyDescent="0.55000000000000004">
      <c r="A185" s="17"/>
      <c r="B185"/>
      <c r="C185"/>
      <c r="D185"/>
      <c r="E185"/>
      <c r="F185" s="49">
        <v>42826</v>
      </c>
      <c r="G185" s="92">
        <v>135.29</v>
      </c>
      <c r="H185"/>
      <c r="I185"/>
      <c r="J185"/>
      <c r="K185"/>
      <c r="L185"/>
      <c r="M185" s="58">
        <v>135.26039913313573</v>
      </c>
      <c r="N185" s="53"/>
      <c r="O185" s="53">
        <v>135.26039913313573</v>
      </c>
      <c r="P185" s="15">
        <v>2.9600866864244482E-2</v>
      </c>
      <c r="Q185" s="15"/>
      <c r="R185" s="15"/>
      <c r="S185" s="15"/>
      <c r="T185" s="15"/>
      <c r="U185" s="15"/>
      <c r="V185" s="15"/>
      <c r="W185" s="15"/>
      <c r="X185" s="15"/>
    </row>
    <row r="186" spans="1:24" s="21" customFormat="1" x14ac:dyDescent="0.55000000000000004">
      <c r="A186" s="17"/>
      <c r="B186"/>
      <c r="C186"/>
      <c r="D186"/>
      <c r="E186"/>
      <c r="F186" s="49">
        <v>42856</v>
      </c>
      <c r="G186" s="92">
        <v>135.06</v>
      </c>
      <c r="H186"/>
      <c r="I186"/>
      <c r="J186"/>
      <c r="K186"/>
      <c r="L186"/>
      <c r="M186" s="58">
        <v>135.21041407115749</v>
      </c>
      <c r="N186" s="53"/>
      <c r="O186" s="53">
        <v>135.21041407115749</v>
      </c>
      <c r="P186" s="15">
        <v>-0.15041407115747851</v>
      </c>
      <c r="Q186" s="15"/>
      <c r="R186" s="15"/>
      <c r="S186" s="15"/>
      <c r="T186" s="15"/>
      <c r="U186" s="15"/>
      <c r="V186" s="15"/>
      <c r="W186" s="15"/>
      <c r="X186" s="15"/>
    </row>
    <row r="187" spans="1:24" s="21" customFormat="1" x14ac:dyDescent="0.55000000000000004">
      <c r="A187" s="17"/>
      <c r="B187"/>
      <c r="C187"/>
      <c r="D187"/>
      <c r="E187"/>
      <c r="F187" s="49">
        <v>42887</v>
      </c>
      <c r="G187" s="92">
        <v>135.94999999999999</v>
      </c>
      <c r="H187"/>
      <c r="I187"/>
      <c r="J187"/>
      <c r="K187"/>
      <c r="L187"/>
      <c r="M187" s="58">
        <v>135.39178619230233</v>
      </c>
      <c r="N187" s="53"/>
      <c r="O187" s="53">
        <v>135.39178619230233</v>
      </c>
      <c r="P187" s="15">
        <v>0.55821380769766116</v>
      </c>
      <c r="Q187" s="15"/>
      <c r="R187" s="15"/>
      <c r="S187" s="15"/>
      <c r="T187" s="15"/>
      <c r="U187" s="15"/>
      <c r="V187" s="15"/>
      <c r="W187" s="15"/>
      <c r="X187" s="15"/>
    </row>
    <row r="188" spans="1:24" s="21" customFormat="1" x14ac:dyDescent="0.55000000000000004">
      <c r="A188" s="17"/>
      <c r="B188"/>
      <c r="C188"/>
      <c r="D188"/>
      <c r="E188"/>
      <c r="F188" s="49">
        <v>42917</v>
      </c>
      <c r="G188" s="92">
        <v>136.34</v>
      </c>
      <c r="H188"/>
      <c r="I188"/>
      <c r="J188"/>
      <c r="K188"/>
      <c r="L188"/>
      <c r="M188" s="58">
        <v>135.3042525369477</v>
      </c>
      <c r="N188" s="53"/>
      <c r="O188" s="53">
        <v>135.3042525369477</v>
      </c>
      <c r="P188" s="15">
        <v>1.0357474630523125</v>
      </c>
      <c r="Q188" s="15"/>
      <c r="R188" s="15"/>
      <c r="S188" s="15"/>
      <c r="T188" s="15"/>
      <c r="U188" s="15"/>
      <c r="V188" s="15"/>
      <c r="W188" s="15"/>
      <c r="X188" s="15"/>
    </row>
    <row r="189" spans="1:24" s="21" customFormat="1" x14ac:dyDescent="0.55000000000000004">
      <c r="A189" s="17"/>
      <c r="B189"/>
      <c r="C189"/>
      <c r="D189"/>
      <c r="E189"/>
      <c r="F189" s="49">
        <v>42948</v>
      </c>
      <c r="G189" s="92">
        <v>135.63999999999999</v>
      </c>
      <c r="H189"/>
      <c r="I189"/>
      <c r="J189"/>
      <c r="K189"/>
      <c r="L189"/>
      <c r="M189" s="58">
        <v>135.27071452491833</v>
      </c>
      <c r="N189" s="53"/>
      <c r="O189" s="53">
        <v>135.27071452491833</v>
      </c>
      <c r="P189" s="15">
        <v>0.36928547508165999</v>
      </c>
      <c r="Q189" s="15"/>
      <c r="R189" s="15"/>
      <c r="S189" s="15"/>
      <c r="T189" s="15"/>
      <c r="U189" s="15"/>
      <c r="V189" s="15"/>
      <c r="W189" s="15"/>
      <c r="X189" s="15"/>
    </row>
    <row r="190" spans="1:24" s="21" customFormat="1" x14ac:dyDescent="0.55000000000000004">
      <c r="A190" s="17"/>
      <c r="B190"/>
      <c r="C190"/>
      <c r="D190"/>
      <c r="E190"/>
      <c r="F190" s="49">
        <v>42979</v>
      </c>
      <c r="G190" s="92">
        <v>135.63999999999999</v>
      </c>
      <c r="H190"/>
      <c r="I190"/>
      <c r="J190"/>
      <c r="K190"/>
      <c r="L190"/>
      <c r="M190" s="58">
        <v>135.39006265910405</v>
      </c>
      <c r="N190" s="53"/>
      <c r="O190" s="53">
        <v>135.39006265910405</v>
      </c>
      <c r="P190" s="15">
        <v>0.24993734089595263</v>
      </c>
      <c r="Q190" s="15"/>
      <c r="R190" s="15"/>
      <c r="S190" s="15"/>
      <c r="T190" s="15"/>
      <c r="U190" s="15"/>
      <c r="V190" s="15"/>
      <c r="W190" s="15"/>
      <c r="X190" s="15"/>
    </row>
    <row r="191" spans="1:24" s="21" customFormat="1" x14ac:dyDescent="0.55000000000000004">
      <c r="A191" s="17"/>
      <c r="B191"/>
      <c r="C191"/>
      <c r="D191"/>
      <c r="E191"/>
      <c r="F191" s="49">
        <v>43009</v>
      </c>
      <c r="G191" s="92">
        <v>136.04</v>
      </c>
      <c r="H191"/>
      <c r="I191"/>
      <c r="J191"/>
      <c r="K191"/>
      <c r="L191"/>
      <c r="M191" s="58">
        <v>135.63034524075348</v>
      </c>
      <c r="N191" s="53"/>
      <c r="O191" s="53">
        <v>135.63034524075348</v>
      </c>
      <c r="P191" s="15">
        <v>0.40965475924651668</v>
      </c>
      <c r="Q191" s="15"/>
      <c r="R191" s="15"/>
      <c r="S191" s="15"/>
      <c r="T191" s="15"/>
      <c r="U191" s="15"/>
      <c r="V191" s="15"/>
      <c r="W191" s="15"/>
      <c r="X191" s="15"/>
    </row>
    <row r="192" spans="1:24" s="21" customFormat="1" x14ac:dyDescent="0.55000000000000004">
      <c r="A192" s="17"/>
      <c r="B192"/>
      <c r="C192"/>
      <c r="D192"/>
      <c r="E192"/>
      <c r="F192" s="49">
        <v>43040</v>
      </c>
      <c r="G192" s="92">
        <v>135.99</v>
      </c>
      <c r="H192"/>
      <c r="I192"/>
      <c r="J192"/>
      <c r="K192"/>
      <c r="L192"/>
      <c r="M192" s="58">
        <v>135.86163200483796</v>
      </c>
      <c r="N192" s="53"/>
      <c r="O192" s="53">
        <v>135.86163200483796</v>
      </c>
      <c r="P192" s="15">
        <v>0.12836799516205449</v>
      </c>
      <c r="Q192" s="15"/>
      <c r="R192" s="15"/>
      <c r="S192" s="15"/>
      <c r="T192" s="15"/>
      <c r="U192" s="15"/>
      <c r="V192" s="15"/>
      <c r="W192" s="15"/>
      <c r="X192" s="15"/>
    </row>
    <row r="193" spans="1:24" s="21" customFormat="1" x14ac:dyDescent="0.55000000000000004">
      <c r="A193" s="17"/>
      <c r="B193"/>
      <c r="C193"/>
      <c r="D193"/>
      <c r="E193"/>
      <c r="F193" s="49">
        <v>43070</v>
      </c>
      <c r="G193" s="92">
        <v>138.11000000000001</v>
      </c>
      <c r="H193"/>
      <c r="I193"/>
      <c r="J193"/>
      <c r="K193"/>
      <c r="L193"/>
      <c r="M193" s="58">
        <v>136.00146696203151</v>
      </c>
      <c r="N193" s="53"/>
      <c r="O193" s="53">
        <v>136.00146696203151</v>
      </c>
      <c r="P193" s="15">
        <v>2.1085330379684928</v>
      </c>
      <c r="Q193" s="15"/>
      <c r="R193" s="15"/>
      <c r="S193" s="15"/>
      <c r="T193" s="15"/>
      <c r="U193" s="15"/>
      <c r="V193" s="15"/>
      <c r="W193" s="15"/>
      <c r="X193" s="15"/>
    </row>
    <row r="194" spans="1:24" s="21" customFormat="1" x14ac:dyDescent="0.55000000000000004">
      <c r="A194" s="17"/>
      <c r="B194"/>
      <c r="C194"/>
      <c r="D194"/>
      <c r="E194"/>
      <c r="F194" s="49">
        <v>43101</v>
      </c>
      <c r="G194" s="92">
        <v>137.41999999999999</v>
      </c>
      <c r="H194"/>
      <c r="I194"/>
      <c r="J194"/>
      <c r="K194"/>
      <c r="L194"/>
      <c r="M194" s="58">
        <v>136.37712037429662</v>
      </c>
      <c r="N194" s="53"/>
      <c r="O194" s="53">
        <v>136.37712037429662</v>
      </c>
      <c r="P194" s="15">
        <v>1.0428796257033766</v>
      </c>
      <c r="Q194" s="15"/>
      <c r="R194" s="15"/>
      <c r="S194" s="15"/>
      <c r="T194" s="15"/>
      <c r="U194" s="15"/>
      <c r="V194" s="15"/>
      <c r="W194" s="15"/>
      <c r="X194" s="15"/>
    </row>
    <row r="195" spans="1:24" s="21" customFormat="1" x14ac:dyDescent="0.55000000000000004">
      <c r="A195" s="17"/>
      <c r="B195"/>
      <c r="C195"/>
      <c r="D195"/>
      <c r="E195"/>
      <c r="F195" s="49">
        <v>43132</v>
      </c>
      <c r="G195" s="92">
        <v>136.83000000000001</v>
      </c>
      <c r="H195"/>
      <c r="I195"/>
      <c r="J195"/>
      <c r="K195"/>
      <c r="L195"/>
      <c r="M195" s="58">
        <v>136.64872236114755</v>
      </c>
      <c r="N195" s="53"/>
      <c r="O195" s="53">
        <v>136.64872236114755</v>
      </c>
      <c r="P195" s="15">
        <v>0.18127763885245449</v>
      </c>
      <c r="Q195" s="15"/>
      <c r="R195" s="15"/>
      <c r="S195" s="15"/>
      <c r="T195" s="15"/>
      <c r="U195" s="15"/>
      <c r="V195" s="15"/>
      <c r="W195" s="15"/>
      <c r="X195" s="15"/>
    </row>
    <row r="196" spans="1:24" s="21" customFormat="1" x14ac:dyDescent="0.55000000000000004">
      <c r="A196" s="17"/>
      <c r="B196"/>
      <c r="C196"/>
      <c r="D196"/>
      <c r="E196"/>
      <c r="F196" s="49">
        <v>43160</v>
      </c>
      <c r="G196" s="92">
        <v>136.59</v>
      </c>
      <c r="H196"/>
      <c r="I196"/>
      <c r="J196"/>
      <c r="K196"/>
      <c r="L196"/>
      <c r="M196" s="58">
        <v>136.7014849795419</v>
      </c>
      <c r="N196" s="53"/>
      <c r="O196" s="53">
        <v>136.7014849795419</v>
      </c>
      <c r="P196" s="15">
        <v>-0.11148497954191169</v>
      </c>
      <c r="Q196" s="15"/>
      <c r="R196" s="15"/>
      <c r="S196" s="15"/>
      <c r="T196" s="15"/>
      <c r="U196" s="15"/>
      <c r="V196" s="15"/>
      <c r="W196" s="15"/>
      <c r="X196" s="15"/>
    </row>
    <row r="197" spans="1:24" s="21" customFormat="1" x14ac:dyDescent="0.55000000000000004">
      <c r="A197" s="17"/>
      <c r="B197"/>
      <c r="C197"/>
      <c r="D197"/>
      <c r="E197"/>
      <c r="F197" s="49">
        <v>43191</v>
      </c>
      <c r="G197" s="92">
        <v>137.28</v>
      </c>
      <c r="H197"/>
      <c r="I197"/>
      <c r="J197"/>
      <c r="K197"/>
      <c r="L197"/>
      <c r="M197" s="58">
        <v>137.01431371928683</v>
      </c>
      <c r="N197" s="53"/>
      <c r="O197" s="53">
        <v>137.01431371928683</v>
      </c>
      <c r="P197" s="15">
        <v>0.26568628071316563</v>
      </c>
      <c r="Q197" s="15"/>
      <c r="R197" s="15"/>
      <c r="S197" s="15"/>
      <c r="T197" s="15"/>
      <c r="U197" s="15"/>
      <c r="V197" s="15"/>
      <c r="W197" s="15"/>
      <c r="X197" s="15"/>
    </row>
    <row r="198" spans="1:24" s="21" customFormat="1" x14ac:dyDescent="0.55000000000000004">
      <c r="A198" s="17"/>
      <c r="B198"/>
      <c r="C198"/>
      <c r="D198"/>
      <c r="E198"/>
      <c r="F198" s="49">
        <v>43221</v>
      </c>
      <c r="G198" s="92">
        <v>133.07</v>
      </c>
      <c r="H198"/>
      <c r="I198"/>
      <c r="J198"/>
      <c r="K198"/>
      <c r="L198"/>
      <c r="M198" s="58">
        <v>137.18744703784179</v>
      </c>
      <c r="N198" s="53"/>
      <c r="O198" s="53">
        <v>137.18744703784179</v>
      </c>
      <c r="P198" s="15">
        <v>-4.1174470378417958</v>
      </c>
      <c r="Q198" s="15"/>
      <c r="R198" s="15"/>
      <c r="S198" s="15"/>
      <c r="T198" s="15"/>
      <c r="U198" s="15"/>
      <c r="V198" s="15"/>
      <c r="W198" s="15"/>
      <c r="X198" s="15"/>
    </row>
    <row r="199" spans="1:24" s="21" customFormat="1" x14ac:dyDescent="0.55000000000000004">
      <c r="A199" s="17"/>
      <c r="B199"/>
      <c r="C199"/>
      <c r="D199"/>
      <c r="E199"/>
      <c r="F199" s="49">
        <v>43252</v>
      </c>
      <c r="G199" s="92">
        <v>137.38999999999999</v>
      </c>
      <c r="H199"/>
      <c r="I199"/>
      <c r="J199"/>
      <c r="K199"/>
      <c r="L199"/>
      <c r="M199" s="58">
        <v>137.28544763690121</v>
      </c>
      <c r="N199" s="53"/>
      <c r="O199" s="53">
        <v>137.28544763690121</v>
      </c>
      <c r="P199" s="15">
        <v>0.10455236309877275</v>
      </c>
      <c r="Q199" s="15"/>
      <c r="R199" s="15"/>
      <c r="S199" s="15"/>
      <c r="T199" s="15"/>
      <c r="U199" s="15"/>
      <c r="V199" s="15"/>
      <c r="W199" s="15"/>
      <c r="X199" s="15"/>
    </row>
    <row r="200" spans="1:24" s="21" customFormat="1" x14ac:dyDescent="0.55000000000000004">
      <c r="A200" s="17"/>
      <c r="B200"/>
      <c r="C200"/>
      <c r="D200"/>
      <c r="E200"/>
      <c r="F200" s="49">
        <v>43282</v>
      </c>
      <c r="G200" s="92">
        <v>137.91999999999999</v>
      </c>
      <c r="H200"/>
      <c r="I200"/>
      <c r="J200"/>
      <c r="K200"/>
      <c r="L200"/>
      <c r="M200" s="58">
        <v>137.35855787663596</v>
      </c>
      <c r="N200" s="53"/>
      <c r="O200" s="53">
        <v>137.35855787663596</v>
      </c>
      <c r="P200" s="15">
        <v>0.56144212336402199</v>
      </c>
      <c r="Q200" s="15"/>
      <c r="R200" s="15"/>
      <c r="S200" s="15"/>
      <c r="T200" s="15"/>
      <c r="U200" s="15"/>
      <c r="V200" s="15"/>
      <c r="W200" s="15"/>
      <c r="X200" s="15"/>
    </row>
    <row r="201" spans="1:24" s="21" customFormat="1" x14ac:dyDescent="0.55000000000000004">
      <c r="A201" s="17"/>
      <c r="B201"/>
      <c r="C201"/>
      <c r="D201"/>
      <c r="E201"/>
      <c r="F201" s="49">
        <v>43313</v>
      </c>
      <c r="G201" s="92">
        <v>138.94999999999999</v>
      </c>
      <c r="H201"/>
      <c r="I201"/>
      <c r="J201"/>
      <c r="K201"/>
      <c r="L201"/>
      <c r="M201" s="58">
        <v>137.5014241636224</v>
      </c>
      <c r="N201" s="53"/>
      <c r="O201" s="53">
        <v>137.5014241636224</v>
      </c>
      <c r="P201" s="15">
        <v>1.4485758363775731</v>
      </c>
      <c r="Q201" s="15"/>
      <c r="R201" s="15"/>
      <c r="S201" s="15"/>
      <c r="T201" s="15"/>
      <c r="U201" s="15"/>
      <c r="V201" s="15"/>
      <c r="W201" s="15"/>
      <c r="X201" s="15"/>
    </row>
    <row r="202" spans="1:24" s="21" customFormat="1" x14ac:dyDescent="0.55000000000000004">
      <c r="A202" s="17"/>
      <c r="B202"/>
      <c r="C202"/>
      <c r="D202"/>
      <c r="E202"/>
      <c r="F202" s="49">
        <v>43344</v>
      </c>
      <c r="G202" s="92">
        <v>138.22</v>
      </c>
      <c r="H202"/>
      <c r="I202"/>
      <c r="J202"/>
      <c r="K202"/>
      <c r="L202"/>
      <c r="M202" s="58">
        <v>137.24971308546088</v>
      </c>
      <c r="N202" s="53"/>
      <c r="O202" s="53">
        <v>137.24971308546088</v>
      </c>
      <c r="P202" s="15">
        <v>0.9702869145391162</v>
      </c>
      <c r="Q202" s="15"/>
      <c r="R202" s="15"/>
      <c r="S202" s="15"/>
      <c r="T202" s="15"/>
      <c r="U202" s="15"/>
      <c r="V202" s="15"/>
      <c r="W202" s="15"/>
      <c r="X202" s="15"/>
    </row>
    <row r="203" spans="1:24" s="21" customFormat="1" x14ac:dyDescent="0.55000000000000004">
      <c r="A203" s="17"/>
      <c r="B203"/>
      <c r="C203"/>
      <c r="D203"/>
      <c r="E203"/>
      <c r="F203" s="49">
        <v>43374</v>
      </c>
      <c r="G203" s="92">
        <v>138.44</v>
      </c>
      <c r="H203"/>
      <c r="I203"/>
      <c r="J203"/>
      <c r="K203"/>
      <c r="L203"/>
      <c r="M203" s="58">
        <v>137.50355957478951</v>
      </c>
      <c r="N203" s="53"/>
      <c r="O203" s="53">
        <v>137.50355957478951</v>
      </c>
      <c r="P203" s="15">
        <v>0.93644042521049187</v>
      </c>
      <c r="Q203" s="15"/>
      <c r="R203" s="15"/>
      <c r="S203" s="15"/>
      <c r="T203" s="15"/>
      <c r="U203" s="15"/>
      <c r="V203" s="15"/>
      <c r="W203" s="15"/>
      <c r="X203" s="15"/>
    </row>
    <row r="204" spans="1:24" s="21" customFormat="1" x14ac:dyDescent="0.55000000000000004">
      <c r="A204" s="17"/>
      <c r="B204"/>
      <c r="C204"/>
      <c r="D204"/>
      <c r="E204"/>
      <c r="F204" s="49">
        <v>43405</v>
      </c>
      <c r="G204" s="92">
        <v>138.61000000000001</v>
      </c>
      <c r="H204"/>
      <c r="I204"/>
      <c r="J204"/>
      <c r="K204"/>
      <c r="L204"/>
      <c r="M204" s="58">
        <v>137.88635741188665</v>
      </c>
      <c r="N204" s="53"/>
      <c r="O204" s="53">
        <v>137.88635741188665</v>
      </c>
      <c r="P204" s="15">
        <v>0.7236425881133578</v>
      </c>
      <c r="Q204" s="15"/>
      <c r="R204" s="15"/>
      <c r="S204" s="15"/>
      <c r="T204" s="15"/>
      <c r="U204" s="15"/>
      <c r="V204" s="15"/>
      <c r="W204" s="15"/>
      <c r="X204" s="15"/>
    </row>
    <row r="205" spans="1:24" s="21" customFormat="1" x14ac:dyDescent="0.55000000000000004">
      <c r="A205" s="17"/>
      <c r="B205"/>
      <c r="C205"/>
      <c r="D205"/>
      <c r="E205"/>
      <c r="F205" s="49">
        <v>43435</v>
      </c>
      <c r="G205" s="92">
        <v>139.18</v>
      </c>
      <c r="H205"/>
      <c r="I205"/>
      <c r="J205"/>
      <c r="K205"/>
      <c r="L205"/>
      <c r="M205" s="58">
        <v>137.96905427157614</v>
      </c>
      <c r="N205" s="53"/>
      <c r="O205" s="53">
        <v>137.96905427157614</v>
      </c>
      <c r="P205" s="15">
        <v>1.2109457284238785</v>
      </c>
      <c r="Q205" s="15"/>
      <c r="R205" s="15"/>
      <c r="S205" s="15"/>
      <c r="T205" s="15"/>
      <c r="U205" s="15"/>
      <c r="V205" s="15"/>
      <c r="W205" s="15"/>
      <c r="X205" s="15"/>
    </row>
    <row r="206" spans="1:24" s="21" customFormat="1" x14ac:dyDescent="0.55000000000000004">
      <c r="A206" s="17"/>
      <c r="B206"/>
      <c r="C206"/>
      <c r="D206"/>
      <c r="E206"/>
      <c r="F206" s="49">
        <v>43466</v>
      </c>
      <c r="G206" s="92">
        <v>139.28</v>
      </c>
      <c r="H206"/>
      <c r="I206"/>
      <c r="J206"/>
      <c r="K206"/>
      <c r="L206"/>
      <c r="M206" s="58">
        <v>137.85765786063959</v>
      </c>
      <c r="N206" s="53"/>
      <c r="O206" s="53">
        <v>137.85765786063959</v>
      </c>
      <c r="P206" s="15">
        <v>1.4223421393604225</v>
      </c>
      <c r="Q206" s="15"/>
      <c r="R206" s="15"/>
      <c r="S206" s="15"/>
      <c r="T206" s="15"/>
      <c r="U206" s="15"/>
      <c r="V206" s="15"/>
      <c r="W206" s="15"/>
      <c r="X206" s="15"/>
    </row>
    <row r="207" spans="1:24" s="21" customFormat="1" x14ac:dyDescent="0.55000000000000004">
      <c r="A207" s="17"/>
      <c r="B207"/>
      <c r="C207"/>
      <c r="D207"/>
      <c r="E207"/>
      <c r="F207" s="49">
        <v>43497</v>
      </c>
      <c r="G207" s="92">
        <v>137.69</v>
      </c>
      <c r="H207"/>
      <c r="I207"/>
      <c r="J207"/>
      <c r="K207"/>
      <c r="L207"/>
      <c r="M207" s="58">
        <v>137.89453825218393</v>
      </c>
      <c r="N207" s="53"/>
      <c r="O207" s="53">
        <v>137.89453825218393</v>
      </c>
      <c r="P207" s="15">
        <v>-0.20453825218392455</v>
      </c>
      <c r="Q207" s="15"/>
      <c r="R207" s="15"/>
      <c r="S207" s="15"/>
      <c r="T207" s="15"/>
      <c r="U207" s="15"/>
      <c r="V207" s="15"/>
      <c r="W207" s="15"/>
      <c r="X207" s="15"/>
    </row>
    <row r="208" spans="1:24" s="21" customFormat="1" x14ac:dyDescent="0.55000000000000004">
      <c r="A208" s="17"/>
      <c r="B208"/>
      <c r="C208"/>
      <c r="D208"/>
      <c r="E208"/>
      <c r="F208" s="49">
        <v>43525</v>
      </c>
      <c r="G208" s="92">
        <v>137</v>
      </c>
      <c r="H208"/>
      <c r="I208"/>
      <c r="J208"/>
      <c r="K208"/>
      <c r="L208"/>
      <c r="M208" s="58">
        <v>138.29081270881423</v>
      </c>
      <c r="N208" s="53"/>
      <c r="O208" s="53">
        <v>138.29081270881423</v>
      </c>
      <c r="P208" s="15">
        <v>-1.2908127088142294</v>
      </c>
      <c r="Q208" s="15"/>
      <c r="R208" s="15"/>
      <c r="S208" s="15"/>
      <c r="T208" s="15"/>
      <c r="U208" s="15"/>
      <c r="V208" s="15"/>
      <c r="W208" s="15"/>
      <c r="X208" s="15"/>
    </row>
    <row r="209" spans="1:24" s="21" customFormat="1" x14ac:dyDescent="0.55000000000000004">
      <c r="A209" s="17"/>
      <c r="B209"/>
      <c r="C209"/>
      <c r="D209"/>
      <c r="E209"/>
      <c r="F209" s="49">
        <v>43556</v>
      </c>
      <c r="G209" s="92">
        <v>136.87</v>
      </c>
      <c r="H209"/>
      <c r="I209"/>
      <c r="J209"/>
      <c r="K209"/>
      <c r="L209"/>
      <c r="M209" s="58">
        <v>138.24544985923245</v>
      </c>
      <c r="N209" s="53"/>
      <c r="O209" s="53">
        <v>138.24544985923245</v>
      </c>
      <c r="P209" s="15">
        <v>-1.375449859232434</v>
      </c>
      <c r="Q209" s="15"/>
      <c r="R209" s="15"/>
      <c r="S209" s="15"/>
      <c r="T209" s="15"/>
      <c r="U209" s="15"/>
      <c r="V209" s="15"/>
      <c r="W209" s="15"/>
      <c r="X209" s="15"/>
    </row>
    <row r="210" spans="1:24" s="21" customFormat="1" x14ac:dyDescent="0.55000000000000004">
      <c r="A210" s="17"/>
      <c r="B210"/>
      <c r="C210"/>
      <c r="D210"/>
      <c r="E210"/>
      <c r="F210" s="49">
        <v>43586</v>
      </c>
      <c r="G210" s="92">
        <v>138.63999999999999</v>
      </c>
      <c r="H210"/>
      <c r="I210"/>
      <c r="J210"/>
      <c r="K210"/>
      <c r="L210"/>
      <c r="M210" s="58">
        <v>138.50268158915702</v>
      </c>
      <c r="N210" s="53"/>
      <c r="O210" s="53">
        <v>138.50268158915702</v>
      </c>
      <c r="P210" s="15">
        <v>0.13731841084297494</v>
      </c>
      <c r="Q210" s="15"/>
      <c r="R210" s="15"/>
      <c r="S210" s="15"/>
      <c r="T210" s="15"/>
      <c r="U210" s="15"/>
      <c r="V210" s="15"/>
      <c r="W210" s="15"/>
      <c r="X210" s="15"/>
    </row>
    <row r="211" spans="1:24" s="21" customFormat="1" x14ac:dyDescent="0.55000000000000004">
      <c r="A211" s="17"/>
      <c r="B211"/>
      <c r="C211"/>
      <c r="D211"/>
      <c r="E211"/>
      <c r="F211" s="49">
        <v>43617</v>
      </c>
      <c r="G211" s="92">
        <v>138.86000000000001</v>
      </c>
      <c r="H211"/>
      <c r="I211"/>
      <c r="J211"/>
      <c r="K211"/>
      <c r="L211"/>
      <c r="M211" s="58">
        <v>138.9513363462523</v>
      </c>
      <c r="N211" s="53"/>
      <c r="O211" s="53">
        <v>138.9513363462523</v>
      </c>
      <c r="P211" s="15">
        <v>-9.1336346252290923E-2</v>
      </c>
      <c r="Q211" s="15"/>
      <c r="R211" s="15"/>
      <c r="S211" s="15"/>
      <c r="T211" s="15"/>
      <c r="U211" s="15"/>
      <c r="V211" s="15"/>
      <c r="W211" s="15"/>
      <c r="X211" s="15"/>
    </row>
    <row r="212" spans="1:24" s="21" customFormat="1" x14ac:dyDescent="0.55000000000000004">
      <c r="A212" s="17"/>
      <c r="B212"/>
      <c r="C212"/>
      <c r="D212"/>
      <c r="E212"/>
      <c r="F212" s="49">
        <v>43647</v>
      </c>
      <c r="G212" s="92">
        <v>138.29</v>
      </c>
      <c r="H212"/>
      <c r="I212"/>
      <c r="J212"/>
      <c r="K212"/>
      <c r="L212"/>
      <c r="M212" s="58">
        <v>138.9054483418407</v>
      </c>
      <c r="N212" s="53"/>
      <c r="O212" s="53">
        <v>138.9054483418407</v>
      </c>
      <c r="P212" s="15">
        <v>-0.61544834184070085</v>
      </c>
      <c r="Q212" s="15"/>
      <c r="R212" s="15"/>
      <c r="S212" s="15"/>
      <c r="T212" s="15"/>
      <c r="U212" s="15"/>
      <c r="V212" s="15"/>
      <c r="W212" s="15"/>
      <c r="X212" s="15"/>
    </row>
    <row r="213" spans="1:24" s="21" customFormat="1" x14ac:dyDescent="0.55000000000000004">
      <c r="A213" s="17"/>
      <c r="B213"/>
      <c r="C213"/>
      <c r="D213"/>
      <c r="E213"/>
      <c r="F213" s="49">
        <v>43678</v>
      </c>
      <c r="G213" s="92">
        <v>138.35</v>
      </c>
      <c r="H213"/>
      <c r="I213"/>
      <c r="J213"/>
      <c r="K213"/>
      <c r="L213"/>
      <c r="M213" s="58">
        <v>138.92722082880789</v>
      </c>
      <c r="N213" s="53"/>
      <c r="O213" s="53">
        <v>138.92722082880789</v>
      </c>
      <c r="P213" s="15">
        <v>-0.57722082880788628</v>
      </c>
      <c r="Q213" s="15"/>
      <c r="R213" s="15"/>
      <c r="S213" s="15"/>
      <c r="T213" s="15"/>
      <c r="U213" s="15"/>
      <c r="V213" s="15"/>
      <c r="W213" s="15"/>
      <c r="X213" s="15"/>
    </row>
    <row r="214" spans="1:24" s="21" customFormat="1" x14ac:dyDescent="0.55000000000000004">
      <c r="A214" s="17"/>
      <c r="B214"/>
      <c r="C214"/>
      <c r="D214"/>
      <c r="E214"/>
      <c r="F214" s="49">
        <v>43709</v>
      </c>
      <c r="G214" s="92">
        <v>139.16</v>
      </c>
      <c r="H214"/>
      <c r="I214"/>
      <c r="J214"/>
      <c r="K214"/>
      <c r="L214"/>
      <c r="M214" s="58">
        <v>139.06255677367105</v>
      </c>
      <c r="N214" s="53"/>
      <c r="O214" s="53">
        <v>139.06255677367105</v>
      </c>
      <c r="P214" s="15">
        <v>9.7443226328945476E-2</v>
      </c>
      <c r="Q214" s="15"/>
      <c r="R214" s="15"/>
      <c r="S214" s="15"/>
      <c r="T214" s="15"/>
      <c r="U214" s="15"/>
      <c r="V214" s="15"/>
      <c r="W214" s="15"/>
      <c r="X214" s="15"/>
    </row>
    <row r="215" spans="1:24" s="21" customFormat="1" x14ac:dyDescent="0.55000000000000004">
      <c r="A215" s="17"/>
      <c r="B215"/>
      <c r="C215"/>
      <c r="D215"/>
      <c r="E215"/>
      <c r="F215" s="49">
        <v>43739</v>
      </c>
      <c r="G215" s="92">
        <v>140.56</v>
      </c>
      <c r="H215"/>
      <c r="I215"/>
      <c r="J215"/>
      <c r="K215"/>
      <c r="L215"/>
      <c r="M215" s="58">
        <v>139.11877249237133</v>
      </c>
      <c r="N215" s="53"/>
      <c r="O215" s="53">
        <v>139.11877249237133</v>
      </c>
      <c r="P215" s="15">
        <v>1.4412275076286738</v>
      </c>
      <c r="Q215" s="15"/>
      <c r="R215" s="15"/>
      <c r="S215" s="15"/>
      <c r="T215" s="15"/>
      <c r="U215" s="15"/>
      <c r="V215" s="15"/>
      <c r="W215" s="15"/>
      <c r="X215" s="15"/>
    </row>
    <row r="216" spans="1:24" s="21" customFormat="1" x14ac:dyDescent="0.55000000000000004">
      <c r="A216" s="17"/>
      <c r="B216"/>
      <c r="C216"/>
      <c r="D216"/>
      <c r="E216"/>
      <c r="F216" s="49">
        <v>43770</v>
      </c>
      <c r="G216" s="92">
        <v>139.88</v>
      </c>
      <c r="H216"/>
      <c r="I216"/>
      <c r="J216"/>
      <c r="K216"/>
      <c r="L216"/>
      <c r="M216" s="58">
        <v>138.99301968439644</v>
      </c>
      <c r="N216" s="53"/>
      <c r="O216" s="53">
        <v>138.99301968439644</v>
      </c>
      <c r="P216" s="15">
        <v>0.88698031560354529</v>
      </c>
      <c r="Q216" s="15"/>
      <c r="R216" s="15"/>
      <c r="S216" s="15"/>
      <c r="T216" s="15"/>
      <c r="U216" s="15"/>
      <c r="V216" s="15"/>
      <c r="W216" s="15"/>
      <c r="X216" s="15"/>
    </row>
    <row r="217" spans="1:24" s="21" customFormat="1" x14ac:dyDescent="0.55000000000000004">
      <c r="A217" s="17"/>
      <c r="B217"/>
      <c r="C217"/>
      <c r="D217"/>
      <c r="E217"/>
      <c r="F217" s="49">
        <v>43800</v>
      </c>
      <c r="G217" s="92">
        <v>139.28</v>
      </c>
      <c r="H217"/>
      <c r="I217"/>
      <c r="J217"/>
      <c r="K217"/>
      <c r="L217"/>
      <c r="M217" s="58">
        <v>139.00022634473635</v>
      </c>
      <c r="N217" s="53"/>
      <c r="O217" s="53">
        <v>139.00022634473635</v>
      </c>
      <c r="P217" s="15">
        <v>0.27977365526365044</v>
      </c>
      <c r="Q217" s="15"/>
      <c r="R217" s="15"/>
      <c r="S217" s="15"/>
      <c r="T217" s="15"/>
      <c r="U217" s="15"/>
      <c r="V217" s="15"/>
      <c r="W217" s="15"/>
      <c r="X217" s="15"/>
    </row>
    <row r="218" spans="1:24" s="21" customFormat="1" x14ac:dyDescent="0.55000000000000004">
      <c r="A218" s="17"/>
      <c r="B218"/>
      <c r="C218"/>
      <c r="D218"/>
      <c r="E218"/>
      <c r="F218" s="49">
        <v>43831</v>
      </c>
      <c r="G218" s="92">
        <v>140.05000000000001</v>
      </c>
      <c r="H218"/>
      <c r="I218"/>
      <c r="J218"/>
      <c r="K218"/>
      <c r="L218"/>
      <c r="M218" s="58">
        <v>139.00243530115173</v>
      </c>
      <c r="N218" s="53"/>
      <c r="O218" s="53">
        <v>139.00243530115173</v>
      </c>
      <c r="P218" s="15">
        <v>1.0475646988482703</v>
      </c>
      <c r="Q218" s="15"/>
      <c r="R218" s="15"/>
      <c r="S218" s="15"/>
      <c r="T218" s="15"/>
      <c r="U218" s="15"/>
      <c r="V218" s="15"/>
      <c r="W218" s="15"/>
      <c r="X218" s="15"/>
    </row>
    <row r="219" spans="1:24" s="21" customFormat="1" x14ac:dyDescent="0.55000000000000004">
      <c r="A219" s="17"/>
      <c r="B219"/>
      <c r="C219"/>
      <c r="D219"/>
      <c r="E219"/>
      <c r="F219" s="49">
        <v>43862</v>
      </c>
      <c r="G219" s="92">
        <v>139.65</v>
      </c>
      <c r="H219"/>
      <c r="I219"/>
      <c r="J219"/>
      <c r="K219"/>
      <c r="L219"/>
      <c r="M219" s="58">
        <v>139.11136454832356</v>
      </c>
      <c r="N219" s="53"/>
      <c r="O219" s="53">
        <v>139.11136454832356</v>
      </c>
      <c r="P219" s="15">
        <v>0.53863545167643823</v>
      </c>
      <c r="Q219" s="15"/>
      <c r="R219" s="15"/>
      <c r="S219" s="15"/>
      <c r="T219" s="15"/>
      <c r="U219" s="15"/>
      <c r="V219" s="15"/>
      <c r="W219" s="15"/>
      <c r="X219" s="15"/>
    </row>
    <row r="220" spans="1:24" s="21" customFormat="1" x14ac:dyDescent="0.55000000000000004">
      <c r="A220" s="17"/>
      <c r="B220"/>
      <c r="C220"/>
      <c r="D220"/>
      <c r="E220"/>
      <c r="F220" s="49">
        <v>43891</v>
      </c>
      <c r="G220" s="92">
        <v>129.71</v>
      </c>
      <c r="H220"/>
      <c r="I220"/>
      <c r="J220"/>
      <c r="K220"/>
      <c r="L220"/>
      <c r="M220" s="58">
        <v>139.17989505083679</v>
      </c>
      <c r="N220" s="53"/>
      <c r="O220" s="53">
        <v>139.17989505083679</v>
      </c>
      <c r="P220" s="15">
        <v>-9.4698950508367759</v>
      </c>
      <c r="Q220" s="15"/>
      <c r="R220" s="15"/>
      <c r="S220" s="15"/>
      <c r="T220" s="15"/>
      <c r="U220" s="15"/>
      <c r="V220" s="15"/>
      <c r="W220" s="15"/>
      <c r="X220" s="15"/>
    </row>
    <row r="221" spans="1:24" s="21" customFormat="1" x14ac:dyDescent="0.55000000000000004">
      <c r="A221" s="17"/>
      <c r="B221"/>
      <c r="C221"/>
      <c r="D221"/>
      <c r="E221"/>
      <c r="F221" s="49">
        <v>43922</v>
      </c>
      <c r="G221" s="92">
        <v>117.19</v>
      </c>
      <c r="H221"/>
      <c r="I221"/>
      <c r="J221"/>
      <c r="K221"/>
      <c r="L221"/>
      <c r="M221" s="58">
        <v>139.34399857720689</v>
      </c>
      <c r="N221" s="53"/>
      <c r="O221" s="53">
        <v>139.34399857720689</v>
      </c>
      <c r="P221" s="15">
        <v>-22.153998577206888</v>
      </c>
      <c r="Q221" s="15"/>
      <c r="R221" s="15"/>
      <c r="S221" s="15"/>
      <c r="T221" s="15"/>
      <c r="U221" s="15"/>
      <c r="V221" s="15"/>
      <c r="W221" s="15"/>
      <c r="X221" s="15"/>
    </row>
    <row r="222" spans="1:24" s="21" customFormat="1" x14ac:dyDescent="0.55000000000000004">
      <c r="A222" s="17"/>
      <c r="B222"/>
      <c r="C222"/>
      <c r="D222"/>
      <c r="E222"/>
      <c r="F222" s="49">
        <v>43952</v>
      </c>
      <c r="G222" s="92">
        <v>121.03</v>
      </c>
      <c r="H222"/>
      <c r="I222"/>
      <c r="J222"/>
      <c r="K222"/>
      <c r="L222"/>
      <c r="M222" s="58">
        <v>139.712281880087</v>
      </c>
      <c r="N222" s="53"/>
      <c r="O222" s="53">
        <v>139.712281880087</v>
      </c>
      <c r="P222" s="15">
        <v>-18.682281880087011</v>
      </c>
      <c r="Q222" s="15"/>
      <c r="R222" s="15"/>
      <c r="S222" s="15"/>
      <c r="T222" s="15"/>
      <c r="U222" s="15"/>
      <c r="V222" s="15"/>
      <c r="W222" s="15"/>
      <c r="X222" s="15"/>
    </row>
    <row r="223" spans="1:24" s="21" customFormat="1" x14ac:dyDescent="0.55000000000000004">
      <c r="A223" s="17"/>
      <c r="B223"/>
      <c r="C223"/>
      <c r="D223"/>
      <c r="E223"/>
      <c r="F223" s="49">
        <v>43983</v>
      </c>
      <c r="G223" s="92">
        <v>127.06</v>
      </c>
      <c r="H223"/>
      <c r="I223"/>
      <c r="J223"/>
      <c r="K223"/>
      <c r="L223"/>
      <c r="M223" s="58">
        <v>139.78476578248836</v>
      </c>
      <c r="N223" s="53"/>
      <c r="O223" s="53">
        <v>139.78476578248836</v>
      </c>
      <c r="P223" s="15">
        <v>-12.724765782488355</v>
      </c>
      <c r="Q223" s="15"/>
      <c r="R223" s="15"/>
      <c r="S223" s="15"/>
      <c r="T223" s="15"/>
      <c r="U223" s="15"/>
      <c r="V223" s="15"/>
      <c r="W223" s="15"/>
      <c r="X223" s="15"/>
    </row>
    <row r="224" spans="1:24" s="21" customFormat="1" x14ac:dyDescent="0.55000000000000004">
      <c r="A224" s="17"/>
      <c r="B224"/>
      <c r="C224"/>
      <c r="D224"/>
      <c r="E224"/>
      <c r="F224" s="49">
        <v>44013</v>
      </c>
      <c r="G224" s="92">
        <v>130.99</v>
      </c>
      <c r="H224"/>
      <c r="I224"/>
      <c r="J224"/>
      <c r="K224"/>
      <c r="L224"/>
      <c r="M224" s="58">
        <v>138.74996035584968</v>
      </c>
      <c r="N224" s="53"/>
      <c r="O224" s="53">
        <v>138.74996035584968</v>
      </c>
      <c r="P224" s="15">
        <v>-7.7599603558496746</v>
      </c>
      <c r="Q224" s="15"/>
      <c r="R224" s="15"/>
      <c r="S224" s="15"/>
      <c r="T224" s="15"/>
      <c r="U224" s="15"/>
      <c r="V224" s="15"/>
      <c r="W224" s="15"/>
      <c r="X224" s="15"/>
    </row>
    <row r="225" spans="1:24" s="21" customFormat="1" x14ac:dyDescent="0.55000000000000004">
      <c r="A225" s="17"/>
      <c r="B225"/>
      <c r="C225"/>
      <c r="D225"/>
      <c r="E225"/>
      <c r="F225" s="49">
        <v>44044</v>
      </c>
      <c r="G225" s="92">
        <v>133.86000000000001</v>
      </c>
      <c r="H225"/>
      <c r="I225"/>
      <c r="J225"/>
      <c r="K225"/>
      <c r="L225"/>
      <c r="M225" s="58">
        <v>136.87499616012352</v>
      </c>
      <c r="N225" s="53"/>
      <c r="O225" s="53">
        <v>136.87499616012352</v>
      </c>
      <c r="P225" s="15">
        <v>-3.0149961601234989</v>
      </c>
      <c r="Q225" s="15"/>
      <c r="R225" s="15"/>
      <c r="S225" s="15"/>
      <c r="T225" s="15"/>
      <c r="U225" s="15"/>
      <c r="V225" s="15"/>
      <c r="W225" s="15"/>
      <c r="X225" s="15"/>
    </row>
    <row r="226" spans="1:24" s="21" customFormat="1" x14ac:dyDescent="0.55000000000000004">
      <c r="A226" s="17"/>
      <c r="B226"/>
      <c r="C226"/>
      <c r="D226"/>
      <c r="E226"/>
      <c r="F226" s="49">
        <v>44075</v>
      </c>
      <c r="G226" s="92">
        <v>136.84</v>
      </c>
      <c r="H226"/>
      <c r="I226"/>
      <c r="J226"/>
      <c r="K226"/>
      <c r="L226"/>
      <c r="M226" s="58">
        <v>136.30210900691765</v>
      </c>
      <c r="N226" s="53"/>
      <c r="O226" s="53">
        <v>136.30210900691765</v>
      </c>
      <c r="P226" s="15">
        <v>0.53789099308235366</v>
      </c>
      <c r="Q226" s="15"/>
      <c r="R226" s="15"/>
      <c r="S226" s="15"/>
      <c r="T226" s="15"/>
      <c r="U226" s="15"/>
      <c r="V226" s="15"/>
      <c r="W226" s="15"/>
      <c r="X226" s="15"/>
    </row>
    <row r="227" spans="1:24" s="21" customFormat="1" x14ac:dyDescent="0.55000000000000004">
      <c r="A227" s="17"/>
      <c r="B227"/>
      <c r="C227"/>
      <c r="D227"/>
      <c r="E227"/>
      <c r="F227" s="49">
        <v>44105</v>
      </c>
      <c r="G227" s="92">
        <v>139.32</v>
      </c>
      <c r="H227"/>
      <c r="I227"/>
      <c r="J227"/>
      <c r="K227"/>
      <c r="L227"/>
      <c r="M227" s="58">
        <v>135.92680225680135</v>
      </c>
      <c r="N227" s="53"/>
      <c r="O227" s="53">
        <v>135.92680225680135</v>
      </c>
      <c r="P227" s="15">
        <v>3.3931977431986318</v>
      </c>
      <c r="Q227" s="15"/>
      <c r="R227" s="15"/>
      <c r="S227" s="15"/>
      <c r="T227" s="15"/>
      <c r="U227" s="15"/>
      <c r="V227" s="15"/>
      <c r="W227" s="15"/>
      <c r="X227" s="15"/>
    </row>
    <row r="228" spans="1:24" s="21" customFormat="1" x14ac:dyDescent="0.55000000000000004">
      <c r="A228" s="17"/>
      <c r="B228"/>
      <c r="C228"/>
      <c r="D228"/>
      <c r="E228"/>
      <c r="F228" s="49">
        <v>44136</v>
      </c>
      <c r="G228" s="92">
        <v>139.24</v>
      </c>
      <c r="H228"/>
      <c r="I228"/>
      <c r="J228"/>
      <c r="K228"/>
      <c r="L228"/>
      <c r="M228" s="58">
        <v>134.71576101634855</v>
      </c>
      <c r="N228" s="53"/>
      <c r="O228" s="53">
        <v>134.71576101634855</v>
      </c>
      <c r="P228" s="15">
        <v>4.5242389836514576</v>
      </c>
      <c r="Q228" s="15"/>
      <c r="R228" s="15"/>
      <c r="S228" s="15"/>
      <c r="T228" s="15"/>
      <c r="U228" s="15"/>
      <c r="V228" s="15"/>
      <c r="W228" s="15"/>
      <c r="X228" s="15"/>
    </row>
    <row r="229" spans="1:24" s="21" customFormat="1" x14ac:dyDescent="0.55000000000000004">
      <c r="A229" s="17"/>
      <c r="B229"/>
      <c r="C229"/>
      <c r="D229"/>
      <c r="E229"/>
      <c r="F229" s="49">
        <v>44166</v>
      </c>
      <c r="G229" s="92">
        <v>139.54</v>
      </c>
      <c r="H229"/>
      <c r="I229"/>
      <c r="J229"/>
      <c r="K229"/>
      <c r="L229"/>
      <c r="M229" s="58">
        <v>133.68467082998939</v>
      </c>
      <c r="N229" s="53"/>
      <c r="O229" s="53">
        <v>133.68467082998939</v>
      </c>
      <c r="P229" s="15">
        <v>5.8553291700106165</v>
      </c>
      <c r="Q229" s="15"/>
      <c r="R229" s="15"/>
      <c r="S229" s="15"/>
      <c r="T229" s="15"/>
      <c r="U229" s="15"/>
      <c r="V229" s="15"/>
      <c r="W229" s="15"/>
      <c r="X229" s="15"/>
    </row>
    <row r="230" spans="1:24" s="21" customFormat="1" x14ac:dyDescent="0.55000000000000004">
      <c r="A230" s="17"/>
      <c r="B230"/>
      <c r="C230"/>
      <c r="D230"/>
      <c r="E230"/>
      <c r="F230" s="49">
        <v>44197</v>
      </c>
      <c r="G230" s="92">
        <v>140.13</v>
      </c>
      <c r="H230"/>
      <c r="I230"/>
      <c r="J230"/>
      <c r="K230"/>
      <c r="L230"/>
      <c r="M230" s="58">
        <v>133.28999313040313</v>
      </c>
      <c r="N230" s="53"/>
      <c r="O230" s="53">
        <v>133.28999313040313</v>
      </c>
      <c r="P230" s="15">
        <v>6.8400068695968752</v>
      </c>
      <c r="Q230" s="15"/>
      <c r="R230" s="15"/>
      <c r="S230" s="15"/>
      <c r="T230" s="15"/>
      <c r="U230" s="15"/>
      <c r="V230" s="15"/>
      <c r="W230" s="15"/>
      <c r="X230" s="15"/>
    </row>
    <row r="231" spans="1:24" s="21" customFormat="1" x14ac:dyDescent="0.55000000000000004">
      <c r="A231" s="17"/>
      <c r="B231"/>
      <c r="C231"/>
      <c r="D231"/>
      <c r="E231"/>
      <c r="F231" s="49">
        <v>44228</v>
      </c>
      <c r="G231" s="92">
        <v>140.97999999999999</v>
      </c>
      <c r="H231"/>
      <c r="I231"/>
      <c r="J231"/>
      <c r="K231"/>
      <c r="L231"/>
      <c r="M231" s="58">
        <v>132.91349057029586</v>
      </c>
      <c r="N231" s="53"/>
      <c r="O231" s="53">
        <v>132.91349057029586</v>
      </c>
      <c r="P231" s="15">
        <v>8.0665094297041193</v>
      </c>
      <c r="Q231" s="15"/>
      <c r="R231" s="15"/>
      <c r="S231" s="15"/>
      <c r="T231" s="15"/>
      <c r="U231" s="15"/>
      <c r="V231" s="15"/>
      <c r="W231" s="15"/>
      <c r="X231" s="15"/>
    </row>
    <row r="232" spans="1:24" s="21" customFormat="1" x14ac:dyDescent="0.55000000000000004">
      <c r="A232" s="17"/>
      <c r="B232"/>
      <c r="C232"/>
      <c r="D232"/>
      <c r="E232"/>
      <c r="F232" s="49">
        <v>44256</v>
      </c>
      <c r="G232" s="92">
        <v>135.72</v>
      </c>
      <c r="H232"/>
      <c r="I232"/>
      <c r="J232"/>
      <c r="K232"/>
      <c r="L232"/>
      <c r="M232" s="58">
        <v>131.95055920316497</v>
      </c>
      <c r="N232" s="53"/>
      <c r="O232" s="53">
        <v>131.95055920316497</v>
      </c>
      <c r="P232" s="15">
        <v>3.7694407968350196</v>
      </c>
      <c r="Q232" s="15"/>
      <c r="R232" s="15"/>
      <c r="S232" s="15"/>
      <c r="T232" s="15"/>
      <c r="U232" s="15"/>
      <c r="V232" s="15"/>
      <c r="W232" s="15"/>
      <c r="X232" s="15"/>
    </row>
    <row r="233" spans="1:24" s="21" customFormat="1" x14ac:dyDescent="0.55000000000000004">
      <c r="A233" s="17"/>
      <c r="B233"/>
      <c r="C233"/>
      <c r="D233"/>
      <c r="E233"/>
      <c r="F233" s="49">
        <v>44287</v>
      </c>
      <c r="G233" s="92">
        <v>137.44</v>
      </c>
      <c r="H233"/>
      <c r="I233"/>
      <c r="J233"/>
      <c r="K233"/>
      <c r="L233"/>
      <c r="M233" s="58">
        <v>132.63557678233258</v>
      </c>
      <c r="N233" s="53"/>
      <c r="O233" s="53">
        <v>132.63557678233258</v>
      </c>
      <c r="P233" s="15">
        <v>4.8044232176674324</v>
      </c>
      <c r="Q233" s="15"/>
      <c r="R233" s="15"/>
      <c r="S233" s="15"/>
      <c r="T233" s="15"/>
      <c r="U233" s="15"/>
      <c r="V233" s="15"/>
      <c r="W233" s="15"/>
      <c r="X233" s="15"/>
    </row>
    <row r="234" spans="1:24" s="21" customFormat="1" x14ac:dyDescent="0.55000000000000004">
      <c r="A234" s="17"/>
      <c r="B234"/>
      <c r="C234"/>
      <c r="D234"/>
      <c r="E234"/>
      <c r="F234" s="49">
        <v>44317</v>
      </c>
      <c r="G234" s="92">
        <v>138.74</v>
      </c>
      <c r="H234"/>
      <c r="I234"/>
      <c r="J234"/>
      <c r="K234"/>
      <c r="L234"/>
      <c r="M234" s="58">
        <v>134.82239170655828</v>
      </c>
      <c r="N234" s="53"/>
      <c r="O234" s="53">
        <v>134.82239170655828</v>
      </c>
      <c r="P234" s="15">
        <v>3.917608293441734</v>
      </c>
      <c r="Q234" s="15"/>
      <c r="R234" s="15"/>
      <c r="S234" s="15"/>
      <c r="T234" s="15"/>
      <c r="U234" s="15"/>
      <c r="V234" s="15"/>
      <c r="W234" s="15"/>
      <c r="X234" s="15"/>
    </row>
    <row r="235" spans="1:24" s="21" customFormat="1" x14ac:dyDescent="0.55000000000000004">
      <c r="A235" s="17"/>
      <c r="B235"/>
      <c r="C235"/>
      <c r="D235"/>
      <c r="E235"/>
      <c r="F235" s="49">
        <v>44348</v>
      </c>
      <c r="G235" s="92">
        <v>138.94999999999999</v>
      </c>
      <c r="H235"/>
      <c r="I235"/>
      <c r="J235"/>
      <c r="K235"/>
      <c r="L235"/>
      <c r="M235" s="58">
        <v>136.41239146648601</v>
      </c>
      <c r="N235" s="53"/>
      <c r="O235" s="53">
        <v>136.41239146648601</v>
      </c>
      <c r="P235" s="15">
        <v>2.5376085335139655</v>
      </c>
      <c r="Q235" s="15"/>
      <c r="R235" s="15"/>
      <c r="S235" s="15"/>
      <c r="T235" s="15"/>
      <c r="U235" s="15"/>
      <c r="V235" s="15"/>
      <c r="W235" s="15"/>
      <c r="X235" s="15"/>
    </row>
    <row r="236" spans="1:24" s="21" customFormat="1" x14ac:dyDescent="0.55000000000000004">
      <c r="A236" s="17"/>
      <c r="B236"/>
      <c r="C236"/>
      <c r="D236"/>
      <c r="E236"/>
      <c r="F236" s="49">
        <v>44378</v>
      </c>
      <c r="G236" s="92">
        <v>138.49</v>
      </c>
      <c r="H236"/>
      <c r="I236"/>
      <c r="J236"/>
      <c r="K236"/>
      <c r="L236"/>
      <c r="M236" s="58">
        <v>137.0658627637699</v>
      </c>
      <c r="N236" s="53"/>
      <c r="O236" s="53">
        <v>137.0658627637699</v>
      </c>
      <c r="P236" s="15">
        <v>1.4241372362301092</v>
      </c>
      <c r="Q236" s="15"/>
      <c r="R236" s="15"/>
      <c r="S236" s="15"/>
      <c r="T236" s="15"/>
      <c r="U236" s="15"/>
      <c r="V236" s="15"/>
      <c r="W236" s="15"/>
      <c r="X236" s="15"/>
    </row>
    <row r="237" spans="1:24" s="21" customFormat="1" x14ac:dyDescent="0.55000000000000004">
      <c r="A237" s="17"/>
      <c r="B237"/>
      <c r="C237"/>
      <c r="D237"/>
      <c r="E237"/>
      <c r="F237" s="49">
        <v>44409</v>
      </c>
      <c r="G237" s="92">
        <v>138.91999999999999</v>
      </c>
      <c r="H237"/>
      <c r="I237"/>
      <c r="J237"/>
      <c r="K237"/>
      <c r="L237"/>
      <c r="M237" s="58">
        <v>138.09850436243053</v>
      </c>
      <c r="N237" s="53"/>
      <c r="O237" s="53">
        <v>138.09850436243053</v>
      </c>
      <c r="P237" s="15">
        <v>0.8214956375694682</v>
      </c>
      <c r="Q237" s="15"/>
      <c r="R237" s="15"/>
      <c r="S237" s="15"/>
      <c r="T237" s="15"/>
      <c r="U237" s="15"/>
      <c r="V237" s="15"/>
      <c r="W237" s="15"/>
      <c r="X237" s="15"/>
    </row>
    <row r="238" spans="1:24" s="21" customFormat="1" x14ac:dyDescent="0.55000000000000004">
      <c r="A238" s="17"/>
      <c r="B238"/>
      <c r="C238"/>
      <c r="D238"/>
      <c r="E238"/>
      <c r="F238" s="49">
        <v>44440</v>
      </c>
      <c r="G238" s="92">
        <v>138.86000000000001</v>
      </c>
      <c r="H238"/>
      <c r="I238"/>
      <c r="J238"/>
      <c r="K238"/>
      <c r="L238"/>
      <c r="M238" s="58">
        <v>139.16341830939564</v>
      </c>
      <c r="N238" s="53"/>
      <c r="O238" s="53">
        <v>139.16341830939564</v>
      </c>
      <c r="P238" s="15">
        <v>-0.30341830939562442</v>
      </c>
      <c r="Q238" s="15"/>
      <c r="R238" s="15"/>
      <c r="S238" s="15"/>
      <c r="T238" s="15"/>
      <c r="U238" s="15"/>
      <c r="V238" s="15"/>
      <c r="W238" s="15"/>
      <c r="X238" s="15"/>
    </row>
    <row r="239" spans="1:24" s="21" customFormat="1" x14ac:dyDescent="0.55000000000000004">
      <c r="A239" s="17"/>
      <c r="B239"/>
      <c r="C239"/>
      <c r="D239"/>
      <c r="E239"/>
      <c r="F239" s="49">
        <v>44470</v>
      </c>
      <c r="G239" s="92">
        <v>139.62</v>
      </c>
      <c r="H239"/>
      <c r="I239"/>
      <c r="J239"/>
      <c r="K239"/>
      <c r="L239"/>
      <c r="M239" s="58">
        <v>139.41657366446444</v>
      </c>
      <c r="N239" s="53"/>
      <c r="O239" s="53">
        <v>139.41657366446444</v>
      </c>
      <c r="P239" s="15">
        <v>0.20342633553556766</v>
      </c>
      <c r="Q239" s="15"/>
      <c r="R239" s="15"/>
      <c r="S239" s="15"/>
      <c r="T239" s="15"/>
      <c r="U239" s="15"/>
      <c r="V239" s="15"/>
      <c r="W239" s="15"/>
      <c r="X239" s="15"/>
    </row>
    <row r="240" spans="1:24" s="21" customFormat="1" x14ac:dyDescent="0.55000000000000004">
      <c r="A240" s="17"/>
      <c r="B240"/>
      <c r="C240"/>
      <c r="D240"/>
      <c r="E240"/>
      <c r="F240" s="49">
        <v>44501</v>
      </c>
      <c r="G240" s="92">
        <v>141.05000000000001</v>
      </c>
      <c r="H240"/>
      <c r="I240"/>
      <c r="J240"/>
      <c r="K240"/>
      <c r="L240"/>
      <c r="M240" s="58">
        <v>139.35257974953228</v>
      </c>
      <c r="N240" s="53"/>
      <c r="O240" s="53">
        <v>139.35257974953228</v>
      </c>
      <c r="P240" s="15">
        <v>1.6974202504677325</v>
      </c>
      <c r="Q240" s="15"/>
      <c r="R240" s="15"/>
      <c r="S240" s="15"/>
      <c r="T240" s="15"/>
      <c r="U240" s="15"/>
      <c r="V240" s="15"/>
      <c r="W240" s="15"/>
      <c r="X240" s="15"/>
    </row>
    <row r="241" spans="1:24" s="21" customFormat="1" x14ac:dyDescent="0.55000000000000004">
      <c r="A241" s="17"/>
      <c r="B241"/>
      <c r="C241"/>
      <c r="D241"/>
      <c r="E241"/>
      <c r="F241" s="49">
        <v>44531</v>
      </c>
      <c r="G241" s="92">
        <v>141.22</v>
      </c>
      <c r="H241"/>
      <c r="I241"/>
      <c r="J241"/>
      <c r="K241"/>
      <c r="L241"/>
      <c r="M241" s="58">
        <v>139.38793858019315</v>
      </c>
      <c r="N241" s="53"/>
      <c r="O241" s="53">
        <v>139.38793858019315</v>
      </c>
      <c r="P241" s="15">
        <v>1.8320614198068579</v>
      </c>
      <c r="Q241" s="15"/>
      <c r="R241" s="15"/>
      <c r="S241" s="15"/>
      <c r="T241" s="15"/>
      <c r="U241" s="15"/>
      <c r="V241" s="15"/>
      <c r="W241" s="15"/>
      <c r="X241" s="15"/>
    </row>
    <row r="242" spans="1:24" s="21" customFormat="1" x14ac:dyDescent="0.55000000000000004">
      <c r="A242" s="17"/>
      <c r="B242"/>
      <c r="C242"/>
      <c r="D242"/>
      <c r="E242"/>
      <c r="F242" s="49">
        <v>44562</v>
      </c>
      <c r="G242" s="92">
        <v>140.26</v>
      </c>
      <c r="H242"/>
      <c r="I242"/>
      <c r="J242"/>
      <c r="K242"/>
      <c r="L242"/>
      <c r="M242" s="58">
        <v>139.5669780221501</v>
      </c>
      <c r="N242" s="53"/>
      <c r="O242" s="53">
        <v>139.5669780221501</v>
      </c>
      <c r="P242" s="15">
        <v>0.69302197784989827</v>
      </c>
      <c r="Q242" s="15"/>
      <c r="R242" s="15"/>
      <c r="S242" s="15"/>
      <c r="T242" s="15"/>
      <c r="U242" s="15"/>
      <c r="V242" s="15"/>
      <c r="W242" s="15"/>
      <c r="X242" s="15"/>
    </row>
    <row r="243" spans="1:24" s="21" customFormat="1" x14ac:dyDescent="0.55000000000000004">
      <c r="A243" s="17"/>
      <c r="B243"/>
      <c r="C243"/>
      <c r="D243"/>
      <c r="E243"/>
      <c r="F243" s="49">
        <v>44593</v>
      </c>
      <c r="G243" s="92">
        <v>140.82</v>
      </c>
      <c r="H243"/>
      <c r="I243"/>
      <c r="J243"/>
      <c r="K243"/>
      <c r="L243"/>
      <c r="M243" s="58">
        <v>139.28575905150407</v>
      </c>
      <c r="N243" s="53"/>
      <c r="O243" s="53">
        <v>139.28575905150407</v>
      </c>
      <c r="P243" s="15">
        <v>1.5342409484959301</v>
      </c>
      <c r="Q243" s="15"/>
      <c r="R243" s="15"/>
      <c r="S243" s="15"/>
      <c r="T243" s="15"/>
      <c r="U243" s="15"/>
      <c r="V243" s="15"/>
      <c r="W243" s="15"/>
      <c r="X243" s="15"/>
    </row>
    <row r="244" spans="1:24" x14ac:dyDescent="0.55000000000000004">
      <c r="F244" s="49">
        <v>44621</v>
      </c>
      <c r="G244" s="92">
        <v>141.94</v>
      </c>
      <c r="M244" s="15">
        <v>139.27708504082469</v>
      </c>
      <c r="O244" s="15">
        <v>139.27708504082469</v>
      </c>
      <c r="P244" s="15">
        <v>2.6629149591753012</v>
      </c>
    </row>
    <row r="245" spans="1:24" x14ac:dyDescent="0.55000000000000004">
      <c r="F245" s="49">
        <v>44652</v>
      </c>
      <c r="G245" s="92">
        <v>142.19</v>
      </c>
      <c r="M245" s="15">
        <v>139.83016411112106</v>
      </c>
      <c r="O245" s="15">
        <v>139.83016411112106</v>
      </c>
      <c r="P245" s="15">
        <v>2.3598358888789397</v>
      </c>
    </row>
    <row r="246" spans="1:24" x14ac:dyDescent="0.55000000000000004">
      <c r="F246" s="49">
        <v>44682</v>
      </c>
      <c r="G246" s="92">
        <v>142.15</v>
      </c>
      <c r="M246" s="15">
        <v>139.91435407865799</v>
      </c>
      <c r="O246" s="15">
        <v>139.91435407865799</v>
      </c>
      <c r="P246" s="15">
        <v>2.2356459213420217</v>
      </c>
    </row>
    <row r="247" spans="1:24" x14ac:dyDescent="0.55000000000000004">
      <c r="F247" s="49">
        <v>44713</v>
      </c>
      <c r="G247" s="92">
        <v>142.88999999999999</v>
      </c>
      <c r="M247" s="15">
        <v>140.05241379012517</v>
      </c>
      <c r="O247" s="15">
        <v>140.05241379012517</v>
      </c>
      <c r="P247" s="15">
        <v>2.8375862098748112</v>
      </c>
    </row>
    <row r="248" spans="1:24" x14ac:dyDescent="0.55000000000000004">
      <c r="F248" s="49">
        <v>44743</v>
      </c>
      <c r="G248" s="92">
        <v>145.41999999999999</v>
      </c>
      <c r="M248" s="15">
        <v>140.47303884607615</v>
      </c>
      <c r="O248" s="15">
        <v>140.47303884607615</v>
      </c>
      <c r="P248" s="15">
        <v>4.9469611539238434</v>
      </c>
    </row>
    <row r="249" spans="1:24" x14ac:dyDescent="0.55000000000000004">
      <c r="F249" s="49">
        <v>44774</v>
      </c>
      <c r="G249" s="92">
        <v>144.47999999999999</v>
      </c>
      <c r="M249" s="15">
        <v>140.7962061031557</v>
      </c>
      <c r="O249" s="15">
        <v>140.7962061031557</v>
      </c>
      <c r="P249" s="15">
        <v>3.6837938968442803</v>
      </c>
    </row>
    <row r="250" spans="1:24" x14ac:dyDescent="0.55000000000000004">
      <c r="F250" s="49">
        <v>44805</v>
      </c>
      <c r="G250" s="92">
        <v>144.49</v>
      </c>
      <c r="M250" s="15">
        <v>141.01255188372298</v>
      </c>
      <c r="O250" s="15">
        <v>141.01255188372298</v>
      </c>
      <c r="P250" s="15">
        <v>3.4774481162770439</v>
      </c>
    </row>
    <row r="251" spans="1:24" x14ac:dyDescent="0.55000000000000004">
      <c r="F251" s="49">
        <v>44835</v>
      </c>
      <c r="G251" s="92">
        <v>144.68</v>
      </c>
      <c r="M251" s="15">
        <v>141.44411992716906</v>
      </c>
      <c r="O251" s="15">
        <v>141.44411992716906</v>
      </c>
      <c r="P251" s="15">
        <v>3.2358800728309518</v>
      </c>
    </row>
    <row r="252" spans="1:24" x14ac:dyDescent="0.55000000000000004">
      <c r="F252" s="49">
        <v>44866</v>
      </c>
      <c r="G252" s="92">
        <v>142.74</v>
      </c>
      <c r="M252" s="15">
        <v>142.07588669043673</v>
      </c>
      <c r="O252" s="15">
        <v>142.07588669043673</v>
      </c>
      <c r="P252" s="15">
        <v>0.66411330956327363</v>
      </c>
    </row>
    <row r="253" spans="1:24" x14ac:dyDescent="0.55000000000000004">
      <c r="F253" s="49">
        <v>44896</v>
      </c>
      <c r="G253" s="92">
        <v>142.30000000000001</v>
      </c>
      <c r="M253" s="15">
        <v>142.24364306001539</v>
      </c>
      <c r="O253" s="15">
        <v>142.24364306001539</v>
      </c>
      <c r="P253" s="15">
        <v>5.6356939984624432E-2</v>
      </c>
    </row>
    <row r="254" spans="1:24" x14ac:dyDescent="0.55000000000000004">
      <c r="F254" s="49">
        <v>44927</v>
      </c>
      <c r="G254" s="92">
        <v>143.47999999999999</v>
      </c>
      <c r="M254" s="15">
        <v>142.46116347223094</v>
      </c>
      <c r="O254" s="15">
        <v>142.46116347223094</v>
      </c>
      <c r="P254" s="15">
        <v>1.0188365277690441</v>
      </c>
    </row>
    <row r="255" spans="1:24" x14ac:dyDescent="0.55000000000000004">
      <c r="F255" s="49">
        <v>44958</v>
      </c>
      <c r="G255" s="92">
        <v>147.52000000000001</v>
      </c>
      <c r="M255" s="15">
        <v>143.00001397882684</v>
      </c>
      <c r="O255" s="15">
        <v>143.00001397882684</v>
      </c>
      <c r="P255" s="15">
        <v>4.5199860211731711</v>
      </c>
    </row>
    <row r="256" spans="1:24" x14ac:dyDescent="0.55000000000000004">
      <c r="F256" s="49">
        <v>44986</v>
      </c>
      <c r="G256" s="92">
        <v>147.02000000000001</v>
      </c>
      <c r="M256" s="15">
        <v>143.16255591267637</v>
      </c>
      <c r="O256" s="15">
        <v>143.16255591267637</v>
      </c>
      <c r="P256" s="15">
        <v>3.8574440873236302</v>
      </c>
    </row>
    <row r="257" spans="1:16" x14ac:dyDescent="0.55000000000000004">
      <c r="F257" s="49">
        <v>45017</v>
      </c>
      <c r="G257" s="92">
        <v>148.88</v>
      </c>
      <c r="M257" s="15">
        <v>143.23604026118298</v>
      </c>
      <c r="O257" s="15">
        <v>143.23604026118298</v>
      </c>
      <c r="P257" s="15">
        <v>5.6439597388170233</v>
      </c>
    </row>
    <row r="258" spans="1:16" s="15" customFormat="1" x14ac:dyDescent="0.55000000000000004">
      <c r="A258" s="17"/>
      <c r="B258"/>
      <c r="C258"/>
      <c r="D258"/>
      <c r="E258"/>
      <c r="F258" s="49">
        <v>45047</v>
      </c>
      <c r="G258" s="92">
        <v>146.16</v>
      </c>
      <c r="H258"/>
      <c r="I258"/>
      <c r="J258"/>
      <c r="K258"/>
      <c r="L258"/>
      <c r="M258" s="15">
        <v>143.49271749846096</v>
      </c>
      <c r="O258" s="15">
        <v>143.49271749846096</v>
      </c>
      <c r="P258" s="15">
        <v>2.6672825015390313</v>
      </c>
    </row>
    <row r="259" spans="1:16" s="15" customFormat="1" x14ac:dyDescent="0.55000000000000004">
      <c r="A259" s="17"/>
      <c r="B259"/>
      <c r="C259"/>
      <c r="D259"/>
      <c r="E259"/>
      <c r="F259" s="49">
        <v>45078</v>
      </c>
      <c r="G259" s="92">
        <v>146.55000000000001</v>
      </c>
      <c r="H259"/>
      <c r="I259"/>
      <c r="J259"/>
      <c r="K259"/>
      <c r="L259"/>
      <c r="M259" s="15">
        <v>144.23206158823351</v>
      </c>
      <c r="O259" s="15">
        <v>144.23206158823351</v>
      </c>
      <c r="P259" s="15">
        <v>2.3179384117665145</v>
      </c>
    </row>
    <row r="260" spans="1:16" s="15" customFormat="1" x14ac:dyDescent="0.55000000000000004">
      <c r="A260" s="17"/>
      <c r="B260"/>
      <c r="C260"/>
      <c r="D260"/>
      <c r="E260"/>
      <c r="F260" s="49">
        <v>45108</v>
      </c>
      <c r="G260" s="92">
        <v>146.97999999999999</v>
      </c>
      <c r="H260"/>
      <c r="I260"/>
      <c r="J260"/>
      <c r="K260"/>
      <c r="L260"/>
      <c r="M260" s="15">
        <v>144.43161077449653</v>
      </c>
      <c r="O260" s="15">
        <v>144.43161077449653</v>
      </c>
      <c r="P260" s="15">
        <v>2.5483892255034468</v>
      </c>
    </row>
    <row r="261" spans="1:16" s="15" customFormat="1" x14ac:dyDescent="0.55000000000000004">
      <c r="A261" s="17"/>
      <c r="B261"/>
      <c r="C261"/>
      <c r="D261"/>
      <c r="E261"/>
      <c r="F261" s="49">
        <v>45139</v>
      </c>
      <c r="G261" s="92">
        <v>146.13999999999999</v>
      </c>
      <c r="H261"/>
      <c r="I261"/>
      <c r="J261"/>
      <c r="K261"/>
      <c r="L261"/>
      <c r="M261" s="15">
        <v>144.53754334793155</v>
      </c>
      <c r="O261" s="15">
        <v>144.53754334793155</v>
      </c>
      <c r="P261" s="15">
        <v>1.6024566520684498</v>
      </c>
    </row>
    <row r="262" spans="1:16" s="15" customFormat="1" x14ac:dyDescent="0.55000000000000004">
      <c r="A262" s="17"/>
      <c r="B262"/>
      <c r="C262"/>
      <c r="D262"/>
      <c r="E262"/>
      <c r="F262" s="49">
        <v>45170</v>
      </c>
      <c r="G262" s="92">
        <v>146.19</v>
      </c>
      <c r="H262"/>
      <c r="I262"/>
      <c r="J262"/>
      <c r="K262"/>
      <c r="L262"/>
      <c r="M262" s="15">
        <v>144.7322090131776</v>
      </c>
      <c r="O262" s="15">
        <v>144.7322090131776</v>
      </c>
      <c r="P262" s="15">
        <v>1.4577909868224057</v>
      </c>
    </row>
    <row r="263" spans="1:16" s="15" customFormat="1" x14ac:dyDescent="0.55000000000000004">
      <c r="A263" s="17"/>
      <c r="B263"/>
      <c r="C263"/>
      <c r="D263"/>
      <c r="E263"/>
      <c r="F263" s="49">
        <v>45200</v>
      </c>
      <c r="G263" s="92">
        <v>146.26</v>
      </c>
      <c r="H263"/>
      <c r="I263"/>
      <c r="J263"/>
      <c r="K263"/>
      <c r="L263"/>
      <c r="M263" s="15">
        <v>144.87891102515795</v>
      </c>
      <c r="O263" s="15">
        <v>144.87891102515795</v>
      </c>
      <c r="P263" s="15">
        <v>1.3810889748420467</v>
      </c>
    </row>
    <row r="264" spans="1:16" s="15" customFormat="1" x14ac:dyDescent="0.55000000000000004">
      <c r="A264" s="17"/>
      <c r="B264"/>
      <c r="C264"/>
      <c r="D264"/>
      <c r="E264"/>
      <c r="F264" s="49">
        <v>45231</v>
      </c>
      <c r="G264" s="92">
        <v>146.41</v>
      </c>
      <c r="H264"/>
      <c r="I264"/>
      <c r="J264"/>
      <c r="K264"/>
      <c r="L264"/>
      <c r="M264" s="15">
        <v>145.18827491028787</v>
      </c>
      <c r="O264" s="15">
        <v>145.18827491028787</v>
      </c>
      <c r="P264" s="15">
        <v>1.2217250897121137</v>
      </c>
    </row>
    <row r="265" spans="1:16" s="15" customFormat="1" x14ac:dyDescent="0.55000000000000004">
      <c r="A265" s="17"/>
      <c r="B265"/>
      <c r="C265"/>
      <c r="D265"/>
      <c r="E265"/>
      <c r="F265" s="49">
        <v>45261</v>
      </c>
      <c r="G265" s="92">
        <v>147.61000000000001</v>
      </c>
      <c r="H265"/>
      <c r="I265"/>
      <c r="J265"/>
      <c r="K265"/>
      <c r="L265"/>
      <c r="M265" s="15">
        <v>145.4241772559613</v>
      </c>
      <c r="O265" s="15">
        <v>145.4241772559613</v>
      </c>
      <c r="P265" s="15">
        <v>2.185822744038723</v>
      </c>
    </row>
    <row r="266" spans="1:16" s="15" customFormat="1" x14ac:dyDescent="0.55000000000000004">
      <c r="A266" s="17"/>
      <c r="B266"/>
      <c r="C266"/>
      <c r="D266"/>
      <c r="E266"/>
      <c r="F266" s="49">
        <v>45292</v>
      </c>
      <c r="G266" s="92">
        <v>148.5</v>
      </c>
      <c r="H266"/>
      <c r="I266"/>
      <c r="J266"/>
      <c r="K266"/>
      <c r="L266"/>
      <c r="M266" s="15">
        <v>145.956635198155</v>
      </c>
      <c r="O266" s="15">
        <v>145.956635198155</v>
      </c>
      <c r="P266" s="15">
        <v>2.5433648018450077</v>
      </c>
    </row>
  </sheetData>
  <mergeCells count="1">
    <mergeCell ref="A4:K4"/>
  </mergeCells>
  <pageMargins left="0.511811024" right="0.511811024" top="0.78740157499999996" bottom="0.78740157499999996" header="0.31496062000000002" footer="0.31496062000000002"/>
  <pageSetup paperSize="9"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246BD-DF66-41EC-8AC4-55BD3E50DEF0}">
  <sheetPr codeName="Planilha101">
    <tabColor theme="9" tint="0.59999389629810485"/>
  </sheetPr>
  <dimension ref="A1:W265"/>
  <sheetViews>
    <sheetView showGridLines="0" zoomScaleNormal="100" workbookViewId="0">
      <selection activeCell="L14" sqref="L14"/>
    </sheetView>
  </sheetViews>
  <sheetFormatPr defaultColWidth="8.796875" defaultRowHeight="18" x14ac:dyDescent="0.55000000000000004"/>
  <cols>
    <col min="1" max="1" width="23" style="17" customWidth="1"/>
    <col min="2" max="2" width="54.33203125" customWidth="1"/>
    <col min="4" max="4" width="44.33203125" bestFit="1" customWidth="1"/>
    <col min="5" max="5" width="4.6640625" customWidth="1"/>
    <col min="6" max="7" width="7.1328125" bestFit="1" customWidth="1"/>
    <col min="8" max="8" width="10.6640625" bestFit="1" customWidth="1"/>
    <col min="9" max="9" width="12.33203125" bestFit="1" customWidth="1"/>
    <col min="10" max="10" width="21.6640625" bestFit="1" customWidth="1"/>
    <col min="11" max="11" width="4.33203125" customWidth="1"/>
    <col min="12" max="12" width="12.1328125" style="15" customWidth="1"/>
    <col min="13" max="14" width="9" style="15" customWidth="1"/>
    <col min="15" max="23" width="8.796875" style="15"/>
  </cols>
  <sheetData>
    <row r="1" spans="1:23" x14ac:dyDescent="0.55000000000000004">
      <c r="A1" s="83" t="s">
        <v>1177</v>
      </c>
      <c r="L1" s="14"/>
      <c r="M1" s="14"/>
      <c r="N1" s="14"/>
      <c r="O1" s="14"/>
      <c r="P1" s="14"/>
      <c r="Q1" s="14"/>
      <c r="R1" s="14"/>
      <c r="S1" s="14"/>
      <c r="T1" s="14"/>
      <c r="U1" s="14"/>
      <c r="V1" s="14"/>
      <c r="W1" s="14"/>
    </row>
    <row r="2" spans="1:23" x14ac:dyDescent="0.55000000000000004">
      <c r="A2" s="17" t="s">
        <v>1178</v>
      </c>
      <c r="L2" s="14"/>
      <c r="M2" s="14"/>
      <c r="N2" s="14"/>
      <c r="O2" s="14"/>
      <c r="P2" s="14"/>
      <c r="Q2" s="14"/>
      <c r="R2" s="14"/>
      <c r="S2" s="14"/>
      <c r="T2" s="14"/>
      <c r="U2" s="14"/>
      <c r="V2" s="14"/>
      <c r="W2" s="14"/>
    </row>
    <row r="3" spans="1:23" x14ac:dyDescent="0.55000000000000004">
      <c r="L3" s="14"/>
      <c r="M3" s="14"/>
      <c r="N3" s="14"/>
      <c r="O3" s="14"/>
      <c r="P3" s="14"/>
      <c r="Q3" s="14"/>
      <c r="R3" s="14"/>
      <c r="S3" s="14"/>
      <c r="T3" s="14"/>
      <c r="U3" s="14"/>
      <c r="V3" s="14"/>
      <c r="W3" s="14"/>
    </row>
    <row r="4" spans="1:23" ht="59.25" customHeight="1" x14ac:dyDescent="0.45">
      <c r="A4" s="172" t="s">
        <v>1179</v>
      </c>
      <c r="B4" s="172"/>
      <c r="C4" s="172"/>
      <c r="D4" s="172"/>
      <c r="E4" s="172"/>
      <c r="F4" s="172"/>
      <c r="G4" s="172"/>
      <c r="H4" s="172"/>
      <c r="I4" s="172"/>
      <c r="J4" s="126"/>
      <c r="L4" s="14"/>
      <c r="M4" s="14"/>
      <c r="N4" s="14"/>
      <c r="O4" s="14"/>
      <c r="P4" s="14"/>
      <c r="Q4" s="14"/>
      <c r="R4" s="14"/>
      <c r="S4" s="14"/>
      <c r="T4" s="14"/>
      <c r="U4" s="14"/>
      <c r="V4" s="14"/>
      <c r="W4" s="14"/>
    </row>
    <row r="6" spans="1:23" ht="15.75" x14ac:dyDescent="0.5">
      <c r="A6" s="2" t="s">
        <v>15</v>
      </c>
      <c r="B6" s="2" t="s">
        <v>16</v>
      </c>
    </row>
    <row r="7" spans="1:23" ht="15.75" x14ac:dyDescent="0.5">
      <c r="A7" s="23" t="s">
        <v>165</v>
      </c>
      <c r="B7" s="24" t="s">
        <v>498</v>
      </c>
    </row>
    <row r="8" spans="1:23" ht="15.75" customHeight="1" x14ac:dyDescent="0.45">
      <c r="A8" s="23" t="s">
        <v>1132</v>
      </c>
      <c r="B8" s="26" t="s">
        <v>1105</v>
      </c>
    </row>
    <row r="9" spans="1:23" ht="31.5" x14ac:dyDescent="0.5">
      <c r="A9" s="23" t="s">
        <v>1180</v>
      </c>
      <c r="B9" s="24" t="s">
        <v>1181</v>
      </c>
    </row>
    <row r="10" spans="1:23" ht="31.5" x14ac:dyDescent="0.5">
      <c r="A10" s="23" t="s">
        <v>1189</v>
      </c>
      <c r="B10" s="24" t="s">
        <v>1190</v>
      </c>
    </row>
    <row r="11" spans="1:23" ht="15.75" x14ac:dyDescent="0.5">
      <c r="A11" s="23"/>
      <c r="B11" s="24"/>
    </row>
    <row r="12" spans="1:23" x14ac:dyDescent="0.55000000000000004">
      <c r="D12" s="1" t="s">
        <v>17</v>
      </c>
      <c r="F12" t="s">
        <v>1102</v>
      </c>
      <c r="G12" s="13" t="s">
        <v>165</v>
      </c>
      <c r="H12" s="13" t="s">
        <v>197</v>
      </c>
      <c r="I12" s="13" t="s">
        <v>1180</v>
      </c>
      <c r="J12" s="13" t="s">
        <v>1189</v>
      </c>
      <c r="L12" s="58" t="s">
        <v>192</v>
      </c>
      <c r="N12" s="15" t="s">
        <v>201</v>
      </c>
      <c r="O12" s="15" t="s">
        <v>202</v>
      </c>
    </row>
    <row r="13" spans="1:23" x14ac:dyDescent="0.55000000000000004">
      <c r="D13" t="s">
        <v>195</v>
      </c>
      <c r="F13" s="49">
        <v>37622</v>
      </c>
      <c r="G13" s="92">
        <v>100.42</v>
      </c>
      <c r="H13" s="54" t="s">
        <v>200</v>
      </c>
      <c r="I13" s="54">
        <v>11</v>
      </c>
      <c r="J13" s="54" t="b">
        <v>1</v>
      </c>
      <c r="L13" s="58" cm="1">
        <f t="array" ref="L13:L265">_xlfn.LAMBDA(_xlpm.values,_xlop.trendCycle,_xlop.nTerms,_xlop.endPointAsymmetric, _xlfn.LET(_xlpm.y, VEC(_xlpm.values), _xlpm.N, ROWS(_xlpm.y), _xlpm.trendCycle, IF(OR(_xlfn.ISOMITTED(_xlpm.trendCycle), ISBLANK(_xlpm.trendCycle)), "t", LOWER(_xlpm.trendCycle)), _xlpm.nTerms, IF(OR(_xlfn.ISOMITTED(_xlpm.nTerms), ISBLANK(_xlpm.nTerms)), 13, _xlpm.nTerms), _xlpm.endPointAsymmetric, IF(OR(_xlfn.ISOMITTED(_xlpm.endPointAsymmetric), ISBLANK(_xlpm.endPointAsymmetric)), FALSE, _xlpm.endPointAsymmetric), _xlpm.weights, HENDFILTER_WEIGHTS(_xlpm.nTerms, FALSE), _xlpm.trend, _xlfn.LET(_xlpm.m, INT((_xlpm.nTerms - 1) / 2), _xlfn.SCAN(0, _xlfn.SEQUENCE(_xlpm.N), _xlfn.LAMBDA(_xlpm.accum,_xlpm.i, IF(_xlpm.i &lt;= _xlpm.m, IF(_xlpm.endPointAsymmetric = FALSE, NA(), SUM(INDEX(_xlpm.y, _xlfn.SEQUENCE(_xlpm.i + _xlpm.m)) * FLIPUD(HENDFILTER_WEIGHTS(_xlpm.nTerms, TRUE, _xlpm.i + _xlpm.m)))), IF(AND(_xlpm.i &gt; _xlpm.m, _xlpm.i &lt;= _xlpm.N - _xlpm.m), SUM(INDEX(_xlpm.y, _xlfn.SEQUENCE(_xlpm.i + _xlpm.m - _xlpm.i + _xlpm.m + 1, 1, _xlpm.i - _xlpm.m)) * _xlpm.weights), IF(_xlpm.endPointAsymmetric = FALSE, NA(), SUM(INDEX(_xlpm.y, _xlfn.SEQUENCE(_xlpm.N - _xlpm.i + _xlpm.m + 1, 1, _xlpm.i - _xlpm.m)) * HENDFILTER_WEIGHTS(_xlpm.nTerms, TRUE, _xlpm.N - _xlpm.i + 1 + _xlpm.m)))))))), _xlpm.final, IF(_xlpm.trendCycle = "t", _xlpm.trend, IF(_xlpm.trendCycle = "c", _xlpm.y - _xlpm.trend, "#trendCycle must be either ""t"" or ""c""")), _xlpm.final))($G$13:$G$265, $H$13, $I$13, $J$13)</f>
        <v>101.48947845960278</v>
      </c>
      <c r="M13" s="53"/>
      <c r="N13" s="58" cm="1">
        <f t="array" ref="N13:N265">HENDFILTER($G$13:$G$265,$H$13,$I$13,$J$13)</f>
        <v>101.48947845960278</v>
      </c>
      <c r="O13" s="15" cm="1">
        <f t="array" ref="O13:O265">HENDFILTER($G$13:$G$265,"C",$I$13,$J$13)</f>
        <v>-1.0694784596027773</v>
      </c>
    </row>
    <row r="14" spans="1:23" x14ac:dyDescent="0.55000000000000004">
      <c r="D14" t="s">
        <v>222</v>
      </c>
      <c r="F14" s="49">
        <v>37653</v>
      </c>
      <c r="G14" s="92">
        <v>101.99</v>
      </c>
      <c r="L14" s="58">
        <v>101.45937262075431</v>
      </c>
      <c r="M14" s="53"/>
      <c r="N14" s="58">
        <v>101.45937262075431</v>
      </c>
      <c r="O14" s="15">
        <v>0.53062737924568637</v>
      </c>
    </row>
    <row r="15" spans="1:23" x14ac:dyDescent="0.55000000000000004">
      <c r="F15" s="49">
        <v>37681</v>
      </c>
      <c r="G15" s="92">
        <v>101.8</v>
      </c>
      <c r="L15" s="58">
        <v>101.25029043913342</v>
      </c>
      <c r="M15" s="53"/>
      <c r="N15" s="58">
        <v>101.25029043913342</v>
      </c>
      <c r="O15" s="15">
        <v>0.54970956086657452</v>
      </c>
    </row>
    <row r="16" spans="1:23" ht="18.75" customHeight="1" x14ac:dyDescent="0.55000000000000004">
      <c r="D16" s="173"/>
      <c r="F16" s="49">
        <v>37712</v>
      </c>
      <c r="G16" s="92">
        <v>101.01</v>
      </c>
      <c r="L16" s="58">
        <v>100.86457082497384</v>
      </c>
      <c r="M16" s="53"/>
      <c r="N16" s="58">
        <v>100.86457082497384</v>
      </c>
      <c r="O16" s="15">
        <v>0.14542917502616604</v>
      </c>
    </row>
    <row r="17" spans="1:23" x14ac:dyDescent="0.55000000000000004">
      <c r="D17" s="173"/>
      <c r="F17" s="49">
        <v>37742</v>
      </c>
      <c r="G17" s="92">
        <v>99.97</v>
      </c>
      <c r="L17" s="58">
        <v>100.30172946155076</v>
      </c>
      <c r="M17" s="53"/>
      <c r="N17" s="58">
        <v>100.30172946155076</v>
      </c>
      <c r="O17" s="15">
        <v>-0.33172946155076488</v>
      </c>
    </row>
    <row r="18" spans="1:23" x14ac:dyDescent="0.55000000000000004">
      <c r="D18" s="46"/>
      <c r="F18" s="49">
        <v>37773</v>
      </c>
      <c r="G18" s="92">
        <v>100.14</v>
      </c>
      <c r="L18" s="58">
        <v>99.849009612678344</v>
      </c>
      <c r="M18" s="53"/>
      <c r="N18" s="58">
        <v>99.849009612678344</v>
      </c>
      <c r="O18" s="15">
        <v>0.29099038732165639</v>
      </c>
    </row>
    <row r="19" spans="1:23" x14ac:dyDescent="0.55000000000000004">
      <c r="F19" s="49">
        <v>37803</v>
      </c>
      <c r="G19" s="92">
        <v>98.94</v>
      </c>
      <c r="L19" s="58">
        <v>99.817306285046214</v>
      </c>
      <c r="M19" s="53"/>
      <c r="N19" s="58">
        <v>99.817306285046214</v>
      </c>
      <c r="O19" s="15">
        <v>-0.87730628504621677</v>
      </c>
    </row>
    <row r="20" spans="1:23" x14ac:dyDescent="0.55000000000000004">
      <c r="F20" s="49">
        <v>37834</v>
      </c>
      <c r="G20" s="92">
        <v>99.82</v>
      </c>
      <c r="L20" s="58">
        <v>100.21547890190303</v>
      </c>
      <c r="M20" s="53"/>
      <c r="N20" s="58">
        <v>100.21547890190303</v>
      </c>
      <c r="O20" s="15">
        <v>-0.39547890190303292</v>
      </c>
    </row>
    <row r="21" spans="1:23" x14ac:dyDescent="0.55000000000000004">
      <c r="F21" s="49">
        <v>37865</v>
      </c>
      <c r="G21" s="92">
        <v>101.66</v>
      </c>
      <c r="L21" s="58">
        <v>100.81868182900689</v>
      </c>
      <c r="M21" s="53"/>
      <c r="N21" s="58">
        <v>100.81868182900689</v>
      </c>
      <c r="O21" s="15">
        <v>0.84131817099310524</v>
      </c>
    </row>
    <row r="22" spans="1:23" s="21" customFormat="1" x14ac:dyDescent="0.55000000000000004">
      <c r="A22" s="17"/>
      <c r="B22"/>
      <c r="C22"/>
      <c r="D22"/>
      <c r="E22"/>
      <c r="F22" s="49">
        <v>37895</v>
      </c>
      <c r="G22" s="92">
        <v>101.86</v>
      </c>
      <c r="H22"/>
      <c r="I22"/>
      <c r="J22"/>
      <c r="K22"/>
      <c r="L22" s="58">
        <v>101.44492909567214</v>
      </c>
      <c r="M22" s="53"/>
      <c r="N22" s="58">
        <v>101.44492909567214</v>
      </c>
      <c r="O22" s="15">
        <v>0.41507090432786242</v>
      </c>
      <c r="P22" s="15"/>
      <c r="Q22" s="15"/>
      <c r="R22" s="15"/>
      <c r="S22" s="15"/>
      <c r="T22" s="15"/>
      <c r="U22" s="15"/>
      <c r="V22" s="15"/>
      <c r="W22" s="15"/>
    </row>
    <row r="23" spans="1:23" s="21" customFormat="1" x14ac:dyDescent="0.55000000000000004">
      <c r="A23" s="17"/>
      <c r="B23"/>
      <c r="C23"/>
      <c r="D23"/>
      <c r="E23"/>
      <c r="F23" s="49">
        <v>37926</v>
      </c>
      <c r="G23" s="92">
        <v>102</v>
      </c>
      <c r="H23"/>
      <c r="I23"/>
      <c r="J23"/>
      <c r="K23"/>
      <c r="L23" s="58">
        <v>102.05637218818333</v>
      </c>
      <c r="M23" s="53"/>
      <c r="N23" s="58">
        <v>102.05637218818333</v>
      </c>
      <c r="O23" s="15">
        <v>-5.6372188183331673E-2</v>
      </c>
      <c r="P23" s="15"/>
      <c r="Q23" s="15"/>
      <c r="R23" s="15"/>
      <c r="S23" s="15"/>
      <c r="T23" s="15"/>
      <c r="U23" s="15"/>
      <c r="V23" s="15"/>
      <c r="W23" s="15"/>
    </row>
    <row r="24" spans="1:23" s="21" customFormat="1" x14ac:dyDescent="0.55000000000000004">
      <c r="A24" s="17"/>
      <c r="B24"/>
      <c r="C24"/>
      <c r="D24"/>
      <c r="E24"/>
      <c r="F24" s="49">
        <v>37956</v>
      </c>
      <c r="G24" s="92">
        <v>101.94</v>
      </c>
      <c r="H24"/>
      <c r="I24"/>
      <c r="J24"/>
      <c r="K24"/>
      <c r="L24" s="58">
        <v>102.74053573361624</v>
      </c>
      <c r="M24" s="53"/>
      <c r="N24" s="58">
        <v>102.74053573361624</v>
      </c>
      <c r="O24" s="15">
        <v>-0.80053573361624331</v>
      </c>
      <c r="P24" s="15"/>
      <c r="Q24" s="15"/>
      <c r="R24" s="15"/>
      <c r="S24" s="15"/>
      <c r="T24" s="15"/>
      <c r="U24" s="15"/>
      <c r="V24" s="15"/>
      <c r="W24" s="15"/>
    </row>
    <row r="25" spans="1:23" s="21" customFormat="1" x14ac:dyDescent="0.55000000000000004">
      <c r="A25" s="17"/>
      <c r="B25"/>
      <c r="C25"/>
      <c r="D25"/>
      <c r="E25"/>
      <c r="F25" s="49">
        <v>37987</v>
      </c>
      <c r="G25" s="92">
        <v>103.64</v>
      </c>
      <c r="H25"/>
      <c r="I25"/>
      <c r="J25"/>
      <c r="K25"/>
      <c r="L25" s="58">
        <v>103.54583504730563</v>
      </c>
      <c r="M25" s="53"/>
      <c r="N25" s="58">
        <v>103.54583504730563</v>
      </c>
      <c r="O25" s="15">
        <v>9.4164952694370641E-2</v>
      </c>
      <c r="P25" s="15"/>
      <c r="Q25" s="15"/>
      <c r="R25" s="15"/>
      <c r="S25" s="15"/>
      <c r="T25" s="15"/>
      <c r="U25" s="15"/>
      <c r="V25" s="15"/>
      <c r="W25" s="15"/>
    </row>
    <row r="26" spans="1:23" s="21" customFormat="1" x14ac:dyDescent="0.55000000000000004">
      <c r="A26" s="17"/>
      <c r="B26"/>
      <c r="C26"/>
      <c r="D26"/>
      <c r="E26"/>
      <c r="F26" s="49">
        <v>38018</v>
      </c>
      <c r="G26" s="92">
        <v>104.52</v>
      </c>
      <c r="H26"/>
      <c r="I26"/>
      <c r="J26"/>
      <c r="K26"/>
      <c r="L26" s="58">
        <v>104.49145196908353</v>
      </c>
      <c r="M26" s="53"/>
      <c r="N26" s="58">
        <v>104.49145196908353</v>
      </c>
      <c r="O26" s="15">
        <v>2.8548030916468292E-2</v>
      </c>
      <c r="P26" s="15"/>
      <c r="Q26" s="15"/>
      <c r="R26" s="15"/>
      <c r="S26" s="15"/>
      <c r="T26" s="15"/>
      <c r="U26" s="15"/>
      <c r="V26" s="15"/>
      <c r="W26" s="15"/>
    </row>
    <row r="27" spans="1:23" s="21" customFormat="1" x14ac:dyDescent="0.55000000000000004">
      <c r="A27" s="17"/>
      <c r="B27"/>
      <c r="C27"/>
      <c r="D27"/>
      <c r="E27"/>
      <c r="F27" s="49">
        <v>38047</v>
      </c>
      <c r="G27" s="92">
        <v>105.83</v>
      </c>
      <c r="H27"/>
      <c r="I27"/>
      <c r="J27"/>
      <c r="K27"/>
      <c r="L27" s="58">
        <v>105.42508898222519</v>
      </c>
      <c r="M27" s="53"/>
      <c r="N27" s="58">
        <v>105.42508898222519</v>
      </c>
      <c r="O27" s="15">
        <v>0.40491101777480765</v>
      </c>
      <c r="P27" s="15"/>
      <c r="Q27" s="15"/>
      <c r="R27" s="15"/>
      <c r="S27" s="15"/>
      <c r="T27" s="15"/>
      <c r="U27" s="15"/>
      <c r="V27" s="15"/>
      <c r="W27" s="15"/>
    </row>
    <row r="28" spans="1:23" s="21" customFormat="1" x14ac:dyDescent="0.55000000000000004">
      <c r="A28" s="17"/>
      <c r="B28"/>
      <c r="C28"/>
      <c r="D28"/>
      <c r="E28"/>
      <c r="F28" s="49">
        <v>38078</v>
      </c>
      <c r="G28" s="92">
        <v>106.41</v>
      </c>
      <c r="H28"/>
      <c r="I28"/>
      <c r="J28"/>
      <c r="K28"/>
      <c r="L28" s="58">
        <v>106.16030678300028</v>
      </c>
      <c r="M28" s="53"/>
      <c r="N28" s="58">
        <v>106.16030678300028</v>
      </c>
      <c r="O28" s="15">
        <v>0.24969321699971658</v>
      </c>
      <c r="P28" s="15"/>
      <c r="Q28" s="15"/>
      <c r="R28" s="15"/>
      <c r="S28" s="15"/>
      <c r="T28" s="15"/>
      <c r="U28" s="15"/>
      <c r="V28" s="15"/>
      <c r="W28" s="15"/>
    </row>
    <row r="29" spans="1:23" s="21" customFormat="1" x14ac:dyDescent="0.55000000000000004">
      <c r="A29" s="17"/>
      <c r="B29"/>
      <c r="C29"/>
      <c r="D29"/>
      <c r="E29"/>
      <c r="F29" s="49">
        <v>38108</v>
      </c>
      <c r="G29" s="92">
        <v>106.33</v>
      </c>
      <c r="H29"/>
      <c r="I29"/>
      <c r="J29"/>
      <c r="K29"/>
      <c r="L29" s="58">
        <v>106.72616315572971</v>
      </c>
      <c r="M29" s="53"/>
      <c r="N29" s="58">
        <v>106.72616315572971</v>
      </c>
      <c r="O29" s="15">
        <v>-0.39616315572970962</v>
      </c>
      <c r="P29" s="15"/>
      <c r="Q29" s="15"/>
      <c r="R29" s="15"/>
      <c r="S29" s="15"/>
      <c r="T29" s="15"/>
      <c r="U29" s="15"/>
      <c r="V29" s="15"/>
      <c r="W29" s="15"/>
    </row>
    <row r="30" spans="1:23" s="21" customFormat="1" x14ac:dyDescent="0.55000000000000004">
      <c r="A30" s="17"/>
      <c r="B30"/>
      <c r="C30"/>
      <c r="D30"/>
      <c r="E30"/>
      <c r="F30" s="49">
        <v>38139</v>
      </c>
      <c r="G30" s="92">
        <v>107.19</v>
      </c>
      <c r="H30"/>
      <c r="I30"/>
      <c r="J30"/>
      <c r="K30"/>
      <c r="L30" s="58">
        <v>107.21084294962003</v>
      </c>
      <c r="M30" s="53"/>
      <c r="N30" s="58">
        <v>107.21084294962003</v>
      </c>
      <c r="O30" s="15">
        <v>-2.0842949620032414E-2</v>
      </c>
      <c r="P30" s="15"/>
      <c r="Q30" s="15"/>
      <c r="R30" s="15"/>
      <c r="S30" s="15"/>
      <c r="T30" s="15"/>
      <c r="U30" s="15"/>
      <c r="V30" s="15"/>
      <c r="W30" s="15"/>
    </row>
    <row r="31" spans="1:23" s="21" customFormat="1" x14ac:dyDescent="0.55000000000000004">
      <c r="A31" s="17"/>
      <c r="B31"/>
      <c r="C31"/>
      <c r="D31"/>
      <c r="E31"/>
      <c r="F31" s="49">
        <v>38169</v>
      </c>
      <c r="G31" s="92">
        <v>107.67</v>
      </c>
      <c r="H31"/>
      <c r="I31"/>
      <c r="J31"/>
      <c r="K31"/>
      <c r="L31" s="58">
        <v>107.73540258503105</v>
      </c>
      <c r="M31" s="53"/>
      <c r="N31" s="58">
        <v>107.73540258503105</v>
      </c>
      <c r="O31" s="15">
        <v>-6.5402585031051785E-2</v>
      </c>
      <c r="P31" s="15"/>
      <c r="Q31" s="15"/>
      <c r="R31" s="15"/>
      <c r="S31" s="15"/>
      <c r="T31" s="15"/>
      <c r="U31" s="15"/>
      <c r="V31" s="15"/>
      <c r="W31" s="15"/>
    </row>
    <row r="32" spans="1:23" s="21" customFormat="1" x14ac:dyDescent="0.55000000000000004">
      <c r="A32" s="17"/>
      <c r="B32"/>
      <c r="C32"/>
      <c r="D32"/>
      <c r="E32"/>
      <c r="F32" s="49">
        <v>38200</v>
      </c>
      <c r="G32" s="92">
        <v>108.18</v>
      </c>
      <c r="H32"/>
      <c r="I32"/>
      <c r="J32"/>
      <c r="K32"/>
      <c r="L32" s="58">
        <v>108.26806220095692</v>
      </c>
      <c r="M32" s="53"/>
      <c r="N32" s="58">
        <v>108.26806220095692</v>
      </c>
      <c r="O32" s="15">
        <v>-8.8062200956912307E-2</v>
      </c>
      <c r="P32" s="15"/>
      <c r="Q32" s="15"/>
      <c r="R32" s="15"/>
      <c r="S32" s="15"/>
      <c r="T32" s="15"/>
      <c r="U32" s="15"/>
      <c r="V32" s="15"/>
      <c r="W32" s="15"/>
    </row>
    <row r="33" spans="1:23" s="21" customFormat="1" x14ac:dyDescent="0.55000000000000004">
      <c r="A33" s="17"/>
      <c r="B33"/>
      <c r="C33"/>
      <c r="D33"/>
      <c r="E33"/>
      <c r="F33" s="49">
        <v>38231</v>
      </c>
      <c r="G33" s="92">
        <v>109.16</v>
      </c>
      <c r="H33"/>
      <c r="I33"/>
      <c r="J33"/>
      <c r="K33"/>
      <c r="L33" s="58">
        <v>108.72505650696051</v>
      </c>
      <c r="M33" s="53"/>
      <c r="N33" s="58">
        <v>108.72505650696051</v>
      </c>
      <c r="O33" s="15">
        <v>0.43494349303948354</v>
      </c>
      <c r="P33" s="15"/>
      <c r="Q33" s="15"/>
      <c r="R33" s="15"/>
      <c r="S33" s="15"/>
      <c r="T33" s="15"/>
      <c r="U33" s="15"/>
      <c r="V33" s="15"/>
      <c r="W33" s="15"/>
    </row>
    <row r="34" spans="1:23" s="21" customFormat="1" x14ac:dyDescent="0.55000000000000004">
      <c r="A34" s="17"/>
      <c r="B34"/>
      <c r="C34"/>
      <c r="D34"/>
      <c r="E34"/>
      <c r="F34" s="49">
        <v>38261</v>
      </c>
      <c r="G34" s="92">
        <v>108.73</v>
      </c>
      <c r="H34"/>
      <c r="I34"/>
      <c r="J34"/>
      <c r="K34"/>
      <c r="L34" s="58">
        <v>109.04259877893006</v>
      </c>
      <c r="M34" s="53"/>
      <c r="N34" s="58">
        <v>109.04259877893006</v>
      </c>
      <c r="O34" s="15">
        <v>-0.31259877893005239</v>
      </c>
      <c r="P34" s="15"/>
      <c r="Q34" s="15"/>
      <c r="R34" s="15"/>
      <c r="S34" s="15"/>
      <c r="T34" s="15"/>
      <c r="U34" s="15"/>
      <c r="V34" s="15"/>
      <c r="W34" s="15"/>
    </row>
    <row r="35" spans="1:23" s="21" customFormat="1" x14ac:dyDescent="0.55000000000000004">
      <c r="A35" s="17"/>
      <c r="B35"/>
      <c r="C35"/>
      <c r="D35"/>
      <c r="E35"/>
      <c r="F35" s="49">
        <v>38292</v>
      </c>
      <c r="G35" s="92">
        <v>109.67</v>
      </c>
      <c r="H35"/>
      <c r="I35"/>
      <c r="J35"/>
      <c r="K35"/>
      <c r="L35" s="58">
        <v>109.24363452337137</v>
      </c>
      <c r="M35" s="53"/>
      <c r="N35" s="58">
        <v>109.24363452337137</v>
      </c>
      <c r="O35" s="15">
        <v>0.42636547662863222</v>
      </c>
      <c r="P35" s="15"/>
      <c r="Q35" s="15"/>
      <c r="R35" s="15"/>
      <c r="S35" s="15"/>
      <c r="T35" s="15"/>
      <c r="U35" s="15"/>
      <c r="V35" s="15"/>
      <c r="W35" s="15"/>
    </row>
    <row r="36" spans="1:23" s="21" customFormat="1" x14ac:dyDescent="0.55000000000000004">
      <c r="A36" s="17"/>
      <c r="B36"/>
      <c r="C36"/>
      <c r="D36"/>
      <c r="E36"/>
      <c r="F36" s="49">
        <v>38322</v>
      </c>
      <c r="G36" s="92">
        <v>109.08</v>
      </c>
      <c r="H36"/>
      <c r="I36"/>
      <c r="J36"/>
      <c r="K36"/>
      <c r="L36" s="58">
        <v>109.44421561410725</v>
      </c>
      <c r="M36" s="53"/>
      <c r="N36" s="58">
        <v>109.44421561410725</v>
      </c>
      <c r="O36" s="15">
        <v>-0.36421561410725189</v>
      </c>
      <c r="P36" s="15"/>
      <c r="Q36" s="15"/>
      <c r="R36" s="15"/>
      <c r="S36" s="15"/>
      <c r="T36" s="15"/>
      <c r="U36" s="15"/>
      <c r="V36" s="15"/>
      <c r="W36" s="15"/>
    </row>
    <row r="37" spans="1:23" s="21" customFormat="1" x14ac:dyDescent="0.55000000000000004">
      <c r="A37" s="17"/>
      <c r="B37"/>
      <c r="C37"/>
      <c r="D37"/>
      <c r="E37"/>
      <c r="F37" s="49">
        <v>38353</v>
      </c>
      <c r="G37" s="92">
        <v>109.54</v>
      </c>
      <c r="H37"/>
      <c r="I37"/>
      <c r="J37"/>
      <c r="K37"/>
      <c r="L37" s="58">
        <v>109.73886423174348</v>
      </c>
      <c r="M37" s="53"/>
      <c r="N37" s="58">
        <v>109.73886423174348</v>
      </c>
      <c r="O37" s="15">
        <v>-0.19886423174347101</v>
      </c>
      <c r="P37" s="15"/>
      <c r="Q37" s="53"/>
      <c r="R37" s="15"/>
      <c r="S37" s="15"/>
      <c r="T37" s="15"/>
      <c r="U37" s="15"/>
      <c r="V37" s="15"/>
      <c r="W37" s="15"/>
    </row>
    <row r="38" spans="1:23" s="21" customFormat="1" x14ac:dyDescent="0.55000000000000004">
      <c r="A38" s="17"/>
      <c r="B38"/>
      <c r="C38"/>
      <c r="D38"/>
      <c r="E38"/>
      <c r="F38" s="49">
        <v>38384</v>
      </c>
      <c r="G38" s="92">
        <v>110.2</v>
      </c>
      <c r="H38"/>
      <c r="I38"/>
      <c r="J38"/>
      <c r="K38"/>
      <c r="L38" s="58">
        <v>110.12387733010024</v>
      </c>
      <c r="M38" s="53"/>
      <c r="N38" s="58">
        <v>110.12387733010024</v>
      </c>
      <c r="O38" s="15">
        <v>7.6122669899760353E-2</v>
      </c>
      <c r="P38" s="15"/>
      <c r="Q38" s="15"/>
      <c r="R38" s="15"/>
      <c r="S38" s="15"/>
      <c r="T38" s="15"/>
      <c r="U38" s="15"/>
      <c r="V38" s="15"/>
      <c r="W38" s="15"/>
    </row>
    <row r="39" spans="1:23" s="21" customFormat="1" x14ac:dyDescent="0.55000000000000004">
      <c r="A39" s="17"/>
      <c r="B39"/>
      <c r="C39"/>
      <c r="D39"/>
      <c r="E39"/>
      <c r="F39" s="49">
        <v>38412</v>
      </c>
      <c r="G39" s="92">
        <v>110.38</v>
      </c>
      <c r="H39"/>
      <c r="I39"/>
      <c r="J39"/>
      <c r="K39"/>
      <c r="L39" s="58">
        <v>110.47222910216718</v>
      </c>
      <c r="M39" s="53"/>
      <c r="N39" s="58">
        <v>110.47222910216718</v>
      </c>
      <c r="O39" s="15">
        <v>-9.2229102167181054E-2</v>
      </c>
      <c r="P39" s="15"/>
      <c r="Q39" s="15"/>
      <c r="R39" s="15"/>
      <c r="S39" s="15"/>
      <c r="T39" s="15"/>
      <c r="U39" s="15"/>
      <c r="V39" s="15"/>
      <c r="W39" s="15"/>
    </row>
    <row r="40" spans="1:23" s="21" customFormat="1" x14ac:dyDescent="0.55000000000000004">
      <c r="A40" s="17"/>
      <c r="B40"/>
      <c r="C40"/>
      <c r="D40"/>
      <c r="E40"/>
      <c r="F40" s="49">
        <v>38443</v>
      </c>
      <c r="G40" s="92">
        <v>111.11</v>
      </c>
      <c r="H40"/>
      <c r="I40"/>
      <c r="J40"/>
      <c r="K40"/>
      <c r="L40" s="58">
        <v>110.69281105891012</v>
      </c>
      <c r="M40" s="53"/>
      <c r="N40" s="58">
        <v>110.69281105891012</v>
      </c>
      <c r="O40" s="15">
        <v>0.4171889410898757</v>
      </c>
      <c r="P40" s="15"/>
      <c r="Q40" s="15"/>
      <c r="R40" s="15"/>
      <c r="S40" s="15"/>
      <c r="T40" s="15"/>
      <c r="U40" s="15"/>
      <c r="V40" s="15"/>
      <c r="W40" s="15"/>
    </row>
    <row r="41" spans="1:23" s="21" customFormat="1" x14ac:dyDescent="0.55000000000000004">
      <c r="A41" s="17"/>
      <c r="B41"/>
      <c r="C41"/>
      <c r="D41"/>
      <c r="E41"/>
      <c r="F41" s="49">
        <v>38473</v>
      </c>
      <c r="G41" s="92">
        <v>111</v>
      </c>
      <c r="H41"/>
      <c r="I41"/>
      <c r="J41"/>
      <c r="K41"/>
      <c r="L41" s="58">
        <v>110.77483470090283</v>
      </c>
      <c r="M41" s="53"/>
      <c r="N41" s="58">
        <v>110.77483470090283</v>
      </c>
      <c r="O41" s="15">
        <v>0.22516529909717065</v>
      </c>
      <c r="P41" s="15"/>
      <c r="Q41" s="15"/>
      <c r="R41" s="15"/>
      <c r="S41" s="15"/>
      <c r="T41" s="15"/>
      <c r="U41" s="15"/>
      <c r="V41" s="15"/>
      <c r="W41" s="15"/>
    </row>
    <row r="42" spans="1:23" s="21" customFormat="1" x14ac:dyDescent="0.55000000000000004">
      <c r="A42" s="17"/>
      <c r="B42"/>
      <c r="C42"/>
      <c r="D42"/>
      <c r="E42"/>
      <c r="F42" s="49">
        <v>38504</v>
      </c>
      <c r="G42" s="92">
        <v>110.33</v>
      </c>
      <c r="H42"/>
      <c r="I42"/>
      <c r="J42"/>
      <c r="K42"/>
      <c r="L42" s="58">
        <v>110.72794085171793</v>
      </c>
      <c r="M42" s="53"/>
      <c r="N42" s="58">
        <v>110.72794085171793</v>
      </c>
      <c r="O42" s="15">
        <v>-0.3979408517179337</v>
      </c>
      <c r="P42" s="15"/>
      <c r="Q42" s="15"/>
      <c r="R42" s="15"/>
      <c r="S42" s="15"/>
      <c r="T42" s="15"/>
      <c r="U42" s="15"/>
      <c r="V42" s="15"/>
      <c r="W42" s="15"/>
    </row>
    <row r="43" spans="1:23" s="21" customFormat="1" x14ac:dyDescent="0.55000000000000004">
      <c r="A43" s="17"/>
      <c r="B43"/>
      <c r="C43"/>
      <c r="D43"/>
      <c r="E43"/>
      <c r="F43" s="49">
        <v>38534</v>
      </c>
      <c r="G43" s="92">
        <v>110.43</v>
      </c>
      <c r="H43"/>
      <c r="I43"/>
      <c r="J43"/>
      <c r="K43"/>
      <c r="L43" s="58">
        <v>110.66473673385437</v>
      </c>
      <c r="M43" s="53"/>
      <c r="N43" s="58">
        <v>110.66473673385437</v>
      </c>
      <c r="O43" s="15">
        <v>-0.234736733854362</v>
      </c>
      <c r="P43" s="15"/>
      <c r="Q43" s="15"/>
      <c r="R43" s="15"/>
      <c r="S43" s="15"/>
      <c r="T43" s="15"/>
      <c r="U43" s="15"/>
      <c r="V43" s="15"/>
      <c r="W43" s="15"/>
    </row>
    <row r="44" spans="1:23" s="21" customFormat="1" x14ac:dyDescent="0.55000000000000004">
      <c r="A44" s="17"/>
      <c r="B44"/>
      <c r="C44"/>
      <c r="D44"/>
      <c r="E44"/>
      <c r="F44" s="49">
        <v>38565</v>
      </c>
      <c r="G44" s="92">
        <v>111.22</v>
      </c>
      <c r="H44"/>
      <c r="I44"/>
      <c r="J44"/>
      <c r="K44"/>
      <c r="L44" s="58">
        <v>110.70132877957955</v>
      </c>
      <c r="M44" s="53"/>
      <c r="N44" s="58">
        <v>110.70132877957955</v>
      </c>
      <c r="O44" s="15">
        <v>0.518671220420444</v>
      </c>
      <c r="P44" s="15"/>
      <c r="Q44" s="15"/>
      <c r="R44" s="15"/>
      <c r="S44" s="15"/>
      <c r="T44" s="15"/>
      <c r="U44" s="15"/>
      <c r="V44" s="15"/>
      <c r="W44" s="15"/>
    </row>
    <row r="45" spans="1:23" s="21" customFormat="1" x14ac:dyDescent="0.55000000000000004">
      <c r="A45" s="17"/>
      <c r="B45"/>
      <c r="C45"/>
      <c r="D45"/>
      <c r="E45"/>
      <c r="F45" s="49">
        <v>38596</v>
      </c>
      <c r="G45" s="92">
        <v>110.72</v>
      </c>
      <c r="H45"/>
      <c r="I45"/>
      <c r="J45"/>
      <c r="K45"/>
      <c r="L45" s="58">
        <v>110.93693087098659</v>
      </c>
      <c r="M45" s="53"/>
      <c r="N45" s="58">
        <v>110.93693087098659</v>
      </c>
      <c r="O45" s="15">
        <v>-0.21693087098658737</v>
      </c>
      <c r="P45" s="15"/>
      <c r="Q45" s="15"/>
      <c r="R45" s="15"/>
      <c r="S45" s="15"/>
      <c r="T45" s="15"/>
      <c r="U45" s="15"/>
      <c r="V45" s="15"/>
      <c r="W45" s="15"/>
    </row>
    <row r="46" spans="1:23" s="21" customFormat="1" x14ac:dyDescent="0.55000000000000004">
      <c r="A46" s="17"/>
      <c r="B46"/>
      <c r="C46"/>
      <c r="D46"/>
      <c r="E46"/>
      <c r="F46" s="49">
        <v>38626</v>
      </c>
      <c r="G46" s="92">
        <v>111.1</v>
      </c>
      <c r="H46"/>
      <c r="I46"/>
      <c r="J46"/>
      <c r="K46"/>
      <c r="L46" s="58">
        <v>111.41108088505921</v>
      </c>
      <c r="M46" s="53"/>
      <c r="N46" s="58">
        <v>111.41108088505921</v>
      </c>
      <c r="O46" s="15">
        <v>-0.31108088505921216</v>
      </c>
      <c r="P46" s="15"/>
      <c r="Q46" s="15"/>
      <c r="R46" s="15"/>
      <c r="S46" s="15"/>
      <c r="T46" s="15"/>
      <c r="U46" s="15"/>
      <c r="V46" s="15"/>
      <c r="W46" s="15"/>
    </row>
    <row r="47" spans="1:23" s="21" customFormat="1" x14ac:dyDescent="0.55000000000000004">
      <c r="A47" s="17"/>
      <c r="B47"/>
      <c r="C47"/>
      <c r="D47"/>
      <c r="E47"/>
      <c r="F47" s="49">
        <v>38657</v>
      </c>
      <c r="G47" s="92">
        <v>111.85</v>
      </c>
      <c r="H47"/>
      <c r="I47"/>
      <c r="J47"/>
      <c r="K47"/>
      <c r="L47" s="58">
        <v>112.01092565329407</v>
      </c>
      <c r="M47" s="53"/>
      <c r="N47" s="58">
        <v>112.01092565329407</v>
      </c>
      <c r="O47" s="15">
        <v>-0.16092565329407194</v>
      </c>
      <c r="P47" s="15"/>
      <c r="Q47" s="15"/>
      <c r="R47" s="15"/>
      <c r="S47" s="15"/>
      <c r="T47" s="15"/>
      <c r="U47" s="15"/>
      <c r="V47" s="15"/>
      <c r="W47" s="15"/>
    </row>
    <row r="48" spans="1:23" s="21" customFormat="1" x14ac:dyDescent="0.55000000000000004">
      <c r="A48" s="17"/>
      <c r="B48"/>
      <c r="C48"/>
      <c r="D48"/>
      <c r="E48"/>
      <c r="F48" s="49">
        <v>38687</v>
      </c>
      <c r="G48" s="92">
        <v>112.92</v>
      </c>
      <c r="H48"/>
      <c r="I48"/>
      <c r="J48"/>
      <c r="K48"/>
      <c r="L48" s="58">
        <v>112.60008356968108</v>
      </c>
      <c r="M48" s="53"/>
      <c r="N48" s="58">
        <v>112.60008356968108</v>
      </c>
      <c r="O48" s="15">
        <v>0.31991643031892636</v>
      </c>
      <c r="P48" s="15"/>
      <c r="Q48" s="15"/>
      <c r="R48" s="15"/>
      <c r="S48" s="15"/>
      <c r="T48" s="15"/>
      <c r="U48" s="15"/>
      <c r="V48" s="15"/>
      <c r="W48" s="15"/>
    </row>
    <row r="49" spans="1:23" s="21" customFormat="1" x14ac:dyDescent="0.55000000000000004">
      <c r="A49" s="17"/>
      <c r="B49"/>
      <c r="C49"/>
      <c r="D49"/>
      <c r="E49"/>
      <c r="F49" s="49">
        <v>38718</v>
      </c>
      <c r="G49" s="92">
        <v>113.5</v>
      </c>
      <c r="H49"/>
      <c r="I49"/>
      <c r="J49"/>
      <c r="K49"/>
      <c r="L49" s="58">
        <v>113.17932916928272</v>
      </c>
      <c r="M49" s="53"/>
      <c r="N49" s="58">
        <v>113.17932916928272</v>
      </c>
      <c r="O49" s="15">
        <v>0.32067083071727609</v>
      </c>
      <c r="P49" s="15"/>
      <c r="Q49" s="15"/>
      <c r="R49" s="15"/>
      <c r="S49" s="15"/>
      <c r="T49" s="15"/>
      <c r="U49" s="15"/>
      <c r="V49" s="15"/>
      <c r="W49" s="15"/>
    </row>
    <row r="50" spans="1:23" s="21" customFormat="1" x14ac:dyDescent="0.55000000000000004">
      <c r="A50" s="17"/>
      <c r="B50"/>
      <c r="C50"/>
      <c r="D50"/>
      <c r="E50"/>
      <c r="F50" s="49">
        <v>38749</v>
      </c>
      <c r="G50" s="92">
        <v>113.72</v>
      </c>
      <c r="H50"/>
      <c r="I50"/>
      <c r="J50"/>
      <c r="K50"/>
      <c r="L50" s="58">
        <v>113.64795200155881</v>
      </c>
      <c r="M50" s="53"/>
      <c r="N50" s="58">
        <v>113.64795200155881</v>
      </c>
      <c r="O50" s="15">
        <v>7.2047998441192362E-2</v>
      </c>
      <c r="P50" s="15"/>
      <c r="Q50" s="15"/>
      <c r="R50" s="15"/>
      <c r="S50" s="15"/>
      <c r="T50" s="15"/>
      <c r="U50" s="15"/>
      <c r="V50" s="15"/>
      <c r="W50" s="15"/>
    </row>
    <row r="51" spans="1:23" s="21" customFormat="1" x14ac:dyDescent="0.55000000000000004">
      <c r="A51" s="17"/>
      <c r="B51"/>
      <c r="C51"/>
      <c r="D51"/>
      <c r="E51"/>
      <c r="F51" s="49">
        <v>38777</v>
      </c>
      <c r="G51" s="92">
        <v>113.48</v>
      </c>
      <c r="H51"/>
      <c r="I51"/>
      <c r="J51"/>
      <c r="K51"/>
      <c r="L51" s="58">
        <v>114.01031847409554</v>
      </c>
      <c r="M51" s="53"/>
      <c r="N51" s="58">
        <v>114.01031847409554</v>
      </c>
      <c r="O51" s="15">
        <v>-0.53031847409553734</v>
      </c>
      <c r="P51" s="15"/>
      <c r="Q51" s="15"/>
      <c r="R51" s="15"/>
      <c r="S51" s="15"/>
      <c r="T51" s="15"/>
      <c r="U51" s="15"/>
      <c r="V51" s="15"/>
      <c r="W51" s="15"/>
    </row>
    <row r="52" spans="1:23" s="21" customFormat="1" x14ac:dyDescent="0.55000000000000004">
      <c r="A52" s="17"/>
      <c r="B52"/>
      <c r="C52"/>
      <c r="D52"/>
      <c r="E52"/>
      <c r="F52" s="49">
        <v>38808</v>
      </c>
      <c r="G52" s="92">
        <v>114.36</v>
      </c>
      <c r="H52"/>
      <c r="I52"/>
      <c r="J52"/>
      <c r="K52"/>
      <c r="L52" s="58">
        <v>114.40208599450085</v>
      </c>
      <c r="M52" s="53"/>
      <c r="N52" s="58">
        <v>114.40208599450085</v>
      </c>
      <c r="O52" s="15">
        <v>-4.2085994500851598E-2</v>
      </c>
      <c r="P52" s="15"/>
      <c r="Q52" s="15"/>
      <c r="R52" s="15"/>
      <c r="S52" s="15"/>
      <c r="T52" s="15"/>
      <c r="U52" s="15"/>
      <c r="V52" s="15"/>
      <c r="W52" s="15"/>
    </row>
    <row r="53" spans="1:23" s="21" customFormat="1" x14ac:dyDescent="0.55000000000000004">
      <c r="A53" s="17"/>
      <c r="B53"/>
      <c r="C53"/>
      <c r="D53"/>
      <c r="E53"/>
      <c r="F53" s="49">
        <v>38838</v>
      </c>
      <c r="G53" s="92">
        <v>115.67</v>
      </c>
      <c r="H53"/>
      <c r="I53"/>
      <c r="J53"/>
      <c r="K53"/>
      <c r="L53" s="58">
        <v>114.86372783563185</v>
      </c>
      <c r="M53" s="53"/>
      <c r="N53" s="58">
        <v>114.86372783563185</v>
      </c>
      <c r="O53" s="15">
        <v>0.80627216436815274</v>
      </c>
      <c r="P53" s="15"/>
      <c r="Q53" s="15"/>
      <c r="R53" s="15"/>
      <c r="S53" s="15"/>
      <c r="T53" s="15"/>
      <c r="U53" s="15"/>
      <c r="V53" s="15"/>
      <c r="W53" s="15"/>
    </row>
    <row r="54" spans="1:23" s="21" customFormat="1" x14ac:dyDescent="0.55000000000000004">
      <c r="A54" s="17"/>
      <c r="B54"/>
      <c r="C54"/>
      <c r="D54"/>
      <c r="E54"/>
      <c r="F54" s="49">
        <v>38869</v>
      </c>
      <c r="G54" s="92">
        <v>114.35</v>
      </c>
      <c r="H54"/>
      <c r="I54"/>
      <c r="J54"/>
      <c r="K54"/>
      <c r="L54" s="58">
        <v>115.38234222433914</v>
      </c>
      <c r="M54" s="53"/>
      <c r="N54" s="58">
        <v>115.38234222433914</v>
      </c>
      <c r="O54" s="15">
        <v>-1.0323422243391462</v>
      </c>
      <c r="P54" s="15"/>
      <c r="Q54" s="15"/>
      <c r="R54" s="15"/>
      <c r="S54" s="15"/>
      <c r="T54" s="15"/>
      <c r="U54" s="15"/>
      <c r="V54" s="15"/>
      <c r="W54" s="15"/>
    </row>
    <row r="55" spans="1:23" s="21" customFormat="1" x14ac:dyDescent="0.55000000000000004">
      <c r="A55" s="17"/>
      <c r="B55"/>
      <c r="C55"/>
      <c r="D55"/>
      <c r="E55"/>
      <c r="F55" s="49">
        <v>38899</v>
      </c>
      <c r="G55" s="92">
        <v>116.57</v>
      </c>
      <c r="H55"/>
      <c r="I55"/>
      <c r="J55"/>
      <c r="K55"/>
      <c r="L55" s="58">
        <v>115.90234135833205</v>
      </c>
      <c r="M55" s="53"/>
      <c r="N55" s="58">
        <v>115.90234135833205</v>
      </c>
      <c r="O55" s="15">
        <v>0.66765864166794131</v>
      </c>
      <c r="P55" s="15"/>
      <c r="Q55" s="15"/>
      <c r="R55" s="15"/>
      <c r="S55" s="15"/>
      <c r="T55" s="15"/>
      <c r="U55" s="15"/>
      <c r="V55" s="15"/>
      <c r="W55" s="15"/>
    </row>
    <row r="56" spans="1:23" s="21" customFormat="1" x14ac:dyDescent="0.55000000000000004">
      <c r="A56" s="17"/>
      <c r="B56"/>
      <c r="C56"/>
      <c r="D56"/>
      <c r="E56"/>
      <c r="F56" s="49">
        <v>38930</v>
      </c>
      <c r="G56" s="92">
        <v>116.62</v>
      </c>
      <c r="H56"/>
      <c r="I56"/>
      <c r="J56"/>
      <c r="K56"/>
      <c r="L56" s="58">
        <v>116.50895537898633</v>
      </c>
      <c r="M56" s="53"/>
      <c r="N56" s="58">
        <v>116.50895537898633</v>
      </c>
      <c r="O56" s="15">
        <v>0.11104462101367574</v>
      </c>
      <c r="P56" s="15"/>
      <c r="Q56" s="15"/>
      <c r="R56" s="15"/>
      <c r="S56" s="15"/>
      <c r="T56" s="15"/>
      <c r="U56" s="15"/>
      <c r="V56" s="15"/>
      <c r="W56" s="15"/>
    </row>
    <row r="57" spans="1:23" s="21" customFormat="1" x14ac:dyDescent="0.55000000000000004">
      <c r="A57" s="17"/>
      <c r="B57"/>
      <c r="C57"/>
      <c r="D57"/>
      <c r="E57"/>
      <c r="F57" s="49">
        <v>38961</v>
      </c>
      <c r="G57" s="92">
        <v>116.69</v>
      </c>
      <c r="H57"/>
      <c r="I57"/>
      <c r="J57"/>
      <c r="K57"/>
      <c r="L57" s="58">
        <v>117.27173850916886</v>
      </c>
      <c r="M57" s="53"/>
      <c r="N57" s="58">
        <v>117.27173850916886</v>
      </c>
      <c r="O57" s="15">
        <v>-0.58173850916885783</v>
      </c>
      <c r="P57" s="15"/>
      <c r="Q57" s="15"/>
      <c r="R57" s="15"/>
      <c r="S57" s="15"/>
      <c r="T57" s="15"/>
      <c r="U57" s="15"/>
      <c r="V57" s="15"/>
      <c r="W57" s="15"/>
    </row>
    <row r="58" spans="1:23" s="21" customFormat="1" x14ac:dyDescent="0.55000000000000004">
      <c r="A58" s="17"/>
      <c r="B58"/>
      <c r="C58"/>
      <c r="D58"/>
      <c r="E58"/>
      <c r="F58" s="49">
        <v>38991</v>
      </c>
      <c r="G58" s="92">
        <v>118.11</v>
      </c>
      <c r="H58"/>
      <c r="I58"/>
      <c r="J58"/>
      <c r="K58"/>
      <c r="L58" s="58">
        <v>118.19767704431791</v>
      </c>
      <c r="M58" s="53"/>
      <c r="N58" s="58">
        <v>118.19767704431791</v>
      </c>
      <c r="O58" s="15">
        <v>-8.767704431791401E-2</v>
      </c>
      <c r="P58" s="15"/>
      <c r="Q58" s="15"/>
      <c r="R58" s="15"/>
      <c r="S58" s="15"/>
      <c r="T58" s="15"/>
      <c r="U58" s="15"/>
      <c r="V58" s="15"/>
      <c r="W58" s="15"/>
    </row>
    <row r="59" spans="1:23" s="21" customFormat="1" x14ac:dyDescent="0.55000000000000004">
      <c r="A59" s="17"/>
      <c r="B59"/>
      <c r="C59"/>
      <c r="D59"/>
      <c r="E59"/>
      <c r="F59" s="49">
        <v>39022</v>
      </c>
      <c r="G59" s="92">
        <v>118.91</v>
      </c>
      <c r="H59"/>
      <c r="I59"/>
      <c r="J59"/>
      <c r="K59"/>
      <c r="L59" s="58">
        <v>119.06023739418477</v>
      </c>
      <c r="M59" s="53"/>
      <c r="N59" s="58">
        <v>119.06023739418477</v>
      </c>
      <c r="O59" s="15">
        <v>-0.15023739418477078</v>
      </c>
      <c r="P59" s="15"/>
      <c r="Q59" s="15"/>
      <c r="R59" s="15"/>
      <c r="S59" s="15"/>
      <c r="T59" s="15"/>
      <c r="U59" s="15"/>
      <c r="V59" s="15"/>
      <c r="W59" s="15"/>
    </row>
    <row r="60" spans="1:23" s="21" customFormat="1" x14ac:dyDescent="0.55000000000000004">
      <c r="A60" s="17"/>
      <c r="B60"/>
      <c r="C60"/>
      <c r="D60"/>
      <c r="E60"/>
      <c r="F60" s="49">
        <v>39052</v>
      </c>
      <c r="G60" s="92">
        <v>120.7</v>
      </c>
      <c r="H60"/>
      <c r="I60"/>
      <c r="J60"/>
      <c r="K60"/>
      <c r="L60" s="58">
        <v>119.65979973586785</v>
      </c>
      <c r="M60" s="53"/>
      <c r="N60" s="58">
        <v>119.65979973586785</v>
      </c>
      <c r="O60" s="15">
        <v>1.0402002641321531</v>
      </c>
      <c r="P60" s="15"/>
      <c r="Q60" s="15"/>
      <c r="R60" s="15"/>
      <c r="S60" s="15"/>
      <c r="T60" s="15"/>
      <c r="U60" s="15"/>
      <c r="V60" s="15"/>
      <c r="W60" s="15"/>
    </row>
    <row r="61" spans="1:23" s="21" customFormat="1" x14ac:dyDescent="0.55000000000000004">
      <c r="A61" s="17"/>
      <c r="B61"/>
      <c r="C61"/>
      <c r="D61"/>
      <c r="E61"/>
      <c r="F61" s="49">
        <v>39083</v>
      </c>
      <c r="G61" s="92">
        <v>119.93</v>
      </c>
      <c r="H61"/>
      <c r="I61"/>
      <c r="J61"/>
      <c r="K61"/>
      <c r="L61" s="58">
        <v>120.01823529411763</v>
      </c>
      <c r="M61" s="53"/>
      <c r="N61" s="58">
        <v>120.01823529411763</v>
      </c>
      <c r="O61" s="15">
        <v>-8.8235294117623653E-2</v>
      </c>
      <c r="P61" s="15"/>
      <c r="Q61" s="15"/>
      <c r="R61" s="15"/>
      <c r="S61" s="15"/>
      <c r="T61" s="15"/>
      <c r="U61" s="15"/>
      <c r="V61" s="15"/>
      <c r="W61" s="15"/>
    </row>
    <row r="62" spans="1:23" s="21" customFormat="1" x14ac:dyDescent="0.55000000000000004">
      <c r="A62" s="17"/>
      <c r="B62"/>
      <c r="C62"/>
      <c r="D62"/>
      <c r="E62"/>
      <c r="F62" s="49">
        <v>39114</v>
      </c>
      <c r="G62" s="92">
        <v>120.36</v>
      </c>
      <c r="H62"/>
      <c r="I62"/>
      <c r="J62"/>
      <c r="K62"/>
      <c r="L62" s="58">
        <v>120.21011885946869</v>
      </c>
      <c r="M62" s="53"/>
      <c r="N62" s="58">
        <v>120.21011885946869</v>
      </c>
      <c r="O62" s="15">
        <v>0.1498811405313063</v>
      </c>
      <c r="P62" s="15"/>
      <c r="Q62" s="15"/>
      <c r="R62" s="15"/>
      <c r="S62" s="15"/>
      <c r="T62" s="15"/>
      <c r="U62" s="15"/>
      <c r="V62" s="15"/>
      <c r="W62" s="15"/>
    </row>
    <row r="63" spans="1:23" s="21" customFormat="1" x14ac:dyDescent="0.55000000000000004">
      <c r="A63" s="17"/>
      <c r="B63"/>
      <c r="C63"/>
      <c r="D63"/>
      <c r="E63"/>
      <c r="F63" s="49">
        <v>39142</v>
      </c>
      <c r="G63" s="92">
        <v>119.48</v>
      </c>
      <c r="H63"/>
      <c r="I63"/>
      <c r="J63"/>
      <c r="K63"/>
      <c r="L63" s="58">
        <v>120.49973565134557</v>
      </c>
      <c r="M63" s="53"/>
      <c r="N63" s="58">
        <v>120.49973565134557</v>
      </c>
      <c r="O63" s="15">
        <v>-1.0197356513455702</v>
      </c>
      <c r="P63" s="15"/>
      <c r="Q63" s="15"/>
      <c r="R63" s="15"/>
      <c r="S63" s="15"/>
      <c r="T63" s="15"/>
      <c r="U63" s="15"/>
      <c r="V63" s="15"/>
      <c r="W63" s="15"/>
    </row>
    <row r="64" spans="1:23" s="21" customFormat="1" x14ac:dyDescent="0.55000000000000004">
      <c r="A64" s="17"/>
      <c r="B64"/>
      <c r="C64"/>
      <c r="D64"/>
      <c r="E64"/>
      <c r="F64" s="49">
        <v>39173</v>
      </c>
      <c r="G64" s="92">
        <v>121.1</v>
      </c>
      <c r="H64"/>
      <c r="I64"/>
      <c r="J64"/>
      <c r="K64"/>
      <c r="L64" s="58">
        <v>121.07356513455585</v>
      </c>
      <c r="M64" s="53"/>
      <c r="N64" s="58">
        <v>121.07356513455585</v>
      </c>
      <c r="O64" s="15">
        <v>2.6434865444144862E-2</v>
      </c>
      <c r="P64" s="15"/>
      <c r="Q64" s="15"/>
      <c r="R64" s="15"/>
      <c r="S64" s="15"/>
      <c r="T64" s="15"/>
      <c r="U64" s="15"/>
      <c r="V64" s="15"/>
      <c r="W64" s="15"/>
    </row>
    <row r="65" spans="1:23" s="21" customFormat="1" x14ac:dyDescent="0.55000000000000004">
      <c r="A65" s="17"/>
      <c r="B65"/>
      <c r="C65"/>
      <c r="D65"/>
      <c r="E65"/>
      <c r="F65" s="49">
        <v>39203</v>
      </c>
      <c r="G65" s="92">
        <v>122.21</v>
      </c>
      <c r="H65"/>
      <c r="I65"/>
      <c r="J65"/>
      <c r="K65"/>
      <c r="L65" s="58">
        <v>121.89224090151333</v>
      </c>
      <c r="M65" s="53"/>
      <c r="N65" s="58">
        <v>121.89224090151333</v>
      </c>
      <c r="O65" s="15">
        <v>0.31775909848666117</v>
      </c>
      <c r="P65" s="15"/>
      <c r="Q65" s="15"/>
      <c r="R65" s="15"/>
      <c r="S65" s="15"/>
      <c r="T65" s="15"/>
      <c r="U65" s="15"/>
      <c r="V65" s="15"/>
      <c r="W65" s="15"/>
    </row>
    <row r="66" spans="1:23" s="21" customFormat="1" x14ac:dyDescent="0.55000000000000004">
      <c r="A66" s="17"/>
      <c r="B66"/>
      <c r="C66"/>
      <c r="D66"/>
      <c r="E66"/>
      <c r="F66" s="49">
        <v>39234</v>
      </c>
      <c r="G66" s="92">
        <v>122.99</v>
      </c>
      <c r="H66"/>
      <c r="I66"/>
      <c r="J66"/>
      <c r="K66"/>
      <c r="L66" s="58">
        <v>122.83455097534046</v>
      </c>
      <c r="M66" s="53"/>
      <c r="N66" s="58">
        <v>122.83455097534046</v>
      </c>
      <c r="O66" s="15">
        <v>0.15544902465953214</v>
      </c>
      <c r="P66" s="15"/>
      <c r="Q66" s="15"/>
      <c r="R66" s="15"/>
      <c r="S66" s="15"/>
      <c r="T66" s="15"/>
      <c r="U66" s="15"/>
      <c r="V66" s="15"/>
      <c r="W66" s="15"/>
    </row>
    <row r="67" spans="1:23" s="21" customFormat="1" x14ac:dyDescent="0.55000000000000004">
      <c r="A67" s="17"/>
      <c r="B67"/>
      <c r="C67"/>
      <c r="D67"/>
      <c r="E67"/>
      <c r="F67" s="49">
        <v>39264</v>
      </c>
      <c r="G67" s="92">
        <v>123.81</v>
      </c>
      <c r="H67"/>
      <c r="I67"/>
      <c r="J67"/>
      <c r="K67"/>
      <c r="L67" s="58">
        <v>123.69740923163523</v>
      </c>
      <c r="M67" s="53"/>
      <c r="N67" s="58">
        <v>123.69740923163523</v>
      </c>
      <c r="O67" s="15">
        <v>0.11259076836476822</v>
      </c>
      <c r="P67" s="15"/>
      <c r="Q67" s="15"/>
      <c r="R67" s="15"/>
      <c r="S67" s="15"/>
      <c r="T67" s="15"/>
      <c r="U67" s="15"/>
      <c r="V67" s="15"/>
      <c r="W67" s="15"/>
    </row>
    <row r="68" spans="1:23" s="21" customFormat="1" x14ac:dyDescent="0.55000000000000004">
      <c r="A68" s="17"/>
      <c r="B68"/>
      <c r="C68"/>
      <c r="D68"/>
      <c r="E68"/>
      <c r="F68" s="49">
        <v>39295</v>
      </c>
      <c r="G68" s="92">
        <v>124.24</v>
      </c>
      <c r="H68"/>
      <c r="I68"/>
      <c r="J68"/>
      <c r="K68"/>
      <c r="L68" s="58">
        <v>124.47464937539239</v>
      </c>
      <c r="M68" s="53"/>
      <c r="N68" s="58">
        <v>124.47464937539239</v>
      </c>
      <c r="O68" s="15">
        <v>-0.23464937539239372</v>
      </c>
      <c r="P68" s="15"/>
      <c r="Q68" s="15"/>
      <c r="R68" s="15"/>
      <c r="S68" s="15"/>
      <c r="T68" s="15"/>
      <c r="U68" s="15"/>
      <c r="V68" s="15"/>
      <c r="W68" s="15"/>
    </row>
    <row r="69" spans="1:23" s="21" customFormat="1" x14ac:dyDescent="0.55000000000000004">
      <c r="A69" s="17"/>
      <c r="B69"/>
      <c r="C69"/>
      <c r="D69"/>
      <c r="E69"/>
      <c r="F69" s="49">
        <v>39326</v>
      </c>
      <c r="G69" s="92">
        <v>125.04</v>
      </c>
      <c r="H69"/>
      <c r="I69"/>
      <c r="J69"/>
      <c r="K69"/>
      <c r="L69" s="58">
        <v>125.21883186472972</v>
      </c>
      <c r="M69" s="53"/>
      <c r="N69" s="58">
        <v>125.21883186472972</v>
      </c>
      <c r="O69" s="15">
        <v>-0.17883186472971602</v>
      </c>
      <c r="P69" s="15"/>
      <c r="Q69" s="15"/>
      <c r="R69" s="15"/>
      <c r="S69" s="15"/>
      <c r="T69" s="15"/>
      <c r="U69" s="15"/>
      <c r="V69" s="15"/>
      <c r="W69" s="15"/>
    </row>
    <row r="70" spans="1:23" s="21" customFormat="1" x14ac:dyDescent="0.55000000000000004">
      <c r="A70" s="17"/>
      <c r="B70"/>
      <c r="C70"/>
      <c r="D70"/>
      <c r="E70"/>
      <c r="F70" s="49">
        <v>39356</v>
      </c>
      <c r="G70" s="92">
        <v>126.27</v>
      </c>
      <c r="H70"/>
      <c r="I70"/>
      <c r="J70"/>
      <c r="K70"/>
      <c r="L70" s="58">
        <v>125.99704604992527</v>
      </c>
      <c r="M70" s="53"/>
      <c r="N70" s="58">
        <v>125.99704604992527</v>
      </c>
      <c r="O70" s="15">
        <v>0.27295395007472223</v>
      </c>
      <c r="P70" s="15"/>
      <c r="Q70" s="15"/>
      <c r="R70" s="15"/>
      <c r="S70" s="15"/>
      <c r="T70" s="15"/>
      <c r="U70" s="15"/>
      <c r="V70" s="15"/>
      <c r="W70" s="15"/>
    </row>
    <row r="71" spans="1:23" s="21" customFormat="1" x14ac:dyDescent="0.55000000000000004">
      <c r="A71" s="17"/>
      <c r="B71"/>
      <c r="C71"/>
      <c r="D71"/>
      <c r="E71"/>
      <c r="F71" s="49">
        <v>39387</v>
      </c>
      <c r="G71" s="92">
        <v>126.23</v>
      </c>
      <c r="H71"/>
      <c r="I71"/>
      <c r="J71"/>
      <c r="K71"/>
      <c r="L71" s="58">
        <v>126.63068306306693</v>
      </c>
      <c r="M71" s="53"/>
      <c r="N71" s="58">
        <v>126.63068306306693</v>
      </c>
      <c r="O71" s="15">
        <v>-0.40068306306692136</v>
      </c>
      <c r="P71" s="15"/>
      <c r="Q71" s="15"/>
      <c r="R71" s="15"/>
      <c r="S71" s="15"/>
      <c r="T71" s="15"/>
      <c r="U71" s="15"/>
      <c r="V71" s="15"/>
      <c r="W71" s="15"/>
    </row>
    <row r="72" spans="1:23" s="21" customFormat="1" x14ac:dyDescent="0.55000000000000004">
      <c r="A72" s="17"/>
      <c r="B72"/>
      <c r="C72"/>
      <c r="D72"/>
      <c r="E72"/>
      <c r="F72" s="49">
        <v>39417</v>
      </c>
      <c r="G72" s="92">
        <v>127.6</v>
      </c>
      <c r="H72"/>
      <c r="I72"/>
      <c r="J72"/>
      <c r="K72"/>
      <c r="L72" s="58">
        <v>126.9775141267401</v>
      </c>
      <c r="M72" s="53"/>
      <c r="N72" s="58">
        <v>126.9775141267401</v>
      </c>
      <c r="O72" s="15">
        <v>0.62248587325989035</v>
      </c>
      <c r="P72" s="15"/>
      <c r="Q72" s="15"/>
      <c r="R72" s="15"/>
      <c r="S72" s="15"/>
      <c r="T72" s="15"/>
      <c r="U72" s="15"/>
      <c r="V72" s="15"/>
      <c r="W72" s="15"/>
    </row>
    <row r="73" spans="1:23" s="21" customFormat="1" x14ac:dyDescent="0.55000000000000004">
      <c r="A73" s="17"/>
      <c r="B73"/>
      <c r="C73"/>
      <c r="D73"/>
      <c r="E73"/>
      <c r="F73" s="49">
        <v>39448</v>
      </c>
      <c r="G73" s="92">
        <v>127.44</v>
      </c>
      <c r="H73"/>
      <c r="I73"/>
      <c r="J73"/>
      <c r="K73"/>
      <c r="L73" s="58">
        <v>127.07559602935765</v>
      </c>
      <c r="M73" s="53"/>
      <c r="N73" s="58">
        <v>127.07559602935765</v>
      </c>
      <c r="O73" s="15">
        <v>0.36440397064234276</v>
      </c>
      <c r="P73" s="15"/>
      <c r="Q73" s="15"/>
      <c r="R73" s="15"/>
      <c r="S73" s="15"/>
      <c r="T73" s="15"/>
      <c r="U73" s="15"/>
      <c r="V73" s="15"/>
      <c r="W73" s="15"/>
    </row>
    <row r="74" spans="1:23" s="21" customFormat="1" x14ac:dyDescent="0.55000000000000004">
      <c r="A74" s="17"/>
      <c r="B74"/>
      <c r="C74"/>
      <c r="D74"/>
      <c r="E74"/>
      <c r="F74" s="49">
        <v>39479</v>
      </c>
      <c r="G74" s="92">
        <v>127.11</v>
      </c>
      <c r="H74"/>
      <c r="I74"/>
      <c r="J74"/>
      <c r="K74"/>
      <c r="L74" s="58">
        <v>127.159295828011</v>
      </c>
      <c r="M74" s="53"/>
      <c r="N74" s="58">
        <v>127.159295828011</v>
      </c>
      <c r="O74" s="15">
        <v>-4.9295828010997411E-2</v>
      </c>
      <c r="P74" s="15"/>
      <c r="Q74" s="15"/>
      <c r="R74" s="15"/>
      <c r="S74" s="15"/>
      <c r="T74" s="15"/>
      <c r="U74" s="15"/>
      <c r="V74" s="15"/>
      <c r="W74" s="15"/>
    </row>
    <row r="75" spans="1:23" s="21" customFormat="1" x14ac:dyDescent="0.55000000000000004">
      <c r="A75" s="17"/>
      <c r="B75"/>
      <c r="C75"/>
      <c r="D75"/>
      <c r="E75"/>
      <c r="F75" s="49">
        <v>39508</v>
      </c>
      <c r="G75" s="92">
        <v>126.39</v>
      </c>
      <c r="H75"/>
      <c r="I75"/>
      <c r="J75"/>
      <c r="K75"/>
      <c r="L75" s="58">
        <v>127.47842278464567</v>
      </c>
      <c r="M75" s="53"/>
      <c r="N75" s="58">
        <v>127.47842278464567</v>
      </c>
      <c r="O75" s="15">
        <v>-1.0884227846456724</v>
      </c>
      <c r="P75" s="15"/>
      <c r="Q75" s="15"/>
      <c r="R75" s="15"/>
      <c r="S75" s="15"/>
      <c r="T75" s="15"/>
      <c r="U75" s="15"/>
      <c r="V75" s="15"/>
      <c r="W75" s="15"/>
    </row>
    <row r="76" spans="1:23" s="21" customFormat="1" x14ac:dyDescent="0.55000000000000004">
      <c r="A76" s="17"/>
      <c r="B76"/>
      <c r="C76"/>
      <c r="D76"/>
      <c r="E76"/>
      <c r="F76" s="49">
        <v>39539</v>
      </c>
      <c r="G76" s="92">
        <v>128.02000000000001</v>
      </c>
      <c r="H76"/>
      <c r="I76"/>
      <c r="J76"/>
      <c r="K76"/>
      <c r="L76" s="58">
        <v>128.15505618220789</v>
      </c>
      <c r="M76" s="53"/>
      <c r="N76" s="58">
        <v>128.15505618220789</v>
      </c>
      <c r="O76" s="15">
        <v>-0.13505618220787596</v>
      </c>
      <c r="P76" s="15"/>
      <c r="Q76" s="15"/>
      <c r="R76" s="15"/>
      <c r="S76" s="15"/>
      <c r="T76" s="15"/>
      <c r="U76" s="15"/>
      <c r="V76" s="15"/>
      <c r="W76" s="15"/>
    </row>
    <row r="77" spans="1:23" s="21" customFormat="1" x14ac:dyDescent="0.55000000000000004">
      <c r="A77" s="17"/>
      <c r="B77"/>
      <c r="C77"/>
      <c r="D77"/>
      <c r="E77"/>
      <c r="F77" s="49">
        <v>39569</v>
      </c>
      <c r="G77" s="92">
        <v>129.38999999999999</v>
      </c>
      <c r="H77"/>
      <c r="I77"/>
      <c r="J77"/>
      <c r="K77"/>
      <c r="L77" s="58">
        <v>129.14601820779839</v>
      </c>
      <c r="M77" s="53"/>
      <c r="N77" s="58">
        <v>129.14601820779839</v>
      </c>
      <c r="O77" s="15">
        <v>0.24398179220159477</v>
      </c>
      <c r="P77" s="15"/>
      <c r="Q77" s="15"/>
      <c r="R77" s="15"/>
      <c r="S77" s="15"/>
      <c r="T77" s="15"/>
      <c r="U77" s="15"/>
      <c r="V77" s="15"/>
      <c r="W77" s="15"/>
    </row>
    <row r="78" spans="1:23" s="21" customFormat="1" x14ac:dyDescent="0.55000000000000004">
      <c r="A78" s="17"/>
      <c r="B78"/>
      <c r="C78"/>
      <c r="D78"/>
      <c r="E78"/>
      <c r="F78" s="49">
        <v>39600</v>
      </c>
      <c r="G78" s="92">
        <v>130.47999999999999</v>
      </c>
      <c r="H78"/>
      <c r="I78"/>
      <c r="J78"/>
      <c r="K78"/>
      <c r="L78" s="58">
        <v>130.21477451341229</v>
      </c>
      <c r="M78" s="53"/>
      <c r="N78" s="58">
        <v>130.21477451341229</v>
      </c>
      <c r="O78" s="15">
        <v>0.26522548658769551</v>
      </c>
      <c r="P78" s="15"/>
      <c r="Q78" s="15"/>
      <c r="R78" s="15"/>
      <c r="S78" s="15"/>
      <c r="T78" s="15"/>
      <c r="U78" s="15"/>
      <c r="V78" s="15"/>
      <c r="W78" s="15"/>
    </row>
    <row r="79" spans="1:23" s="21" customFormat="1" x14ac:dyDescent="0.55000000000000004">
      <c r="A79" s="17"/>
      <c r="B79"/>
      <c r="C79"/>
      <c r="D79"/>
      <c r="E79"/>
      <c r="F79" s="49">
        <v>39630</v>
      </c>
      <c r="G79" s="92">
        <v>130.53</v>
      </c>
      <c r="H79"/>
      <c r="I79"/>
      <c r="J79"/>
      <c r="K79"/>
      <c r="L79" s="58">
        <v>130.91389237697288</v>
      </c>
      <c r="M79" s="53"/>
      <c r="N79" s="58">
        <v>130.91389237697288</v>
      </c>
      <c r="O79" s="15">
        <v>-0.38389237697288081</v>
      </c>
      <c r="P79" s="15"/>
      <c r="Q79" s="15"/>
      <c r="R79" s="15"/>
      <c r="S79" s="15"/>
      <c r="T79" s="15"/>
      <c r="U79" s="15"/>
      <c r="V79" s="15"/>
      <c r="W79" s="15"/>
    </row>
    <row r="80" spans="1:23" s="21" customFormat="1" x14ac:dyDescent="0.55000000000000004">
      <c r="A80" s="17"/>
      <c r="B80"/>
      <c r="C80"/>
      <c r="D80"/>
      <c r="E80"/>
      <c r="F80" s="49">
        <v>39661</v>
      </c>
      <c r="G80" s="92">
        <v>131.08000000000001</v>
      </c>
      <c r="H80"/>
      <c r="I80"/>
      <c r="J80"/>
      <c r="K80"/>
      <c r="L80" s="58">
        <v>130.77859122301848</v>
      </c>
      <c r="M80" s="53"/>
      <c r="N80" s="58">
        <v>130.77859122301848</v>
      </c>
      <c r="O80" s="15">
        <v>0.3014087769815319</v>
      </c>
      <c r="P80" s="15"/>
      <c r="Q80" s="15"/>
      <c r="R80" s="15"/>
      <c r="S80" s="15"/>
      <c r="T80" s="15"/>
      <c r="U80" s="15"/>
      <c r="V80" s="15"/>
      <c r="W80" s="15"/>
    </row>
    <row r="81" spans="1:23" s="21" customFormat="1" x14ac:dyDescent="0.55000000000000004">
      <c r="A81" s="17"/>
      <c r="B81"/>
      <c r="C81"/>
      <c r="D81"/>
      <c r="E81"/>
      <c r="F81" s="49">
        <v>39692</v>
      </c>
      <c r="G81" s="92">
        <v>130.53</v>
      </c>
      <c r="H81"/>
      <c r="I81"/>
      <c r="J81"/>
      <c r="K81"/>
      <c r="L81" s="58">
        <v>129.56756695317065</v>
      </c>
      <c r="M81" s="53"/>
      <c r="N81" s="58">
        <v>129.56756695317065</v>
      </c>
      <c r="O81" s="15">
        <v>0.96243304682934649</v>
      </c>
      <c r="P81" s="15"/>
      <c r="Q81" s="15"/>
      <c r="R81" s="15"/>
      <c r="S81" s="15"/>
      <c r="T81" s="15"/>
      <c r="U81" s="15"/>
      <c r="V81" s="15"/>
      <c r="W81" s="15"/>
    </row>
    <row r="82" spans="1:23" s="21" customFormat="1" x14ac:dyDescent="0.55000000000000004">
      <c r="A82" s="17"/>
      <c r="B82"/>
      <c r="C82"/>
      <c r="D82"/>
      <c r="E82"/>
      <c r="F82" s="49">
        <v>39722</v>
      </c>
      <c r="G82" s="92">
        <v>128.13</v>
      </c>
      <c r="H82"/>
      <c r="I82"/>
      <c r="J82"/>
      <c r="K82"/>
      <c r="L82" s="58">
        <v>127.5020186624521</v>
      </c>
      <c r="M82" s="53"/>
      <c r="N82" s="58">
        <v>127.5020186624521</v>
      </c>
      <c r="O82" s="15">
        <v>0.62798133754789376</v>
      </c>
      <c r="P82" s="15"/>
      <c r="Q82" s="15"/>
      <c r="R82" s="15"/>
      <c r="S82" s="15"/>
      <c r="T82" s="15"/>
      <c r="U82" s="15"/>
      <c r="V82" s="15"/>
      <c r="W82" s="15"/>
    </row>
    <row r="83" spans="1:23" s="21" customFormat="1" x14ac:dyDescent="0.55000000000000004">
      <c r="A83" s="17"/>
      <c r="B83"/>
      <c r="C83"/>
      <c r="D83"/>
      <c r="E83"/>
      <c r="F83" s="49">
        <v>39753</v>
      </c>
      <c r="G83" s="92">
        <v>125.02</v>
      </c>
      <c r="H83"/>
      <c r="I83"/>
      <c r="J83"/>
      <c r="K83"/>
      <c r="L83" s="58">
        <v>125.1231411158501</v>
      </c>
      <c r="M83" s="53"/>
      <c r="N83" s="58">
        <v>125.1231411158501</v>
      </c>
      <c r="O83" s="15">
        <v>-0.10314111585010721</v>
      </c>
      <c r="P83" s="15"/>
      <c r="Q83" s="15"/>
      <c r="R83" s="15"/>
      <c r="S83" s="15"/>
      <c r="T83" s="15"/>
      <c r="U83" s="15"/>
      <c r="V83" s="15"/>
      <c r="W83" s="15"/>
    </row>
    <row r="84" spans="1:23" s="21" customFormat="1" x14ac:dyDescent="0.55000000000000004">
      <c r="A84" s="17"/>
      <c r="B84"/>
      <c r="C84"/>
      <c r="D84"/>
      <c r="E84"/>
      <c r="F84" s="49">
        <v>39783</v>
      </c>
      <c r="G84" s="92">
        <v>121.66</v>
      </c>
      <c r="H84"/>
      <c r="I84"/>
      <c r="J84"/>
      <c r="K84"/>
      <c r="L84" s="58">
        <v>123.10380447725652</v>
      </c>
      <c r="M84" s="53"/>
      <c r="N84" s="58">
        <v>123.10380447725652</v>
      </c>
      <c r="O84" s="15">
        <v>-1.4438044772565206</v>
      </c>
      <c r="P84" s="15"/>
      <c r="Q84" s="15"/>
      <c r="R84" s="15"/>
      <c r="S84" s="15"/>
      <c r="T84" s="15"/>
      <c r="U84" s="15"/>
      <c r="V84" s="15"/>
      <c r="W84" s="15"/>
    </row>
    <row r="85" spans="1:23" s="21" customFormat="1" x14ac:dyDescent="0.55000000000000004">
      <c r="A85" s="17"/>
      <c r="B85"/>
      <c r="C85"/>
      <c r="D85"/>
      <c r="E85"/>
      <c r="F85" s="49">
        <v>39814</v>
      </c>
      <c r="G85" s="92">
        <v>121.23</v>
      </c>
      <c r="H85"/>
      <c r="I85"/>
      <c r="J85"/>
      <c r="K85"/>
      <c r="L85" s="58">
        <v>121.98350797809003</v>
      </c>
      <c r="M85" s="53"/>
      <c r="N85" s="58">
        <v>121.98350797809003</v>
      </c>
      <c r="O85" s="15">
        <v>-0.75350797809002756</v>
      </c>
      <c r="P85" s="15"/>
      <c r="Q85" s="15"/>
      <c r="R85" s="15"/>
      <c r="S85" s="15"/>
      <c r="T85" s="15"/>
      <c r="U85" s="15"/>
      <c r="V85" s="15"/>
      <c r="W85" s="15"/>
    </row>
    <row r="86" spans="1:23" s="21" customFormat="1" x14ac:dyDescent="0.55000000000000004">
      <c r="A86" s="17"/>
      <c r="B86"/>
      <c r="C86"/>
      <c r="D86"/>
      <c r="E86"/>
      <c r="F86" s="49">
        <v>39845</v>
      </c>
      <c r="G86" s="92">
        <v>122.4</v>
      </c>
      <c r="H86"/>
      <c r="I86"/>
      <c r="J86"/>
      <c r="K86"/>
      <c r="L86" s="58">
        <v>121.9318265171361</v>
      </c>
      <c r="M86" s="53"/>
      <c r="N86" s="58">
        <v>121.9318265171361</v>
      </c>
      <c r="O86" s="15">
        <v>0.4681734828639037</v>
      </c>
      <c r="P86" s="15"/>
      <c r="Q86" s="15"/>
      <c r="R86" s="15"/>
      <c r="S86" s="15"/>
      <c r="T86" s="15"/>
      <c r="U86" s="15"/>
      <c r="V86" s="15"/>
      <c r="W86" s="15"/>
    </row>
    <row r="87" spans="1:23" s="21" customFormat="1" x14ac:dyDescent="0.55000000000000004">
      <c r="A87" s="17"/>
      <c r="B87"/>
      <c r="C87"/>
      <c r="D87"/>
      <c r="E87"/>
      <c r="F87" s="49">
        <v>39873</v>
      </c>
      <c r="G87" s="92">
        <v>122.96</v>
      </c>
      <c r="H87"/>
      <c r="I87"/>
      <c r="J87"/>
      <c r="K87"/>
      <c r="L87" s="58">
        <v>122.60269934399965</v>
      </c>
      <c r="M87" s="53"/>
      <c r="N87" s="58">
        <v>122.60269934399965</v>
      </c>
      <c r="O87" s="15">
        <v>0.35730065600034777</v>
      </c>
      <c r="P87" s="15"/>
      <c r="Q87" s="15"/>
      <c r="R87" s="15"/>
      <c r="S87" s="15"/>
      <c r="T87" s="15"/>
      <c r="U87" s="15"/>
      <c r="V87" s="15"/>
      <c r="W87" s="15"/>
    </row>
    <row r="88" spans="1:23" s="21" customFormat="1" x14ac:dyDescent="0.55000000000000004">
      <c r="A88" s="17"/>
      <c r="B88"/>
      <c r="C88"/>
      <c r="D88"/>
      <c r="E88"/>
      <c r="F88" s="49">
        <v>39904</v>
      </c>
      <c r="G88" s="92">
        <v>123.53</v>
      </c>
      <c r="H88"/>
      <c r="I88"/>
      <c r="J88"/>
      <c r="K88"/>
      <c r="L88" s="58">
        <v>123.54761620732208</v>
      </c>
      <c r="M88" s="53"/>
      <c r="N88" s="58">
        <v>123.54761620732208</v>
      </c>
      <c r="O88" s="15">
        <v>-1.7616207322078026E-2</v>
      </c>
      <c r="P88" s="15"/>
      <c r="Q88" s="15"/>
      <c r="R88" s="15"/>
      <c r="S88" s="15"/>
      <c r="T88" s="15"/>
      <c r="U88" s="15"/>
      <c r="V88" s="15"/>
      <c r="W88" s="15"/>
    </row>
    <row r="89" spans="1:23" s="21" customFormat="1" x14ac:dyDescent="0.55000000000000004">
      <c r="A89" s="17"/>
      <c r="B89"/>
      <c r="C89"/>
      <c r="D89"/>
      <c r="E89"/>
      <c r="F89" s="49">
        <v>39934</v>
      </c>
      <c r="G89" s="92">
        <v>124.81</v>
      </c>
      <c r="H89"/>
      <c r="I89"/>
      <c r="J89"/>
      <c r="K89"/>
      <c r="L89" s="58">
        <v>124.49997228777417</v>
      </c>
      <c r="M89" s="53"/>
      <c r="N89" s="58">
        <v>124.49997228777417</v>
      </c>
      <c r="O89" s="15">
        <v>0.31002771222583192</v>
      </c>
      <c r="P89" s="15"/>
      <c r="Q89" s="15"/>
      <c r="R89" s="15"/>
      <c r="S89" s="15"/>
      <c r="T89" s="15"/>
      <c r="U89" s="15"/>
      <c r="V89" s="15"/>
      <c r="W89" s="15"/>
    </row>
    <row r="90" spans="1:23" s="21" customFormat="1" x14ac:dyDescent="0.55000000000000004">
      <c r="A90" s="17"/>
      <c r="B90"/>
      <c r="C90"/>
      <c r="D90"/>
      <c r="E90"/>
      <c r="F90" s="49">
        <v>39965</v>
      </c>
      <c r="G90" s="92">
        <v>125.44</v>
      </c>
      <c r="H90"/>
      <c r="I90"/>
      <c r="J90"/>
      <c r="K90"/>
      <c r="L90" s="58">
        <v>125.46984119595572</v>
      </c>
      <c r="M90" s="53"/>
      <c r="N90" s="58">
        <v>125.46984119595572</v>
      </c>
      <c r="O90" s="15">
        <v>-2.9841195955725652E-2</v>
      </c>
      <c r="P90" s="15"/>
      <c r="Q90" s="15"/>
      <c r="R90" s="15"/>
      <c r="S90" s="15"/>
      <c r="T90" s="15"/>
      <c r="U90" s="15"/>
      <c r="V90" s="15"/>
      <c r="W90" s="15"/>
    </row>
    <row r="91" spans="1:23" s="21" customFormat="1" x14ac:dyDescent="0.55000000000000004">
      <c r="A91" s="17"/>
      <c r="B91"/>
      <c r="C91"/>
      <c r="D91"/>
      <c r="E91"/>
      <c r="F91" s="49">
        <v>39995</v>
      </c>
      <c r="G91" s="92">
        <v>125.84</v>
      </c>
      <c r="H91"/>
      <c r="I91"/>
      <c r="J91"/>
      <c r="K91"/>
      <c r="L91" s="58">
        <v>126.51299627616966</v>
      </c>
      <c r="M91" s="53"/>
      <c r="N91" s="58">
        <v>126.51299627616966</v>
      </c>
      <c r="O91" s="15">
        <v>-0.67299627616965552</v>
      </c>
      <c r="P91" s="15"/>
      <c r="Q91" s="15"/>
      <c r="R91" s="15"/>
      <c r="S91" s="15"/>
      <c r="T91" s="15"/>
      <c r="U91" s="15"/>
      <c r="V91" s="15"/>
      <c r="W91" s="15"/>
    </row>
    <row r="92" spans="1:23" s="21" customFormat="1" x14ac:dyDescent="0.55000000000000004">
      <c r="A92" s="17"/>
      <c r="B92"/>
      <c r="C92"/>
      <c r="D92"/>
      <c r="E92"/>
      <c r="F92" s="49">
        <v>40026</v>
      </c>
      <c r="G92" s="92">
        <v>128.07</v>
      </c>
      <c r="H92"/>
      <c r="I92"/>
      <c r="J92"/>
      <c r="K92"/>
      <c r="L92" s="58">
        <v>127.58000184026501</v>
      </c>
      <c r="M92" s="53"/>
      <c r="N92" s="58">
        <v>127.58000184026501</v>
      </c>
      <c r="O92" s="15">
        <v>0.48999815973498073</v>
      </c>
      <c r="P92" s="15"/>
      <c r="Q92" s="15"/>
      <c r="R92" s="15"/>
      <c r="S92" s="15"/>
      <c r="T92" s="15"/>
      <c r="U92" s="15"/>
      <c r="V92" s="15"/>
      <c r="W92" s="15"/>
    </row>
    <row r="93" spans="1:23" s="21" customFormat="1" x14ac:dyDescent="0.55000000000000004">
      <c r="A93" s="17"/>
      <c r="B93"/>
      <c r="C93"/>
      <c r="D93"/>
      <c r="E93"/>
      <c r="F93" s="49">
        <v>40057</v>
      </c>
      <c r="G93" s="92">
        <v>128.88999999999999</v>
      </c>
      <c r="H93"/>
      <c r="I93"/>
      <c r="J93"/>
      <c r="K93"/>
      <c r="L93" s="58">
        <v>128.62357130485609</v>
      </c>
      <c r="M93" s="53"/>
      <c r="N93" s="58">
        <v>128.62357130485609</v>
      </c>
      <c r="O93" s="15">
        <v>0.266428695143901</v>
      </c>
      <c r="P93" s="15"/>
      <c r="Q93" s="15"/>
      <c r="R93" s="15"/>
      <c r="S93" s="15"/>
      <c r="T93" s="15"/>
      <c r="U93" s="15"/>
      <c r="V93" s="15"/>
      <c r="W93" s="15"/>
    </row>
    <row r="94" spans="1:23" s="21" customFormat="1" x14ac:dyDescent="0.55000000000000004">
      <c r="A94" s="17"/>
      <c r="B94"/>
      <c r="C94"/>
      <c r="D94"/>
      <c r="E94"/>
      <c r="F94" s="49">
        <v>40087</v>
      </c>
      <c r="G94" s="92">
        <v>129.97</v>
      </c>
      <c r="H94"/>
      <c r="I94"/>
      <c r="J94"/>
      <c r="K94"/>
      <c r="L94" s="58">
        <v>129.69638387927861</v>
      </c>
      <c r="M94" s="53"/>
      <c r="N94" s="58">
        <v>129.69638387927861</v>
      </c>
      <c r="O94" s="15">
        <v>0.27361612072138541</v>
      </c>
      <c r="P94" s="15"/>
      <c r="Q94" s="15"/>
      <c r="R94" s="15"/>
      <c r="S94" s="15"/>
      <c r="T94" s="15"/>
      <c r="U94" s="15"/>
      <c r="V94" s="15"/>
      <c r="W94" s="15"/>
    </row>
    <row r="95" spans="1:23" s="21" customFormat="1" x14ac:dyDescent="0.55000000000000004">
      <c r="A95" s="17"/>
      <c r="B95"/>
      <c r="C95"/>
      <c r="D95"/>
      <c r="E95"/>
      <c r="F95" s="49">
        <v>40118</v>
      </c>
      <c r="G95" s="92">
        <v>130.07</v>
      </c>
      <c r="H95"/>
      <c r="I95"/>
      <c r="J95"/>
      <c r="K95"/>
      <c r="L95" s="58">
        <v>130.88742059797784</v>
      </c>
      <c r="M95" s="53"/>
      <c r="N95" s="58">
        <v>130.88742059797784</v>
      </c>
      <c r="O95" s="15">
        <v>-0.8174205979778435</v>
      </c>
      <c r="P95" s="15"/>
      <c r="Q95" s="15"/>
      <c r="R95" s="15"/>
      <c r="S95" s="15"/>
      <c r="T95" s="15"/>
      <c r="U95" s="15"/>
      <c r="V95" s="15"/>
      <c r="W95" s="15"/>
    </row>
    <row r="96" spans="1:23" s="21" customFormat="1" x14ac:dyDescent="0.55000000000000004">
      <c r="A96" s="17"/>
      <c r="B96"/>
      <c r="C96"/>
      <c r="D96"/>
      <c r="E96"/>
      <c r="F96" s="49">
        <v>40148</v>
      </c>
      <c r="G96" s="92">
        <v>132.08000000000001</v>
      </c>
      <c r="H96"/>
      <c r="I96"/>
      <c r="J96"/>
      <c r="K96"/>
      <c r="L96" s="58">
        <v>132.26932689601418</v>
      </c>
      <c r="M96" s="53"/>
      <c r="N96" s="58">
        <v>132.26932689601418</v>
      </c>
      <c r="O96" s="15">
        <v>-0.18932689601416541</v>
      </c>
      <c r="P96" s="15"/>
      <c r="Q96" s="15"/>
      <c r="R96" s="15"/>
      <c r="S96" s="15"/>
      <c r="T96" s="15"/>
      <c r="U96" s="15"/>
      <c r="V96" s="15"/>
      <c r="W96" s="15"/>
    </row>
    <row r="97" spans="1:23" s="21" customFormat="1" x14ac:dyDescent="0.55000000000000004">
      <c r="A97" s="17"/>
      <c r="B97"/>
      <c r="C97"/>
      <c r="D97"/>
      <c r="E97"/>
      <c r="F97" s="49">
        <v>40179</v>
      </c>
      <c r="G97" s="92">
        <v>133.88</v>
      </c>
      <c r="H97"/>
      <c r="I97"/>
      <c r="J97"/>
      <c r="K97"/>
      <c r="L97" s="58">
        <v>133.78952066509342</v>
      </c>
      <c r="M97" s="53"/>
      <c r="N97" s="58">
        <v>133.78952066509342</v>
      </c>
      <c r="O97" s="15">
        <v>9.0479334906575559E-2</v>
      </c>
      <c r="P97" s="15"/>
      <c r="Q97" s="15"/>
      <c r="R97" s="15"/>
      <c r="S97" s="15"/>
      <c r="T97" s="15"/>
      <c r="U97" s="15"/>
      <c r="V97" s="15"/>
      <c r="W97" s="15"/>
    </row>
    <row r="98" spans="1:23" s="21" customFormat="1" x14ac:dyDescent="0.55000000000000004">
      <c r="A98" s="17"/>
      <c r="B98"/>
      <c r="C98"/>
      <c r="D98"/>
      <c r="E98"/>
      <c r="F98" s="49">
        <v>40210</v>
      </c>
      <c r="G98" s="92">
        <v>135.35</v>
      </c>
      <c r="H98"/>
      <c r="I98"/>
      <c r="J98"/>
      <c r="K98"/>
      <c r="L98" s="58">
        <v>135.18150923380026</v>
      </c>
      <c r="M98" s="53"/>
      <c r="N98" s="58">
        <v>135.18150923380026</v>
      </c>
      <c r="O98" s="15">
        <v>0.16849076619973857</v>
      </c>
      <c r="P98" s="15"/>
      <c r="Q98" s="15"/>
      <c r="R98" s="15"/>
      <c r="S98" s="15"/>
      <c r="T98" s="15"/>
      <c r="U98" s="15"/>
      <c r="V98" s="15"/>
      <c r="W98" s="15"/>
    </row>
    <row r="99" spans="1:23" s="21" customFormat="1" x14ac:dyDescent="0.55000000000000004">
      <c r="A99" s="17"/>
      <c r="B99"/>
      <c r="C99"/>
      <c r="D99"/>
      <c r="E99"/>
      <c r="F99" s="49">
        <v>40238</v>
      </c>
      <c r="G99" s="92">
        <v>136.52000000000001</v>
      </c>
      <c r="H99"/>
      <c r="I99"/>
      <c r="J99"/>
      <c r="K99"/>
      <c r="L99" s="58">
        <v>136.10527885427265</v>
      </c>
      <c r="M99" s="53"/>
      <c r="N99" s="58">
        <v>136.10527885427265</v>
      </c>
      <c r="O99" s="15">
        <v>0.41472114572735563</v>
      </c>
      <c r="P99" s="15"/>
      <c r="Q99" s="15"/>
      <c r="R99" s="15"/>
      <c r="S99" s="15"/>
      <c r="T99" s="15"/>
      <c r="U99" s="15"/>
      <c r="V99" s="15"/>
      <c r="W99" s="15"/>
    </row>
    <row r="100" spans="1:23" s="21" customFormat="1" x14ac:dyDescent="0.55000000000000004">
      <c r="A100" s="17"/>
      <c r="B100"/>
      <c r="C100"/>
      <c r="D100"/>
      <c r="E100"/>
      <c r="F100" s="49">
        <v>40269</v>
      </c>
      <c r="G100" s="92">
        <v>137.13</v>
      </c>
      <c r="H100"/>
      <c r="I100"/>
      <c r="J100"/>
      <c r="K100"/>
      <c r="L100" s="58">
        <v>136.47597967048429</v>
      </c>
      <c r="M100" s="53"/>
      <c r="N100" s="58">
        <v>136.47597967048429</v>
      </c>
      <c r="O100" s="15">
        <v>0.65402032951570277</v>
      </c>
      <c r="P100" s="15"/>
      <c r="Q100" s="15"/>
      <c r="R100" s="15"/>
      <c r="S100" s="15"/>
      <c r="T100" s="15"/>
      <c r="U100" s="15"/>
      <c r="V100" s="15"/>
      <c r="W100" s="15"/>
    </row>
    <row r="101" spans="1:23" s="21" customFormat="1" x14ac:dyDescent="0.55000000000000004">
      <c r="A101" s="17"/>
      <c r="B101"/>
      <c r="C101"/>
      <c r="D101"/>
      <c r="E101"/>
      <c r="F101" s="49">
        <v>40299</v>
      </c>
      <c r="G101" s="92">
        <v>136.21</v>
      </c>
      <c r="H101"/>
      <c r="I101"/>
      <c r="J101"/>
      <c r="K101"/>
      <c r="L101" s="58">
        <v>136.52986609365865</v>
      </c>
      <c r="M101" s="53"/>
      <c r="N101" s="58">
        <v>136.52986609365865</v>
      </c>
      <c r="O101" s="15">
        <v>-0.31986609365864638</v>
      </c>
      <c r="P101" s="15"/>
      <c r="Q101" s="15"/>
      <c r="R101" s="15"/>
      <c r="S101" s="15"/>
      <c r="T101" s="15"/>
      <c r="U101" s="15"/>
      <c r="V101" s="15"/>
      <c r="W101" s="15"/>
    </row>
    <row r="102" spans="1:23" s="21" customFormat="1" x14ac:dyDescent="0.55000000000000004">
      <c r="A102" s="17"/>
      <c r="B102"/>
      <c r="C102"/>
      <c r="D102"/>
      <c r="E102"/>
      <c r="F102" s="49">
        <v>40330</v>
      </c>
      <c r="G102" s="92">
        <v>135.88999999999999</v>
      </c>
      <c r="H102"/>
      <c r="I102"/>
      <c r="J102"/>
      <c r="K102"/>
      <c r="L102" s="58">
        <v>136.60232317218384</v>
      </c>
      <c r="M102" s="53"/>
      <c r="N102" s="58">
        <v>136.60232317218384</v>
      </c>
      <c r="O102" s="15">
        <v>-0.71232317218385788</v>
      </c>
      <c r="P102" s="15"/>
      <c r="Q102" s="15"/>
      <c r="R102" s="15"/>
      <c r="S102" s="15"/>
      <c r="T102" s="15"/>
      <c r="U102" s="15"/>
      <c r="V102" s="15"/>
      <c r="W102" s="15"/>
    </row>
    <row r="103" spans="1:23" s="21" customFormat="1" x14ac:dyDescent="0.55000000000000004">
      <c r="A103" s="17"/>
      <c r="B103"/>
      <c r="C103"/>
      <c r="D103"/>
      <c r="E103"/>
      <c r="F103" s="49">
        <v>40360</v>
      </c>
      <c r="G103" s="92">
        <v>136.72</v>
      </c>
      <c r="H103"/>
      <c r="I103"/>
      <c r="J103"/>
      <c r="K103"/>
      <c r="L103" s="58">
        <v>136.96927558509603</v>
      </c>
      <c r="M103" s="53"/>
      <c r="N103" s="58">
        <v>136.96927558509603</v>
      </c>
      <c r="O103" s="15">
        <v>-0.24927558509602932</v>
      </c>
      <c r="P103" s="15"/>
      <c r="Q103" s="15"/>
      <c r="R103" s="15"/>
      <c r="S103" s="15"/>
      <c r="T103" s="15"/>
      <c r="U103" s="15"/>
      <c r="V103" s="15"/>
      <c r="W103" s="15"/>
    </row>
    <row r="104" spans="1:23" s="21" customFormat="1" x14ac:dyDescent="0.55000000000000004">
      <c r="A104" s="17"/>
      <c r="B104"/>
      <c r="C104"/>
      <c r="D104"/>
      <c r="E104"/>
      <c r="F104" s="49">
        <v>40391</v>
      </c>
      <c r="G104" s="92">
        <v>137.71</v>
      </c>
      <c r="H104"/>
      <c r="I104"/>
      <c r="J104"/>
      <c r="K104"/>
      <c r="L104" s="58">
        <v>137.61087315161618</v>
      </c>
      <c r="M104" s="53"/>
      <c r="N104" s="58">
        <v>137.61087315161618</v>
      </c>
      <c r="O104" s="15">
        <v>9.9126848383832566E-2</v>
      </c>
      <c r="P104" s="15"/>
      <c r="Q104" s="15"/>
      <c r="R104" s="15"/>
      <c r="S104" s="15"/>
      <c r="T104" s="15"/>
      <c r="U104" s="15"/>
      <c r="V104" s="15"/>
      <c r="W104" s="15"/>
    </row>
    <row r="105" spans="1:23" s="21" customFormat="1" x14ac:dyDescent="0.55000000000000004">
      <c r="A105" s="17"/>
      <c r="B105"/>
      <c r="C105"/>
      <c r="D105"/>
      <c r="E105"/>
      <c r="F105" s="49">
        <v>40422</v>
      </c>
      <c r="G105" s="92">
        <v>138.85</v>
      </c>
      <c r="H105"/>
      <c r="I105"/>
      <c r="J105"/>
      <c r="K105"/>
      <c r="L105" s="58">
        <v>138.32940104786857</v>
      </c>
      <c r="M105" s="53"/>
      <c r="N105" s="58">
        <v>138.32940104786857</v>
      </c>
      <c r="O105" s="15">
        <v>0.52059895213142227</v>
      </c>
      <c r="P105" s="15"/>
      <c r="Q105" s="15"/>
      <c r="R105" s="15"/>
      <c r="S105" s="15"/>
      <c r="T105" s="15"/>
      <c r="U105" s="15"/>
      <c r="V105" s="15"/>
      <c r="W105" s="15"/>
    </row>
    <row r="106" spans="1:23" s="21" customFormat="1" x14ac:dyDescent="0.55000000000000004">
      <c r="A106" s="17"/>
      <c r="B106"/>
      <c r="C106"/>
      <c r="D106"/>
      <c r="E106"/>
      <c r="F106" s="49">
        <v>40452</v>
      </c>
      <c r="G106" s="92">
        <v>138.68</v>
      </c>
      <c r="H106"/>
      <c r="I106"/>
      <c r="J106"/>
      <c r="K106"/>
      <c r="L106" s="58">
        <v>138.93402866483362</v>
      </c>
      <c r="M106" s="53"/>
      <c r="N106" s="58">
        <v>138.93402866483362</v>
      </c>
      <c r="O106" s="15">
        <v>-0.25402866483361208</v>
      </c>
      <c r="P106" s="15"/>
      <c r="Q106" s="15"/>
      <c r="R106" s="15"/>
      <c r="S106" s="15"/>
      <c r="T106" s="15"/>
      <c r="U106" s="15"/>
      <c r="V106" s="15"/>
      <c r="W106" s="15"/>
    </row>
    <row r="107" spans="1:23" s="21" customFormat="1" x14ac:dyDescent="0.55000000000000004">
      <c r="A107" s="17"/>
      <c r="B107"/>
      <c r="C107"/>
      <c r="D107"/>
      <c r="E107"/>
      <c r="F107" s="49">
        <v>40483</v>
      </c>
      <c r="G107" s="92">
        <v>140.13999999999999</v>
      </c>
      <c r="H107"/>
      <c r="I107"/>
      <c r="J107"/>
      <c r="K107"/>
      <c r="L107" s="58">
        <v>139.3790350516357</v>
      </c>
      <c r="M107" s="53"/>
      <c r="N107" s="58">
        <v>139.3790350516357</v>
      </c>
      <c r="O107" s="15">
        <v>0.76096494836428974</v>
      </c>
      <c r="P107" s="15"/>
      <c r="Q107" s="15"/>
      <c r="R107" s="15"/>
      <c r="S107" s="15"/>
      <c r="T107" s="15"/>
      <c r="U107" s="15"/>
      <c r="V107" s="15"/>
      <c r="W107" s="15"/>
    </row>
    <row r="108" spans="1:23" s="21" customFormat="1" x14ac:dyDescent="0.55000000000000004">
      <c r="A108" s="17"/>
      <c r="B108"/>
      <c r="C108"/>
      <c r="D108"/>
      <c r="E108"/>
      <c r="F108" s="49">
        <v>40513</v>
      </c>
      <c r="G108" s="92">
        <v>138.66999999999999</v>
      </c>
      <c r="H108"/>
      <c r="I108"/>
      <c r="J108"/>
      <c r="K108"/>
      <c r="L108" s="58">
        <v>139.76138063175213</v>
      </c>
      <c r="M108" s="53"/>
      <c r="N108" s="58">
        <v>139.76138063175213</v>
      </c>
      <c r="O108" s="15">
        <v>-1.0913806317521448</v>
      </c>
      <c r="P108" s="15"/>
      <c r="Q108" s="15"/>
      <c r="R108" s="15"/>
      <c r="S108" s="15"/>
      <c r="T108" s="15"/>
      <c r="U108" s="15"/>
      <c r="V108" s="15"/>
      <c r="W108" s="15"/>
    </row>
    <row r="109" spans="1:23" s="21" customFormat="1" x14ac:dyDescent="0.55000000000000004">
      <c r="A109" s="17"/>
      <c r="B109"/>
      <c r="C109"/>
      <c r="D109"/>
      <c r="E109"/>
      <c r="F109" s="49">
        <v>40544</v>
      </c>
      <c r="G109" s="92">
        <v>140.26</v>
      </c>
      <c r="H109"/>
      <c r="I109"/>
      <c r="J109"/>
      <c r="K109"/>
      <c r="L109" s="58">
        <v>140.14526261664034</v>
      </c>
      <c r="M109" s="53"/>
      <c r="N109" s="58">
        <v>140.14526261664034</v>
      </c>
      <c r="O109" s="15">
        <v>0.11473738335965322</v>
      </c>
      <c r="P109" s="15"/>
      <c r="Q109" s="15"/>
      <c r="R109" s="15"/>
      <c r="S109" s="15"/>
      <c r="T109" s="15"/>
      <c r="U109" s="15"/>
      <c r="V109" s="15"/>
      <c r="W109" s="15"/>
    </row>
    <row r="110" spans="1:23" s="21" customFormat="1" x14ac:dyDescent="0.55000000000000004">
      <c r="A110" s="17"/>
      <c r="B110"/>
      <c r="C110"/>
      <c r="D110"/>
      <c r="E110"/>
      <c r="F110" s="49">
        <v>40575</v>
      </c>
      <c r="G110" s="92">
        <v>140.93</v>
      </c>
      <c r="H110"/>
      <c r="I110"/>
      <c r="J110"/>
      <c r="K110"/>
      <c r="L110" s="58">
        <v>140.52919125765877</v>
      </c>
      <c r="M110" s="53"/>
      <c r="N110" s="58">
        <v>140.52919125765877</v>
      </c>
      <c r="O110" s="15">
        <v>0.40080874234124053</v>
      </c>
      <c r="P110" s="15"/>
      <c r="Q110" s="15"/>
      <c r="R110" s="15"/>
      <c r="S110" s="15"/>
      <c r="T110" s="15"/>
      <c r="U110" s="15"/>
      <c r="V110" s="15"/>
      <c r="W110" s="15"/>
    </row>
    <row r="111" spans="1:23" s="21" customFormat="1" x14ac:dyDescent="0.55000000000000004">
      <c r="A111" s="17"/>
      <c r="B111"/>
      <c r="C111"/>
      <c r="D111"/>
      <c r="E111"/>
      <c r="F111" s="49">
        <v>40603</v>
      </c>
      <c r="G111" s="92">
        <v>141.06</v>
      </c>
      <c r="H111"/>
      <c r="I111"/>
      <c r="J111"/>
      <c r="K111"/>
      <c r="L111" s="58">
        <v>140.89284981272596</v>
      </c>
      <c r="M111" s="53"/>
      <c r="N111" s="58">
        <v>140.89284981272596</v>
      </c>
      <c r="O111" s="15">
        <v>0.1671501872740464</v>
      </c>
      <c r="P111" s="15"/>
      <c r="Q111" s="15"/>
      <c r="R111" s="15"/>
      <c r="S111" s="15"/>
      <c r="T111" s="15"/>
      <c r="U111" s="15"/>
      <c r="V111" s="15"/>
      <c r="W111" s="15"/>
    </row>
    <row r="112" spans="1:23" s="21" customFormat="1" x14ac:dyDescent="0.55000000000000004">
      <c r="A112" s="17"/>
      <c r="B112"/>
      <c r="C112"/>
      <c r="D112"/>
      <c r="E112"/>
      <c r="F112" s="49">
        <v>40634</v>
      </c>
      <c r="G112" s="92">
        <v>140.97</v>
      </c>
      <c r="H112"/>
      <c r="I112"/>
      <c r="J112"/>
      <c r="K112"/>
      <c r="L112" s="58">
        <v>141.21703966312322</v>
      </c>
      <c r="M112" s="53"/>
      <c r="N112" s="58">
        <v>141.21703966312322</v>
      </c>
      <c r="O112" s="15">
        <v>-0.24703966312321768</v>
      </c>
      <c r="P112" s="15"/>
      <c r="Q112" s="15"/>
      <c r="R112" s="15"/>
      <c r="S112" s="15"/>
      <c r="T112" s="15"/>
      <c r="U112" s="15"/>
      <c r="V112" s="15"/>
      <c r="W112" s="15"/>
    </row>
    <row r="113" spans="1:23" s="21" customFormat="1" x14ac:dyDescent="0.55000000000000004">
      <c r="A113" s="17"/>
      <c r="B113"/>
      <c r="C113"/>
      <c r="D113"/>
      <c r="E113"/>
      <c r="F113" s="49">
        <v>40664</v>
      </c>
      <c r="G113" s="92">
        <v>141.18</v>
      </c>
      <c r="H113"/>
      <c r="I113"/>
      <c r="J113"/>
      <c r="K113"/>
      <c r="L113" s="58">
        <v>141.49291995929764</v>
      </c>
      <c r="M113" s="53"/>
      <c r="N113" s="58">
        <v>141.49291995929764</v>
      </c>
      <c r="O113" s="15">
        <v>-0.31291995929763061</v>
      </c>
      <c r="P113" s="15"/>
      <c r="Q113" s="15"/>
      <c r="R113" s="15"/>
      <c r="S113" s="15"/>
      <c r="T113" s="15"/>
      <c r="U113" s="15"/>
      <c r="V113" s="15"/>
      <c r="W113" s="15"/>
    </row>
    <row r="114" spans="1:23" s="21" customFormat="1" x14ac:dyDescent="0.55000000000000004">
      <c r="A114" s="17"/>
      <c r="B114"/>
      <c r="C114"/>
      <c r="D114"/>
      <c r="E114"/>
      <c r="F114" s="49">
        <v>40695</v>
      </c>
      <c r="G114" s="92">
        <v>141.85</v>
      </c>
      <c r="H114"/>
      <c r="I114"/>
      <c r="J114"/>
      <c r="K114"/>
      <c r="L114" s="58">
        <v>141.66284634869774</v>
      </c>
      <c r="M114" s="53"/>
      <c r="N114" s="58">
        <v>141.66284634869774</v>
      </c>
      <c r="O114" s="15">
        <v>0.18715365130225337</v>
      </c>
      <c r="P114" s="15"/>
      <c r="Q114" s="15"/>
      <c r="R114" s="15"/>
      <c r="S114" s="15"/>
      <c r="T114" s="15"/>
      <c r="U114" s="15"/>
      <c r="V114" s="15"/>
      <c r="W114" s="15"/>
    </row>
    <row r="115" spans="1:23" s="21" customFormat="1" x14ac:dyDescent="0.55000000000000004">
      <c r="A115" s="17"/>
      <c r="B115"/>
      <c r="C115"/>
      <c r="D115"/>
      <c r="E115"/>
      <c r="F115" s="49">
        <v>40725</v>
      </c>
      <c r="G115" s="92">
        <v>142.1</v>
      </c>
      <c r="H115"/>
      <c r="I115"/>
      <c r="J115"/>
      <c r="K115"/>
      <c r="L115" s="58">
        <v>141.82855712399058</v>
      </c>
      <c r="M115" s="53"/>
      <c r="N115" s="58">
        <v>141.82855712399058</v>
      </c>
      <c r="O115" s="15">
        <v>0.27144287600941652</v>
      </c>
      <c r="P115" s="15"/>
      <c r="Q115" s="15"/>
      <c r="R115" s="15"/>
      <c r="S115" s="15"/>
      <c r="T115" s="15"/>
      <c r="U115" s="15"/>
      <c r="V115" s="15"/>
      <c r="W115" s="15"/>
    </row>
    <row r="116" spans="1:23" s="21" customFormat="1" x14ac:dyDescent="0.55000000000000004">
      <c r="A116" s="17"/>
      <c r="B116"/>
      <c r="C116"/>
      <c r="D116"/>
      <c r="E116"/>
      <c r="F116" s="49">
        <v>40756</v>
      </c>
      <c r="G116" s="92">
        <v>141.94</v>
      </c>
      <c r="H116"/>
      <c r="I116"/>
      <c r="J116"/>
      <c r="K116"/>
      <c r="L116" s="58">
        <v>141.9776385070038</v>
      </c>
      <c r="M116" s="53"/>
      <c r="N116" s="58">
        <v>141.9776385070038</v>
      </c>
      <c r="O116" s="15">
        <v>-3.7638507003805444E-2</v>
      </c>
      <c r="P116" s="15"/>
      <c r="Q116" s="15"/>
      <c r="R116" s="15"/>
      <c r="S116" s="15"/>
      <c r="T116" s="15"/>
      <c r="U116" s="15"/>
      <c r="V116" s="15"/>
      <c r="W116" s="15"/>
    </row>
    <row r="117" spans="1:23" s="21" customFormat="1" x14ac:dyDescent="0.55000000000000004">
      <c r="A117" s="17"/>
      <c r="B117"/>
      <c r="C117"/>
      <c r="D117"/>
      <c r="E117"/>
      <c r="F117" s="49">
        <v>40787</v>
      </c>
      <c r="G117" s="92">
        <v>141.58000000000001</v>
      </c>
      <c r="H117"/>
      <c r="I117"/>
      <c r="J117"/>
      <c r="K117"/>
      <c r="L117" s="58">
        <v>141.96020805819569</v>
      </c>
      <c r="M117" s="53"/>
      <c r="N117" s="58">
        <v>141.96020805819569</v>
      </c>
      <c r="O117" s="15">
        <v>-0.38020805819567727</v>
      </c>
      <c r="P117" s="15"/>
      <c r="Q117" s="15"/>
      <c r="R117" s="15"/>
      <c r="S117" s="15"/>
      <c r="T117" s="15"/>
      <c r="U117" s="15"/>
      <c r="V117" s="15"/>
      <c r="W117" s="15"/>
    </row>
    <row r="118" spans="1:23" s="21" customFormat="1" x14ac:dyDescent="0.55000000000000004">
      <c r="A118" s="17"/>
      <c r="B118"/>
      <c r="C118"/>
      <c r="D118"/>
      <c r="E118"/>
      <c r="F118" s="49">
        <v>40817</v>
      </c>
      <c r="G118" s="92">
        <v>141.61000000000001</v>
      </c>
      <c r="H118"/>
      <c r="I118"/>
      <c r="J118"/>
      <c r="K118"/>
      <c r="L118" s="58">
        <v>141.719675463855</v>
      </c>
      <c r="M118" s="53"/>
      <c r="N118" s="58">
        <v>141.719675463855</v>
      </c>
      <c r="O118" s="15">
        <v>-0.10967546385498395</v>
      </c>
      <c r="P118" s="15"/>
      <c r="Q118" s="15"/>
      <c r="R118" s="15"/>
      <c r="S118" s="15"/>
      <c r="T118" s="15"/>
      <c r="U118" s="15"/>
      <c r="V118" s="15"/>
      <c r="W118" s="15"/>
    </row>
    <row r="119" spans="1:23" s="21" customFormat="1" x14ac:dyDescent="0.55000000000000004">
      <c r="A119" s="17"/>
      <c r="B119"/>
      <c r="C119"/>
      <c r="D119"/>
      <c r="E119"/>
      <c r="F119" s="49">
        <v>40848</v>
      </c>
      <c r="G119" s="92">
        <v>142.31</v>
      </c>
      <c r="H119"/>
      <c r="I119"/>
      <c r="J119"/>
      <c r="K119"/>
      <c r="L119" s="58">
        <v>141.28974344540907</v>
      </c>
      <c r="M119" s="53"/>
      <c r="N119" s="58">
        <v>141.28974344540907</v>
      </c>
      <c r="O119" s="15">
        <v>1.0202565545909295</v>
      </c>
      <c r="P119" s="15"/>
      <c r="Q119" s="15"/>
      <c r="R119" s="15"/>
      <c r="S119" s="15"/>
      <c r="T119" s="15"/>
      <c r="U119" s="15"/>
      <c r="V119" s="15"/>
      <c r="W119" s="15"/>
    </row>
    <row r="120" spans="1:23" s="21" customFormat="1" x14ac:dyDescent="0.55000000000000004">
      <c r="A120" s="17"/>
      <c r="B120"/>
      <c r="C120"/>
      <c r="D120"/>
      <c r="E120"/>
      <c r="F120" s="49">
        <v>40878</v>
      </c>
      <c r="G120" s="92">
        <v>140.91999999999999</v>
      </c>
      <c r="H120"/>
      <c r="I120"/>
      <c r="J120"/>
      <c r="K120"/>
      <c r="L120" s="58">
        <v>140.74401394271362</v>
      </c>
      <c r="M120" s="53"/>
      <c r="N120" s="58">
        <v>140.74401394271362</v>
      </c>
      <c r="O120" s="15">
        <v>0.17598605728636585</v>
      </c>
      <c r="P120" s="15"/>
      <c r="Q120" s="15"/>
      <c r="R120" s="15"/>
      <c r="S120" s="15"/>
      <c r="T120" s="15"/>
      <c r="U120" s="15"/>
      <c r="V120" s="15"/>
      <c r="W120" s="15"/>
    </row>
    <row r="121" spans="1:23" s="21" customFormat="1" x14ac:dyDescent="0.55000000000000004">
      <c r="A121" s="17"/>
      <c r="B121"/>
      <c r="C121"/>
      <c r="D121"/>
      <c r="E121"/>
      <c r="F121" s="49">
        <v>40909</v>
      </c>
      <c r="G121" s="92">
        <v>139.04</v>
      </c>
      <c r="H121"/>
      <c r="I121"/>
      <c r="J121"/>
      <c r="K121"/>
      <c r="L121" s="58">
        <v>140.25253610166919</v>
      </c>
      <c r="M121" s="53"/>
      <c r="N121" s="58">
        <v>140.25253610166919</v>
      </c>
      <c r="O121" s="15">
        <v>-1.2125361016692011</v>
      </c>
      <c r="P121" s="15"/>
      <c r="Q121" s="15"/>
      <c r="R121" s="15"/>
      <c r="S121" s="15"/>
      <c r="T121" s="15"/>
      <c r="U121" s="15"/>
      <c r="V121" s="15"/>
      <c r="W121" s="15"/>
    </row>
    <row r="122" spans="1:23" s="21" customFormat="1" x14ac:dyDescent="0.55000000000000004">
      <c r="A122" s="17"/>
      <c r="B122"/>
      <c r="C122"/>
      <c r="D122"/>
      <c r="E122"/>
      <c r="F122" s="49">
        <v>40940</v>
      </c>
      <c r="G122" s="92">
        <v>140.55000000000001</v>
      </c>
      <c r="H122"/>
      <c r="I122"/>
      <c r="J122"/>
      <c r="K122"/>
      <c r="L122" s="58">
        <v>140.07758557232242</v>
      </c>
      <c r="M122" s="53"/>
      <c r="N122" s="58">
        <v>140.07758557232242</v>
      </c>
      <c r="O122" s="15">
        <v>0.47241442767759168</v>
      </c>
      <c r="P122" s="15"/>
      <c r="Q122" s="15"/>
      <c r="R122" s="15"/>
      <c r="S122" s="15"/>
      <c r="T122" s="15"/>
      <c r="U122" s="15"/>
      <c r="V122" s="15"/>
      <c r="W122" s="15"/>
    </row>
    <row r="123" spans="1:23" s="21" customFormat="1" x14ac:dyDescent="0.55000000000000004">
      <c r="A123" s="17"/>
      <c r="B123"/>
      <c r="C123"/>
      <c r="D123"/>
      <c r="E123"/>
      <c r="F123" s="49">
        <v>40969</v>
      </c>
      <c r="G123" s="92">
        <v>140.13999999999999</v>
      </c>
      <c r="H123"/>
      <c r="I123"/>
      <c r="J123"/>
      <c r="K123"/>
      <c r="L123" s="58">
        <v>140.40103715170278</v>
      </c>
      <c r="M123" s="53"/>
      <c r="N123" s="58">
        <v>140.40103715170278</v>
      </c>
      <c r="O123" s="15">
        <v>-0.26103715170279429</v>
      </c>
      <c r="P123" s="15"/>
      <c r="Q123" s="15"/>
      <c r="R123" s="15"/>
      <c r="S123" s="15"/>
      <c r="T123" s="15"/>
      <c r="U123" s="15"/>
      <c r="V123" s="15"/>
      <c r="W123" s="15"/>
    </row>
    <row r="124" spans="1:23" s="21" customFormat="1" x14ac:dyDescent="0.55000000000000004">
      <c r="A124" s="17"/>
      <c r="B124"/>
      <c r="C124"/>
      <c r="D124"/>
      <c r="E124"/>
      <c r="F124" s="49">
        <v>41000</v>
      </c>
      <c r="G124" s="92">
        <v>140.76</v>
      </c>
      <c r="H124"/>
      <c r="I124"/>
      <c r="J124"/>
      <c r="K124"/>
      <c r="L124" s="58">
        <v>141.21762194461883</v>
      </c>
      <c r="M124" s="53"/>
      <c r="N124" s="58">
        <v>141.21762194461883</v>
      </c>
      <c r="O124" s="15">
        <v>-0.4576219446188361</v>
      </c>
      <c r="P124" s="15"/>
      <c r="Q124" s="15"/>
      <c r="R124" s="15"/>
      <c r="S124" s="15"/>
      <c r="T124" s="15"/>
      <c r="U124" s="15"/>
      <c r="V124" s="15"/>
      <c r="W124" s="15"/>
    </row>
    <row r="125" spans="1:23" s="21" customFormat="1" x14ac:dyDescent="0.55000000000000004">
      <c r="A125" s="17"/>
      <c r="B125"/>
      <c r="C125"/>
      <c r="D125"/>
      <c r="E125"/>
      <c r="F125" s="49">
        <v>41030</v>
      </c>
      <c r="G125" s="92">
        <v>142.5</v>
      </c>
      <c r="H125"/>
      <c r="I125"/>
      <c r="J125"/>
      <c r="K125"/>
      <c r="L125" s="58">
        <v>142.22204161163913</v>
      </c>
      <c r="M125" s="53"/>
      <c r="N125" s="58">
        <v>142.22204161163913</v>
      </c>
      <c r="O125" s="15">
        <v>0.27795838836087228</v>
      </c>
      <c r="P125" s="15"/>
      <c r="Q125" s="15"/>
      <c r="R125" s="15"/>
      <c r="S125" s="15"/>
      <c r="T125" s="15"/>
      <c r="U125" s="15"/>
      <c r="V125" s="15"/>
      <c r="W125" s="15"/>
    </row>
    <row r="126" spans="1:23" s="21" customFormat="1" x14ac:dyDescent="0.55000000000000004">
      <c r="A126" s="17"/>
      <c r="B126"/>
      <c r="C126"/>
      <c r="D126"/>
      <c r="E126"/>
      <c r="F126" s="49">
        <v>41061</v>
      </c>
      <c r="G126" s="92">
        <v>143.55000000000001</v>
      </c>
      <c r="H126"/>
      <c r="I126"/>
      <c r="J126"/>
      <c r="K126"/>
      <c r="L126" s="58">
        <v>143.09320649938297</v>
      </c>
      <c r="M126" s="53"/>
      <c r="N126" s="58">
        <v>143.09320649938297</v>
      </c>
      <c r="O126" s="15">
        <v>0.45679350061703872</v>
      </c>
      <c r="P126" s="15"/>
      <c r="Q126" s="15"/>
      <c r="R126" s="15"/>
      <c r="S126" s="15"/>
      <c r="T126" s="15"/>
      <c r="U126" s="15"/>
      <c r="V126" s="15"/>
      <c r="W126" s="15"/>
    </row>
    <row r="127" spans="1:23" s="21" customFormat="1" x14ac:dyDescent="0.55000000000000004">
      <c r="A127" s="17"/>
      <c r="B127"/>
      <c r="C127"/>
      <c r="D127"/>
      <c r="E127"/>
      <c r="F127" s="49">
        <v>41091</v>
      </c>
      <c r="G127" s="92">
        <v>143.82</v>
      </c>
      <c r="H127"/>
      <c r="I127"/>
      <c r="J127"/>
      <c r="K127"/>
      <c r="L127" s="58">
        <v>143.73717248695576</v>
      </c>
      <c r="M127" s="53"/>
      <c r="N127" s="58">
        <v>143.73717248695576</v>
      </c>
      <c r="O127" s="15">
        <v>8.2827513044236412E-2</v>
      </c>
      <c r="P127" s="15"/>
      <c r="Q127" s="15"/>
      <c r="R127" s="15"/>
      <c r="S127" s="15"/>
      <c r="T127" s="15"/>
      <c r="U127" s="15"/>
      <c r="V127" s="15"/>
      <c r="W127" s="15"/>
    </row>
    <row r="128" spans="1:23" s="21" customFormat="1" x14ac:dyDescent="0.55000000000000004">
      <c r="A128" s="17"/>
      <c r="B128"/>
      <c r="C128"/>
      <c r="D128"/>
      <c r="E128"/>
      <c r="F128" s="49">
        <v>41122</v>
      </c>
      <c r="G128" s="92">
        <v>144.26</v>
      </c>
      <c r="H128"/>
      <c r="I128"/>
      <c r="J128"/>
      <c r="K128"/>
      <c r="L128" s="58">
        <v>144.13555316200825</v>
      </c>
      <c r="M128" s="53"/>
      <c r="N128" s="58">
        <v>144.13555316200825</v>
      </c>
      <c r="O128" s="15">
        <v>0.12444683799174072</v>
      </c>
      <c r="P128" s="15"/>
      <c r="Q128" s="15"/>
      <c r="R128" s="15"/>
      <c r="S128" s="15"/>
      <c r="T128" s="15"/>
      <c r="U128" s="15"/>
      <c r="V128" s="15"/>
      <c r="W128" s="15"/>
    </row>
    <row r="129" spans="1:23" s="21" customFormat="1" x14ac:dyDescent="0.55000000000000004">
      <c r="A129" s="17"/>
      <c r="B129"/>
      <c r="C129"/>
      <c r="D129"/>
      <c r="E129"/>
      <c r="F129" s="49">
        <v>41153</v>
      </c>
      <c r="G129" s="92">
        <v>143.66</v>
      </c>
      <c r="H129"/>
      <c r="I129"/>
      <c r="J129"/>
      <c r="K129"/>
      <c r="L129" s="58">
        <v>144.3315534001602</v>
      </c>
      <c r="M129" s="53"/>
      <c r="N129" s="58">
        <v>144.3315534001602</v>
      </c>
      <c r="O129" s="15">
        <v>-0.67155340016020659</v>
      </c>
      <c r="P129" s="15"/>
      <c r="Q129" s="15"/>
      <c r="R129" s="15"/>
      <c r="S129" s="15"/>
      <c r="T129" s="15"/>
      <c r="U129" s="15"/>
      <c r="V129" s="15"/>
      <c r="W129" s="15"/>
    </row>
    <row r="130" spans="1:23" s="21" customFormat="1" x14ac:dyDescent="0.55000000000000004">
      <c r="A130" s="17"/>
      <c r="B130"/>
      <c r="C130"/>
      <c r="D130"/>
      <c r="E130"/>
      <c r="F130" s="49">
        <v>41183</v>
      </c>
      <c r="G130" s="92">
        <v>144.84</v>
      </c>
      <c r="H130"/>
      <c r="I130"/>
      <c r="J130"/>
      <c r="K130"/>
      <c r="L130" s="58">
        <v>144.42127595314903</v>
      </c>
      <c r="M130" s="53"/>
      <c r="N130" s="58">
        <v>144.42127595314903</v>
      </c>
      <c r="O130" s="15">
        <v>0.41872404685096853</v>
      </c>
      <c r="P130" s="15"/>
      <c r="Q130" s="15"/>
      <c r="R130" s="15"/>
      <c r="S130" s="15"/>
      <c r="T130" s="15"/>
      <c r="U130" s="15"/>
      <c r="V130" s="15"/>
      <c r="W130" s="15"/>
    </row>
    <row r="131" spans="1:23" s="21" customFormat="1" x14ac:dyDescent="0.55000000000000004">
      <c r="A131" s="17"/>
      <c r="B131"/>
      <c r="C131"/>
      <c r="D131"/>
      <c r="E131"/>
      <c r="F131" s="49">
        <v>41214</v>
      </c>
      <c r="G131" s="92">
        <v>144.63999999999999</v>
      </c>
      <c r="H131"/>
      <c r="I131"/>
      <c r="J131"/>
      <c r="K131"/>
      <c r="L131" s="58">
        <v>144.43342808893891</v>
      </c>
      <c r="M131" s="53"/>
      <c r="N131" s="58">
        <v>144.43342808893891</v>
      </c>
      <c r="O131" s="15">
        <v>0.20657191106107575</v>
      </c>
      <c r="P131" s="15"/>
      <c r="Q131" s="15"/>
      <c r="R131" s="15"/>
      <c r="S131" s="15"/>
      <c r="T131" s="15"/>
      <c r="U131" s="15"/>
      <c r="V131" s="15"/>
      <c r="W131" s="15"/>
    </row>
    <row r="132" spans="1:23" s="21" customFormat="1" x14ac:dyDescent="0.55000000000000004">
      <c r="A132" s="17"/>
      <c r="B132"/>
      <c r="C132"/>
      <c r="D132"/>
      <c r="E132"/>
      <c r="F132" s="49">
        <v>41244</v>
      </c>
      <c r="G132" s="92">
        <v>144.15</v>
      </c>
      <c r="H132"/>
      <c r="I132"/>
      <c r="J132"/>
      <c r="K132"/>
      <c r="L132" s="58">
        <v>144.40584078460239</v>
      </c>
      <c r="M132" s="53"/>
      <c r="N132" s="58">
        <v>144.40584078460239</v>
      </c>
      <c r="O132" s="15">
        <v>-0.25584078460238402</v>
      </c>
      <c r="P132" s="15"/>
      <c r="Q132" s="15"/>
      <c r="R132" s="15"/>
      <c r="S132" s="15"/>
      <c r="T132" s="15"/>
      <c r="U132" s="15"/>
      <c r="V132" s="15"/>
      <c r="W132" s="15"/>
    </row>
    <row r="133" spans="1:23" s="21" customFormat="1" x14ac:dyDescent="0.55000000000000004">
      <c r="A133" s="17"/>
      <c r="B133"/>
      <c r="C133"/>
      <c r="D133"/>
      <c r="E133"/>
      <c r="F133" s="49">
        <v>41275</v>
      </c>
      <c r="G133" s="92">
        <v>144.97999999999999</v>
      </c>
      <c r="H133"/>
      <c r="I133"/>
      <c r="J133"/>
      <c r="K133"/>
      <c r="L133" s="58">
        <v>144.4756445257529</v>
      </c>
      <c r="M133" s="53"/>
      <c r="N133" s="58">
        <v>144.4756445257529</v>
      </c>
      <c r="O133" s="15">
        <v>0.50435547424709171</v>
      </c>
      <c r="P133" s="15"/>
      <c r="Q133" s="15"/>
      <c r="R133" s="15"/>
      <c r="S133" s="15"/>
      <c r="T133" s="15"/>
      <c r="U133" s="15"/>
      <c r="V133" s="15"/>
      <c r="W133" s="15"/>
    </row>
    <row r="134" spans="1:23" s="21" customFormat="1" x14ac:dyDescent="0.55000000000000004">
      <c r="A134" s="17"/>
      <c r="B134"/>
      <c r="C134"/>
      <c r="D134"/>
      <c r="E134"/>
      <c r="F134" s="49">
        <v>41306</v>
      </c>
      <c r="G134" s="92">
        <v>143.82</v>
      </c>
      <c r="H134"/>
      <c r="I134"/>
      <c r="J134"/>
      <c r="K134"/>
      <c r="L134" s="58">
        <v>144.74030515923701</v>
      </c>
      <c r="M134" s="53"/>
      <c r="N134" s="58">
        <v>144.74030515923701</v>
      </c>
      <c r="O134" s="15">
        <v>-0.92030515923701728</v>
      </c>
      <c r="P134" s="15"/>
      <c r="Q134" s="15"/>
      <c r="R134" s="15"/>
      <c r="S134" s="15"/>
      <c r="T134" s="15"/>
      <c r="U134" s="15"/>
      <c r="V134" s="15"/>
      <c r="W134" s="15"/>
    </row>
    <row r="135" spans="1:23" s="21" customFormat="1" x14ac:dyDescent="0.55000000000000004">
      <c r="A135" s="17"/>
      <c r="B135"/>
      <c r="C135"/>
      <c r="D135"/>
      <c r="E135"/>
      <c r="F135" s="49">
        <v>41334</v>
      </c>
      <c r="G135" s="92">
        <v>145.04</v>
      </c>
      <c r="H135"/>
      <c r="I135"/>
      <c r="J135"/>
      <c r="K135"/>
      <c r="L135" s="58">
        <v>145.20454339777871</v>
      </c>
      <c r="M135" s="53"/>
      <c r="N135" s="58">
        <v>145.20454339777871</v>
      </c>
      <c r="O135" s="15">
        <v>-0.16454339777871496</v>
      </c>
      <c r="P135" s="15"/>
      <c r="Q135" s="15"/>
      <c r="R135" s="15"/>
      <c r="S135" s="15"/>
      <c r="T135" s="15"/>
      <c r="U135" s="15"/>
      <c r="V135" s="15"/>
      <c r="W135" s="15"/>
    </row>
    <row r="136" spans="1:23" s="21" customFormat="1" x14ac:dyDescent="0.55000000000000004">
      <c r="A136" s="17"/>
      <c r="B136"/>
      <c r="C136"/>
      <c r="D136"/>
      <c r="E136"/>
      <c r="F136" s="49">
        <v>41365</v>
      </c>
      <c r="G136" s="92">
        <v>146.28</v>
      </c>
      <c r="H136"/>
      <c r="I136"/>
      <c r="J136"/>
      <c r="K136"/>
      <c r="L136" s="58">
        <v>145.78036707874168</v>
      </c>
      <c r="M136" s="53"/>
      <c r="N136" s="58">
        <v>145.78036707874168</v>
      </c>
      <c r="O136" s="15">
        <v>0.49963292125832481</v>
      </c>
      <c r="P136" s="15"/>
      <c r="Q136" s="15"/>
      <c r="R136" s="15"/>
      <c r="S136" s="15"/>
      <c r="T136" s="15"/>
      <c r="U136" s="15"/>
      <c r="V136" s="15"/>
      <c r="W136" s="15"/>
    </row>
    <row r="137" spans="1:23" s="21" customFormat="1" x14ac:dyDescent="0.55000000000000004">
      <c r="A137" s="17"/>
      <c r="B137"/>
      <c r="C137"/>
      <c r="D137"/>
      <c r="E137"/>
      <c r="F137" s="49">
        <v>41395</v>
      </c>
      <c r="G137" s="92">
        <v>146.79</v>
      </c>
      <c r="H137"/>
      <c r="I137"/>
      <c r="J137"/>
      <c r="K137"/>
      <c r="L137" s="58">
        <v>146.30438989802767</v>
      </c>
      <c r="M137" s="53"/>
      <c r="N137" s="58">
        <v>146.30438989802767</v>
      </c>
      <c r="O137" s="15">
        <v>0.4856101019723269</v>
      </c>
      <c r="P137" s="15"/>
      <c r="Q137" s="15"/>
      <c r="R137" s="15"/>
      <c r="S137" s="15"/>
      <c r="T137" s="15"/>
      <c r="U137" s="15"/>
      <c r="V137" s="15"/>
      <c r="W137" s="15"/>
    </row>
    <row r="138" spans="1:23" s="21" customFormat="1" x14ac:dyDescent="0.55000000000000004">
      <c r="A138" s="17"/>
      <c r="B138"/>
      <c r="C138"/>
      <c r="D138"/>
      <c r="E138"/>
      <c r="F138" s="49">
        <v>41426</v>
      </c>
      <c r="G138" s="92">
        <v>146.35</v>
      </c>
      <c r="H138"/>
      <c r="I138"/>
      <c r="J138"/>
      <c r="K138"/>
      <c r="L138" s="58">
        <v>146.71291530450975</v>
      </c>
      <c r="M138" s="53"/>
      <c r="N138" s="58">
        <v>146.71291530450975</v>
      </c>
      <c r="O138" s="15">
        <v>-0.36291530450975529</v>
      </c>
      <c r="P138" s="15"/>
      <c r="Q138" s="15"/>
      <c r="R138" s="15"/>
      <c r="S138" s="15"/>
      <c r="T138" s="15"/>
      <c r="U138" s="15"/>
      <c r="V138" s="15"/>
      <c r="W138" s="15"/>
    </row>
    <row r="139" spans="1:23" s="21" customFormat="1" x14ac:dyDescent="0.55000000000000004">
      <c r="A139" s="17"/>
      <c r="B139"/>
      <c r="C139"/>
      <c r="D139"/>
      <c r="E139"/>
      <c r="F139" s="49">
        <v>41456</v>
      </c>
      <c r="G139" s="92">
        <v>146.93</v>
      </c>
      <c r="H139"/>
      <c r="I139"/>
      <c r="J139"/>
      <c r="K139"/>
      <c r="L139" s="58">
        <v>147.02123081253109</v>
      </c>
      <c r="M139" s="53"/>
      <c r="N139" s="58">
        <v>147.02123081253109</v>
      </c>
      <c r="O139" s="15">
        <v>-9.1230812531080119E-2</v>
      </c>
      <c r="P139" s="15"/>
      <c r="Q139" s="15"/>
      <c r="R139" s="15"/>
      <c r="S139" s="15"/>
      <c r="T139" s="15"/>
      <c r="U139" s="15"/>
      <c r="V139" s="15"/>
      <c r="W139" s="15"/>
    </row>
    <row r="140" spans="1:23" s="21" customFormat="1" x14ac:dyDescent="0.55000000000000004">
      <c r="A140" s="17"/>
      <c r="B140"/>
      <c r="C140"/>
      <c r="D140"/>
      <c r="E140"/>
      <c r="F140" s="49">
        <v>41487</v>
      </c>
      <c r="G140" s="92">
        <v>147.18</v>
      </c>
      <c r="H140"/>
      <c r="I140"/>
      <c r="J140"/>
      <c r="K140"/>
      <c r="L140" s="58">
        <v>147.31079672649332</v>
      </c>
      <c r="M140" s="53"/>
      <c r="N140" s="58">
        <v>147.31079672649332</v>
      </c>
      <c r="O140" s="15">
        <v>-0.13079672649331542</v>
      </c>
      <c r="P140" s="15"/>
      <c r="Q140" s="15"/>
      <c r="R140" s="15"/>
      <c r="S140" s="15"/>
      <c r="T140" s="15"/>
      <c r="U140" s="15"/>
      <c r="V140" s="15"/>
      <c r="W140" s="15"/>
    </row>
    <row r="141" spans="1:23" s="21" customFormat="1" x14ac:dyDescent="0.55000000000000004">
      <c r="A141" s="17"/>
      <c r="B141"/>
      <c r="C141"/>
      <c r="D141"/>
      <c r="E141"/>
      <c r="F141" s="49">
        <v>41518</v>
      </c>
      <c r="G141" s="92">
        <v>147.83000000000001</v>
      </c>
      <c r="H141"/>
      <c r="I141"/>
      <c r="J141"/>
      <c r="K141"/>
      <c r="L141" s="58">
        <v>147.69457944532246</v>
      </c>
      <c r="M141" s="53"/>
      <c r="N141" s="58">
        <v>147.69457944532246</v>
      </c>
      <c r="O141" s="15">
        <v>0.13542055467755176</v>
      </c>
      <c r="P141" s="15"/>
      <c r="Q141" s="15"/>
      <c r="R141" s="15"/>
      <c r="S141" s="15"/>
      <c r="T141" s="15"/>
      <c r="U141" s="15"/>
      <c r="V141" s="15"/>
      <c r="W141" s="15"/>
    </row>
    <row r="142" spans="1:23" s="21" customFormat="1" x14ac:dyDescent="0.55000000000000004">
      <c r="A142" s="17"/>
      <c r="B142"/>
      <c r="C142"/>
      <c r="D142"/>
      <c r="E142"/>
      <c r="F142" s="49">
        <v>41548</v>
      </c>
      <c r="G142" s="92">
        <v>147.99</v>
      </c>
      <c r="H142"/>
      <c r="I142"/>
      <c r="J142"/>
      <c r="K142"/>
      <c r="L142" s="58">
        <v>148.09099904739224</v>
      </c>
      <c r="M142" s="53"/>
      <c r="N142" s="58">
        <v>148.09099904739224</v>
      </c>
      <c r="O142" s="15">
        <v>-0.10099904739223575</v>
      </c>
      <c r="P142" s="15"/>
      <c r="Q142" s="15"/>
      <c r="R142" s="15"/>
      <c r="S142" s="15"/>
      <c r="T142" s="15"/>
      <c r="U142" s="15"/>
      <c r="V142" s="15"/>
      <c r="W142" s="15"/>
    </row>
    <row r="143" spans="1:23" s="21" customFormat="1" x14ac:dyDescent="0.55000000000000004">
      <c r="A143" s="17"/>
      <c r="B143"/>
      <c r="C143"/>
      <c r="D143"/>
      <c r="E143"/>
      <c r="F143" s="49">
        <v>41579</v>
      </c>
      <c r="G143" s="92">
        <v>148.36000000000001</v>
      </c>
      <c r="H143"/>
      <c r="I143"/>
      <c r="J143"/>
      <c r="K143"/>
      <c r="L143" s="58">
        <v>148.37601517677368</v>
      </c>
      <c r="M143" s="53"/>
      <c r="N143" s="58">
        <v>148.37601517677368</v>
      </c>
      <c r="O143" s="15">
        <v>-1.6015176773663597E-2</v>
      </c>
      <c r="P143" s="15"/>
      <c r="Q143" s="15"/>
      <c r="R143" s="15"/>
      <c r="S143" s="15"/>
      <c r="T143" s="15"/>
      <c r="U143" s="15"/>
      <c r="V143" s="15"/>
      <c r="W143" s="15"/>
    </row>
    <row r="144" spans="1:23" s="21" customFormat="1" x14ac:dyDescent="0.55000000000000004">
      <c r="A144" s="17"/>
      <c r="B144"/>
      <c r="C144"/>
      <c r="D144"/>
      <c r="E144"/>
      <c r="F144" s="49">
        <v>41609</v>
      </c>
      <c r="G144" s="92">
        <v>148.76</v>
      </c>
      <c r="H144"/>
      <c r="I144"/>
      <c r="J144"/>
      <c r="K144"/>
      <c r="L144" s="58">
        <v>148.47793641343176</v>
      </c>
      <c r="M144" s="53"/>
      <c r="N144" s="58">
        <v>148.47793641343176</v>
      </c>
      <c r="O144" s="15">
        <v>0.28206358656822772</v>
      </c>
      <c r="P144" s="15"/>
      <c r="Q144" s="15"/>
      <c r="R144" s="15"/>
      <c r="S144" s="15"/>
      <c r="T144" s="15"/>
      <c r="U144" s="15"/>
      <c r="V144" s="15"/>
      <c r="W144" s="15"/>
    </row>
    <row r="145" spans="1:23" s="21" customFormat="1" x14ac:dyDescent="0.55000000000000004">
      <c r="A145" s="17"/>
      <c r="B145"/>
      <c r="C145"/>
      <c r="D145"/>
      <c r="E145"/>
      <c r="F145" s="49">
        <v>41640</v>
      </c>
      <c r="G145" s="92">
        <v>148.31</v>
      </c>
      <c r="H145"/>
      <c r="I145"/>
      <c r="J145"/>
      <c r="K145"/>
      <c r="L145" s="58">
        <v>148.45217930676134</v>
      </c>
      <c r="M145" s="53"/>
      <c r="N145" s="58">
        <v>148.45217930676134</v>
      </c>
      <c r="O145" s="15">
        <v>-0.14217930676133506</v>
      </c>
      <c r="P145" s="15"/>
      <c r="Q145" s="15"/>
      <c r="R145" s="15"/>
      <c r="S145" s="15"/>
      <c r="T145" s="15"/>
      <c r="U145" s="15"/>
      <c r="V145" s="15"/>
      <c r="W145" s="15"/>
    </row>
    <row r="146" spans="1:23" s="21" customFormat="1" x14ac:dyDescent="0.55000000000000004">
      <c r="A146" s="17"/>
      <c r="B146"/>
      <c r="C146"/>
      <c r="D146"/>
      <c r="E146"/>
      <c r="F146" s="49">
        <v>41671</v>
      </c>
      <c r="G146" s="92">
        <v>148</v>
      </c>
      <c r="H146"/>
      <c r="I146"/>
      <c r="J146"/>
      <c r="K146"/>
      <c r="L146" s="58">
        <v>148.17232999198944</v>
      </c>
      <c r="M146" s="53"/>
      <c r="N146" s="58">
        <v>148.17232999198944</v>
      </c>
      <c r="O146" s="15">
        <v>-0.17232999198944299</v>
      </c>
      <c r="P146" s="15"/>
      <c r="Q146" s="15"/>
      <c r="R146" s="15"/>
      <c r="S146" s="15"/>
      <c r="T146" s="15"/>
      <c r="U146" s="15"/>
      <c r="V146" s="15"/>
      <c r="W146" s="15"/>
    </row>
    <row r="147" spans="1:23" s="21" customFormat="1" x14ac:dyDescent="0.55000000000000004">
      <c r="A147" s="17"/>
      <c r="B147"/>
      <c r="C147"/>
      <c r="D147"/>
      <c r="E147"/>
      <c r="F147" s="49">
        <v>41699</v>
      </c>
      <c r="G147" s="92">
        <v>147.78</v>
      </c>
      <c r="H147"/>
      <c r="I147"/>
      <c r="J147"/>
      <c r="K147"/>
      <c r="L147" s="58">
        <v>147.53934302539565</v>
      </c>
      <c r="M147" s="53"/>
      <c r="N147" s="58">
        <v>147.53934302539565</v>
      </c>
      <c r="O147" s="15">
        <v>0.24065697460434876</v>
      </c>
      <c r="P147" s="15"/>
      <c r="Q147" s="15"/>
      <c r="R147" s="15"/>
      <c r="S147" s="15"/>
      <c r="T147" s="15"/>
      <c r="U147" s="15"/>
      <c r="V147" s="15"/>
      <c r="W147" s="15"/>
    </row>
    <row r="148" spans="1:23" s="21" customFormat="1" x14ac:dyDescent="0.55000000000000004">
      <c r="A148" s="17"/>
      <c r="B148"/>
      <c r="C148"/>
      <c r="D148"/>
      <c r="E148"/>
      <c r="F148" s="49">
        <v>41730</v>
      </c>
      <c r="G148" s="92">
        <v>147.07</v>
      </c>
      <c r="H148"/>
      <c r="I148"/>
      <c r="J148"/>
      <c r="K148"/>
      <c r="L148" s="58">
        <v>146.62807335079779</v>
      </c>
      <c r="M148" s="53"/>
      <c r="N148" s="58">
        <v>146.62807335079779</v>
      </c>
      <c r="O148" s="15">
        <v>0.44192664920220182</v>
      </c>
      <c r="P148" s="15"/>
      <c r="Q148" s="15"/>
      <c r="R148" s="15"/>
      <c r="S148" s="15"/>
      <c r="T148" s="15"/>
      <c r="U148" s="15"/>
      <c r="V148" s="15"/>
      <c r="W148" s="15"/>
    </row>
    <row r="149" spans="1:23" s="21" customFormat="1" x14ac:dyDescent="0.55000000000000004">
      <c r="A149" s="17"/>
      <c r="B149"/>
      <c r="C149"/>
      <c r="D149"/>
      <c r="E149"/>
      <c r="F149" s="49">
        <v>41760</v>
      </c>
      <c r="G149" s="92">
        <v>146.37</v>
      </c>
      <c r="H149"/>
      <c r="I149"/>
      <c r="J149"/>
      <c r="K149"/>
      <c r="L149" s="58">
        <v>145.73915369460263</v>
      </c>
      <c r="M149" s="53"/>
      <c r="N149" s="58">
        <v>145.73915369460263</v>
      </c>
      <c r="O149" s="15">
        <v>0.63084630539736963</v>
      </c>
      <c r="P149" s="15"/>
      <c r="Q149" s="15"/>
      <c r="R149" s="15"/>
      <c r="S149" s="15"/>
      <c r="T149" s="15"/>
      <c r="U149" s="15"/>
      <c r="V149" s="15"/>
      <c r="W149" s="15"/>
    </row>
    <row r="150" spans="1:23" s="21" customFormat="1" x14ac:dyDescent="0.55000000000000004">
      <c r="A150" s="17"/>
      <c r="B150"/>
      <c r="C150"/>
      <c r="D150"/>
      <c r="E150"/>
      <c r="F150" s="49">
        <v>41791</v>
      </c>
      <c r="G150" s="92">
        <v>143.43</v>
      </c>
      <c r="H150"/>
      <c r="I150"/>
      <c r="J150"/>
      <c r="K150"/>
      <c r="L150" s="58">
        <v>145.13991004351684</v>
      </c>
      <c r="M150" s="53"/>
      <c r="N150" s="58">
        <v>145.13991004351684</v>
      </c>
      <c r="O150" s="15">
        <v>-1.7099100435168282</v>
      </c>
      <c r="P150" s="15"/>
      <c r="Q150" s="15"/>
      <c r="R150" s="15"/>
      <c r="S150" s="15"/>
      <c r="T150" s="15"/>
      <c r="U150" s="15"/>
      <c r="V150" s="15"/>
      <c r="W150" s="15"/>
    </row>
    <row r="151" spans="1:23" s="21" customFormat="1" x14ac:dyDescent="0.55000000000000004">
      <c r="A151" s="17"/>
      <c r="B151"/>
      <c r="C151"/>
      <c r="D151"/>
      <c r="E151"/>
      <c r="F151" s="49">
        <v>41821</v>
      </c>
      <c r="G151" s="92">
        <v>144.66999999999999</v>
      </c>
      <c r="H151"/>
      <c r="I151"/>
      <c r="J151"/>
      <c r="K151"/>
      <c r="L151" s="58">
        <v>144.93660503583104</v>
      </c>
      <c r="M151" s="53"/>
      <c r="N151" s="58">
        <v>144.93660503583104</v>
      </c>
      <c r="O151" s="15">
        <v>-0.26660503583104855</v>
      </c>
      <c r="P151" s="15"/>
      <c r="Q151" s="15"/>
      <c r="R151" s="15"/>
      <c r="S151" s="15"/>
      <c r="T151" s="15"/>
      <c r="U151" s="15"/>
      <c r="V151" s="15"/>
      <c r="W151" s="15"/>
    </row>
    <row r="152" spans="1:23" s="21" customFormat="1" x14ac:dyDescent="0.55000000000000004">
      <c r="A152" s="17"/>
      <c r="B152"/>
      <c r="C152"/>
      <c r="D152"/>
      <c r="E152"/>
      <c r="F152" s="49">
        <v>41852</v>
      </c>
      <c r="G152" s="92">
        <v>145.66</v>
      </c>
      <c r="H152"/>
      <c r="I152"/>
      <c r="J152"/>
      <c r="K152"/>
      <c r="L152" s="58">
        <v>145.13520589317801</v>
      </c>
      <c r="M152" s="53"/>
      <c r="N152" s="58">
        <v>145.13520589317801</v>
      </c>
      <c r="O152" s="15">
        <v>0.52479410682198591</v>
      </c>
      <c r="P152" s="15"/>
      <c r="Q152" s="15"/>
      <c r="R152" s="15"/>
      <c r="S152" s="15"/>
      <c r="T152" s="15"/>
      <c r="U152" s="15"/>
      <c r="V152" s="15"/>
      <c r="W152" s="15"/>
    </row>
    <row r="153" spans="1:23" s="21" customFormat="1" x14ac:dyDescent="0.55000000000000004">
      <c r="A153" s="17"/>
      <c r="B153"/>
      <c r="C153"/>
      <c r="D153"/>
      <c r="E153"/>
      <c r="F153" s="49">
        <v>41883</v>
      </c>
      <c r="G153" s="92">
        <v>146.22999999999999</v>
      </c>
      <c r="H153"/>
      <c r="I153"/>
      <c r="J153"/>
      <c r="K153"/>
      <c r="L153" s="58">
        <v>145.55702223473119</v>
      </c>
      <c r="M153" s="53"/>
      <c r="N153" s="58">
        <v>145.55702223473119</v>
      </c>
      <c r="O153" s="15">
        <v>0.67297776526879716</v>
      </c>
      <c r="P153" s="15"/>
      <c r="Q153" s="15"/>
      <c r="R153" s="15"/>
      <c r="S153" s="15"/>
      <c r="T153" s="15"/>
      <c r="U153" s="15"/>
      <c r="V153" s="15"/>
      <c r="W153" s="15"/>
    </row>
    <row r="154" spans="1:23" s="21" customFormat="1" x14ac:dyDescent="0.55000000000000004">
      <c r="A154" s="17"/>
      <c r="B154"/>
      <c r="C154"/>
      <c r="D154"/>
      <c r="E154"/>
      <c r="F154" s="49">
        <v>41913</v>
      </c>
      <c r="G154" s="92">
        <v>145.41</v>
      </c>
      <c r="H154"/>
      <c r="I154"/>
      <c r="J154"/>
      <c r="K154"/>
      <c r="L154" s="58">
        <v>145.88646928922469</v>
      </c>
      <c r="M154" s="53"/>
      <c r="N154" s="58">
        <v>145.88646928922469</v>
      </c>
      <c r="O154" s="15">
        <v>-0.47646928922469556</v>
      </c>
      <c r="P154" s="15"/>
      <c r="Q154" s="15"/>
      <c r="R154" s="15"/>
      <c r="S154" s="15"/>
      <c r="T154" s="15"/>
      <c r="U154" s="15"/>
      <c r="V154" s="15"/>
      <c r="W154" s="15"/>
    </row>
    <row r="155" spans="1:23" s="21" customFormat="1" x14ac:dyDescent="0.55000000000000004">
      <c r="A155" s="17"/>
      <c r="B155"/>
      <c r="C155"/>
      <c r="D155"/>
      <c r="E155"/>
      <c r="F155" s="49">
        <v>41944</v>
      </c>
      <c r="G155" s="92">
        <v>145.62</v>
      </c>
      <c r="H155"/>
      <c r="I155"/>
      <c r="J155"/>
      <c r="K155"/>
      <c r="L155" s="58">
        <v>145.92430362207452</v>
      </c>
      <c r="M155" s="53"/>
      <c r="N155" s="58">
        <v>145.92430362207452</v>
      </c>
      <c r="O155" s="15">
        <v>-0.30430362207451367</v>
      </c>
      <c r="P155" s="15"/>
      <c r="Q155" s="15"/>
      <c r="R155" s="15"/>
      <c r="S155" s="15"/>
      <c r="T155" s="15"/>
      <c r="U155" s="15"/>
      <c r="V155" s="15"/>
      <c r="W155" s="15"/>
    </row>
    <row r="156" spans="1:23" s="21" customFormat="1" x14ac:dyDescent="0.55000000000000004">
      <c r="A156" s="17"/>
      <c r="B156"/>
      <c r="C156"/>
      <c r="D156"/>
      <c r="E156"/>
      <c r="F156" s="49">
        <v>41974</v>
      </c>
      <c r="G156" s="92">
        <v>146.28</v>
      </c>
      <c r="H156"/>
      <c r="I156"/>
      <c r="J156"/>
      <c r="K156"/>
      <c r="L156" s="58">
        <v>145.63315962675097</v>
      </c>
      <c r="M156" s="53"/>
      <c r="N156" s="58">
        <v>145.63315962675097</v>
      </c>
      <c r="O156" s="15">
        <v>0.64684037324903443</v>
      </c>
      <c r="P156" s="15"/>
      <c r="Q156" s="15"/>
      <c r="R156" s="15"/>
      <c r="S156" s="15"/>
      <c r="T156" s="15"/>
      <c r="U156" s="15"/>
      <c r="V156" s="15"/>
      <c r="W156" s="15"/>
    </row>
    <row r="157" spans="1:23" s="21" customFormat="1" x14ac:dyDescent="0.55000000000000004">
      <c r="A157" s="17"/>
      <c r="B157"/>
      <c r="C157"/>
      <c r="D157"/>
      <c r="E157"/>
      <c r="F157" s="49">
        <v>42005</v>
      </c>
      <c r="G157" s="92">
        <v>145.11000000000001</v>
      </c>
      <c r="H157"/>
      <c r="I157"/>
      <c r="J157"/>
      <c r="K157"/>
      <c r="L157" s="58">
        <v>145.13151746086729</v>
      </c>
      <c r="M157" s="53"/>
      <c r="N157" s="58">
        <v>145.13151746086729</v>
      </c>
      <c r="O157" s="15">
        <v>-2.1517460867272575E-2</v>
      </c>
      <c r="P157" s="15"/>
      <c r="Q157" s="15"/>
      <c r="R157" s="15"/>
      <c r="S157" s="15"/>
      <c r="T157" s="15"/>
      <c r="U157" s="15"/>
      <c r="V157" s="15"/>
      <c r="W157" s="15"/>
    </row>
    <row r="158" spans="1:23" s="21" customFormat="1" x14ac:dyDescent="0.55000000000000004">
      <c r="A158" s="17"/>
      <c r="B158"/>
      <c r="C158"/>
      <c r="D158"/>
      <c r="E158"/>
      <c r="F158" s="49">
        <v>42036</v>
      </c>
      <c r="G158" s="92">
        <v>144.05000000000001</v>
      </c>
      <c r="H158"/>
      <c r="I158"/>
      <c r="J158"/>
      <c r="K158"/>
      <c r="L158" s="58">
        <v>144.38477451341228</v>
      </c>
      <c r="M158" s="53"/>
      <c r="N158" s="58">
        <v>144.38477451341228</v>
      </c>
      <c r="O158" s="15">
        <v>-0.33477451341227038</v>
      </c>
      <c r="P158" s="15"/>
      <c r="Q158" s="15"/>
      <c r="R158" s="15"/>
      <c r="S158" s="15"/>
      <c r="T158" s="15"/>
      <c r="U158" s="15"/>
      <c r="V158" s="15"/>
      <c r="W158" s="15"/>
    </row>
    <row r="159" spans="1:23" s="21" customFormat="1" x14ac:dyDescent="0.55000000000000004">
      <c r="A159" s="17"/>
      <c r="B159"/>
      <c r="C159"/>
      <c r="D159"/>
      <c r="E159"/>
      <c r="F159" s="49">
        <v>42064</v>
      </c>
      <c r="G159" s="92">
        <v>143.72999999999999</v>
      </c>
      <c r="H159"/>
      <c r="I159"/>
      <c r="J159"/>
      <c r="K159"/>
      <c r="L159" s="58">
        <v>143.34051635670832</v>
      </c>
      <c r="M159" s="53"/>
      <c r="N159" s="58">
        <v>143.34051635670832</v>
      </c>
      <c r="O159" s="15">
        <v>0.38948364329166907</v>
      </c>
      <c r="P159" s="15"/>
      <c r="Q159" s="15"/>
      <c r="R159" s="15"/>
      <c r="S159" s="15"/>
      <c r="T159" s="15"/>
      <c r="U159" s="15"/>
      <c r="V159" s="15"/>
      <c r="W159" s="15"/>
    </row>
    <row r="160" spans="1:23" s="21" customFormat="1" x14ac:dyDescent="0.55000000000000004">
      <c r="A160" s="17"/>
      <c r="B160"/>
      <c r="C160"/>
      <c r="D160"/>
      <c r="E160"/>
      <c r="F160" s="49">
        <v>42095</v>
      </c>
      <c r="G160" s="92">
        <v>142.02000000000001</v>
      </c>
      <c r="H160"/>
      <c r="I160"/>
      <c r="J160"/>
      <c r="K160"/>
      <c r="L160" s="58">
        <v>142.11214629024224</v>
      </c>
      <c r="M160" s="53"/>
      <c r="N160" s="58">
        <v>142.11214629024224</v>
      </c>
      <c r="O160" s="15">
        <v>-9.2146290242226314E-2</v>
      </c>
      <c r="P160" s="15"/>
      <c r="Q160" s="15"/>
      <c r="R160" s="15"/>
      <c r="S160" s="15"/>
      <c r="T160" s="15"/>
      <c r="U160" s="15"/>
      <c r="V160" s="15"/>
      <c r="W160" s="15"/>
    </row>
    <row r="161" spans="1:23" s="21" customFormat="1" x14ac:dyDescent="0.55000000000000004">
      <c r="A161" s="17"/>
      <c r="B161"/>
      <c r="C161"/>
      <c r="D161"/>
      <c r="E161"/>
      <c r="F161" s="49">
        <v>42125</v>
      </c>
      <c r="G161" s="92">
        <v>141.07</v>
      </c>
      <c r="H161"/>
      <c r="I161"/>
      <c r="J161"/>
      <c r="K161"/>
      <c r="L161" s="58">
        <v>140.86221156552423</v>
      </c>
      <c r="M161" s="53"/>
      <c r="N161" s="58">
        <v>140.86221156552423</v>
      </c>
      <c r="O161" s="15">
        <v>0.20778843447575923</v>
      </c>
      <c r="P161" s="15"/>
      <c r="Q161" s="15"/>
      <c r="R161" s="15"/>
      <c r="S161" s="15"/>
      <c r="T161" s="15"/>
      <c r="U161" s="15"/>
      <c r="V161" s="15"/>
      <c r="W161" s="15"/>
    </row>
    <row r="162" spans="1:23" s="21" customFormat="1" x14ac:dyDescent="0.55000000000000004">
      <c r="A162" s="17"/>
      <c r="B162"/>
      <c r="C162"/>
      <c r="D162"/>
      <c r="E162"/>
      <c r="F162" s="49">
        <v>42156</v>
      </c>
      <c r="G162" s="92">
        <v>139.55000000000001</v>
      </c>
      <c r="H162"/>
      <c r="I162"/>
      <c r="J162"/>
      <c r="K162"/>
      <c r="L162" s="58">
        <v>139.79538927017254</v>
      </c>
      <c r="M162" s="53"/>
      <c r="N162" s="58">
        <v>139.79538927017254</v>
      </c>
      <c r="O162" s="15">
        <v>-0.24538927017252377</v>
      </c>
      <c r="P162" s="15"/>
      <c r="Q162" s="15"/>
      <c r="R162" s="15"/>
      <c r="S162" s="15"/>
      <c r="T162" s="15"/>
      <c r="U162" s="15"/>
      <c r="V162" s="15"/>
      <c r="W162" s="15"/>
    </row>
    <row r="163" spans="1:23" s="21" customFormat="1" x14ac:dyDescent="0.55000000000000004">
      <c r="A163" s="17"/>
      <c r="B163"/>
      <c r="C163"/>
      <c r="D163"/>
      <c r="E163"/>
      <c r="F163" s="49">
        <v>42186</v>
      </c>
      <c r="G163" s="92">
        <v>138.41999999999999</v>
      </c>
      <c r="H163"/>
      <c r="I163"/>
      <c r="J163"/>
      <c r="K163"/>
      <c r="L163" s="58">
        <v>139.00116044945764</v>
      </c>
      <c r="M163" s="53"/>
      <c r="N163" s="58">
        <v>139.00116044945764</v>
      </c>
      <c r="O163" s="15">
        <v>-0.58116044945765566</v>
      </c>
      <c r="P163" s="15"/>
      <c r="Q163" s="15"/>
      <c r="R163" s="15"/>
      <c r="S163" s="15"/>
      <c r="T163" s="15"/>
      <c r="U163" s="15"/>
      <c r="V163" s="15"/>
      <c r="W163" s="15"/>
    </row>
    <row r="164" spans="1:23" s="21" customFormat="1" x14ac:dyDescent="0.55000000000000004">
      <c r="A164" s="17"/>
      <c r="B164"/>
      <c r="C164"/>
      <c r="D164"/>
      <c r="E164"/>
      <c r="F164" s="49">
        <v>42217</v>
      </c>
      <c r="G164" s="92">
        <v>138.83000000000001</v>
      </c>
      <c r="H164"/>
      <c r="I164"/>
      <c r="J164"/>
      <c r="K164"/>
      <c r="L164" s="58">
        <v>138.49882699343999</v>
      </c>
      <c r="M164" s="53"/>
      <c r="N164" s="58">
        <v>138.49882699343999</v>
      </c>
      <c r="O164" s="15">
        <v>0.33117300656002158</v>
      </c>
      <c r="P164" s="15"/>
      <c r="Q164" s="15"/>
      <c r="R164" s="15"/>
      <c r="S164" s="15"/>
      <c r="T164" s="15"/>
      <c r="U164" s="15"/>
      <c r="V164" s="15"/>
      <c r="W164" s="15"/>
    </row>
    <row r="165" spans="1:23" s="21" customFormat="1" x14ac:dyDescent="0.55000000000000004">
      <c r="A165" s="17"/>
      <c r="B165"/>
      <c r="C165"/>
      <c r="D165"/>
      <c r="E165"/>
      <c r="F165" s="49">
        <v>42248</v>
      </c>
      <c r="G165" s="92">
        <v>137.71</v>
      </c>
      <c r="H165"/>
      <c r="I165"/>
      <c r="J165"/>
      <c r="K165"/>
      <c r="L165" s="58">
        <v>138.13844908961011</v>
      </c>
      <c r="M165" s="53"/>
      <c r="N165" s="58">
        <v>138.13844908961011</v>
      </c>
      <c r="O165" s="15">
        <v>-0.42844908961009764</v>
      </c>
      <c r="P165" s="15"/>
      <c r="Q165" s="15"/>
      <c r="R165" s="15"/>
      <c r="S165" s="15"/>
      <c r="T165" s="15"/>
      <c r="U165" s="15"/>
      <c r="V165" s="15"/>
      <c r="W165" s="15"/>
    </row>
    <row r="166" spans="1:23" s="21" customFormat="1" x14ac:dyDescent="0.55000000000000004">
      <c r="A166" s="17"/>
      <c r="B166"/>
      <c r="C166"/>
      <c r="D166"/>
      <c r="E166"/>
      <c r="F166" s="49">
        <v>42278</v>
      </c>
      <c r="G166" s="92">
        <v>138.78</v>
      </c>
      <c r="H166"/>
      <c r="I166"/>
      <c r="J166"/>
      <c r="K166"/>
      <c r="L166" s="58">
        <v>137.73502424819762</v>
      </c>
      <c r="M166" s="53"/>
      <c r="N166" s="58">
        <v>137.73502424819762</v>
      </c>
      <c r="O166" s="15">
        <v>1.044975751802383</v>
      </c>
      <c r="P166" s="15"/>
      <c r="Q166" s="15"/>
      <c r="R166" s="15"/>
      <c r="S166" s="15"/>
      <c r="T166" s="15"/>
      <c r="U166" s="15"/>
      <c r="V166" s="15"/>
      <c r="W166" s="15"/>
    </row>
    <row r="167" spans="1:23" s="21" customFormat="1" x14ac:dyDescent="0.55000000000000004">
      <c r="A167" s="17"/>
      <c r="B167"/>
      <c r="C167"/>
      <c r="D167"/>
      <c r="E167"/>
      <c r="F167" s="49">
        <v>42309</v>
      </c>
      <c r="G167" s="92">
        <v>136.81</v>
      </c>
      <c r="H167"/>
      <c r="I167"/>
      <c r="J167"/>
      <c r="K167"/>
      <c r="L167" s="58">
        <v>137.18519939812509</v>
      </c>
      <c r="M167" s="53"/>
      <c r="N167" s="58">
        <v>137.18519939812509</v>
      </c>
      <c r="O167" s="15">
        <v>-0.37519939812509051</v>
      </c>
      <c r="P167" s="15"/>
      <c r="Q167" s="15"/>
      <c r="R167" s="15"/>
      <c r="S167" s="15"/>
      <c r="T167" s="15"/>
      <c r="U167" s="15"/>
      <c r="V167" s="15"/>
      <c r="W167" s="15"/>
    </row>
    <row r="168" spans="1:23" s="21" customFormat="1" x14ac:dyDescent="0.55000000000000004">
      <c r="A168" s="17"/>
      <c r="B168"/>
      <c r="C168"/>
      <c r="D168"/>
      <c r="E168"/>
      <c r="F168" s="49">
        <v>42339</v>
      </c>
      <c r="G168" s="92">
        <v>136.47999999999999</v>
      </c>
      <c r="H168"/>
      <c r="I168"/>
      <c r="J168"/>
      <c r="K168"/>
      <c r="L168" s="58">
        <v>136.49470350083351</v>
      </c>
      <c r="M168" s="53"/>
      <c r="N168" s="58">
        <v>136.49470350083351</v>
      </c>
      <c r="O168" s="15">
        <v>-1.4703500833519456E-2</v>
      </c>
      <c r="P168" s="15"/>
      <c r="Q168" s="15"/>
      <c r="R168" s="15"/>
      <c r="S168" s="15"/>
      <c r="T168" s="15"/>
      <c r="U168" s="15"/>
      <c r="V168" s="15"/>
      <c r="W168" s="15"/>
    </row>
    <row r="169" spans="1:23" s="21" customFormat="1" x14ac:dyDescent="0.55000000000000004">
      <c r="A169" s="17"/>
      <c r="B169"/>
      <c r="C169"/>
      <c r="D169"/>
      <c r="E169"/>
      <c r="F169" s="49">
        <v>42370</v>
      </c>
      <c r="G169" s="92">
        <v>135.58000000000001</v>
      </c>
      <c r="H169"/>
      <c r="I169"/>
      <c r="J169"/>
      <c r="K169"/>
      <c r="L169" s="58">
        <v>135.76993418346359</v>
      </c>
      <c r="M169" s="53"/>
      <c r="N169" s="58">
        <v>135.76993418346359</v>
      </c>
      <c r="O169" s="15">
        <v>-0.18993418346357771</v>
      </c>
      <c r="P169" s="15"/>
      <c r="Q169" s="15"/>
      <c r="R169" s="15"/>
      <c r="S169" s="15"/>
      <c r="T169" s="15"/>
      <c r="U169" s="15"/>
      <c r="V169" s="15"/>
      <c r="W169" s="15"/>
    </row>
    <row r="170" spans="1:23" s="21" customFormat="1" x14ac:dyDescent="0.55000000000000004">
      <c r="A170" s="17"/>
      <c r="B170"/>
      <c r="C170"/>
      <c r="D170"/>
      <c r="E170"/>
      <c r="F170" s="49">
        <v>42401</v>
      </c>
      <c r="G170" s="92">
        <v>135.41999999999999</v>
      </c>
      <c r="H170"/>
      <c r="I170"/>
      <c r="J170"/>
      <c r="K170"/>
      <c r="L170" s="58">
        <v>135.14775498495311</v>
      </c>
      <c r="M170" s="53"/>
      <c r="N170" s="58">
        <v>135.14775498495311</v>
      </c>
      <c r="O170" s="15">
        <v>0.27224501504687737</v>
      </c>
      <c r="P170" s="15"/>
      <c r="Q170" s="15"/>
      <c r="R170" s="15"/>
      <c r="S170" s="15"/>
      <c r="T170" s="15"/>
      <c r="U170" s="15"/>
      <c r="V170" s="15"/>
      <c r="W170" s="15"/>
    </row>
    <row r="171" spans="1:23" s="21" customFormat="1" x14ac:dyDescent="0.55000000000000004">
      <c r="A171" s="17"/>
      <c r="B171"/>
      <c r="C171"/>
      <c r="D171"/>
      <c r="E171"/>
      <c r="F171" s="49">
        <v>42430</v>
      </c>
      <c r="G171" s="92">
        <v>134.47</v>
      </c>
      <c r="H171"/>
      <c r="I171"/>
      <c r="J171"/>
      <c r="K171"/>
      <c r="L171" s="58">
        <v>134.71639048258243</v>
      </c>
      <c r="M171" s="53"/>
      <c r="N171" s="58">
        <v>134.71639048258243</v>
      </c>
      <c r="O171" s="15">
        <v>-0.24639048258242724</v>
      </c>
      <c r="P171" s="15"/>
      <c r="Q171" s="15"/>
      <c r="R171" s="15"/>
      <c r="S171" s="15"/>
      <c r="T171" s="15"/>
      <c r="U171" s="15"/>
      <c r="V171" s="15"/>
      <c r="W171" s="15"/>
    </row>
    <row r="172" spans="1:23" s="21" customFormat="1" x14ac:dyDescent="0.55000000000000004">
      <c r="A172" s="17"/>
      <c r="B172"/>
      <c r="C172"/>
      <c r="D172"/>
      <c r="E172"/>
      <c r="F172" s="49">
        <v>42461</v>
      </c>
      <c r="G172" s="92">
        <v>134.49</v>
      </c>
      <c r="H172"/>
      <c r="I172"/>
      <c r="J172"/>
      <c r="K172"/>
      <c r="L172" s="58">
        <v>134.49080343804803</v>
      </c>
      <c r="M172" s="53"/>
      <c r="N172" s="58">
        <v>134.49080343804803</v>
      </c>
      <c r="O172" s="15">
        <v>-8.0343804802396335E-4</v>
      </c>
      <c r="P172" s="15"/>
      <c r="Q172" s="15"/>
      <c r="R172" s="15"/>
      <c r="S172" s="15"/>
      <c r="T172" s="15"/>
      <c r="U172" s="15"/>
      <c r="V172" s="15"/>
      <c r="W172" s="15"/>
    </row>
    <row r="173" spans="1:23" s="21" customFormat="1" x14ac:dyDescent="0.55000000000000004">
      <c r="A173" s="17"/>
      <c r="B173"/>
      <c r="C173"/>
      <c r="D173"/>
      <c r="E173"/>
      <c r="F173" s="49">
        <v>42491</v>
      </c>
      <c r="G173" s="92">
        <v>134.07</v>
      </c>
      <c r="H173"/>
      <c r="I173"/>
      <c r="J173"/>
      <c r="K173"/>
      <c r="L173" s="58">
        <v>134.35693714953777</v>
      </c>
      <c r="M173" s="53"/>
      <c r="N173" s="58">
        <v>134.35693714953777</v>
      </c>
      <c r="O173" s="15">
        <v>-0.28693714953777771</v>
      </c>
      <c r="P173" s="15"/>
      <c r="Q173" s="15"/>
      <c r="R173" s="15"/>
      <c r="S173" s="15"/>
      <c r="T173" s="15"/>
      <c r="U173" s="15"/>
      <c r="V173" s="15"/>
      <c r="W173" s="15"/>
    </row>
    <row r="174" spans="1:23" s="21" customFormat="1" x14ac:dyDescent="0.55000000000000004">
      <c r="A174" s="17"/>
      <c r="B174"/>
      <c r="C174"/>
      <c r="D174"/>
      <c r="E174"/>
      <c r="F174" s="49">
        <v>42522</v>
      </c>
      <c r="G174" s="92">
        <v>134.57</v>
      </c>
      <c r="H174"/>
      <c r="I174"/>
      <c r="J174"/>
      <c r="K174"/>
      <c r="L174" s="58">
        <v>134.27094697871789</v>
      </c>
      <c r="M174" s="53"/>
      <c r="N174" s="58">
        <v>134.27094697871789</v>
      </c>
      <c r="O174" s="15">
        <v>0.29905302128210565</v>
      </c>
      <c r="P174" s="15"/>
      <c r="Q174" s="15"/>
      <c r="R174" s="15"/>
      <c r="S174" s="15"/>
      <c r="T174" s="15"/>
      <c r="U174" s="15"/>
      <c r="V174" s="15"/>
      <c r="W174" s="15"/>
    </row>
    <row r="175" spans="1:23" s="21" customFormat="1" x14ac:dyDescent="0.55000000000000004">
      <c r="A175" s="17"/>
      <c r="B175"/>
      <c r="C175"/>
      <c r="D175"/>
      <c r="E175"/>
      <c r="F175" s="49">
        <v>42552</v>
      </c>
      <c r="G175" s="92">
        <v>134.43</v>
      </c>
      <c r="H175"/>
      <c r="I175"/>
      <c r="J175"/>
      <c r="K175"/>
      <c r="L175" s="58">
        <v>134.15326040832232</v>
      </c>
      <c r="M175" s="53"/>
      <c r="N175" s="58">
        <v>134.15326040832232</v>
      </c>
      <c r="O175" s="15">
        <v>0.27673959167768203</v>
      </c>
      <c r="P175" s="15"/>
      <c r="Q175" s="15"/>
      <c r="R175" s="15"/>
      <c r="S175" s="15"/>
      <c r="T175" s="15"/>
      <c r="U175" s="15"/>
      <c r="V175" s="15"/>
      <c r="W175" s="15"/>
    </row>
    <row r="176" spans="1:23" s="21" customFormat="1" x14ac:dyDescent="0.55000000000000004">
      <c r="A176" s="17"/>
      <c r="B176"/>
      <c r="C176"/>
      <c r="D176"/>
      <c r="E176"/>
      <c r="F176" s="49">
        <v>42583</v>
      </c>
      <c r="G176" s="92">
        <v>133.72</v>
      </c>
      <c r="H176"/>
      <c r="I176"/>
      <c r="J176"/>
      <c r="K176"/>
      <c r="L176" s="58">
        <v>133.92170809067093</v>
      </c>
      <c r="M176" s="53"/>
      <c r="N176" s="58">
        <v>133.92170809067093</v>
      </c>
      <c r="O176" s="15">
        <v>-0.20170809067093387</v>
      </c>
      <c r="P176" s="15"/>
      <c r="Q176" s="15"/>
      <c r="R176" s="15"/>
      <c r="S176" s="15"/>
      <c r="T176" s="15"/>
      <c r="U176" s="15"/>
      <c r="V176" s="15"/>
      <c r="W176" s="15"/>
    </row>
    <row r="177" spans="1:23" s="21" customFormat="1" x14ac:dyDescent="0.55000000000000004">
      <c r="A177" s="17"/>
      <c r="B177"/>
      <c r="C177"/>
      <c r="D177"/>
      <c r="E177"/>
      <c r="F177" s="49">
        <v>42614</v>
      </c>
      <c r="G177" s="92">
        <v>133.63999999999999</v>
      </c>
      <c r="H177"/>
      <c r="I177"/>
      <c r="J177"/>
      <c r="K177"/>
      <c r="L177" s="58">
        <v>133.53476130680465</v>
      </c>
      <c r="M177" s="53"/>
      <c r="N177" s="58">
        <v>133.53476130680465</v>
      </c>
      <c r="O177" s="15">
        <v>0.10523869319533219</v>
      </c>
      <c r="P177" s="15"/>
      <c r="Q177" s="15"/>
      <c r="R177" s="15"/>
      <c r="S177" s="15"/>
      <c r="T177" s="15"/>
      <c r="U177" s="15"/>
      <c r="V177" s="15"/>
      <c r="W177" s="15"/>
    </row>
    <row r="178" spans="1:23" s="21" customFormat="1" x14ac:dyDescent="0.55000000000000004">
      <c r="A178" s="17"/>
      <c r="B178"/>
      <c r="C178"/>
      <c r="D178"/>
      <c r="E178"/>
      <c r="F178" s="49">
        <v>42644</v>
      </c>
      <c r="G178" s="92">
        <v>133.34</v>
      </c>
      <c r="H178"/>
      <c r="I178"/>
      <c r="J178"/>
      <c r="K178"/>
      <c r="L178" s="58">
        <v>133.18488709432981</v>
      </c>
      <c r="M178" s="53"/>
      <c r="N178" s="58">
        <v>133.18488709432981</v>
      </c>
      <c r="O178" s="15">
        <v>0.15511290567019387</v>
      </c>
      <c r="P178" s="15"/>
      <c r="Q178" s="15"/>
      <c r="R178" s="15"/>
      <c r="S178" s="15"/>
      <c r="T178" s="15"/>
      <c r="U178" s="15"/>
      <c r="V178" s="15"/>
      <c r="W178" s="15"/>
    </row>
    <row r="179" spans="1:23" s="21" customFormat="1" x14ac:dyDescent="0.55000000000000004">
      <c r="A179" s="17"/>
      <c r="B179"/>
      <c r="C179"/>
      <c r="D179"/>
      <c r="E179"/>
      <c r="F179" s="49">
        <v>42675</v>
      </c>
      <c r="G179" s="92">
        <v>133.13999999999999</v>
      </c>
      <c r="H179"/>
      <c r="I179"/>
      <c r="J179"/>
      <c r="K179"/>
      <c r="L179" s="58">
        <v>133.09510651886814</v>
      </c>
      <c r="M179" s="53"/>
      <c r="N179" s="58">
        <v>133.09510651886814</v>
      </c>
      <c r="O179" s="15">
        <v>4.4893481131850876E-2</v>
      </c>
      <c r="P179" s="15"/>
      <c r="Q179" s="15"/>
      <c r="R179" s="15"/>
      <c r="S179" s="15"/>
      <c r="T179" s="15"/>
      <c r="U179" s="15"/>
      <c r="V179" s="15"/>
      <c r="W179" s="15"/>
    </row>
    <row r="180" spans="1:23" s="21" customFormat="1" x14ac:dyDescent="0.55000000000000004">
      <c r="A180" s="17"/>
      <c r="B180"/>
      <c r="C180"/>
      <c r="D180"/>
      <c r="E180"/>
      <c r="F180" s="49">
        <v>42705</v>
      </c>
      <c r="G180" s="92">
        <v>132.54</v>
      </c>
      <c r="H180"/>
      <c r="I180"/>
      <c r="J180"/>
      <c r="K180"/>
      <c r="L180" s="58">
        <v>133.38799313689407</v>
      </c>
      <c r="M180" s="53"/>
      <c r="N180" s="58">
        <v>133.38799313689407</v>
      </c>
      <c r="O180" s="15">
        <v>-0.84799313689407541</v>
      </c>
      <c r="P180" s="15"/>
      <c r="Q180" s="15"/>
      <c r="R180" s="15"/>
      <c r="S180" s="15"/>
      <c r="T180" s="15"/>
      <c r="U180" s="15"/>
      <c r="V180" s="15"/>
      <c r="W180" s="15"/>
    </row>
    <row r="181" spans="1:23" s="21" customFormat="1" x14ac:dyDescent="0.55000000000000004">
      <c r="A181" s="17"/>
      <c r="B181"/>
      <c r="C181"/>
      <c r="D181"/>
      <c r="E181"/>
      <c r="F181" s="49">
        <v>42736</v>
      </c>
      <c r="G181" s="92">
        <v>133.61000000000001</v>
      </c>
      <c r="H181"/>
      <c r="I181"/>
      <c r="J181"/>
      <c r="K181"/>
      <c r="L181" s="58">
        <v>133.93811058910131</v>
      </c>
      <c r="M181" s="53"/>
      <c r="N181" s="58">
        <v>133.93811058910131</v>
      </c>
      <c r="O181" s="15">
        <v>-0.32811058910129987</v>
      </c>
      <c r="P181" s="15"/>
      <c r="Q181" s="15"/>
      <c r="R181" s="15"/>
      <c r="S181" s="15"/>
      <c r="T181" s="15"/>
      <c r="U181" s="15"/>
      <c r="V181" s="15"/>
      <c r="W181" s="15"/>
    </row>
    <row r="182" spans="1:23" s="21" customFormat="1" x14ac:dyDescent="0.55000000000000004">
      <c r="A182" s="17"/>
      <c r="B182"/>
      <c r="C182"/>
      <c r="D182"/>
      <c r="E182"/>
      <c r="F182" s="49">
        <v>42767</v>
      </c>
      <c r="G182" s="92">
        <v>135.55000000000001</v>
      </c>
      <c r="H182"/>
      <c r="I182"/>
      <c r="J182"/>
      <c r="K182"/>
      <c r="L182" s="58">
        <v>134.55097025265758</v>
      </c>
      <c r="M182" s="53"/>
      <c r="N182" s="58">
        <v>134.55097025265758</v>
      </c>
      <c r="O182" s="15">
        <v>0.99902974734243344</v>
      </c>
      <c r="P182" s="15"/>
      <c r="Q182" s="15"/>
      <c r="R182" s="15"/>
      <c r="S182" s="15"/>
      <c r="T182" s="15"/>
      <c r="U182" s="15"/>
      <c r="V182" s="15"/>
      <c r="W182" s="15"/>
    </row>
    <row r="183" spans="1:23" s="21" customFormat="1" x14ac:dyDescent="0.55000000000000004">
      <c r="A183" s="17"/>
      <c r="B183"/>
      <c r="C183"/>
      <c r="D183"/>
      <c r="E183"/>
      <c r="F183" s="49">
        <v>42795</v>
      </c>
      <c r="G183" s="92">
        <v>135.34</v>
      </c>
      <c r="H183"/>
      <c r="I183"/>
      <c r="J183"/>
      <c r="K183"/>
      <c r="L183" s="58">
        <v>135.09552945506505</v>
      </c>
      <c r="M183" s="53"/>
      <c r="N183" s="58">
        <v>135.09552945506505</v>
      </c>
      <c r="O183" s="15">
        <v>0.24447054493495557</v>
      </c>
      <c r="P183" s="15"/>
      <c r="Q183" s="15"/>
      <c r="R183" s="15"/>
      <c r="S183" s="15"/>
      <c r="T183" s="15"/>
      <c r="U183" s="15"/>
      <c r="V183" s="15"/>
      <c r="W183" s="15"/>
    </row>
    <row r="184" spans="1:23" s="21" customFormat="1" x14ac:dyDescent="0.55000000000000004">
      <c r="A184" s="17"/>
      <c r="B184"/>
      <c r="C184"/>
      <c r="D184"/>
      <c r="E184"/>
      <c r="F184" s="49">
        <v>42826</v>
      </c>
      <c r="G184" s="92">
        <v>135.29</v>
      </c>
      <c r="H184"/>
      <c r="I184"/>
      <c r="J184"/>
      <c r="K184"/>
      <c r="L184" s="58">
        <v>135.46895169845635</v>
      </c>
      <c r="M184" s="53"/>
      <c r="N184" s="58">
        <v>135.46895169845635</v>
      </c>
      <c r="O184" s="15">
        <v>-0.17895169845635905</v>
      </c>
      <c r="P184" s="15"/>
      <c r="Q184" s="15"/>
      <c r="R184" s="15"/>
      <c r="S184" s="15"/>
      <c r="T184" s="15"/>
      <c r="U184" s="15"/>
      <c r="V184" s="15"/>
      <c r="W184" s="15"/>
    </row>
    <row r="185" spans="1:23" s="21" customFormat="1" x14ac:dyDescent="0.55000000000000004">
      <c r="A185" s="17"/>
      <c r="B185"/>
      <c r="C185"/>
      <c r="D185"/>
      <c r="E185"/>
      <c r="F185" s="49">
        <v>42856</v>
      </c>
      <c r="G185" s="92">
        <v>135.06</v>
      </c>
      <c r="H185"/>
      <c r="I185"/>
      <c r="J185"/>
      <c r="K185"/>
      <c r="L185" s="58">
        <v>135.65215624932341</v>
      </c>
      <c r="M185" s="53"/>
      <c r="N185" s="58">
        <v>135.65215624932341</v>
      </c>
      <c r="O185" s="15">
        <v>-0.59215624932340916</v>
      </c>
      <c r="P185" s="15"/>
      <c r="Q185" s="15"/>
      <c r="R185" s="15"/>
      <c r="S185" s="15"/>
      <c r="T185" s="15"/>
      <c r="U185" s="15"/>
      <c r="V185" s="15"/>
      <c r="W185" s="15"/>
    </row>
    <row r="186" spans="1:23" s="21" customFormat="1" x14ac:dyDescent="0.55000000000000004">
      <c r="A186" s="17"/>
      <c r="B186"/>
      <c r="C186"/>
      <c r="D186"/>
      <c r="E186"/>
      <c r="F186" s="49">
        <v>42887</v>
      </c>
      <c r="G186" s="92">
        <v>135.94999999999999</v>
      </c>
      <c r="H186"/>
      <c r="I186"/>
      <c r="J186"/>
      <c r="K186"/>
      <c r="L186" s="58">
        <v>135.73315129143302</v>
      </c>
      <c r="M186" s="53"/>
      <c r="N186" s="58">
        <v>135.73315129143302</v>
      </c>
      <c r="O186" s="15">
        <v>0.21684870856697103</v>
      </c>
      <c r="P186" s="15"/>
      <c r="Q186" s="15"/>
      <c r="R186" s="15"/>
      <c r="S186" s="15"/>
      <c r="T186" s="15"/>
      <c r="U186" s="15"/>
      <c r="V186" s="15"/>
      <c r="W186" s="15"/>
    </row>
    <row r="187" spans="1:23" s="21" customFormat="1" x14ac:dyDescent="0.55000000000000004">
      <c r="A187" s="17"/>
      <c r="B187"/>
      <c r="C187"/>
      <c r="D187"/>
      <c r="E187"/>
      <c r="F187" s="49">
        <v>42917</v>
      </c>
      <c r="G187" s="92">
        <v>136.34</v>
      </c>
      <c r="H187"/>
      <c r="I187"/>
      <c r="J187"/>
      <c r="K187"/>
      <c r="L187" s="58">
        <v>135.76075201887889</v>
      </c>
      <c r="M187" s="53"/>
      <c r="N187" s="58">
        <v>135.76075201887889</v>
      </c>
      <c r="O187" s="15">
        <v>0.57924798112111375</v>
      </c>
      <c r="P187" s="15"/>
      <c r="Q187" s="15"/>
      <c r="R187" s="15"/>
      <c r="S187" s="15"/>
      <c r="T187" s="15"/>
      <c r="U187" s="15"/>
      <c r="V187" s="15"/>
      <c r="W187" s="15"/>
    </row>
    <row r="188" spans="1:23" s="21" customFormat="1" x14ac:dyDescent="0.55000000000000004">
      <c r="A188" s="17"/>
      <c r="B188"/>
      <c r="C188"/>
      <c r="D188"/>
      <c r="E188"/>
      <c r="F188" s="49">
        <v>42948</v>
      </c>
      <c r="G188" s="92">
        <v>135.63999999999999</v>
      </c>
      <c r="H188"/>
      <c r="I188"/>
      <c r="J188"/>
      <c r="K188"/>
      <c r="L188" s="58">
        <v>135.80113122171943</v>
      </c>
      <c r="M188" s="53"/>
      <c r="N188" s="58">
        <v>135.80113122171943</v>
      </c>
      <c r="O188" s="15">
        <v>-0.16113122171944383</v>
      </c>
      <c r="P188" s="15"/>
      <c r="Q188" s="15"/>
      <c r="R188" s="15"/>
      <c r="S188" s="15"/>
      <c r="T188" s="15"/>
      <c r="U188" s="15"/>
      <c r="V188" s="15"/>
      <c r="W188" s="15"/>
    </row>
    <row r="189" spans="1:23" s="21" customFormat="1" x14ac:dyDescent="0.55000000000000004">
      <c r="A189" s="17"/>
      <c r="B189"/>
      <c r="C189"/>
      <c r="D189"/>
      <c r="E189"/>
      <c r="F189" s="49">
        <v>42979</v>
      </c>
      <c r="G189" s="92">
        <v>135.63999999999999</v>
      </c>
      <c r="H189"/>
      <c r="I189"/>
      <c r="J189"/>
      <c r="K189"/>
      <c r="L189" s="58">
        <v>135.92756132412475</v>
      </c>
      <c r="M189" s="53"/>
      <c r="N189" s="58">
        <v>135.92756132412475</v>
      </c>
      <c r="O189" s="15">
        <v>-0.28756132412476632</v>
      </c>
      <c r="P189" s="15"/>
      <c r="Q189" s="15"/>
      <c r="R189" s="15"/>
      <c r="S189" s="15"/>
      <c r="T189" s="15"/>
      <c r="U189" s="15"/>
      <c r="V189" s="15"/>
      <c r="W189" s="15"/>
    </row>
    <row r="190" spans="1:23" s="21" customFormat="1" x14ac:dyDescent="0.55000000000000004">
      <c r="A190" s="17"/>
      <c r="B190"/>
      <c r="C190"/>
      <c r="D190"/>
      <c r="E190"/>
      <c r="F190" s="49">
        <v>43009</v>
      </c>
      <c r="G190" s="92">
        <v>136.04</v>
      </c>
      <c r="H190"/>
      <c r="I190"/>
      <c r="J190"/>
      <c r="K190"/>
      <c r="L190" s="58">
        <v>136.22174587022886</v>
      </c>
      <c r="M190" s="53"/>
      <c r="N190" s="58">
        <v>136.22174587022886</v>
      </c>
      <c r="O190" s="15">
        <v>-0.18174587022886612</v>
      </c>
      <c r="P190" s="15"/>
      <c r="Q190" s="15"/>
      <c r="R190" s="15"/>
      <c r="S190" s="15"/>
      <c r="T190" s="15"/>
      <c r="U190" s="15"/>
      <c r="V190" s="15"/>
      <c r="W190" s="15"/>
    </row>
    <row r="191" spans="1:23" s="21" customFormat="1" x14ac:dyDescent="0.55000000000000004">
      <c r="A191" s="17"/>
      <c r="B191"/>
      <c r="C191"/>
      <c r="D191"/>
      <c r="E191"/>
      <c r="F191" s="49">
        <v>43040</v>
      </c>
      <c r="G191" s="92">
        <v>135.99</v>
      </c>
      <c r="H191"/>
      <c r="I191"/>
      <c r="J191"/>
      <c r="K191"/>
      <c r="L191" s="58">
        <v>136.61775498495314</v>
      </c>
      <c r="M191" s="53"/>
      <c r="N191" s="58">
        <v>136.61775498495314</v>
      </c>
      <c r="O191" s="15">
        <v>-0.62775498495312831</v>
      </c>
      <c r="P191" s="15"/>
      <c r="Q191" s="15"/>
      <c r="R191" s="15"/>
      <c r="S191" s="15"/>
      <c r="T191" s="15"/>
      <c r="U191" s="15"/>
      <c r="V191" s="15"/>
      <c r="W191" s="15"/>
    </row>
    <row r="192" spans="1:23" s="21" customFormat="1" x14ac:dyDescent="0.55000000000000004">
      <c r="A192" s="17"/>
      <c r="B192"/>
      <c r="C192"/>
      <c r="D192"/>
      <c r="E192"/>
      <c r="F192" s="49">
        <v>43070</v>
      </c>
      <c r="G192" s="92">
        <v>138.11000000000001</v>
      </c>
      <c r="H192"/>
      <c r="I192"/>
      <c r="J192"/>
      <c r="K192"/>
      <c r="L192" s="58">
        <v>137.10165862001779</v>
      </c>
      <c r="M192" s="53"/>
      <c r="N192" s="58">
        <v>137.10165862001779</v>
      </c>
      <c r="O192" s="15">
        <v>1.0083413799822267</v>
      </c>
      <c r="P192" s="15"/>
      <c r="Q192" s="15"/>
      <c r="R192" s="15"/>
      <c r="S192" s="15"/>
      <c r="T192" s="15"/>
      <c r="U192" s="15"/>
      <c r="V192" s="15"/>
      <c r="W192" s="15"/>
    </row>
    <row r="193" spans="1:23" s="21" customFormat="1" x14ac:dyDescent="0.55000000000000004">
      <c r="A193" s="17"/>
      <c r="B193"/>
      <c r="C193"/>
      <c r="D193"/>
      <c r="E193"/>
      <c r="F193" s="49">
        <v>43101</v>
      </c>
      <c r="G193" s="92">
        <v>137.41999999999999</v>
      </c>
      <c r="H193"/>
      <c r="I193"/>
      <c r="J193"/>
      <c r="K193"/>
      <c r="L193" s="58">
        <v>137.28497531879887</v>
      </c>
      <c r="M193" s="53"/>
      <c r="N193" s="58">
        <v>137.28497531879887</v>
      </c>
      <c r="O193" s="15">
        <v>0.13502468120111644</v>
      </c>
      <c r="P193" s="15"/>
      <c r="Q193" s="15"/>
      <c r="R193" s="15"/>
      <c r="S193" s="15"/>
      <c r="T193" s="15"/>
      <c r="U193" s="15"/>
      <c r="V193" s="15"/>
      <c r="W193" s="15"/>
    </row>
    <row r="194" spans="1:23" s="21" customFormat="1" x14ac:dyDescent="0.55000000000000004">
      <c r="A194" s="17"/>
      <c r="B194"/>
      <c r="C194"/>
      <c r="D194"/>
      <c r="E194"/>
      <c r="F194" s="49">
        <v>43132</v>
      </c>
      <c r="G194" s="92">
        <v>136.83000000000001</v>
      </c>
      <c r="H194"/>
      <c r="I194"/>
      <c r="J194"/>
      <c r="K194"/>
      <c r="L194" s="58">
        <v>137.00255894260539</v>
      </c>
      <c r="M194" s="53"/>
      <c r="N194" s="58">
        <v>137.00255894260539</v>
      </c>
      <c r="O194" s="15">
        <v>-0.1725589426053773</v>
      </c>
      <c r="P194" s="15"/>
      <c r="Q194" s="15"/>
      <c r="R194" s="15"/>
      <c r="S194" s="15"/>
      <c r="T194" s="15"/>
      <c r="U194" s="15"/>
      <c r="V194" s="15"/>
      <c r="W194" s="15"/>
    </row>
    <row r="195" spans="1:23" s="21" customFormat="1" x14ac:dyDescent="0.55000000000000004">
      <c r="A195" s="17"/>
      <c r="B195"/>
      <c r="C195"/>
      <c r="D195"/>
      <c r="E195"/>
      <c r="F195" s="49">
        <v>43160</v>
      </c>
      <c r="G195" s="92">
        <v>136.59</v>
      </c>
      <c r="H195"/>
      <c r="I195"/>
      <c r="J195"/>
      <c r="K195"/>
      <c r="L195" s="58">
        <v>136.44486057286369</v>
      </c>
      <c r="M195" s="53"/>
      <c r="N195" s="58">
        <v>136.44486057286369</v>
      </c>
      <c r="O195" s="15">
        <v>0.14513942713631423</v>
      </c>
      <c r="P195" s="15"/>
      <c r="Q195" s="15"/>
      <c r="R195" s="15"/>
      <c r="S195" s="15"/>
      <c r="T195" s="15"/>
      <c r="U195" s="15"/>
      <c r="V195" s="15"/>
      <c r="W195" s="15"/>
    </row>
    <row r="196" spans="1:23" s="21" customFormat="1" x14ac:dyDescent="0.55000000000000004">
      <c r="A196" s="17"/>
      <c r="B196"/>
      <c r="C196"/>
      <c r="D196"/>
      <c r="E196"/>
      <c r="F196" s="49">
        <v>43191</v>
      </c>
      <c r="G196" s="92">
        <v>137.28</v>
      </c>
      <c r="H196"/>
      <c r="I196"/>
      <c r="J196"/>
      <c r="K196"/>
      <c r="L196" s="58">
        <v>136.03300829201757</v>
      </c>
      <c r="M196" s="53"/>
      <c r="N196" s="58">
        <v>136.03300829201757</v>
      </c>
      <c r="O196" s="15">
        <v>1.2469917079824313</v>
      </c>
      <c r="P196" s="15"/>
      <c r="Q196" s="15"/>
      <c r="R196" s="15"/>
      <c r="S196" s="15"/>
      <c r="T196" s="15"/>
      <c r="U196" s="15"/>
      <c r="V196" s="15"/>
      <c r="W196" s="15"/>
    </row>
    <row r="197" spans="1:23" s="21" customFormat="1" x14ac:dyDescent="0.55000000000000004">
      <c r="A197" s="17"/>
      <c r="B197"/>
      <c r="C197"/>
      <c r="D197"/>
      <c r="E197"/>
      <c r="F197" s="49">
        <v>43221</v>
      </c>
      <c r="G197" s="92">
        <v>133.07</v>
      </c>
      <c r="H197"/>
      <c r="I197"/>
      <c r="J197"/>
      <c r="K197"/>
      <c r="L197" s="58">
        <v>136.0882420056723</v>
      </c>
      <c r="M197" s="53"/>
      <c r="N197" s="58">
        <v>136.0882420056723</v>
      </c>
      <c r="O197" s="15">
        <v>-3.018242005672306</v>
      </c>
      <c r="P197" s="15"/>
      <c r="Q197" s="15"/>
      <c r="R197" s="15"/>
      <c r="S197" s="15"/>
      <c r="T197" s="15"/>
      <c r="U197" s="15"/>
      <c r="V197" s="15"/>
      <c r="W197" s="15"/>
    </row>
    <row r="198" spans="1:23" s="21" customFormat="1" x14ac:dyDescent="0.55000000000000004">
      <c r="A198" s="17"/>
      <c r="B198"/>
      <c r="C198"/>
      <c r="D198"/>
      <c r="E198"/>
      <c r="F198" s="49">
        <v>43252</v>
      </c>
      <c r="G198" s="92">
        <v>137.38999999999999</v>
      </c>
      <c r="H198"/>
      <c r="I198"/>
      <c r="J198"/>
      <c r="K198"/>
      <c r="L198" s="58">
        <v>136.6433043581805</v>
      </c>
      <c r="M198" s="53"/>
      <c r="N198" s="58">
        <v>136.6433043581805</v>
      </c>
      <c r="O198" s="15">
        <v>0.74669564181948545</v>
      </c>
      <c r="P198" s="15"/>
      <c r="Q198" s="15"/>
      <c r="R198" s="15"/>
      <c r="S198" s="15"/>
      <c r="T198" s="15"/>
      <c r="U198" s="15"/>
      <c r="V198" s="15"/>
      <c r="W198" s="15"/>
    </row>
    <row r="199" spans="1:23" s="21" customFormat="1" x14ac:dyDescent="0.55000000000000004">
      <c r="A199" s="17"/>
      <c r="B199"/>
      <c r="C199"/>
      <c r="D199"/>
      <c r="E199"/>
      <c r="F199" s="49">
        <v>43282</v>
      </c>
      <c r="G199" s="92">
        <v>137.91999999999999</v>
      </c>
      <c r="H199"/>
      <c r="I199"/>
      <c r="J199"/>
      <c r="K199"/>
      <c r="L199" s="58">
        <v>137.40470328433176</v>
      </c>
      <c r="M199" s="53"/>
      <c r="N199" s="58">
        <v>137.40470328433176</v>
      </c>
      <c r="O199" s="15">
        <v>0.51529671566822799</v>
      </c>
      <c r="P199" s="15"/>
      <c r="Q199" s="15"/>
      <c r="R199" s="15"/>
      <c r="S199" s="15"/>
      <c r="T199" s="15"/>
      <c r="U199" s="15"/>
      <c r="V199" s="15"/>
      <c r="W199" s="15"/>
    </row>
    <row r="200" spans="1:23" s="21" customFormat="1" x14ac:dyDescent="0.55000000000000004">
      <c r="A200" s="17"/>
      <c r="B200"/>
      <c r="C200"/>
      <c r="D200"/>
      <c r="E200"/>
      <c r="F200" s="49">
        <v>43313</v>
      </c>
      <c r="G200" s="92">
        <v>138.94999999999999</v>
      </c>
      <c r="H200"/>
      <c r="I200"/>
      <c r="J200"/>
      <c r="K200"/>
      <c r="L200" s="58">
        <v>138.11042477646194</v>
      </c>
      <c r="M200" s="53"/>
      <c r="N200" s="58">
        <v>138.11042477646194</v>
      </c>
      <c r="O200" s="15">
        <v>0.83957522353804848</v>
      </c>
      <c r="P200" s="15"/>
      <c r="Q200" s="15"/>
      <c r="R200" s="15"/>
      <c r="S200" s="15"/>
      <c r="T200" s="15"/>
      <c r="U200" s="15"/>
      <c r="V200" s="15"/>
      <c r="W200" s="15"/>
    </row>
    <row r="201" spans="1:23" s="21" customFormat="1" x14ac:dyDescent="0.55000000000000004">
      <c r="A201" s="17"/>
      <c r="B201"/>
      <c r="C201"/>
      <c r="D201"/>
      <c r="E201"/>
      <c r="F201" s="49">
        <v>43344</v>
      </c>
      <c r="G201" s="92">
        <v>138.22</v>
      </c>
      <c r="H201"/>
      <c r="I201"/>
      <c r="J201"/>
      <c r="K201"/>
      <c r="L201" s="58">
        <v>138.61465597869622</v>
      </c>
      <c r="M201" s="53"/>
      <c r="N201" s="58">
        <v>138.61465597869622</v>
      </c>
      <c r="O201" s="15">
        <v>-0.39465597869622115</v>
      </c>
      <c r="P201" s="15"/>
      <c r="Q201" s="15"/>
      <c r="R201" s="15"/>
      <c r="S201" s="15"/>
      <c r="T201" s="15"/>
      <c r="U201" s="15"/>
      <c r="V201" s="15"/>
      <c r="W201" s="15"/>
    </row>
    <row r="202" spans="1:23" s="21" customFormat="1" x14ac:dyDescent="0.55000000000000004">
      <c r="A202" s="17"/>
      <c r="B202"/>
      <c r="C202"/>
      <c r="D202"/>
      <c r="E202"/>
      <c r="F202" s="49">
        <v>43374</v>
      </c>
      <c r="G202" s="92">
        <v>138.44</v>
      </c>
      <c r="H202"/>
      <c r="I202"/>
      <c r="J202"/>
      <c r="K202"/>
      <c r="L202" s="58">
        <v>138.85405897508068</v>
      </c>
      <c r="M202" s="53"/>
      <c r="N202" s="58">
        <v>138.85405897508068</v>
      </c>
      <c r="O202" s="15">
        <v>-0.41405897508067824</v>
      </c>
      <c r="P202" s="15"/>
      <c r="Q202" s="15"/>
      <c r="R202" s="15"/>
      <c r="S202" s="15"/>
      <c r="T202" s="15"/>
      <c r="U202" s="15"/>
      <c r="V202" s="15"/>
      <c r="W202" s="15"/>
    </row>
    <row r="203" spans="1:23" s="21" customFormat="1" x14ac:dyDescent="0.55000000000000004">
      <c r="A203" s="17"/>
      <c r="B203"/>
      <c r="C203"/>
      <c r="D203"/>
      <c r="E203"/>
      <c r="F203" s="49">
        <v>43405</v>
      </c>
      <c r="G203" s="92">
        <v>138.61000000000001</v>
      </c>
      <c r="H203"/>
      <c r="I203"/>
      <c r="J203"/>
      <c r="K203"/>
      <c r="L203" s="58">
        <v>138.86841152655396</v>
      </c>
      <c r="M203" s="53"/>
      <c r="N203" s="58">
        <v>138.86841152655396</v>
      </c>
      <c r="O203" s="15">
        <v>-0.25841152655394239</v>
      </c>
      <c r="P203" s="15"/>
      <c r="Q203" s="15"/>
      <c r="R203" s="15"/>
      <c r="S203" s="15"/>
      <c r="T203" s="15"/>
      <c r="U203" s="15"/>
      <c r="V203" s="15"/>
      <c r="W203" s="15"/>
    </row>
    <row r="204" spans="1:23" s="21" customFormat="1" x14ac:dyDescent="0.55000000000000004">
      <c r="A204" s="17"/>
      <c r="B204"/>
      <c r="C204"/>
      <c r="D204"/>
      <c r="E204"/>
      <c r="F204" s="49">
        <v>43435</v>
      </c>
      <c r="G204" s="92">
        <v>139.18</v>
      </c>
      <c r="H204"/>
      <c r="I204"/>
      <c r="J204"/>
      <c r="K204"/>
      <c r="L204" s="58">
        <v>138.75882504492412</v>
      </c>
      <c r="M204" s="53"/>
      <c r="N204" s="58">
        <v>138.75882504492412</v>
      </c>
      <c r="O204" s="15">
        <v>0.42117495507588387</v>
      </c>
      <c r="P204" s="15"/>
      <c r="Q204" s="15"/>
      <c r="R204" s="15"/>
      <c r="S204" s="15"/>
      <c r="T204" s="15"/>
      <c r="U204" s="15"/>
      <c r="V204" s="15"/>
      <c r="W204" s="15"/>
    </row>
    <row r="205" spans="1:23" s="21" customFormat="1" x14ac:dyDescent="0.55000000000000004">
      <c r="A205" s="17"/>
      <c r="B205"/>
      <c r="C205"/>
      <c r="D205"/>
      <c r="E205"/>
      <c r="F205" s="49">
        <v>43466</v>
      </c>
      <c r="G205" s="92">
        <v>139.28</v>
      </c>
      <c r="H205"/>
      <c r="I205"/>
      <c r="J205"/>
      <c r="K205"/>
      <c r="L205" s="58">
        <v>138.41021498625213</v>
      </c>
      <c r="M205" s="53"/>
      <c r="N205" s="58">
        <v>138.41021498625213</v>
      </c>
      <c r="O205" s="15">
        <v>0.86978501374787243</v>
      </c>
      <c r="P205" s="15"/>
      <c r="Q205" s="15"/>
      <c r="R205" s="15"/>
      <c r="S205" s="15"/>
      <c r="T205" s="15"/>
      <c r="U205" s="15"/>
      <c r="V205" s="15"/>
      <c r="W205" s="15"/>
    </row>
    <row r="206" spans="1:23" s="21" customFormat="1" x14ac:dyDescent="0.55000000000000004">
      <c r="A206" s="17"/>
      <c r="B206"/>
      <c r="C206"/>
      <c r="D206"/>
      <c r="E206"/>
      <c r="F206" s="49">
        <v>43497</v>
      </c>
      <c r="G206" s="92">
        <v>137.69</v>
      </c>
      <c r="H206"/>
      <c r="I206"/>
      <c r="J206"/>
      <c r="K206"/>
      <c r="L206" s="58">
        <v>137.98334776678428</v>
      </c>
      <c r="M206" s="53"/>
      <c r="N206" s="58">
        <v>137.98334776678428</v>
      </c>
      <c r="O206" s="15">
        <v>-0.29334776678427943</v>
      </c>
      <c r="P206" s="15"/>
      <c r="Q206" s="15"/>
      <c r="R206" s="15"/>
      <c r="S206" s="15"/>
      <c r="T206" s="15"/>
      <c r="U206" s="15"/>
      <c r="V206" s="15"/>
      <c r="W206" s="15"/>
    </row>
    <row r="207" spans="1:23" s="21" customFormat="1" x14ac:dyDescent="0.55000000000000004">
      <c r="A207" s="17"/>
      <c r="B207"/>
      <c r="C207"/>
      <c r="D207"/>
      <c r="E207"/>
      <c r="F207" s="49">
        <v>43525</v>
      </c>
      <c r="G207" s="92">
        <v>137</v>
      </c>
      <c r="H207"/>
      <c r="I207"/>
      <c r="J207"/>
      <c r="K207"/>
      <c r="L207" s="58">
        <v>137.67631947000368</v>
      </c>
      <c r="M207" s="53"/>
      <c r="N207" s="58">
        <v>137.67631947000368</v>
      </c>
      <c r="O207" s="15">
        <v>-0.67631947000367632</v>
      </c>
      <c r="P207" s="15"/>
      <c r="Q207" s="15"/>
      <c r="R207" s="15"/>
      <c r="S207" s="15"/>
      <c r="T207" s="15"/>
      <c r="U207" s="15"/>
      <c r="V207" s="15"/>
      <c r="W207" s="15"/>
    </row>
    <row r="208" spans="1:23" s="21" customFormat="1" x14ac:dyDescent="0.55000000000000004">
      <c r="A208" s="17"/>
      <c r="B208"/>
      <c r="C208"/>
      <c r="D208"/>
      <c r="E208"/>
      <c r="F208" s="49">
        <v>43556</v>
      </c>
      <c r="G208" s="92">
        <v>136.87</v>
      </c>
      <c r="H208"/>
      <c r="I208"/>
      <c r="J208"/>
      <c r="K208"/>
      <c r="L208" s="58">
        <v>137.6434637034792</v>
      </c>
      <c r="M208" s="53"/>
      <c r="N208" s="58">
        <v>137.6434637034792</v>
      </c>
      <c r="O208" s="15">
        <v>-0.77346370347919446</v>
      </c>
      <c r="P208" s="15"/>
      <c r="Q208" s="15"/>
      <c r="R208" s="15"/>
      <c r="S208" s="15"/>
      <c r="T208" s="15"/>
      <c r="U208" s="15"/>
      <c r="V208" s="15"/>
      <c r="W208" s="15"/>
    </row>
    <row r="209" spans="1:23" s="21" customFormat="1" x14ac:dyDescent="0.55000000000000004">
      <c r="A209" s="17"/>
      <c r="B209"/>
      <c r="C209"/>
      <c r="D209"/>
      <c r="E209"/>
      <c r="F209" s="49">
        <v>43586</v>
      </c>
      <c r="G209" s="92">
        <v>138.63999999999999</v>
      </c>
      <c r="H209"/>
      <c r="I209"/>
      <c r="J209"/>
      <c r="K209"/>
      <c r="L209" s="58">
        <v>137.84498343761501</v>
      </c>
      <c r="M209" s="53"/>
      <c r="N209" s="58">
        <v>137.84498343761501</v>
      </c>
      <c r="O209" s="15">
        <v>0.79501656238497276</v>
      </c>
      <c r="P209" s="15"/>
      <c r="Q209" s="15"/>
      <c r="R209" s="15"/>
      <c r="S209" s="15"/>
      <c r="T209" s="15"/>
      <c r="U209" s="15"/>
      <c r="V209" s="15"/>
      <c r="W209" s="15"/>
    </row>
    <row r="210" spans="1:23" s="21" customFormat="1" x14ac:dyDescent="0.55000000000000004">
      <c r="A210" s="17"/>
      <c r="B210"/>
      <c r="C210"/>
      <c r="D210"/>
      <c r="E210"/>
      <c r="F210" s="49">
        <v>43617</v>
      </c>
      <c r="G210" s="92">
        <v>138.86000000000001</v>
      </c>
      <c r="H210"/>
      <c r="I210"/>
      <c r="J210"/>
      <c r="K210"/>
      <c r="L210" s="58">
        <v>138.20821266968323</v>
      </c>
      <c r="M210" s="53"/>
      <c r="N210" s="58">
        <v>138.20821266968323</v>
      </c>
      <c r="O210" s="15">
        <v>0.65178733031677893</v>
      </c>
      <c r="P210" s="15"/>
      <c r="Q210" s="15"/>
      <c r="R210" s="15"/>
      <c r="S210" s="15"/>
      <c r="T210" s="15"/>
      <c r="U210" s="15"/>
      <c r="V210" s="15"/>
      <c r="W210" s="15"/>
    </row>
    <row r="211" spans="1:23" s="21" customFormat="1" x14ac:dyDescent="0.55000000000000004">
      <c r="A211" s="17"/>
      <c r="B211"/>
      <c r="C211"/>
      <c r="D211"/>
      <c r="E211"/>
      <c r="F211" s="49">
        <v>43647</v>
      </c>
      <c r="G211" s="92">
        <v>138.29</v>
      </c>
      <c r="H211"/>
      <c r="I211"/>
      <c r="J211"/>
      <c r="K211"/>
      <c r="L211" s="58">
        <v>138.62418281408995</v>
      </c>
      <c r="M211" s="53"/>
      <c r="N211" s="58">
        <v>138.62418281408995</v>
      </c>
      <c r="O211" s="15">
        <v>-0.33418281408995654</v>
      </c>
      <c r="P211" s="15"/>
      <c r="Q211" s="15"/>
      <c r="R211" s="15"/>
      <c r="S211" s="15"/>
      <c r="T211" s="15"/>
      <c r="U211" s="15"/>
      <c r="V211" s="15"/>
      <c r="W211" s="15"/>
    </row>
    <row r="212" spans="1:23" s="21" customFormat="1" x14ac:dyDescent="0.55000000000000004">
      <c r="A212" s="17"/>
      <c r="B212"/>
      <c r="C212"/>
      <c r="D212"/>
      <c r="E212"/>
      <c r="F212" s="49">
        <v>43678</v>
      </c>
      <c r="G212" s="92">
        <v>138.35</v>
      </c>
      <c r="H212"/>
      <c r="I212"/>
      <c r="J212"/>
      <c r="K212"/>
      <c r="L212" s="58">
        <v>138.98326603736822</v>
      </c>
      <c r="M212" s="53"/>
      <c r="N212" s="58">
        <v>138.98326603736822</v>
      </c>
      <c r="O212" s="15">
        <v>-0.63326603736823017</v>
      </c>
      <c r="P212" s="15"/>
      <c r="Q212" s="15"/>
      <c r="R212" s="15"/>
      <c r="S212" s="15"/>
      <c r="T212" s="15"/>
      <c r="U212" s="15"/>
      <c r="V212" s="15"/>
      <c r="W212" s="15"/>
    </row>
    <row r="213" spans="1:23" s="21" customFormat="1" x14ac:dyDescent="0.55000000000000004">
      <c r="A213" s="17"/>
      <c r="B213"/>
      <c r="C213"/>
      <c r="D213"/>
      <c r="E213"/>
      <c r="F213" s="49">
        <v>43709</v>
      </c>
      <c r="G213" s="92">
        <v>139.16</v>
      </c>
      <c r="H213"/>
      <c r="I213"/>
      <c r="J213"/>
      <c r="K213"/>
      <c r="L213" s="58">
        <v>139.31345049687155</v>
      </c>
      <c r="M213" s="53"/>
      <c r="N213" s="58">
        <v>139.31345049687155</v>
      </c>
      <c r="O213" s="15">
        <v>-0.15345049687155665</v>
      </c>
      <c r="P213" s="15"/>
      <c r="Q213" s="15"/>
      <c r="R213" s="15"/>
      <c r="S213" s="15"/>
      <c r="T213" s="15"/>
      <c r="U213" s="15"/>
      <c r="V213" s="15"/>
      <c r="W213" s="15"/>
    </row>
    <row r="214" spans="1:23" s="21" customFormat="1" x14ac:dyDescent="0.55000000000000004">
      <c r="A214" s="17"/>
      <c r="B214"/>
      <c r="C214"/>
      <c r="D214"/>
      <c r="E214"/>
      <c r="F214" s="49">
        <v>43739</v>
      </c>
      <c r="G214" s="92">
        <v>140.56</v>
      </c>
      <c r="H214"/>
      <c r="I214"/>
      <c r="J214"/>
      <c r="K214"/>
      <c r="L214" s="58">
        <v>139.89693336075692</v>
      </c>
      <c r="M214" s="53"/>
      <c r="N214" s="58">
        <v>139.89693336075692</v>
      </c>
      <c r="O214" s="15">
        <v>0.66306663924308396</v>
      </c>
      <c r="P214" s="15"/>
      <c r="Q214" s="15"/>
      <c r="R214" s="15"/>
      <c r="S214" s="15"/>
      <c r="T214" s="15"/>
      <c r="U214" s="15"/>
      <c r="V214" s="15"/>
      <c r="W214" s="15"/>
    </row>
    <row r="215" spans="1:23" s="21" customFormat="1" x14ac:dyDescent="0.55000000000000004">
      <c r="A215" s="17"/>
      <c r="B215"/>
      <c r="C215"/>
      <c r="D215"/>
      <c r="E215"/>
      <c r="F215" s="49">
        <v>43770</v>
      </c>
      <c r="G215" s="92">
        <v>139.88</v>
      </c>
      <c r="H215"/>
      <c r="I215"/>
      <c r="J215"/>
      <c r="K215"/>
      <c r="L215" s="58">
        <v>140.73425144514928</v>
      </c>
      <c r="M215" s="53"/>
      <c r="N215" s="58">
        <v>140.73425144514928</v>
      </c>
      <c r="O215" s="15">
        <v>-0.85425144514928775</v>
      </c>
      <c r="P215" s="15"/>
      <c r="Q215" s="15"/>
      <c r="R215" s="15"/>
      <c r="S215" s="15"/>
      <c r="T215" s="15"/>
      <c r="U215" s="15"/>
      <c r="V215" s="15"/>
      <c r="W215" s="15"/>
    </row>
    <row r="216" spans="1:23" s="21" customFormat="1" x14ac:dyDescent="0.55000000000000004">
      <c r="A216" s="17"/>
      <c r="B216"/>
      <c r="C216"/>
      <c r="D216"/>
      <c r="E216"/>
      <c r="F216" s="49">
        <v>43800</v>
      </c>
      <c r="G216" s="92">
        <v>139.28</v>
      </c>
      <c r="H216"/>
      <c r="I216"/>
      <c r="J216"/>
      <c r="K216"/>
      <c r="L216" s="58">
        <v>140.64680010392084</v>
      </c>
      <c r="M216" s="53"/>
      <c r="N216" s="58">
        <v>140.64680010392084</v>
      </c>
      <c r="O216" s="15">
        <v>-1.3668001039208377</v>
      </c>
      <c r="P216" s="15"/>
      <c r="Q216" s="15"/>
      <c r="R216" s="15"/>
      <c r="S216" s="15"/>
      <c r="T216" s="15"/>
      <c r="U216" s="15"/>
      <c r="V216" s="15"/>
      <c r="W216" s="15"/>
    </row>
    <row r="217" spans="1:23" s="21" customFormat="1" x14ac:dyDescent="0.55000000000000004">
      <c r="A217" s="17"/>
      <c r="B217"/>
      <c r="C217"/>
      <c r="D217"/>
      <c r="E217"/>
      <c r="F217" s="49">
        <v>43831</v>
      </c>
      <c r="G217" s="92">
        <v>140.05000000000001</v>
      </c>
      <c r="H217"/>
      <c r="I217"/>
      <c r="J217"/>
      <c r="K217"/>
      <c r="L217" s="58">
        <v>138.43035365563227</v>
      </c>
      <c r="M217" s="53"/>
      <c r="N217" s="58">
        <v>138.43035365563227</v>
      </c>
      <c r="O217" s="15">
        <v>1.6196463443677374</v>
      </c>
      <c r="P217" s="15"/>
      <c r="Q217" s="15"/>
      <c r="R217" s="15"/>
      <c r="S217" s="15"/>
      <c r="T217" s="15"/>
      <c r="U217" s="15"/>
      <c r="V217" s="15"/>
      <c r="W217" s="15"/>
    </row>
    <row r="218" spans="1:23" s="21" customFormat="1" x14ac:dyDescent="0.55000000000000004">
      <c r="A218" s="17"/>
      <c r="B218"/>
      <c r="C218"/>
      <c r="D218"/>
      <c r="E218"/>
      <c r="F218" s="49">
        <v>43862</v>
      </c>
      <c r="G218" s="92">
        <v>139.65</v>
      </c>
      <c r="H218"/>
      <c r="I218"/>
      <c r="J218"/>
      <c r="K218"/>
      <c r="L218" s="58">
        <v>134.05867522570307</v>
      </c>
      <c r="M218" s="53"/>
      <c r="N218" s="58">
        <v>134.05867522570307</v>
      </c>
      <c r="O218" s="15">
        <v>5.5913247742969361</v>
      </c>
      <c r="P218" s="15"/>
      <c r="Q218" s="15"/>
      <c r="R218" s="15"/>
      <c r="S218" s="15"/>
      <c r="T218" s="15"/>
      <c r="U218" s="15"/>
      <c r="V218" s="15"/>
      <c r="W218" s="15"/>
    </row>
    <row r="219" spans="1:23" s="21" customFormat="1" x14ac:dyDescent="0.55000000000000004">
      <c r="A219" s="17"/>
      <c r="B219"/>
      <c r="C219"/>
      <c r="D219"/>
      <c r="E219"/>
      <c r="F219" s="49">
        <v>43891</v>
      </c>
      <c r="G219" s="92">
        <v>129.71</v>
      </c>
      <c r="H219"/>
      <c r="I219"/>
      <c r="J219"/>
      <c r="K219"/>
      <c r="L219" s="58">
        <v>128.85115103163091</v>
      </c>
      <c r="M219" s="53"/>
      <c r="N219" s="58">
        <v>128.85115103163091</v>
      </c>
      <c r="O219" s="15">
        <v>0.85884896836910229</v>
      </c>
      <c r="P219" s="15"/>
      <c r="Q219" s="15"/>
      <c r="R219" s="15"/>
      <c r="S219" s="15"/>
      <c r="T219" s="15"/>
      <c r="U219" s="15"/>
      <c r="V219" s="15"/>
      <c r="W219" s="15"/>
    </row>
    <row r="220" spans="1:23" s="21" customFormat="1" x14ac:dyDescent="0.55000000000000004">
      <c r="A220" s="17"/>
      <c r="B220"/>
      <c r="C220"/>
      <c r="D220"/>
      <c r="E220"/>
      <c r="F220" s="49">
        <v>43922</v>
      </c>
      <c r="G220" s="92">
        <v>117.19</v>
      </c>
      <c r="H220"/>
      <c r="I220"/>
      <c r="J220"/>
      <c r="K220"/>
      <c r="L220" s="58">
        <v>124.75357942367228</v>
      </c>
      <c r="M220" s="53"/>
      <c r="N220" s="58">
        <v>124.75357942367228</v>
      </c>
      <c r="O220" s="15">
        <v>-7.5635794236722802</v>
      </c>
      <c r="P220" s="15"/>
      <c r="Q220" s="15"/>
      <c r="R220" s="15"/>
      <c r="S220" s="15"/>
      <c r="T220" s="15"/>
      <c r="U220" s="15"/>
      <c r="V220" s="15"/>
      <c r="W220" s="15"/>
    </row>
    <row r="221" spans="1:23" s="21" customFormat="1" x14ac:dyDescent="0.55000000000000004">
      <c r="A221" s="17"/>
      <c r="B221"/>
      <c r="C221"/>
      <c r="D221"/>
      <c r="E221"/>
      <c r="F221" s="49">
        <v>43952</v>
      </c>
      <c r="G221" s="92">
        <v>121.03</v>
      </c>
      <c r="H221"/>
      <c r="I221"/>
      <c r="J221"/>
      <c r="K221"/>
      <c r="L221" s="58">
        <v>123.35813321353567</v>
      </c>
      <c r="M221" s="53"/>
      <c r="N221" s="58">
        <v>123.35813321353567</v>
      </c>
      <c r="O221" s="15">
        <v>-2.3281332135356649</v>
      </c>
      <c r="P221" s="15"/>
      <c r="Q221" s="15"/>
      <c r="R221" s="15"/>
      <c r="S221" s="15"/>
      <c r="T221" s="15"/>
      <c r="U221" s="15"/>
      <c r="V221" s="15"/>
      <c r="W221" s="15"/>
    </row>
    <row r="222" spans="1:23" s="21" customFormat="1" x14ac:dyDescent="0.55000000000000004">
      <c r="A222" s="17"/>
      <c r="B222"/>
      <c r="C222"/>
      <c r="D222"/>
      <c r="E222"/>
      <c r="F222" s="49">
        <v>43983</v>
      </c>
      <c r="G222" s="92">
        <v>127.06</v>
      </c>
      <c r="H222"/>
      <c r="I222"/>
      <c r="J222"/>
      <c r="K222"/>
      <c r="L222" s="58">
        <v>125.20197287232894</v>
      </c>
      <c r="M222" s="53"/>
      <c r="N222" s="58">
        <v>125.20197287232894</v>
      </c>
      <c r="O222" s="15">
        <v>1.8580271276710647</v>
      </c>
      <c r="P222" s="15"/>
      <c r="Q222" s="15"/>
      <c r="R222" s="15"/>
      <c r="S222" s="15"/>
      <c r="T222" s="15"/>
      <c r="U222" s="15"/>
      <c r="V222" s="15"/>
      <c r="W222" s="15"/>
    </row>
    <row r="223" spans="1:23" s="21" customFormat="1" x14ac:dyDescent="0.55000000000000004">
      <c r="A223" s="17"/>
      <c r="B223"/>
      <c r="C223"/>
      <c r="D223"/>
      <c r="E223"/>
      <c r="F223" s="49">
        <v>44013</v>
      </c>
      <c r="G223" s="92">
        <v>130.99</v>
      </c>
      <c r="H223"/>
      <c r="I223"/>
      <c r="J223"/>
      <c r="K223"/>
      <c r="L223" s="58">
        <v>129.29469603152262</v>
      </c>
      <c r="M223" s="53"/>
      <c r="N223" s="58">
        <v>129.29469603152262</v>
      </c>
      <c r="O223" s="15">
        <v>1.6953039684773898</v>
      </c>
      <c r="P223" s="15"/>
      <c r="Q223" s="15"/>
      <c r="R223" s="15"/>
      <c r="S223" s="15"/>
      <c r="T223" s="15"/>
      <c r="U223" s="15"/>
      <c r="V223" s="15"/>
      <c r="W223" s="15"/>
    </row>
    <row r="224" spans="1:23" s="21" customFormat="1" x14ac:dyDescent="0.55000000000000004">
      <c r="A224" s="17"/>
      <c r="B224"/>
      <c r="C224"/>
      <c r="D224"/>
      <c r="E224"/>
      <c r="F224" s="49">
        <v>44044</v>
      </c>
      <c r="G224" s="92">
        <v>133.86000000000001</v>
      </c>
      <c r="H224"/>
      <c r="I224"/>
      <c r="J224"/>
      <c r="K224"/>
      <c r="L224" s="58">
        <v>133.66619703825583</v>
      </c>
      <c r="M224" s="53"/>
      <c r="N224" s="58">
        <v>133.66619703825583</v>
      </c>
      <c r="O224" s="15">
        <v>0.19380296174418277</v>
      </c>
      <c r="P224" s="15"/>
      <c r="Q224" s="15"/>
      <c r="R224" s="15"/>
      <c r="S224" s="15"/>
      <c r="T224" s="15"/>
      <c r="U224" s="15"/>
      <c r="V224" s="15"/>
      <c r="W224" s="15"/>
    </row>
    <row r="225" spans="1:23" s="21" customFormat="1" x14ac:dyDescent="0.55000000000000004">
      <c r="A225" s="17"/>
      <c r="B225"/>
      <c r="C225"/>
      <c r="D225"/>
      <c r="E225"/>
      <c r="F225" s="49">
        <v>44075</v>
      </c>
      <c r="G225" s="92">
        <v>136.84</v>
      </c>
      <c r="H225"/>
      <c r="I225"/>
      <c r="J225"/>
      <c r="K225"/>
      <c r="L225" s="58">
        <v>136.7479676979367</v>
      </c>
      <c r="M225" s="53"/>
      <c r="N225" s="58">
        <v>136.7479676979367</v>
      </c>
      <c r="O225" s="15">
        <v>9.2032302063302041E-2</v>
      </c>
      <c r="P225" s="15"/>
      <c r="Q225" s="15"/>
      <c r="R225" s="15"/>
      <c r="S225" s="15"/>
      <c r="T225" s="15"/>
      <c r="U225" s="15"/>
      <c r="V225" s="15"/>
      <c r="W225" s="15"/>
    </row>
    <row r="226" spans="1:23" s="21" customFormat="1" x14ac:dyDescent="0.55000000000000004">
      <c r="A226" s="17"/>
      <c r="B226"/>
      <c r="C226"/>
      <c r="D226"/>
      <c r="E226"/>
      <c r="F226" s="49">
        <v>44105</v>
      </c>
      <c r="G226" s="92">
        <v>139.32</v>
      </c>
      <c r="H226"/>
      <c r="I226"/>
      <c r="J226"/>
      <c r="K226"/>
      <c r="L226" s="58">
        <v>138.59400311762539</v>
      </c>
      <c r="M226" s="53"/>
      <c r="N226" s="58">
        <v>138.59400311762539</v>
      </c>
      <c r="O226" s="15">
        <v>0.72599688237460214</v>
      </c>
      <c r="P226" s="15"/>
      <c r="Q226" s="15"/>
      <c r="R226" s="15"/>
      <c r="S226" s="15"/>
      <c r="T226" s="15"/>
      <c r="U226" s="15"/>
      <c r="V226" s="15"/>
      <c r="W226" s="15"/>
    </row>
    <row r="227" spans="1:23" s="21" customFormat="1" x14ac:dyDescent="0.55000000000000004">
      <c r="A227" s="17"/>
      <c r="B227"/>
      <c r="C227"/>
      <c r="D227"/>
      <c r="E227"/>
      <c r="F227" s="49">
        <v>44136</v>
      </c>
      <c r="G227" s="92">
        <v>139.24</v>
      </c>
      <c r="H227"/>
      <c r="I227"/>
      <c r="J227"/>
      <c r="K227"/>
      <c r="L227" s="58">
        <v>139.69223722098334</v>
      </c>
      <c r="M227" s="53"/>
      <c r="N227" s="58">
        <v>139.69223722098334</v>
      </c>
      <c r="O227" s="15">
        <v>-0.45223722098333496</v>
      </c>
      <c r="P227" s="15"/>
      <c r="Q227" s="15"/>
      <c r="R227" s="15"/>
      <c r="S227" s="15"/>
      <c r="T227" s="15"/>
      <c r="U227" s="15"/>
      <c r="V227" s="15"/>
      <c r="W227" s="15"/>
    </row>
    <row r="228" spans="1:23" s="21" customFormat="1" x14ac:dyDescent="0.55000000000000004">
      <c r="A228" s="17"/>
      <c r="B228"/>
      <c r="C228"/>
      <c r="D228"/>
      <c r="E228"/>
      <c r="F228" s="49">
        <v>44166</v>
      </c>
      <c r="G228" s="92">
        <v>139.54</v>
      </c>
      <c r="H228"/>
      <c r="I228"/>
      <c r="J228"/>
      <c r="K228"/>
      <c r="L228" s="58">
        <v>140.01762346013118</v>
      </c>
      <c r="M228" s="53"/>
      <c r="N228" s="58">
        <v>140.01762346013118</v>
      </c>
      <c r="O228" s="15">
        <v>-0.47762346013118417</v>
      </c>
      <c r="P228" s="15"/>
      <c r="Q228" s="15"/>
      <c r="R228" s="15"/>
      <c r="S228" s="15"/>
      <c r="T228" s="15"/>
      <c r="U228" s="15"/>
      <c r="V228" s="15"/>
      <c r="W228" s="15"/>
    </row>
    <row r="229" spans="1:23" s="21" customFormat="1" x14ac:dyDescent="0.55000000000000004">
      <c r="A229" s="17"/>
      <c r="B229"/>
      <c r="C229"/>
      <c r="D229"/>
      <c r="E229"/>
      <c r="F229" s="49">
        <v>44197</v>
      </c>
      <c r="G229" s="92">
        <v>140.13</v>
      </c>
      <c r="H229"/>
      <c r="I229"/>
      <c r="J229"/>
      <c r="K229"/>
      <c r="L229" s="58">
        <v>139.65128537097578</v>
      </c>
      <c r="M229" s="53"/>
      <c r="N229" s="58">
        <v>139.65128537097578</v>
      </c>
      <c r="O229" s="15">
        <v>0.47871462902421058</v>
      </c>
      <c r="P229" s="15"/>
      <c r="Q229" s="15"/>
      <c r="R229" s="15"/>
      <c r="S229" s="15"/>
      <c r="T229" s="15"/>
      <c r="U229" s="15"/>
      <c r="V229" s="15"/>
      <c r="W229" s="15"/>
    </row>
    <row r="230" spans="1:23" s="21" customFormat="1" x14ac:dyDescent="0.55000000000000004">
      <c r="A230" s="17"/>
      <c r="B230"/>
      <c r="C230"/>
      <c r="D230"/>
      <c r="E230"/>
      <c r="F230" s="49">
        <v>44228</v>
      </c>
      <c r="G230" s="92">
        <v>140.97999999999999</v>
      </c>
      <c r="H230"/>
      <c r="I230"/>
      <c r="J230"/>
      <c r="K230"/>
      <c r="L230" s="58">
        <v>138.95949587564135</v>
      </c>
      <c r="M230" s="53"/>
      <c r="N230" s="58">
        <v>138.95949587564135</v>
      </c>
      <c r="O230" s="15">
        <v>2.0205041243586379</v>
      </c>
      <c r="P230" s="15"/>
      <c r="Q230" s="15"/>
      <c r="R230" s="15"/>
      <c r="S230" s="15"/>
      <c r="T230" s="15"/>
      <c r="U230" s="15"/>
      <c r="V230" s="15"/>
      <c r="W230" s="15"/>
    </row>
    <row r="231" spans="1:23" s="21" customFormat="1" x14ac:dyDescent="0.55000000000000004">
      <c r="A231" s="17"/>
      <c r="B231"/>
      <c r="C231"/>
      <c r="D231"/>
      <c r="E231"/>
      <c r="F231" s="49">
        <v>44256</v>
      </c>
      <c r="G231" s="92">
        <v>135.72</v>
      </c>
      <c r="H231"/>
      <c r="I231"/>
      <c r="J231"/>
      <c r="K231"/>
      <c r="L231" s="58">
        <v>138.32954502154189</v>
      </c>
      <c r="M231" s="53"/>
      <c r="N231" s="58">
        <v>138.32954502154189</v>
      </c>
      <c r="O231" s="15">
        <v>-2.6095450215418907</v>
      </c>
      <c r="P231" s="15"/>
      <c r="Q231" s="15"/>
      <c r="R231" s="15"/>
      <c r="S231" s="15"/>
      <c r="T231" s="15"/>
      <c r="U231" s="15"/>
      <c r="V231" s="15"/>
      <c r="W231" s="15"/>
    </row>
    <row r="232" spans="1:23" s="21" customFormat="1" x14ac:dyDescent="0.55000000000000004">
      <c r="A232" s="17"/>
      <c r="B232"/>
      <c r="C232"/>
      <c r="D232"/>
      <c r="E232"/>
      <c r="F232" s="49">
        <v>44287</v>
      </c>
      <c r="G232" s="92">
        <v>137.44</v>
      </c>
      <c r="H232"/>
      <c r="I232"/>
      <c r="J232"/>
      <c r="K232"/>
      <c r="L232" s="58">
        <v>138.00111541709063</v>
      </c>
      <c r="M232" s="53"/>
      <c r="N232" s="58">
        <v>138.00111541709063</v>
      </c>
      <c r="O232" s="15">
        <v>-0.56111541709063317</v>
      </c>
      <c r="P232" s="15"/>
      <c r="Q232" s="15"/>
      <c r="R232" s="15"/>
      <c r="S232" s="15"/>
      <c r="T232" s="15"/>
      <c r="U232" s="15"/>
      <c r="V232" s="15"/>
      <c r="W232" s="15"/>
    </row>
    <row r="233" spans="1:23" s="21" customFormat="1" x14ac:dyDescent="0.55000000000000004">
      <c r="A233" s="17"/>
      <c r="B233"/>
      <c r="C233"/>
      <c r="D233"/>
      <c r="E233"/>
      <c r="F233" s="49">
        <v>44317</v>
      </c>
      <c r="G233" s="92">
        <v>138.74</v>
      </c>
      <c r="H233"/>
      <c r="I233"/>
      <c r="J233"/>
      <c r="K233"/>
      <c r="L233" s="58">
        <v>138.017061962805</v>
      </c>
      <c r="M233" s="53"/>
      <c r="N233" s="58">
        <v>138.017061962805</v>
      </c>
      <c r="O233" s="15">
        <v>0.72293803719500715</v>
      </c>
      <c r="P233" s="15"/>
      <c r="Q233" s="15"/>
      <c r="R233" s="15"/>
      <c r="S233" s="15"/>
      <c r="T233" s="15"/>
      <c r="U233" s="15"/>
      <c r="V233" s="15"/>
      <c r="W233" s="15"/>
    </row>
    <row r="234" spans="1:23" s="21" customFormat="1" x14ac:dyDescent="0.55000000000000004">
      <c r="A234" s="17"/>
      <c r="B234"/>
      <c r="C234"/>
      <c r="D234"/>
      <c r="E234"/>
      <c r="F234" s="49">
        <v>44348</v>
      </c>
      <c r="G234" s="92">
        <v>138.94999999999999</v>
      </c>
      <c r="H234"/>
      <c r="I234"/>
      <c r="J234"/>
      <c r="K234"/>
      <c r="L234" s="58">
        <v>138.29019225356683</v>
      </c>
      <c r="M234" s="53"/>
      <c r="N234" s="58">
        <v>138.29019225356683</v>
      </c>
      <c r="O234" s="15">
        <v>0.65980774643315954</v>
      </c>
      <c r="P234" s="15"/>
      <c r="Q234" s="15"/>
      <c r="R234" s="15"/>
      <c r="S234" s="15"/>
      <c r="T234" s="15"/>
      <c r="U234" s="15"/>
      <c r="V234" s="15"/>
      <c r="W234" s="15"/>
    </row>
    <row r="235" spans="1:23" s="21" customFormat="1" x14ac:dyDescent="0.55000000000000004">
      <c r="A235" s="17"/>
      <c r="B235"/>
      <c r="C235"/>
      <c r="D235"/>
      <c r="E235"/>
      <c r="F235" s="49">
        <v>44378</v>
      </c>
      <c r="G235" s="92">
        <v>138.49</v>
      </c>
      <c r="H235"/>
      <c r="I235"/>
      <c r="J235"/>
      <c r="K235"/>
      <c r="L235" s="58">
        <v>138.65305797917253</v>
      </c>
      <c r="M235" s="53"/>
      <c r="N235" s="58">
        <v>138.65305797917253</v>
      </c>
      <c r="O235" s="15">
        <v>-0.16305797917252107</v>
      </c>
      <c r="P235" s="15"/>
      <c r="Q235" s="15"/>
      <c r="R235" s="15"/>
      <c r="S235" s="15"/>
      <c r="T235" s="15"/>
      <c r="U235" s="15"/>
      <c r="V235" s="15"/>
      <c r="W235" s="15"/>
    </row>
    <row r="236" spans="1:23" s="21" customFormat="1" x14ac:dyDescent="0.55000000000000004">
      <c r="A236" s="17"/>
      <c r="B236"/>
      <c r="C236"/>
      <c r="D236"/>
      <c r="E236"/>
      <c r="F236" s="49">
        <v>44409</v>
      </c>
      <c r="G236" s="92">
        <v>138.91999999999999</v>
      </c>
      <c r="H236"/>
      <c r="I236"/>
      <c r="J236"/>
      <c r="K236"/>
      <c r="L236" s="58">
        <v>139.00568208880901</v>
      </c>
      <c r="M236" s="53"/>
      <c r="N236" s="58">
        <v>139.00568208880901</v>
      </c>
      <c r="O236" s="15">
        <v>-8.5682088809022616E-2</v>
      </c>
      <c r="P236" s="15"/>
      <c r="Q236" s="15"/>
      <c r="R236" s="15"/>
      <c r="S236" s="15"/>
      <c r="T236" s="15"/>
      <c r="U236" s="15"/>
      <c r="V236" s="15"/>
      <c r="W236" s="15"/>
    </row>
    <row r="237" spans="1:23" s="21" customFormat="1" x14ac:dyDescent="0.55000000000000004">
      <c r="A237" s="17"/>
      <c r="B237"/>
      <c r="C237"/>
      <c r="D237"/>
      <c r="E237"/>
      <c r="F237" s="49">
        <v>44440</v>
      </c>
      <c r="G237" s="92">
        <v>138.86000000000001</v>
      </c>
      <c r="H237"/>
      <c r="I237"/>
      <c r="J237"/>
      <c r="K237"/>
      <c r="L237" s="58">
        <v>139.35101560977722</v>
      </c>
      <c r="M237" s="53"/>
      <c r="N237" s="58">
        <v>139.35101560977722</v>
      </c>
      <c r="O237" s="15">
        <v>-0.49101560977720737</v>
      </c>
      <c r="P237" s="15"/>
      <c r="Q237" s="15"/>
      <c r="R237" s="15"/>
      <c r="S237" s="15"/>
      <c r="T237" s="15"/>
      <c r="U237" s="15"/>
      <c r="V237" s="15"/>
      <c r="W237" s="15"/>
    </row>
    <row r="238" spans="1:23" s="21" customFormat="1" x14ac:dyDescent="0.55000000000000004">
      <c r="A238" s="17"/>
      <c r="B238"/>
      <c r="C238"/>
      <c r="D238"/>
      <c r="E238"/>
      <c r="F238" s="49">
        <v>44470</v>
      </c>
      <c r="G238" s="92">
        <v>139.62</v>
      </c>
      <c r="H238"/>
      <c r="I238"/>
      <c r="J238"/>
      <c r="K238"/>
      <c r="L238" s="58">
        <v>139.83523728593386</v>
      </c>
      <c r="M238" s="53"/>
      <c r="N238" s="58">
        <v>139.83523728593386</v>
      </c>
      <c r="O238" s="15">
        <v>-0.21523728593385272</v>
      </c>
      <c r="P238" s="15"/>
      <c r="Q238" s="15"/>
      <c r="R238" s="15"/>
      <c r="S238" s="15"/>
      <c r="T238" s="15"/>
      <c r="U238" s="15"/>
      <c r="V238" s="15"/>
      <c r="W238" s="15"/>
    </row>
    <row r="239" spans="1:23" s="21" customFormat="1" x14ac:dyDescent="0.55000000000000004">
      <c r="A239" s="17"/>
      <c r="B239"/>
      <c r="C239"/>
      <c r="D239"/>
      <c r="E239"/>
      <c r="F239" s="49">
        <v>44501</v>
      </c>
      <c r="G239" s="92">
        <v>141.05000000000001</v>
      </c>
      <c r="H239"/>
      <c r="I239"/>
      <c r="J239"/>
      <c r="K239"/>
      <c r="L239" s="58">
        <v>140.31545595271598</v>
      </c>
      <c r="M239" s="53"/>
      <c r="N239" s="58">
        <v>140.31545595271598</v>
      </c>
      <c r="O239" s="15">
        <v>0.73454404728403233</v>
      </c>
      <c r="P239" s="15"/>
      <c r="Q239" s="15"/>
      <c r="R239" s="15"/>
      <c r="S239" s="15"/>
      <c r="T239" s="15"/>
      <c r="U239" s="15"/>
      <c r="V239" s="15"/>
      <c r="W239" s="15"/>
    </row>
    <row r="240" spans="1:23" s="21" customFormat="1" x14ac:dyDescent="0.55000000000000004">
      <c r="A240" s="17"/>
      <c r="B240"/>
      <c r="C240"/>
      <c r="D240"/>
      <c r="E240"/>
      <c r="F240" s="49">
        <v>44531</v>
      </c>
      <c r="G240" s="92">
        <v>141.22</v>
      </c>
      <c r="H240"/>
      <c r="I240"/>
      <c r="J240"/>
      <c r="K240"/>
      <c r="L240" s="58">
        <v>140.69494479205005</v>
      </c>
      <c r="M240" s="53"/>
      <c r="N240" s="58">
        <v>140.69494479205005</v>
      </c>
      <c r="O240" s="15">
        <v>0.52505520794994709</v>
      </c>
      <c r="P240" s="15"/>
      <c r="Q240" s="15"/>
      <c r="R240" s="15"/>
      <c r="S240" s="15"/>
      <c r="T240" s="15"/>
      <c r="U240" s="15"/>
      <c r="V240" s="15"/>
      <c r="W240" s="15"/>
    </row>
    <row r="241" spans="1:23" s="21" customFormat="1" x14ac:dyDescent="0.55000000000000004">
      <c r="A241" s="17"/>
      <c r="B241"/>
      <c r="C241"/>
      <c r="D241"/>
      <c r="E241"/>
      <c r="F241" s="49">
        <v>44562</v>
      </c>
      <c r="G241" s="92">
        <v>140.26</v>
      </c>
      <c r="H241"/>
      <c r="I241"/>
      <c r="J241"/>
      <c r="K241"/>
      <c r="L241" s="58">
        <v>140.96875414059627</v>
      </c>
      <c r="M241" s="53"/>
      <c r="N241" s="58">
        <v>140.96875414059627</v>
      </c>
      <c r="O241" s="15">
        <v>-0.70875414059628383</v>
      </c>
      <c r="P241" s="15"/>
      <c r="Q241" s="15"/>
      <c r="R241" s="15"/>
      <c r="S241" s="15"/>
      <c r="T241" s="15"/>
      <c r="U241" s="15"/>
      <c r="V241" s="15"/>
      <c r="W241" s="15"/>
    </row>
    <row r="242" spans="1:23" s="21" customFormat="1" x14ac:dyDescent="0.55000000000000004">
      <c r="A242" s="17"/>
      <c r="B242"/>
      <c r="C242"/>
      <c r="D242"/>
      <c r="E242"/>
      <c r="F242" s="49">
        <v>44593</v>
      </c>
      <c r="G242" s="92">
        <v>140.82</v>
      </c>
      <c r="H242"/>
      <c r="I242"/>
      <c r="J242"/>
      <c r="K242"/>
      <c r="L242" s="58">
        <v>141.16256955119184</v>
      </c>
      <c r="M242" s="53"/>
      <c r="N242" s="58">
        <v>141.16256955119184</v>
      </c>
      <c r="O242" s="15">
        <v>-0.3425695511918434</v>
      </c>
      <c r="P242" s="15"/>
      <c r="Q242" s="15"/>
      <c r="R242" s="15"/>
      <c r="S242" s="15"/>
      <c r="T242" s="15"/>
      <c r="U242" s="15"/>
      <c r="V242" s="15"/>
      <c r="W242" s="15"/>
    </row>
    <row r="243" spans="1:23" x14ac:dyDescent="0.55000000000000004">
      <c r="F243" s="49">
        <v>44621</v>
      </c>
      <c r="G243" s="92">
        <v>141.94</v>
      </c>
      <c r="L243" s="15">
        <v>141.45736852930349</v>
      </c>
      <c r="N243" s="15">
        <v>141.45736852930349</v>
      </c>
      <c r="O243" s="15">
        <v>0.48263147069650358</v>
      </c>
    </row>
    <row r="244" spans="1:23" x14ac:dyDescent="0.55000000000000004">
      <c r="F244" s="49">
        <v>44652</v>
      </c>
      <c r="G244" s="92">
        <v>142.19</v>
      </c>
      <c r="L244" s="15">
        <v>142.00488189828746</v>
      </c>
      <c r="N244" s="15">
        <v>142.00488189828746</v>
      </c>
      <c r="O244" s="15">
        <v>0.18511810171253273</v>
      </c>
    </row>
    <row r="245" spans="1:23" x14ac:dyDescent="0.55000000000000004">
      <c r="F245" s="49">
        <v>44682</v>
      </c>
      <c r="G245" s="92">
        <v>142.15</v>
      </c>
      <c r="L245" s="15">
        <v>142.74754324622745</v>
      </c>
      <c r="N245" s="15">
        <v>142.74754324622745</v>
      </c>
      <c r="O245" s="15">
        <v>-0.59754324622744548</v>
      </c>
    </row>
    <row r="246" spans="1:23" x14ac:dyDescent="0.55000000000000004">
      <c r="F246" s="49">
        <v>44713</v>
      </c>
      <c r="G246" s="92">
        <v>142.88999999999999</v>
      </c>
      <c r="L246" s="15">
        <v>143.55117170754937</v>
      </c>
      <c r="N246" s="15">
        <v>143.55117170754937</v>
      </c>
      <c r="O246" s="15">
        <v>-0.6611717075493857</v>
      </c>
    </row>
    <row r="247" spans="1:23" x14ac:dyDescent="0.55000000000000004">
      <c r="F247" s="49">
        <v>44743</v>
      </c>
      <c r="G247" s="92">
        <v>145.41999999999999</v>
      </c>
      <c r="L247" s="15">
        <v>144.23673969992853</v>
      </c>
      <c r="N247" s="15">
        <v>144.23673969992853</v>
      </c>
      <c r="O247" s="15">
        <v>1.1832603000714528</v>
      </c>
    </row>
    <row r="248" spans="1:23" x14ac:dyDescent="0.55000000000000004">
      <c r="F248" s="49">
        <v>44774</v>
      </c>
      <c r="G248" s="92">
        <v>144.47999999999999</v>
      </c>
      <c r="L248" s="15">
        <v>144.58340351598864</v>
      </c>
      <c r="N248" s="15">
        <v>144.58340351598864</v>
      </c>
      <c r="O248" s="15">
        <v>-0.10340351598864572</v>
      </c>
    </row>
    <row r="249" spans="1:23" x14ac:dyDescent="0.55000000000000004">
      <c r="F249" s="49">
        <v>44805</v>
      </c>
      <c r="G249" s="92">
        <v>144.49</v>
      </c>
      <c r="L249" s="15">
        <v>144.35114908311502</v>
      </c>
      <c r="N249" s="15">
        <v>144.35114908311502</v>
      </c>
      <c r="O249" s="15">
        <v>0.13885091688499074</v>
      </c>
    </row>
    <row r="250" spans="1:23" x14ac:dyDescent="0.55000000000000004">
      <c r="F250" s="49">
        <v>44835</v>
      </c>
      <c r="G250" s="92">
        <v>144.68</v>
      </c>
      <c r="L250" s="15">
        <v>143.76784353417477</v>
      </c>
      <c r="N250" s="15">
        <v>143.76784353417477</v>
      </c>
      <c r="O250" s="15">
        <v>0.91215646582523391</v>
      </c>
    </row>
    <row r="251" spans="1:23" x14ac:dyDescent="0.55000000000000004">
      <c r="F251" s="49">
        <v>44866</v>
      </c>
      <c r="G251" s="92">
        <v>142.74</v>
      </c>
      <c r="L251" s="15">
        <v>143.32097209292257</v>
      </c>
      <c r="N251" s="15">
        <v>143.32097209292257</v>
      </c>
      <c r="O251" s="15">
        <v>-0.5809720929225648</v>
      </c>
    </row>
    <row r="252" spans="1:23" x14ac:dyDescent="0.55000000000000004">
      <c r="F252" s="49">
        <v>44896</v>
      </c>
      <c r="G252" s="92">
        <v>142.30000000000001</v>
      </c>
      <c r="L252" s="15">
        <v>143.57797181147026</v>
      </c>
      <c r="N252" s="15">
        <v>143.57797181147026</v>
      </c>
      <c r="O252" s="15">
        <v>-1.2779718114702519</v>
      </c>
    </row>
    <row r="253" spans="1:23" x14ac:dyDescent="0.55000000000000004">
      <c r="F253" s="49">
        <v>44927</v>
      </c>
      <c r="G253" s="92">
        <v>143.47999999999999</v>
      </c>
      <c r="L253" s="15">
        <v>144.5817132867133</v>
      </c>
      <c r="N253" s="15">
        <v>144.5817132867133</v>
      </c>
      <c r="O253" s="15">
        <v>-1.1017132867133057</v>
      </c>
    </row>
    <row r="254" spans="1:23" x14ac:dyDescent="0.55000000000000004">
      <c r="F254" s="49">
        <v>44958</v>
      </c>
      <c r="G254" s="92">
        <v>147.52000000000001</v>
      </c>
      <c r="L254" s="15">
        <v>145.87325434627289</v>
      </c>
      <c r="N254" s="15">
        <v>145.87325434627289</v>
      </c>
      <c r="O254" s="15">
        <v>1.6467456537271232</v>
      </c>
    </row>
    <row r="255" spans="1:23" x14ac:dyDescent="0.55000000000000004">
      <c r="F255" s="49">
        <v>44986</v>
      </c>
      <c r="G255" s="92">
        <v>147.02000000000001</v>
      </c>
      <c r="L255" s="15">
        <v>146.98180129468057</v>
      </c>
      <c r="N255" s="15">
        <v>146.98180129468057</v>
      </c>
      <c r="O255" s="15">
        <v>3.8198705319445025E-2</v>
      </c>
    </row>
    <row r="256" spans="1:23" x14ac:dyDescent="0.55000000000000004">
      <c r="F256" s="49">
        <v>45017</v>
      </c>
      <c r="G256" s="92">
        <v>148.88</v>
      </c>
      <c r="L256" s="15">
        <v>147.50047154084305</v>
      </c>
      <c r="N256" s="15">
        <v>147.50047154084305</v>
      </c>
      <c r="O256" s="15">
        <v>1.3795284591569441</v>
      </c>
    </row>
    <row r="257" spans="1:15" s="15" customFormat="1" x14ac:dyDescent="0.55000000000000004">
      <c r="A257" s="17"/>
      <c r="B257"/>
      <c r="C257"/>
      <c r="D257"/>
      <c r="E257"/>
      <c r="F257" s="49">
        <v>45047</v>
      </c>
      <c r="G257" s="92">
        <v>146.16</v>
      </c>
      <c r="H257"/>
      <c r="I257"/>
      <c r="J257"/>
      <c r="K257"/>
      <c r="L257" s="15">
        <v>147.36330046114873</v>
      </c>
      <c r="N257" s="15">
        <v>147.36330046114873</v>
      </c>
      <c r="O257" s="15">
        <v>-1.2033004611487286</v>
      </c>
    </row>
    <row r="258" spans="1:15" s="15" customFormat="1" x14ac:dyDescent="0.55000000000000004">
      <c r="A258" s="17"/>
      <c r="B258"/>
      <c r="C258"/>
      <c r="D258"/>
      <c r="E258"/>
      <c r="F258" s="49">
        <v>45078</v>
      </c>
      <c r="G258" s="92">
        <v>146.55000000000001</v>
      </c>
      <c r="H258"/>
      <c r="I258"/>
      <c r="J258"/>
      <c r="K258"/>
      <c r="L258" s="15">
        <v>146.90593474636822</v>
      </c>
      <c r="N258" s="15">
        <v>146.90593474636822</v>
      </c>
      <c r="O258" s="15">
        <v>-0.35593474636820588</v>
      </c>
    </row>
    <row r="259" spans="1:15" s="15" customFormat="1" x14ac:dyDescent="0.55000000000000004">
      <c r="A259" s="17"/>
      <c r="B259"/>
      <c r="C259"/>
      <c r="D259"/>
      <c r="E259"/>
      <c r="F259" s="49">
        <v>45108</v>
      </c>
      <c r="G259" s="92">
        <v>146.97999999999999</v>
      </c>
      <c r="H259"/>
      <c r="I259"/>
      <c r="J259"/>
      <c r="K259"/>
      <c r="L259" s="15">
        <v>146.47317120959536</v>
      </c>
      <c r="N259" s="15">
        <v>146.47317120959536</v>
      </c>
      <c r="O259" s="15">
        <v>0.50682879040462581</v>
      </c>
    </row>
    <row r="260" spans="1:15" s="15" customFormat="1" x14ac:dyDescent="0.55000000000000004">
      <c r="A260" s="17"/>
      <c r="B260"/>
      <c r="C260"/>
      <c r="D260"/>
      <c r="E260"/>
      <c r="F260" s="49">
        <v>45139</v>
      </c>
      <c r="G260" s="92">
        <v>146.13999999999999</v>
      </c>
      <c r="H260"/>
      <c r="I260"/>
      <c r="J260"/>
      <c r="K260"/>
      <c r="L260" s="15">
        <v>146.23459492519865</v>
      </c>
      <c r="N260" s="15">
        <v>146.23459492519865</v>
      </c>
      <c r="O260" s="15">
        <v>-9.4594925198663304E-2</v>
      </c>
    </row>
    <row r="261" spans="1:15" s="15" customFormat="1" x14ac:dyDescent="0.55000000000000004">
      <c r="A261" s="17"/>
      <c r="B261"/>
      <c r="C261"/>
      <c r="D261"/>
      <c r="E261"/>
      <c r="F261" s="49">
        <v>45170</v>
      </c>
      <c r="G261" s="92">
        <v>146.19</v>
      </c>
      <c r="H261"/>
      <c r="I261"/>
      <c r="J261"/>
      <c r="K261"/>
      <c r="L261" s="15">
        <v>146.23971642292062</v>
      </c>
      <c r="N261" s="15">
        <v>146.23971642292062</v>
      </c>
      <c r="O261" s="15">
        <v>-4.9716422920624836E-2</v>
      </c>
    </row>
    <row r="262" spans="1:15" s="15" customFormat="1" x14ac:dyDescent="0.55000000000000004">
      <c r="A262" s="17"/>
      <c r="B262"/>
      <c r="C262"/>
      <c r="D262"/>
      <c r="E262"/>
      <c r="F262" s="49">
        <v>45200</v>
      </c>
      <c r="G262" s="92">
        <v>146.26</v>
      </c>
      <c r="H262"/>
      <c r="I262"/>
      <c r="J262"/>
      <c r="K262"/>
      <c r="L262" s="15">
        <v>146.46945306663562</v>
      </c>
      <c r="N262" s="15">
        <v>146.46945306663562</v>
      </c>
      <c r="O262" s="15">
        <v>-0.20945306663563201</v>
      </c>
    </row>
    <row r="263" spans="1:15" s="15" customFormat="1" x14ac:dyDescent="0.55000000000000004">
      <c r="A263" s="17"/>
      <c r="B263"/>
      <c r="C263"/>
      <c r="D263"/>
      <c r="E263"/>
      <c r="F263" s="49">
        <v>45231</v>
      </c>
      <c r="G263" s="92">
        <v>146.41</v>
      </c>
      <c r="H263"/>
      <c r="I263"/>
      <c r="J263"/>
      <c r="K263"/>
      <c r="L263" s="15">
        <v>146.85337567965601</v>
      </c>
      <c r="N263" s="15">
        <v>146.85337567965601</v>
      </c>
      <c r="O263" s="15">
        <v>-0.44337567965601465</v>
      </c>
    </row>
    <row r="264" spans="1:15" s="15" customFormat="1" x14ac:dyDescent="0.55000000000000004">
      <c r="A264" s="17"/>
      <c r="B264"/>
      <c r="C264"/>
      <c r="D264"/>
      <c r="E264"/>
      <c r="F264" s="49">
        <v>45261</v>
      </c>
      <c r="G264" s="92">
        <v>147.61000000000001</v>
      </c>
      <c r="H264"/>
      <c r="I264"/>
      <c r="J264"/>
      <c r="K264"/>
      <c r="L264" s="15">
        <v>147.36500626701113</v>
      </c>
      <c r="N264" s="15">
        <v>147.36500626701113</v>
      </c>
      <c r="O264" s="15">
        <v>0.24499373298888827</v>
      </c>
    </row>
    <row r="265" spans="1:15" s="15" customFormat="1" x14ac:dyDescent="0.55000000000000004">
      <c r="A265" s="17"/>
      <c r="B265"/>
      <c r="C265"/>
      <c r="D265"/>
      <c r="E265"/>
      <c r="F265" s="49">
        <v>45292</v>
      </c>
      <c r="G265" s="92">
        <v>148.5</v>
      </c>
      <c r="H265"/>
      <c r="I265"/>
      <c r="J265"/>
      <c r="K265"/>
      <c r="L265" s="15">
        <v>148.01419433329414</v>
      </c>
      <c r="N265" s="15">
        <v>148.01419433329414</v>
      </c>
      <c r="O265" s="15">
        <v>0.48580566670585767</v>
      </c>
    </row>
  </sheetData>
  <mergeCells count="2">
    <mergeCell ref="A4:I4"/>
    <mergeCell ref="D16:D17"/>
  </mergeCells>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6892-36CA-42BA-A44D-30736C5694E4}">
  <sheetPr codeName="Planilha102">
    <tabColor theme="9" tint="0.59999389629810485"/>
  </sheetPr>
  <dimension ref="A1:K268"/>
  <sheetViews>
    <sheetView showGridLines="0" zoomScaleNormal="100" workbookViewId="0">
      <selection activeCell="B7" sqref="B7"/>
    </sheetView>
  </sheetViews>
  <sheetFormatPr defaultColWidth="8.796875" defaultRowHeight="18" x14ac:dyDescent="0.55000000000000004"/>
  <cols>
    <col min="1" max="1" width="19.33203125" style="17" customWidth="1"/>
    <col min="2" max="2" width="54.33203125" customWidth="1"/>
    <col min="4" max="4" width="44.33203125" bestFit="1" customWidth="1"/>
    <col min="5" max="5" width="4.6640625" customWidth="1"/>
    <col min="6" max="6" width="12.33203125" bestFit="1" customWidth="1"/>
    <col min="7" max="8" width="18.33203125" customWidth="1"/>
    <col min="9" max="9" width="4.33203125" customWidth="1"/>
    <col min="10" max="10" width="12.1328125" style="15" customWidth="1"/>
    <col min="11" max="11" width="9" style="15" customWidth="1"/>
  </cols>
  <sheetData>
    <row r="1" spans="1:11" x14ac:dyDescent="0.55000000000000004">
      <c r="A1" s="83" t="s">
        <v>1182</v>
      </c>
      <c r="J1" s="14"/>
      <c r="K1" s="14"/>
    </row>
    <row r="2" spans="1:11" x14ac:dyDescent="0.55000000000000004">
      <c r="A2" s="17" t="s">
        <v>1183</v>
      </c>
      <c r="J2" s="14"/>
      <c r="K2" s="14"/>
    </row>
    <row r="3" spans="1:11" x14ac:dyDescent="0.55000000000000004">
      <c r="J3" s="14"/>
      <c r="K3" s="14"/>
    </row>
    <row r="4" spans="1:11" ht="59.25" customHeight="1" x14ac:dyDescent="0.45">
      <c r="A4" s="172" t="s">
        <v>1179</v>
      </c>
      <c r="B4" s="172"/>
      <c r="C4" s="172"/>
      <c r="D4" s="172"/>
      <c r="E4" s="172"/>
      <c r="F4" s="172"/>
      <c r="G4" s="126"/>
      <c r="H4" s="126"/>
      <c r="J4" s="14"/>
      <c r="K4" s="14"/>
    </row>
    <row r="6" spans="1:11" ht="15.75" x14ac:dyDescent="0.5">
      <c r="A6" s="2" t="s">
        <v>15</v>
      </c>
      <c r="B6" s="2" t="s">
        <v>16</v>
      </c>
    </row>
    <row r="7" spans="1:11" ht="31.5" x14ac:dyDescent="0.5">
      <c r="A7" s="23" t="s">
        <v>1186</v>
      </c>
      <c r="B7" s="24" t="s">
        <v>1191</v>
      </c>
    </row>
    <row r="8" spans="1:11" ht="47.25" x14ac:dyDescent="0.5">
      <c r="A8" s="23" t="s">
        <v>1184</v>
      </c>
      <c r="B8" s="24" t="s">
        <v>1185</v>
      </c>
    </row>
    <row r="9" spans="1:11" ht="15.75" x14ac:dyDescent="0.5">
      <c r="A9" s="23" t="s">
        <v>1187</v>
      </c>
      <c r="B9" s="24" t="s">
        <v>1188</v>
      </c>
    </row>
    <row r="10" spans="1:11" ht="15.75" x14ac:dyDescent="0.5">
      <c r="A10" s="23"/>
      <c r="B10" s="24"/>
    </row>
    <row r="11" spans="1:11" x14ac:dyDescent="0.55000000000000004">
      <c r="F11" s="13" t="s">
        <v>1186</v>
      </c>
      <c r="G11" s="13" t="s">
        <v>1184</v>
      </c>
      <c r="H11" s="13" t="s">
        <v>1187</v>
      </c>
      <c r="J11" s="58" t="s">
        <v>192</v>
      </c>
    </row>
    <row r="12" spans="1:11" x14ac:dyDescent="0.55000000000000004">
      <c r="F12" s="140">
        <v>5</v>
      </c>
      <c r="G12" s="140" t="b">
        <v>1</v>
      </c>
      <c r="H12" s="140">
        <v>3</v>
      </c>
      <c r="J12" s="58" cm="1">
        <f t="array" ref="J12:J14">_xlfn.LAMBDA(_xlpm.nTerms,_xlop.asymmetric,_xlop.nWeights, _xlfn.LET(_xlpm.asymmetric, IF(OR(_xlfn.ISOMITTED(_xlpm.asymmetric), ISBLANK(_xlpm.asymmetric)), FALSE, _xlpm.asymmetric), _xlpm.nWeights, IF(OR(_xlfn.ISOMITTED(_xlpm.nWeights), ISBLANK(_xlpm.nWeights)), _xlpm.nTerms - 1, _xlpm.nWeights), _xlpm.symmetricWeights, _xlfn.LAMBDA(_xlpm.N, _xlfn.LET(_xlpm.m, INT((_xlpm.N - 1) / 2), _xlpm.m_1, (_xlpm.m + 1) * (_xlpm.m + 1), _xlpm.m_2, (_xlpm.m + 2) * (_xlpm.m + 2), _xlpm.m_3, (_xlpm.m + 3) * (_xlpm.m + 3), _xlpm.d, 8 * (_xlpm.m + 2) * (_xlpm.m_2 - 1) * (4 * _xlpm.m_2 - 1) * (4 * _xlpm.m_2 - 9) * (4 * _xlpm.m_2 - 25), _xlpm.wFinal, _xlfn.REDUCE(ZEROS(_xlpm.N, 1), _xlfn.SEQUENCE(_xlpm.m + 1, 1, 0), _xlfn.LAMBDA(_xlpm.accum,_xlpm.j, _xlfn.LET(_xlpm.j_2, _xlpm.j * _xlpm.j, _xlpm.v, (315 * (_xlpm.m_1 - _xlpm.j_2) * (_xlpm.m_2 - _xlpm.j_2) * (_xlpm.m_3 - _xlpm.j_2) * (3 * _xlpm.m_2 - 11 * _xlpm.j_2 - 16)) / _xlpm.d, _xlpm.w, SLICE(_xlpm.accum, _xlpm.m + 1 + _xlpm.j, _xlpm.m + 1 + _xlpm.j, 1, 1, _xlpm.v), IF(_xlpm.j &gt; 0, SLICE(_xlpm.w, _xlpm.m + 1 - _xlpm.j, _xlpm.m + 1 - _xlpm.j, 1, 1, _xlpm.v), _xlpm.w)))), _xlpm.wFinal)), _xlpm.asymmetricWeights, _xlfn.LAMBDA(_xlpm.N,_xlpm.mw,_xlpm.w, _xlfn.LET(_xlpm.sumResidual, SUM(INDEX(_xlpm.w, _xlfn.SEQUENCE(_xlpm.N - _xlpm.mw - 1 + 1, 1, _xlpm.mw + 1))), _xlpm.sumEnd, _xlfn.REDUCE(0, _xlfn.SEQUENCE(_xlpm.N - _xlpm.mw - 1 + 1, 1, _xlpm.mw + 1), _xlfn.LAMBDA(_xlpm.accum,_xlpm.i, _xlpm.accum + ((_xlpm.i) - ((_xlpm.mw + 1) / 2)) * INDEX(_xlpm.w, _xlpm.i))), _xlpm.ic, IF(AND(_xlpm.N &gt;= 13, _xlpm.N &lt; 15), 3.5, IF(_xlpm.N &gt;= 15, 4.5, 1)), _xlpm.b2s2, (4 / PI()) / (_xlpm.ic * _xlpm.ic), _xlpm.f_1, _xlpm.sumResidual / _xlpm.mw, _xlpm.u, _xlfn.SCAN(0, _xlfn.SEQUENCE(_xlpm.mw, 1, 1), _xlfn.LAMBDA(_xlpm.accum,_xlpm.r, _xlfn.LET(_xlpm.calc_1, (_xlpm.r - (_xlpm.mw + 1) / 2) * _xlpm.b2s2, _xlpm.calc_2, 1 + (_xlpm.mw * (_xlpm.mw - 1) * (_xlpm.mw + 1) / 12) * _xlpm.b2s2, INDEX(_xlpm.w, _xlpm.r) + _xlpm.f_1 + (_xlpm.calc_1 / _xlpm.calc_2) * _xlpm.sumEnd))), _xlpm.u)), _xlpm.w, _xlpm.symmetricWeights(_xlpm.nTerms), IF(_xlpm.asymmetric = FALSE, _xlpm.w, _xlpm.asymmetricWeights(_xlpm.nTerms, _xlpm.nWeights, _xlpm.w))))($F$12, $G$12, $H$12)</f>
        <v>-0.13180624298432878</v>
      </c>
      <c r="K12" s="53"/>
    </row>
    <row r="13" spans="1:11" x14ac:dyDescent="0.55000000000000004">
      <c r="J13" s="58">
        <v>0.36713286713286714</v>
      </c>
      <c r="K13" s="53"/>
    </row>
    <row r="14" spans="1:11" x14ac:dyDescent="0.55000000000000004">
      <c r="J14" s="58">
        <v>0.76467337585146167</v>
      </c>
      <c r="K14" s="53"/>
    </row>
    <row r="15" spans="1:11" ht="18.75" customHeight="1" x14ac:dyDescent="0.55000000000000004">
      <c r="D15" s="173"/>
      <c r="J15" s="58"/>
      <c r="K15" s="53"/>
    </row>
    <row r="16" spans="1:11" x14ac:dyDescent="0.55000000000000004">
      <c r="D16" s="173"/>
      <c r="J16" s="58"/>
      <c r="K16" s="53"/>
    </row>
    <row r="17" spans="1:11" x14ac:dyDescent="0.55000000000000004">
      <c r="D17" s="46"/>
      <c r="J17" s="58"/>
      <c r="K17" s="53"/>
    </row>
    <row r="18" spans="1:11" x14ac:dyDescent="0.55000000000000004">
      <c r="J18" s="58"/>
      <c r="K18" s="53"/>
    </row>
    <row r="19" spans="1:11" x14ac:dyDescent="0.55000000000000004">
      <c r="J19" s="58"/>
      <c r="K19" s="53"/>
    </row>
    <row r="20" spans="1:11" x14ac:dyDescent="0.55000000000000004">
      <c r="J20" s="58"/>
      <c r="K20" s="53"/>
    </row>
    <row r="21" spans="1:11" s="21" customFormat="1" x14ac:dyDescent="0.55000000000000004">
      <c r="A21" s="17"/>
      <c r="B21"/>
      <c r="C21"/>
      <c r="D21"/>
      <c r="E21"/>
      <c r="F21"/>
      <c r="G21"/>
      <c r="H21"/>
      <c r="I21"/>
      <c r="J21" s="58"/>
      <c r="K21" s="53"/>
    </row>
    <row r="22" spans="1:11" s="21" customFormat="1" x14ac:dyDescent="0.55000000000000004">
      <c r="A22" s="17"/>
      <c r="B22"/>
      <c r="C22"/>
      <c r="D22"/>
      <c r="E22"/>
      <c r="F22"/>
      <c r="G22"/>
      <c r="H22"/>
      <c r="I22"/>
      <c r="J22" s="58"/>
      <c r="K22" s="53"/>
    </row>
    <row r="23" spans="1:11" s="21" customFormat="1" x14ac:dyDescent="0.55000000000000004">
      <c r="A23" s="17"/>
      <c r="B23"/>
      <c r="C23"/>
      <c r="D23"/>
      <c r="E23"/>
      <c r="F23" s="13" t="s">
        <v>1186</v>
      </c>
      <c r="G23" s="13" t="s">
        <v>1184</v>
      </c>
      <c r="H23" s="13" t="s">
        <v>1187</v>
      </c>
      <c r="I23"/>
      <c r="J23" s="58" t="s">
        <v>192</v>
      </c>
      <c r="K23" s="53"/>
    </row>
    <row r="24" spans="1:11" s="21" customFormat="1" x14ac:dyDescent="0.55000000000000004">
      <c r="A24" s="17"/>
      <c r="B24"/>
      <c r="C24"/>
      <c r="D24"/>
      <c r="E24"/>
      <c r="F24" s="140">
        <v>5</v>
      </c>
      <c r="G24" s="140" t="b">
        <v>1</v>
      </c>
      <c r="H24" s="140">
        <v>3</v>
      </c>
      <c r="I24"/>
      <c r="J24" s="58" cm="1">
        <f t="array" ref="J24:J26">HENDFILTER_WEIGHTS($F$24, $G$24, $H$24)</f>
        <v>-0.13180624298432878</v>
      </c>
      <c r="K24" s="53"/>
    </row>
    <row r="25" spans="1:11" s="21" customFormat="1" x14ac:dyDescent="0.55000000000000004">
      <c r="A25" s="17"/>
      <c r="B25"/>
      <c r="C25"/>
      <c r="D25"/>
      <c r="E25"/>
      <c r="F25"/>
      <c r="G25"/>
      <c r="H25"/>
      <c r="I25"/>
      <c r="J25" s="58">
        <v>0.36713286713286714</v>
      </c>
      <c r="K25" s="53"/>
    </row>
    <row r="26" spans="1:11" s="21" customFormat="1" x14ac:dyDescent="0.55000000000000004">
      <c r="A26" s="17"/>
      <c r="B26"/>
      <c r="C26"/>
      <c r="D26"/>
      <c r="E26"/>
      <c r="F26"/>
      <c r="G26"/>
      <c r="H26"/>
      <c r="I26"/>
      <c r="J26" s="58">
        <v>0.76467337585146167</v>
      </c>
      <c r="K26" s="53"/>
    </row>
    <row r="27" spans="1:11" s="21" customFormat="1" x14ac:dyDescent="0.55000000000000004">
      <c r="A27" s="17"/>
      <c r="B27"/>
      <c r="C27"/>
      <c r="D27"/>
      <c r="E27"/>
      <c r="F27"/>
      <c r="G27"/>
      <c r="H27"/>
      <c r="I27"/>
      <c r="J27" s="58"/>
      <c r="K27" s="53"/>
    </row>
    <row r="28" spans="1:11" s="21" customFormat="1" x14ac:dyDescent="0.55000000000000004">
      <c r="A28" s="17"/>
      <c r="B28"/>
      <c r="C28"/>
      <c r="D28"/>
      <c r="E28"/>
      <c r="F28"/>
      <c r="G28"/>
      <c r="H28"/>
      <c r="I28"/>
      <c r="J28" s="58"/>
      <c r="K28" s="53"/>
    </row>
    <row r="29" spans="1:11" s="21" customFormat="1" x14ac:dyDescent="0.55000000000000004">
      <c r="A29" s="17"/>
      <c r="B29"/>
      <c r="C29"/>
      <c r="D29"/>
      <c r="E29"/>
      <c r="F29"/>
      <c r="G29"/>
      <c r="H29"/>
      <c r="I29"/>
      <c r="J29" s="58"/>
      <c r="K29" s="53"/>
    </row>
    <row r="30" spans="1:11" s="21" customFormat="1" x14ac:dyDescent="0.55000000000000004">
      <c r="A30" s="17"/>
      <c r="B30"/>
      <c r="C30"/>
      <c r="D30"/>
      <c r="E30"/>
      <c r="F30"/>
      <c r="G30"/>
      <c r="H30"/>
      <c r="I30"/>
      <c r="J30" s="58"/>
      <c r="K30" s="53"/>
    </row>
    <row r="31" spans="1:11" s="21" customFormat="1" x14ac:dyDescent="0.55000000000000004">
      <c r="A31" s="17"/>
      <c r="B31"/>
      <c r="C31"/>
      <c r="D31"/>
      <c r="E31"/>
      <c r="F31"/>
      <c r="G31"/>
      <c r="H31"/>
      <c r="I31"/>
      <c r="J31" s="58"/>
      <c r="K31" s="53"/>
    </row>
    <row r="32" spans="1:11" s="21" customFormat="1" x14ac:dyDescent="0.55000000000000004">
      <c r="A32" s="17"/>
      <c r="B32"/>
      <c r="C32"/>
      <c r="D32"/>
      <c r="E32"/>
      <c r="F32"/>
      <c r="G32"/>
      <c r="H32"/>
      <c r="I32"/>
      <c r="J32" s="58"/>
      <c r="K32" s="53"/>
    </row>
    <row r="33" spans="1:11" s="21" customFormat="1" x14ac:dyDescent="0.55000000000000004">
      <c r="A33" s="17"/>
      <c r="B33"/>
      <c r="C33"/>
      <c r="D33"/>
      <c r="E33"/>
      <c r="F33"/>
      <c r="G33"/>
      <c r="H33"/>
      <c r="I33"/>
      <c r="J33" s="58"/>
      <c r="K33" s="53"/>
    </row>
    <row r="34" spans="1:11" s="21" customFormat="1" x14ac:dyDescent="0.55000000000000004">
      <c r="A34" s="17"/>
      <c r="B34"/>
      <c r="C34"/>
      <c r="D34"/>
      <c r="E34"/>
      <c r="F34"/>
      <c r="G34"/>
      <c r="H34"/>
      <c r="I34"/>
      <c r="J34" s="58"/>
      <c r="K34" s="53"/>
    </row>
    <row r="35" spans="1:11" s="21" customFormat="1" x14ac:dyDescent="0.55000000000000004">
      <c r="A35" s="17"/>
      <c r="B35"/>
      <c r="C35"/>
      <c r="D35"/>
      <c r="E35"/>
      <c r="F35"/>
      <c r="G35"/>
      <c r="H35"/>
      <c r="I35"/>
      <c r="J35" s="58"/>
      <c r="K35" s="53"/>
    </row>
    <row r="36" spans="1:11" s="21" customFormat="1" x14ac:dyDescent="0.55000000000000004">
      <c r="A36" s="17"/>
      <c r="B36"/>
      <c r="C36"/>
      <c r="D36"/>
      <c r="E36"/>
      <c r="F36"/>
      <c r="G36"/>
      <c r="H36"/>
      <c r="I36"/>
      <c r="J36" s="58"/>
      <c r="K36" s="53"/>
    </row>
    <row r="37" spans="1:11" s="21" customFormat="1" x14ac:dyDescent="0.55000000000000004">
      <c r="A37" s="17"/>
      <c r="B37"/>
      <c r="C37"/>
      <c r="D37"/>
      <c r="E37"/>
      <c r="F37"/>
      <c r="G37"/>
      <c r="H37"/>
      <c r="I37"/>
      <c r="J37" s="58"/>
      <c r="K37" s="53"/>
    </row>
    <row r="38" spans="1:11" s="21" customFormat="1" x14ac:dyDescent="0.55000000000000004">
      <c r="A38" s="17"/>
      <c r="B38"/>
      <c r="C38"/>
      <c r="D38"/>
      <c r="E38"/>
      <c r="F38"/>
      <c r="G38"/>
      <c r="H38"/>
      <c r="I38"/>
      <c r="J38" s="58"/>
      <c r="K38" s="53"/>
    </row>
    <row r="39" spans="1:11" s="21" customFormat="1" x14ac:dyDescent="0.55000000000000004">
      <c r="A39" s="17"/>
      <c r="B39"/>
      <c r="C39"/>
      <c r="D39"/>
      <c r="E39"/>
      <c r="F39"/>
      <c r="G39"/>
      <c r="H39"/>
      <c r="I39"/>
      <c r="J39" s="58"/>
      <c r="K39" s="53"/>
    </row>
    <row r="40" spans="1:11" s="21" customFormat="1" x14ac:dyDescent="0.55000000000000004">
      <c r="A40" s="17"/>
      <c r="B40"/>
      <c r="C40"/>
      <c r="D40"/>
      <c r="E40"/>
      <c r="F40"/>
      <c r="G40"/>
      <c r="H40"/>
      <c r="I40"/>
      <c r="J40" s="58"/>
      <c r="K40" s="53"/>
    </row>
    <row r="41" spans="1:11" s="21" customFormat="1" x14ac:dyDescent="0.55000000000000004">
      <c r="A41" s="17"/>
      <c r="B41"/>
      <c r="C41"/>
      <c r="D41"/>
      <c r="E41"/>
      <c r="F41"/>
      <c r="G41"/>
      <c r="H41"/>
      <c r="I41"/>
      <c r="J41" s="58"/>
      <c r="K41" s="53"/>
    </row>
    <row r="42" spans="1:11" s="21" customFormat="1" x14ac:dyDescent="0.55000000000000004">
      <c r="A42" s="17"/>
      <c r="B42"/>
      <c r="C42"/>
      <c r="D42"/>
      <c r="E42"/>
      <c r="F42"/>
      <c r="G42"/>
      <c r="H42"/>
      <c r="I42"/>
      <c r="J42" s="58"/>
      <c r="K42" s="53"/>
    </row>
    <row r="43" spans="1:11" s="21" customFormat="1" x14ac:dyDescent="0.55000000000000004">
      <c r="A43" s="17"/>
      <c r="B43"/>
      <c r="C43"/>
      <c r="D43"/>
      <c r="E43"/>
      <c r="F43"/>
      <c r="G43"/>
      <c r="H43"/>
      <c r="I43"/>
      <c r="J43" s="58"/>
      <c r="K43" s="53"/>
    </row>
    <row r="44" spans="1:11" s="21" customFormat="1" x14ac:dyDescent="0.55000000000000004">
      <c r="A44" s="17"/>
      <c r="B44"/>
      <c r="C44"/>
      <c r="D44"/>
      <c r="E44"/>
      <c r="F44"/>
      <c r="G44"/>
      <c r="H44"/>
      <c r="I44"/>
      <c r="J44" s="58"/>
      <c r="K44" s="53"/>
    </row>
    <row r="45" spans="1:11" s="21" customFormat="1" x14ac:dyDescent="0.55000000000000004">
      <c r="A45" s="17"/>
      <c r="B45"/>
      <c r="C45"/>
      <c r="D45"/>
      <c r="E45"/>
      <c r="F45"/>
      <c r="G45"/>
      <c r="H45"/>
      <c r="I45"/>
      <c r="J45" s="58"/>
      <c r="K45" s="53"/>
    </row>
    <row r="46" spans="1:11" s="21" customFormat="1" x14ac:dyDescent="0.55000000000000004">
      <c r="A46" s="17"/>
      <c r="B46"/>
      <c r="C46"/>
      <c r="D46"/>
      <c r="E46"/>
      <c r="F46"/>
      <c r="G46"/>
      <c r="H46"/>
      <c r="I46"/>
      <c r="J46" s="58"/>
      <c r="K46" s="53"/>
    </row>
    <row r="47" spans="1:11" s="21" customFormat="1" x14ac:dyDescent="0.55000000000000004">
      <c r="A47" s="17"/>
      <c r="B47"/>
      <c r="C47"/>
      <c r="D47"/>
      <c r="E47"/>
      <c r="F47"/>
      <c r="G47"/>
      <c r="H47"/>
      <c r="I47"/>
      <c r="J47" s="58"/>
      <c r="K47" s="53"/>
    </row>
    <row r="48" spans="1:11" s="21" customFormat="1" x14ac:dyDescent="0.55000000000000004">
      <c r="A48" s="17"/>
      <c r="B48"/>
      <c r="C48"/>
      <c r="D48"/>
      <c r="E48"/>
      <c r="F48"/>
      <c r="G48"/>
      <c r="H48"/>
      <c r="I48"/>
      <c r="J48" s="58"/>
      <c r="K48" s="53"/>
    </row>
    <row r="49" spans="1:11" s="21" customFormat="1" x14ac:dyDescent="0.55000000000000004">
      <c r="A49" s="17"/>
      <c r="B49"/>
      <c r="C49"/>
      <c r="D49"/>
      <c r="E49"/>
      <c r="F49"/>
      <c r="G49"/>
      <c r="H49"/>
      <c r="I49"/>
      <c r="J49" s="58"/>
      <c r="K49" s="53"/>
    </row>
    <row r="50" spans="1:11" s="21" customFormat="1" x14ac:dyDescent="0.55000000000000004">
      <c r="A50" s="17"/>
      <c r="B50"/>
      <c r="C50"/>
      <c r="D50"/>
      <c r="E50"/>
      <c r="F50"/>
      <c r="G50"/>
      <c r="H50"/>
      <c r="I50"/>
      <c r="J50" s="58"/>
      <c r="K50" s="53"/>
    </row>
    <row r="51" spans="1:11" s="21" customFormat="1" x14ac:dyDescent="0.55000000000000004">
      <c r="A51" s="17"/>
      <c r="B51"/>
      <c r="C51"/>
      <c r="D51"/>
      <c r="E51"/>
      <c r="F51"/>
      <c r="G51"/>
      <c r="H51"/>
      <c r="I51"/>
      <c r="J51" s="58"/>
      <c r="K51" s="53"/>
    </row>
    <row r="52" spans="1:11" s="21" customFormat="1" x14ac:dyDescent="0.55000000000000004">
      <c r="A52" s="17"/>
      <c r="B52"/>
      <c r="C52"/>
      <c r="D52"/>
      <c r="E52"/>
      <c r="F52"/>
      <c r="G52"/>
      <c r="H52"/>
      <c r="I52"/>
      <c r="J52" s="58"/>
      <c r="K52" s="53"/>
    </row>
    <row r="53" spans="1:11" s="21" customFormat="1" x14ac:dyDescent="0.55000000000000004">
      <c r="A53" s="17"/>
      <c r="B53"/>
      <c r="C53"/>
      <c r="D53"/>
      <c r="E53"/>
      <c r="F53"/>
      <c r="G53"/>
      <c r="H53"/>
      <c r="I53"/>
      <c r="J53" s="58"/>
      <c r="K53" s="53"/>
    </row>
    <row r="54" spans="1:11" s="21" customFormat="1" x14ac:dyDescent="0.55000000000000004">
      <c r="A54" s="17"/>
      <c r="B54"/>
      <c r="C54"/>
      <c r="D54"/>
      <c r="E54"/>
      <c r="F54"/>
      <c r="G54"/>
      <c r="H54"/>
      <c r="I54"/>
      <c r="J54" s="58"/>
      <c r="K54" s="53"/>
    </row>
    <row r="55" spans="1:11" s="21" customFormat="1" x14ac:dyDescent="0.55000000000000004">
      <c r="A55" s="17"/>
      <c r="B55"/>
      <c r="C55"/>
      <c r="D55"/>
      <c r="E55"/>
      <c r="F55"/>
      <c r="G55"/>
      <c r="H55"/>
      <c r="I55"/>
      <c r="J55" s="58"/>
      <c r="K55" s="53"/>
    </row>
    <row r="56" spans="1:11" s="21" customFormat="1" x14ac:dyDescent="0.55000000000000004">
      <c r="A56" s="17"/>
      <c r="B56"/>
      <c r="C56"/>
      <c r="D56"/>
      <c r="E56"/>
      <c r="F56"/>
      <c r="G56"/>
      <c r="H56"/>
      <c r="I56"/>
      <c r="J56" s="58"/>
      <c r="K56" s="53"/>
    </row>
    <row r="57" spans="1:11" s="21" customFormat="1" x14ac:dyDescent="0.55000000000000004">
      <c r="A57" s="17"/>
      <c r="B57"/>
      <c r="C57"/>
      <c r="D57"/>
      <c r="E57"/>
      <c r="F57"/>
      <c r="G57"/>
      <c r="H57"/>
      <c r="I57"/>
      <c r="J57" s="58"/>
      <c r="K57" s="53"/>
    </row>
    <row r="58" spans="1:11" s="21" customFormat="1" x14ac:dyDescent="0.55000000000000004">
      <c r="A58" s="17"/>
      <c r="B58"/>
      <c r="C58"/>
      <c r="D58"/>
      <c r="E58"/>
      <c r="F58"/>
      <c r="G58"/>
      <c r="H58"/>
      <c r="I58"/>
      <c r="J58" s="58"/>
      <c r="K58" s="53"/>
    </row>
    <row r="59" spans="1:11" s="21" customFormat="1" x14ac:dyDescent="0.55000000000000004">
      <c r="A59" s="17"/>
      <c r="B59"/>
      <c r="C59"/>
      <c r="D59"/>
      <c r="E59"/>
      <c r="F59"/>
      <c r="G59"/>
      <c r="H59"/>
      <c r="I59"/>
      <c r="J59" s="58"/>
      <c r="K59" s="53"/>
    </row>
    <row r="60" spans="1:11" s="21" customFormat="1" x14ac:dyDescent="0.55000000000000004">
      <c r="A60" s="17"/>
      <c r="B60"/>
      <c r="C60"/>
      <c r="D60"/>
      <c r="E60"/>
      <c r="F60"/>
      <c r="G60"/>
      <c r="H60"/>
      <c r="I60"/>
      <c r="J60" s="58"/>
      <c r="K60" s="53"/>
    </row>
    <row r="61" spans="1:11" s="21" customFormat="1" x14ac:dyDescent="0.55000000000000004">
      <c r="A61" s="17"/>
      <c r="B61"/>
      <c r="C61"/>
      <c r="D61"/>
      <c r="E61"/>
      <c r="F61"/>
      <c r="G61"/>
      <c r="H61"/>
      <c r="I61"/>
      <c r="J61" s="58"/>
      <c r="K61" s="53"/>
    </row>
    <row r="62" spans="1:11" s="21" customFormat="1" x14ac:dyDescent="0.55000000000000004">
      <c r="A62" s="17"/>
      <c r="B62"/>
      <c r="C62"/>
      <c r="D62"/>
      <c r="E62"/>
      <c r="F62"/>
      <c r="G62"/>
      <c r="H62"/>
      <c r="I62"/>
      <c r="J62" s="58"/>
      <c r="K62" s="53"/>
    </row>
    <row r="63" spans="1:11" s="21" customFormat="1" x14ac:dyDescent="0.55000000000000004">
      <c r="A63" s="17"/>
      <c r="B63"/>
      <c r="C63"/>
      <c r="D63"/>
      <c r="E63"/>
      <c r="F63"/>
      <c r="G63"/>
      <c r="H63"/>
      <c r="I63"/>
      <c r="J63" s="58"/>
      <c r="K63" s="53"/>
    </row>
    <row r="64" spans="1:11" s="21" customFormat="1" x14ac:dyDescent="0.55000000000000004">
      <c r="A64" s="17"/>
      <c r="B64"/>
      <c r="C64"/>
      <c r="D64"/>
      <c r="E64"/>
      <c r="F64"/>
      <c r="G64"/>
      <c r="H64"/>
      <c r="I64"/>
      <c r="J64" s="58"/>
      <c r="K64" s="53"/>
    </row>
    <row r="65" spans="1:11" s="21" customFormat="1" x14ac:dyDescent="0.55000000000000004">
      <c r="A65" s="17"/>
      <c r="B65"/>
      <c r="C65"/>
      <c r="D65"/>
      <c r="E65"/>
      <c r="F65"/>
      <c r="G65"/>
      <c r="H65"/>
      <c r="I65"/>
      <c r="J65" s="58"/>
      <c r="K65" s="53"/>
    </row>
    <row r="66" spans="1:11" s="21" customFormat="1" x14ac:dyDescent="0.55000000000000004">
      <c r="A66" s="17"/>
      <c r="B66"/>
      <c r="C66"/>
      <c r="D66"/>
      <c r="E66"/>
      <c r="F66"/>
      <c r="G66"/>
      <c r="H66"/>
      <c r="I66"/>
      <c r="J66" s="58"/>
      <c r="K66" s="53"/>
    </row>
    <row r="67" spans="1:11" s="21" customFormat="1" x14ac:dyDescent="0.55000000000000004">
      <c r="A67" s="17"/>
      <c r="B67"/>
      <c r="C67"/>
      <c r="D67"/>
      <c r="E67"/>
      <c r="F67"/>
      <c r="G67"/>
      <c r="H67"/>
      <c r="I67"/>
      <c r="J67" s="58"/>
      <c r="K67" s="53"/>
    </row>
    <row r="68" spans="1:11" s="21" customFormat="1" x14ac:dyDescent="0.55000000000000004">
      <c r="A68" s="17"/>
      <c r="B68"/>
      <c r="C68"/>
      <c r="D68"/>
      <c r="E68"/>
      <c r="F68"/>
      <c r="G68"/>
      <c r="H68"/>
      <c r="I68"/>
      <c r="J68" s="58"/>
      <c r="K68" s="53"/>
    </row>
    <row r="69" spans="1:11" s="21" customFormat="1" x14ac:dyDescent="0.55000000000000004">
      <c r="A69" s="17"/>
      <c r="B69"/>
      <c r="C69"/>
      <c r="D69"/>
      <c r="E69"/>
      <c r="F69"/>
      <c r="G69"/>
      <c r="H69"/>
      <c r="I69"/>
      <c r="J69" s="58"/>
      <c r="K69" s="53"/>
    </row>
    <row r="70" spans="1:11" s="21" customFormat="1" x14ac:dyDescent="0.55000000000000004">
      <c r="A70" s="17"/>
      <c r="B70"/>
      <c r="C70"/>
      <c r="D70"/>
      <c r="E70"/>
      <c r="F70"/>
      <c r="G70"/>
      <c r="H70"/>
      <c r="I70"/>
      <c r="J70" s="58"/>
      <c r="K70" s="53"/>
    </row>
    <row r="71" spans="1:11" s="21" customFormat="1" x14ac:dyDescent="0.55000000000000004">
      <c r="A71" s="17"/>
      <c r="B71"/>
      <c r="C71"/>
      <c r="D71"/>
      <c r="E71"/>
      <c r="F71"/>
      <c r="G71"/>
      <c r="H71"/>
      <c r="I71"/>
      <c r="J71" s="58"/>
      <c r="K71" s="53"/>
    </row>
    <row r="72" spans="1:11" s="21" customFormat="1" x14ac:dyDescent="0.55000000000000004">
      <c r="A72" s="17"/>
      <c r="B72"/>
      <c r="C72"/>
      <c r="D72"/>
      <c r="E72"/>
      <c r="F72"/>
      <c r="G72"/>
      <c r="H72"/>
      <c r="I72"/>
      <c r="J72" s="58"/>
      <c r="K72" s="53"/>
    </row>
    <row r="73" spans="1:11" s="21" customFormat="1" x14ac:dyDescent="0.55000000000000004">
      <c r="A73" s="17"/>
      <c r="B73"/>
      <c r="C73"/>
      <c r="D73"/>
      <c r="E73"/>
      <c r="F73"/>
      <c r="G73"/>
      <c r="H73"/>
      <c r="I73"/>
      <c r="J73" s="58"/>
      <c r="K73" s="53"/>
    </row>
    <row r="74" spans="1:11" s="21" customFormat="1" x14ac:dyDescent="0.55000000000000004">
      <c r="A74" s="17"/>
      <c r="B74"/>
      <c r="C74"/>
      <c r="D74"/>
      <c r="E74"/>
      <c r="F74"/>
      <c r="G74"/>
      <c r="H74"/>
      <c r="I74"/>
      <c r="J74" s="58"/>
      <c r="K74" s="53"/>
    </row>
    <row r="75" spans="1:11" s="21" customFormat="1" x14ac:dyDescent="0.55000000000000004">
      <c r="A75" s="17"/>
      <c r="B75"/>
      <c r="C75"/>
      <c r="D75"/>
      <c r="E75"/>
      <c r="F75"/>
      <c r="G75"/>
      <c r="H75"/>
      <c r="I75"/>
      <c r="J75" s="58"/>
      <c r="K75" s="53"/>
    </row>
    <row r="76" spans="1:11" s="21" customFormat="1" x14ac:dyDescent="0.55000000000000004">
      <c r="A76" s="17"/>
      <c r="B76"/>
      <c r="C76"/>
      <c r="D76"/>
      <c r="E76"/>
      <c r="F76"/>
      <c r="G76"/>
      <c r="H76"/>
      <c r="I76"/>
      <c r="J76" s="58"/>
      <c r="K76" s="53"/>
    </row>
    <row r="77" spans="1:11" s="21" customFormat="1" x14ac:dyDescent="0.55000000000000004">
      <c r="A77" s="17"/>
      <c r="B77"/>
      <c r="C77"/>
      <c r="D77"/>
      <c r="E77"/>
      <c r="F77"/>
      <c r="G77"/>
      <c r="H77"/>
      <c r="I77"/>
      <c r="J77" s="58"/>
      <c r="K77" s="53"/>
    </row>
    <row r="78" spans="1:11" s="21" customFormat="1" x14ac:dyDescent="0.55000000000000004">
      <c r="A78" s="17"/>
      <c r="B78"/>
      <c r="C78"/>
      <c r="D78"/>
      <c r="E78"/>
      <c r="F78"/>
      <c r="G78"/>
      <c r="H78"/>
      <c r="I78"/>
      <c r="J78" s="58"/>
      <c r="K78" s="53"/>
    </row>
    <row r="79" spans="1:11" s="21" customFormat="1" x14ac:dyDescent="0.55000000000000004">
      <c r="A79" s="17"/>
      <c r="B79"/>
      <c r="C79"/>
      <c r="D79"/>
      <c r="E79"/>
      <c r="F79"/>
      <c r="G79"/>
      <c r="H79"/>
      <c r="I79"/>
      <c r="J79" s="58"/>
      <c r="K79" s="53"/>
    </row>
    <row r="80" spans="1:11" s="21" customFormat="1" x14ac:dyDescent="0.55000000000000004">
      <c r="A80" s="17"/>
      <c r="B80"/>
      <c r="C80"/>
      <c r="D80"/>
      <c r="E80"/>
      <c r="F80"/>
      <c r="G80"/>
      <c r="H80"/>
      <c r="I80"/>
      <c r="J80" s="58"/>
      <c r="K80" s="53"/>
    </row>
    <row r="81" spans="1:11" s="21" customFormat="1" x14ac:dyDescent="0.55000000000000004">
      <c r="A81" s="17"/>
      <c r="B81"/>
      <c r="C81"/>
      <c r="D81"/>
      <c r="E81"/>
      <c r="F81"/>
      <c r="G81"/>
      <c r="H81"/>
      <c r="I81"/>
      <c r="J81" s="58"/>
      <c r="K81" s="53"/>
    </row>
    <row r="82" spans="1:11" s="21" customFormat="1" x14ac:dyDescent="0.55000000000000004">
      <c r="A82" s="17"/>
      <c r="B82"/>
      <c r="C82"/>
      <c r="D82"/>
      <c r="E82"/>
      <c r="F82"/>
      <c r="G82"/>
      <c r="H82"/>
      <c r="I82"/>
      <c r="J82" s="58"/>
      <c r="K82" s="53"/>
    </row>
    <row r="83" spans="1:11" s="21" customFormat="1" x14ac:dyDescent="0.55000000000000004">
      <c r="A83" s="17"/>
      <c r="B83"/>
      <c r="C83"/>
      <c r="D83"/>
      <c r="E83"/>
      <c r="F83"/>
      <c r="G83"/>
      <c r="H83"/>
      <c r="I83"/>
      <c r="J83" s="58"/>
      <c r="K83" s="53"/>
    </row>
    <row r="84" spans="1:11" s="21" customFormat="1" x14ac:dyDescent="0.55000000000000004">
      <c r="A84" s="17"/>
      <c r="B84"/>
      <c r="C84"/>
      <c r="D84"/>
      <c r="E84"/>
      <c r="F84"/>
      <c r="G84"/>
      <c r="H84"/>
      <c r="I84"/>
      <c r="J84" s="58"/>
      <c r="K84" s="53"/>
    </row>
    <row r="85" spans="1:11" s="21" customFormat="1" x14ac:dyDescent="0.55000000000000004">
      <c r="A85" s="17"/>
      <c r="B85"/>
      <c r="C85"/>
      <c r="D85"/>
      <c r="E85"/>
      <c r="F85"/>
      <c r="G85"/>
      <c r="H85"/>
      <c r="I85"/>
      <c r="J85" s="58"/>
      <c r="K85" s="53"/>
    </row>
    <row r="86" spans="1:11" s="21" customFormat="1" x14ac:dyDescent="0.55000000000000004">
      <c r="A86" s="17"/>
      <c r="B86"/>
      <c r="C86"/>
      <c r="D86"/>
      <c r="E86"/>
      <c r="F86"/>
      <c r="G86"/>
      <c r="H86"/>
      <c r="I86"/>
      <c r="J86" s="58"/>
      <c r="K86" s="53"/>
    </row>
    <row r="87" spans="1:11" s="21" customFormat="1" x14ac:dyDescent="0.55000000000000004">
      <c r="A87" s="17"/>
      <c r="B87"/>
      <c r="C87"/>
      <c r="D87"/>
      <c r="E87"/>
      <c r="F87"/>
      <c r="G87"/>
      <c r="H87"/>
      <c r="I87"/>
      <c r="J87" s="58"/>
      <c r="K87" s="53"/>
    </row>
    <row r="88" spans="1:11" s="21" customFormat="1" x14ac:dyDescent="0.55000000000000004">
      <c r="A88" s="17"/>
      <c r="B88"/>
      <c r="C88"/>
      <c r="D88"/>
      <c r="E88"/>
      <c r="F88"/>
      <c r="G88"/>
      <c r="H88"/>
      <c r="I88"/>
      <c r="J88" s="58"/>
      <c r="K88" s="53"/>
    </row>
    <row r="89" spans="1:11" s="21" customFormat="1" x14ac:dyDescent="0.55000000000000004">
      <c r="A89" s="17"/>
      <c r="B89"/>
      <c r="C89"/>
      <c r="D89"/>
      <c r="E89"/>
      <c r="F89"/>
      <c r="G89"/>
      <c r="H89"/>
      <c r="I89"/>
      <c r="J89" s="58"/>
      <c r="K89" s="53"/>
    </row>
    <row r="90" spans="1:11" s="21" customFormat="1" x14ac:dyDescent="0.55000000000000004">
      <c r="A90" s="17"/>
      <c r="B90"/>
      <c r="C90"/>
      <c r="D90"/>
      <c r="E90"/>
      <c r="F90"/>
      <c r="G90"/>
      <c r="H90"/>
      <c r="I90"/>
      <c r="J90" s="58"/>
      <c r="K90" s="53"/>
    </row>
    <row r="91" spans="1:11" s="21" customFormat="1" x14ac:dyDescent="0.55000000000000004">
      <c r="A91" s="17"/>
      <c r="B91"/>
      <c r="C91"/>
      <c r="D91"/>
      <c r="E91"/>
      <c r="F91"/>
      <c r="G91"/>
      <c r="H91"/>
      <c r="I91"/>
      <c r="J91" s="58"/>
      <c r="K91" s="53"/>
    </row>
    <row r="92" spans="1:11" s="21" customFormat="1" x14ac:dyDescent="0.55000000000000004">
      <c r="A92" s="17"/>
      <c r="B92"/>
      <c r="C92"/>
      <c r="D92"/>
      <c r="E92"/>
      <c r="F92"/>
      <c r="G92"/>
      <c r="H92"/>
      <c r="I92"/>
      <c r="J92" s="58"/>
      <c r="K92" s="53"/>
    </row>
    <row r="93" spans="1:11" s="21" customFormat="1" x14ac:dyDescent="0.55000000000000004">
      <c r="A93" s="17"/>
      <c r="B93"/>
      <c r="C93"/>
      <c r="D93"/>
      <c r="E93"/>
      <c r="F93"/>
      <c r="G93"/>
      <c r="H93"/>
      <c r="I93"/>
      <c r="J93" s="58"/>
      <c r="K93" s="53"/>
    </row>
    <row r="94" spans="1:11" s="21" customFormat="1" x14ac:dyDescent="0.55000000000000004">
      <c r="A94" s="17"/>
      <c r="B94"/>
      <c r="C94"/>
      <c r="D94"/>
      <c r="E94"/>
      <c r="F94"/>
      <c r="G94"/>
      <c r="H94"/>
      <c r="I94"/>
      <c r="J94" s="58"/>
      <c r="K94" s="53"/>
    </row>
    <row r="95" spans="1:11" s="21" customFormat="1" x14ac:dyDescent="0.55000000000000004">
      <c r="A95" s="17"/>
      <c r="B95"/>
      <c r="C95"/>
      <c r="D95"/>
      <c r="E95"/>
      <c r="F95"/>
      <c r="G95"/>
      <c r="H95"/>
      <c r="I95"/>
      <c r="J95" s="58"/>
      <c r="K95" s="53"/>
    </row>
    <row r="96" spans="1:11" s="21" customFormat="1" x14ac:dyDescent="0.55000000000000004">
      <c r="A96" s="17"/>
      <c r="B96"/>
      <c r="C96"/>
      <c r="D96"/>
      <c r="E96"/>
      <c r="F96"/>
      <c r="G96"/>
      <c r="H96"/>
      <c r="I96"/>
      <c r="J96" s="58"/>
      <c r="K96" s="53"/>
    </row>
    <row r="97" spans="1:11" s="21" customFormat="1" x14ac:dyDescent="0.55000000000000004">
      <c r="A97" s="17"/>
      <c r="B97"/>
      <c r="C97"/>
      <c r="D97"/>
      <c r="E97"/>
      <c r="F97"/>
      <c r="G97"/>
      <c r="H97"/>
      <c r="I97"/>
      <c r="J97" s="58"/>
      <c r="K97" s="53"/>
    </row>
    <row r="98" spans="1:11" s="21" customFormat="1" x14ac:dyDescent="0.55000000000000004">
      <c r="A98" s="17"/>
      <c r="B98"/>
      <c r="C98"/>
      <c r="D98"/>
      <c r="E98"/>
      <c r="F98"/>
      <c r="G98"/>
      <c r="H98"/>
      <c r="I98"/>
      <c r="J98" s="58"/>
      <c r="K98" s="53"/>
    </row>
    <row r="99" spans="1:11" s="21" customFormat="1" x14ac:dyDescent="0.55000000000000004">
      <c r="A99" s="17"/>
      <c r="B99"/>
      <c r="C99"/>
      <c r="D99"/>
      <c r="E99"/>
      <c r="F99"/>
      <c r="G99"/>
      <c r="H99"/>
      <c r="I99"/>
      <c r="J99" s="58"/>
      <c r="K99" s="53"/>
    </row>
    <row r="100" spans="1:11" s="21" customFormat="1" x14ac:dyDescent="0.55000000000000004">
      <c r="A100" s="17"/>
      <c r="B100"/>
      <c r="C100"/>
      <c r="D100"/>
      <c r="E100"/>
      <c r="F100"/>
      <c r="G100"/>
      <c r="H100"/>
      <c r="I100"/>
      <c r="J100" s="58"/>
      <c r="K100" s="53"/>
    </row>
    <row r="101" spans="1:11" s="21" customFormat="1" x14ac:dyDescent="0.55000000000000004">
      <c r="A101" s="17"/>
      <c r="B101"/>
      <c r="C101"/>
      <c r="D101"/>
      <c r="E101"/>
      <c r="F101"/>
      <c r="G101"/>
      <c r="H101"/>
      <c r="I101"/>
      <c r="J101" s="58"/>
      <c r="K101" s="53"/>
    </row>
    <row r="102" spans="1:11" s="21" customFormat="1" x14ac:dyDescent="0.55000000000000004">
      <c r="A102" s="17"/>
      <c r="B102"/>
      <c r="C102"/>
      <c r="D102"/>
      <c r="E102"/>
      <c r="F102"/>
      <c r="G102"/>
      <c r="H102"/>
      <c r="I102"/>
      <c r="J102" s="58"/>
      <c r="K102" s="53"/>
    </row>
    <row r="103" spans="1:11" s="21" customFormat="1" x14ac:dyDescent="0.55000000000000004">
      <c r="A103" s="17"/>
      <c r="B103"/>
      <c r="C103"/>
      <c r="D103"/>
      <c r="E103"/>
      <c r="F103"/>
      <c r="G103"/>
      <c r="H103"/>
      <c r="I103"/>
      <c r="J103" s="58"/>
      <c r="K103" s="53"/>
    </row>
    <row r="104" spans="1:11" s="21" customFormat="1" x14ac:dyDescent="0.55000000000000004">
      <c r="A104" s="17"/>
      <c r="B104"/>
      <c r="C104"/>
      <c r="D104"/>
      <c r="E104"/>
      <c r="F104"/>
      <c r="G104"/>
      <c r="H104"/>
      <c r="I104"/>
      <c r="J104" s="58"/>
      <c r="K104" s="53"/>
    </row>
    <row r="105" spans="1:11" s="21" customFormat="1" x14ac:dyDescent="0.55000000000000004">
      <c r="A105" s="17"/>
      <c r="B105"/>
      <c r="C105"/>
      <c r="D105"/>
      <c r="E105"/>
      <c r="F105"/>
      <c r="G105"/>
      <c r="H105"/>
      <c r="I105"/>
      <c r="J105" s="58"/>
      <c r="K105" s="53"/>
    </row>
    <row r="106" spans="1:11" s="21" customFormat="1" x14ac:dyDescent="0.55000000000000004">
      <c r="A106" s="17"/>
      <c r="B106"/>
      <c r="C106"/>
      <c r="D106"/>
      <c r="E106"/>
      <c r="F106"/>
      <c r="G106"/>
      <c r="H106"/>
      <c r="I106"/>
      <c r="J106" s="58"/>
      <c r="K106" s="53"/>
    </row>
    <row r="107" spans="1:11" s="21" customFormat="1" x14ac:dyDescent="0.55000000000000004">
      <c r="A107" s="17"/>
      <c r="B107"/>
      <c r="C107"/>
      <c r="D107"/>
      <c r="E107"/>
      <c r="F107"/>
      <c r="G107"/>
      <c r="H107"/>
      <c r="I107"/>
      <c r="J107" s="58"/>
      <c r="K107" s="53"/>
    </row>
    <row r="108" spans="1:11" s="21" customFormat="1" x14ac:dyDescent="0.55000000000000004">
      <c r="A108" s="17"/>
      <c r="B108"/>
      <c r="C108"/>
      <c r="D108"/>
      <c r="E108"/>
      <c r="F108"/>
      <c r="G108"/>
      <c r="H108"/>
      <c r="I108"/>
      <c r="J108" s="58"/>
      <c r="K108" s="53"/>
    </row>
    <row r="109" spans="1:11" s="21" customFormat="1" x14ac:dyDescent="0.55000000000000004">
      <c r="A109" s="17"/>
      <c r="B109"/>
      <c r="C109"/>
      <c r="D109"/>
      <c r="E109"/>
      <c r="F109"/>
      <c r="G109"/>
      <c r="H109"/>
      <c r="I109"/>
      <c r="J109" s="58"/>
      <c r="K109" s="53"/>
    </row>
    <row r="110" spans="1:11" s="21" customFormat="1" x14ac:dyDescent="0.55000000000000004">
      <c r="A110" s="17"/>
      <c r="B110"/>
      <c r="C110"/>
      <c r="D110"/>
      <c r="E110"/>
      <c r="F110"/>
      <c r="G110"/>
      <c r="H110"/>
      <c r="I110"/>
      <c r="J110" s="58"/>
      <c r="K110" s="53"/>
    </row>
    <row r="111" spans="1:11" s="21" customFormat="1" x14ac:dyDescent="0.55000000000000004">
      <c r="A111" s="17"/>
      <c r="B111"/>
      <c r="C111"/>
      <c r="D111"/>
      <c r="E111"/>
      <c r="F111"/>
      <c r="G111"/>
      <c r="H111"/>
      <c r="I111"/>
      <c r="J111" s="58"/>
      <c r="K111" s="53"/>
    </row>
    <row r="112" spans="1:11" s="21" customFormat="1" x14ac:dyDescent="0.55000000000000004">
      <c r="A112" s="17"/>
      <c r="B112"/>
      <c r="C112"/>
      <c r="D112"/>
      <c r="E112"/>
      <c r="F112"/>
      <c r="G112"/>
      <c r="H112"/>
      <c r="I112"/>
      <c r="J112" s="58"/>
      <c r="K112" s="53"/>
    </row>
    <row r="113" spans="1:11" s="21" customFormat="1" x14ac:dyDescent="0.55000000000000004">
      <c r="A113" s="17"/>
      <c r="B113"/>
      <c r="C113"/>
      <c r="D113"/>
      <c r="E113"/>
      <c r="F113"/>
      <c r="G113"/>
      <c r="H113"/>
      <c r="I113"/>
      <c r="J113" s="58"/>
      <c r="K113" s="53"/>
    </row>
    <row r="114" spans="1:11" s="21" customFormat="1" x14ac:dyDescent="0.55000000000000004">
      <c r="A114" s="17"/>
      <c r="B114"/>
      <c r="C114"/>
      <c r="D114"/>
      <c r="E114"/>
      <c r="F114"/>
      <c r="G114"/>
      <c r="H114"/>
      <c r="I114"/>
      <c r="J114" s="58"/>
      <c r="K114" s="53"/>
    </row>
    <row r="115" spans="1:11" s="21" customFormat="1" x14ac:dyDescent="0.55000000000000004">
      <c r="A115" s="17"/>
      <c r="B115"/>
      <c r="C115"/>
      <c r="D115"/>
      <c r="E115"/>
      <c r="F115"/>
      <c r="G115"/>
      <c r="H115"/>
      <c r="I115"/>
      <c r="J115" s="58"/>
      <c r="K115" s="53"/>
    </row>
    <row r="116" spans="1:11" s="21" customFormat="1" x14ac:dyDescent="0.55000000000000004">
      <c r="A116" s="17"/>
      <c r="B116"/>
      <c r="C116"/>
      <c r="D116"/>
      <c r="E116"/>
      <c r="F116"/>
      <c r="G116"/>
      <c r="H116"/>
      <c r="I116"/>
      <c r="J116" s="58"/>
      <c r="K116" s="53"/>
    </row>
    <row r="117" spans="1:11" s="21" customFormat="1" x14ac:dyDescent="0.55000000000000004">
      <c r="A117" s="17"/>
      <c r="B117"/>
      <c r="C117"/>
      <c r="D117"/>
      <c r="E117"/>
      <c r="F117"/>
      <c r="G117"/>
      <c r="H117"/>
      <c r="I117"/>
      <c r="J117" s="58"/>
      <c r="K117" s="53"/>
    </row>
    <row r="118" spans="1:11" s="21" customFormat="1" x14ac:dyDescent="0.55000000000000004">
      <c r="A118" s="17"/>
      <c r="B118"/>
      <c r="C118"/>
      <c r="D118"/>
      <c r="E118"/>
      <c r="F118"/>
      <c r="G118"/>
      <c r="H118"/>
      <c r="I118"/>
      <c r="J118" s="58"/>
      <c r="K118" s="53"/>
    </row>
    <row r="119" spans="1:11" s="21" customFormat="1" x14ac:dyDescent="0.55000000000000004">
      <c r="A119" s="17"/>
      <c r="B119"/>
      <c r="C119"/>
      <c r="D119"/>
      <c r="E119"/>
      <c r="F119"/>
      <c r="G119"/>
      <c r="H119"/>
      <c r="I119"/>
      <c r="J119" s="58"/>
      <c r="K119" s="53"/>
    </row>
    <row r="120" spans="1:11" s="21" customFormat="1" x14ac:dyDescent="0.55000000000000004">
      <c r="A120" s="17"/>
      <c r="B120"/>
      <c r="C120"/>
      <c r="D120"/>
      <c r="E120"/>
      <c r="F120"/>
      <c r="G120"/>
      <c r="H120"/>
      <c r="I120"/>
      <c r="J120" s="58"/>
      <c r="K120" s="53"/>
    </row>
    <row r="121" spans="1:11" s="21" customFormat="1" x14ac:dyDescent="0.55000000000000004">
      <c r="A121" s="17"/>
      <c r="B121"/>
      <c r="C121"/>
      <c r="D121"/>
      <c r="E121"/>
      <c r="F121"/>
      <c r="G121"/>
      <c r="H121"/>
      <c r="I121"/>
      <c r="J121" s="58"/>
      <c r="K121" s="53"/>
    </row>
    <row r="122" spans="1:11" s="21" customFormat="1" x14ac:dyDescent="0.55000000000000004">
      <c r="A122" s="17"/>
      <c r="B122"/>
      <c r="C122"/>
      <c r="D122"/>
      <c r="E122"/>
      <c r="F122"/>
      <c r="G122"/>
      <c r="H122"/>
      <c r="I122"/>
      <c r="J122" s="58"/>
      <c r="K122" s="53"/>
    </row>
    <row r="123" spans="1:11" s="21" customFormat="1" x14ac:dyDescent="0.55000000000000004">
      <c r="A123" s="17"/>
      <c r="B123"/>
      <c r="C123"/>
      <c r="D123"/>
      <c r="E123"/>
      <c r="F123"/>
      <c r="G123"/>
      <c r="H123"/>
      <c r="I123"/>
      <c r="J123" s="58"/>
      <c r="K123" s="53"/>
    </row>
    <row r="124" spans="1:11" s="21" customFormat="1" x14ac:dyDescent="0.55000000000000004">
      <c r="A124" s="17"/>
      <c r="B124"/>
      <c r="C124"/>
      <c r="D124"/>
      <c r="E124"/>
      <c r="F124"/>
      <c r="G124"/>
      <c r="H124"/>
      <c r="I124"/>
      <c r="J124" s="58"/>
      <c r="K124" s="53"/>
    </row>
    <row r="125" spans="1:11" s="21" customFormat="1" x14ac:dyDescent="0.55000000000000004">
      <c r="A125" s="17"/>
      <c r="B125"/>
      <c r="C125"/>
      <c r="D125"/>
      <c r="E125"/>
      <c r="F125"/>
      <c r="G125"/>
      <c r="H125"/>
      <c r="I125"/>
      <c r="J125" s="58"/>
      <c r="K125" s="53"/>
    </row>
    <row r="126" spans="1:11" s="21" customFormat="1" x14ac:dyDescent="0.55000000000000004">
      <c r="A126" s="17"/>
      <c r="B126"/>
      <c r="C126"/>
      <c r="D126"/>
      <c r="E126"/>
      <c r="F126"/>
      <c r="G126"/>
      <c r="H126"/>
      <c r="I126"/>
      <c r="J126" s="58"/>
      <c r="K126" s="53"/>
    </row>
    <row r="127" spans="1:11" s="21" customFormat="1" x14ac:dyDescent="0.55000000000000004">
      <c r="A127" s="17"/>
      <c r="B127"/>
      <c r="C127"/>
      <c r="D127"/>
      <c r="E127"/>
      <c r="F127"/>
      <c r="G127"/>
      <c r="H127"/>
      <c r="I127"/>
      <c r="J127" s="58"/>
      <c r="K127" s="53"/>
    </row>
    <row r="128" spans="1:11" s="21" customFormat="1" x14ac:dyDescent="0.55000000000000004">
      <c r="A128" s="17"/>
      <c r="B128"/>
      <c r="C128"/>
      <c r="D128"/>
      <c r="E128"/>
      <c r="F128"/>
      <c r="G128"/>
      <c r="H128"/>
      <c r="I128"/>
      <c r="J128" s="58"/>
      <c r="K128" s="53"/>
    </row>
    <row r="129" spans="1:11" s="21" customFormat="1" x14ac:dyDescent="0.55000000000000004">
      <c r="A129" s="17"/>
      <c r="B129"/>
      <c r="C129"/>
      <c r="D129"/>
      <c r="E129"/>
      <c r="F129"/>
      <c r="G129"/>
      <c r="H129"/>
      <c r="I129"/>
      <c r="J129" s="58"/>
      <c r="K129" s="53"/>
    </row>
    <row r="130" spans="1:11" s="21" customFormat="1" x14ac:dyDescent="0.55000000000000004">
      <c r="A130" s="17"/>
      <c r="B130"/>
      <c r="C130"/>
      <c r="D130"/>
      <c r="E130"/>
      <c r="F130"/>
      <c r="G130"/>
      <c r="H130"/>
      <c r="I130"/>
      <c r="J130" s="58"/>
      <c r="K130" s="53"/>
    </row>
    <row r="131" spans="1:11" s="21" customFormat="1" x14ac:dyDescent="0.55000000000000004">
      <c r="A131" s="17"/>
      <c r="B131"/>
      <c r="C131"/>
      <c r="D131"/>
      <c r="E131"/>
      <c r="F131"/>
      <c r="G131"/>
      <c r="H131"/>
      <c r="I131"/>
      <c r="J131" s="58"/>
      <c r="K131" s="53"/>
    </row>
    <row r="132" spans="1:11" s="21" customFormat="1" x14ac:dyDescent="0.55000000000000004">
      <c r="A132" s="17"/>
      <c r="B132"/>
      <c r="C132"/>
      <c r="D132"/>
      <c r="E132"/>
      <c r="F132"/>
      <c r="G132"/>
      <c r="H132"/>
      <c r="I132"/>
      <c r="J132" s="58"/>
      <c r="K132" s="53"/>
    </row>
    <row r="133" spans="1:11" s="21" customFormat="1" x14ac:dyDescent="0.55000000000000004">
      <c r="A133" s="17"/>
      <c r="B133"/>
      <c r="C133"/>
      <c r="D133"/>
      <c r="E133"/>
      <c r="F133"/>
      <c r="G133"/>
      <c r="H133"/>
      <c r="I133"/>
      <c r="J133" s="58"/>
      <c r="K133" s="53"/>
    </row>
    <row r="134" spans="1:11" s="21" customFormat="1" x14ac:dyDescent="0.55000000000000004">
      <c r="A134" s="17"/>
      <c r="B134"/>
      <c r="C134"/>
      <c r="D134"/>
      <c r="E134"/>
      <c r="F134"/>
      <c r="G134"/>
      <c r="H134"/>
      <c r="I134"/>
      <c r="J134" s="58"/>
      <c r="K134" s="53"/>
    </row>
    <row r="135" spans="1:11" s="21" customFormat="1" x14ac:dyDescent="0.55000000000000004">
      <c r="A135" s="17"/>
      <c r="B135"/>
      <c r="C135"/>
      <c r="D135"/>
      <c r="E135"/>
      <c r="F135"/>
      <c r="G135"/>
      <c r="H135"/>
      <c r="I135"/>
      <c r="J135" s="58"/>
      <c r="K135" s="53"/>
    </row>
    <row r="136" spans="1:11" s="21" customFormat="1" x14ac:dyDescent="0.55000000000000004">
      <c r="A136" s="17"/>
      <c r="B136"/>
      <c r="C136"/>
      <c r="D136"/>
      <c r="E136"/>
      <c r="F136"/>
      <c r="G136"/>
      <c r="H136"/>
      <c r="I136"/>
      <c r="J136" s="58"/>
      <c r="K136" s="53"/>
    </row>
    <row r="137" spans="1:11" s="21" customFormat="1" x14ac:dyDescent="0.55000000000000004">
      <c r="A137" s="17"/>
      <c r="B137"/>
      <c r="C137"/>
      <c r="D137"/>
      <c r="E137"/>
      <c r="F137"/>
      <c r="G137"/>
      <c r="H137"/>
      <c r="I137"/>
      <c r="J137" s="58"/>
      <c r="K137" s="53"/>
    </row>
    <row r="138" spans="1:11" s="21" customFormat="1" x14ac:dyDescent="0.55000000000000004">
      <c r="A138" s="17"/>
      <c r="B138"/>
      <c r="C138"/>
      <c r="D138"/>
      <c r="E138"/>
      <c r="F138"/>
      <c r="G138"/>
      <c r="H138"/>
      <c r="I138"/>
      <c r="J138" s="58"/>
      <c r="K138" s="53"/>
    </row>
    <row r="139" spans="1:11" s="21" customFormat="1" x14ac:dyDescent="0.55000000000000004">
      <c r="A139" s="17"/>
      <c r="B139"/>
      <c r="C139"/>
      <c r="D139"/>
      <c r="E139"/>
      <c r="F139"/>
      <c r="G139"/>
      <c r="H139"/>
      <c r="I139"/>
      <c r="J139" s="58"/>
      <c r="K139" s="53"/>
    </row>
    <row r="140" spans="1:11" s="21" customFormat="1" x14ac:dyDescent="0.55000000000000004">
      <c r="A140" s="17"/>
      <c r="B140"/>
      <c r="C140"/>
      <c r="D140"/>
      <c r="E140"/>
      <c r="F140"/>
      <c r="G140"/>
      <c r="H140"/>
      <c r="I140"/>
      <c r="J140" s="58"/>
      <c r="K140" s="53"/>
    </row>
    <row r="141" spans="1:11" s="21" customFormat="1" x14ac:dyDescent="0.55000000000000004">
      <c r="A141" s="17"/>
      <c r="B141"/>
      <c r="C141"/>
      <c r="D141"/>
      <c r="E141"/>
      <c r="F141"/>
      <c r="G141"/>
      <c r="H141"/>
      <c r="I141"/>
      <c r="J141" s="58"/>
      <c r="K141" s="53"/>
    </row>
    <row r="142" spans="1:11" s="21" customFormat="1" x14ac:dyDescent="0.55000000000000004">
      <c r="A142" s="17"/>
      <c r="B142"/>
      <c r="C142"/>
      <c r="D142"/>
      <c r="E142"/>
      <c r="F142"/>
      <c r="G142"/>
      <c r="H142"/>
      <c r="I142"/>
      <c r="J142" s="58"/>
      <c r="K142" s="53"/>
    </row>
    <row r="143" spans="1:11" s="21" customFormat="1" x14ac:dyDescent="0.55000000000000004">
      <c r="A143" s="17"/>
      <c r="B143"/>
      <c r="C143"/>
      <c r="D143"/>
      <c r="E143"/>
      <c r="F143"/>
      <c r="G143"/>
      <c r="H143"/>
      <c r="I143"/>
      <c r="J143" s="58"/>
      <c r="K143" s="53"/>
    </row>
    <row r="144" spans="1:11" s="21" customFormat="1" x14ac:dyDescent="0.55000000000000004">
      <c r="A144" s="17"/>
      <c r="B144"/>
      <c r="C144"/>
      <c r="D144"/>
      <c r="E144"/>
      <c r="F144"/>
      <c r="G144"/>
      <c r="H144"/>
      <c r="I144"/>
      <c r="J144" s="58"/>
      <c r="K144" s="53"/>
    </row>
    <row r="145" spans="1:11" s="21" customFormat="1" x14ac:dyDescent="0.55000000000000004">
      <c r="A145" s="17"/>
      <c r="B145"/>
      <c r="C145"/>
      <c r="D145"/>
      <c r="E145"/>
      <c r="F145"/>
      <c r="G145"/>
      <c r="H145"/>
      <c r="I145"/>
      <c r="J145" s="58"/>
      <c r="K145" s="53"/>
    </row>
    <row r="146" spans="1:11" s="21" customFormat="1" x14ac:dyDescent="0.55000000000000004">
      <c r="A146" s="17"/>
      <c r="B146"/>
      <c r="C146"/>
      <c r="D146"/>
      <c r="E146"/>
      <c r="F146"/>
      <c r="G146"/>
      <c r="H146"/>
      <c r="I146"/>
      <c r="J146" s="58"/>
      <c r="K146" s="53"/>
    </row>
    <row r="147" spans="1:11" s="21" customFormat="1" x14ac:dyDescent="0.55000000000000004">
      <c r="A147" s="17"/>
      <c r="B147"/>
      <c r="C147"/>
      <c r="D147"/>
      <c r="E147"/>
      <c r="F147"/>
      <c r="G147"/>
      <c r="H147"/>
      <c r="I147"/>
      <c r="J147" s="58"/>
      <c r="K147" s="53"/>
    </row>
    <row r="148" spans="1:11" s="21" customFormat="1" x14ac:dyDescent="0.55000000000000004">
      <c r="A148" s="17"/>
      <c r="B148"/>
      <c r="C148"/>
      <c r="D148"/>
      <c r="E148"/>
      <c r="F148"/>
      <c r="G148"/>
      <c r="H148"/>
      <c r="I148"/>
      <c r="J148" s="58"/>
      <c r="K148" s="53"/>
    </row>
    <row r="149" spans="1:11" s="21" customFormat="1" x14ac:dyDescent="0.55000000000000004">
      <c r="A149" s="17"/>
      <c r="B149"/>
      <c r="C149"/>
      <c r="D149"/>
      <c r="E149"/>
      <c r="F149"/>
      <c r="G149"/>
      <c r="H149"/>
      <c r="I149"/>
      <c r="J149" s="58"/>
      <c r="K149" s="53"/>
    </row>
    <row r="150" spans="1:11" s="21" customFormat="1" x14ac:dyDescent="0.55000000000000004">
      <c r="A150" s="17"/>
      <c r="B150"/>
      <c r="C150"/>
      <c r="D150"/>
      <c r="E150"/>
      <c r="F150"/>
      <c r="G150"/>
      <c r="H150"/>
      <c r="I150"/>
      <c r="J150" s="58"/>
      <c r="K150" s="53"/>
    </row>
    <row r="151" spans="1:11" s="21" customFormat="1" x14ac:dyDescent="0.55000000000000004">
      <c r="A151" s="17"/>
      <c r="B151"/>
      <c r="C151"/>
      <c r="D151"/>
      <c r="E151"/>
      <c r="F151"/>
      <c r="G151"/>
      <c r="H151"/>
      <c r="I151"/>
      <c r="J151" s="58"/>
      <c r="K151" s="53"/>
    </row>
    <row r="152" spans="1:11" s="21" customFormat="1" x14ac:dyDescent="0.55000000000000004">
      <c r="A152" s="17"/>
      <c r="B152"/>
      <c r="C152"/>
      <c r="D152"/>
      <c r="E152"/>
      <c r="F152"/>
      <c r="G152"/>
      <c r="H152"/>
      <c r="I152"/>
      <c r="J152" s="58"/>
      <c r="K152" s="53"/>
    </row>
    <row r="153" spans="1:11" s="21" customFormat="1" x14ac:dyDescent="0.55000000000000004">
      <c r="A153" s="17"/>
      <c r="B153"/>
      <c r="C153"/>
      <c r="D153"/>
      <c r="E153"/>
      <c r="F153"/>
      <c r="G153"/>
      <c r="H153"/>
      <c r="I153"/>
      <c r="J153" s="58"/>
      <c r="K153" s="53"/>
    </row>
    <row r="154" spans="1:11" s="21" customFormat="1" x14ac:dyDescent="0.55000000000000004">
      <c r="A154" s="17"/>
      <c r="B154"/>
      <c r="C154"/>
      <c r="D154"/>
      <c r="E154"/>
      <c r="F154"/>
      <c r="G154"/>
      <c r="H154"/>
      <c r="I154"/>
      <c r="J154" s="58"/>
      <c r="K154" s="53"/>
    </row>
    <row r="155" spans="1:11" s="21" customFormat="1" x14ac:dyDescent="0.55000000000000004">
      <c r="A155" s="17"/>
      <c r="B155"/>
      <c r="C155"/>
      <c r="D155"/>
      <c r="E155"/>
      <c r="F155"/>
      <c r="G155"/>
      <c r="H155"/>
      <c r="I155"/>
      <c r="J155" s="58"/>
      <c r="K155" s="53"/>
    </row>
    <row r="156" spans="1:11" s="21" customFormat="1" x14ac:dyDescent="0.55000000000000004">
      <c r="A156" s="17"/>
      <c r="B156"/>
      <c r="C156"/>
      <c r="D156"/>
      <c r="E156"/>
      <c r="F156"/>
      <c r="G156"/>
      <c r="H156"/>
      <c r="I156"/>
      <c r="J156" s="58"/>
      <c r="K156" s="53"/>
    </row>
    <row r="157" spans="1:11" s="21" customFormat="1" x14ac:dyDescent="0.55000000000000004">
      <c r="A157" s="17"/>
      <c r="B157"/>
      <c r="C157"/>
      <c r="D157"/>
      <c r="E157"/>
      <c r="F157"/>
      <c r="G157"/>
      <c r="H157"/>
      <c r="I157"/>
      <c r="J157" s="58"/>
      <c r="K157" s="53"/>
    </row>
    <row r="158" spans="1:11" s="21" customFormat="1" x14ac:dyDescent="0.55000000000000004">
      <c r="A158" s="17"/>
      <c r="B158"/>
      <c r="C158"/>
      <c r="D158"/>
      <c r="E158"/>
      <c r="F158"/>
      <c r="G158"/>
      <c r="H158"/>
      <c r="I158"/>
      <c r="J158" s="58"/>
      <c r="K158" s="53"/>
    </row>
    <row r="159" spans="1:11" s="21" customFormat="1" x14ac:dyDescent="0.55000000000000004">
      <c r="A159" s="17"/>
      <c r="B159"/>
      <c r="C159"/>
      <c r="D159"/>
      <c r="E159"/>
      <c r="F159"/>
      <c r="G159"/>
      <c r="H159"/>
      <c r="I159"/>
      <c r="J159" s="58"/>
      <c r="K159" s="53"/>
    </row>
    <row r="160" spans="1:11" s="21" customFormat="1" x14ac:dyDescent="0.55000000000000004">
      <c r="A160" s="17"/>
      <c r="B160"/>
      <c r="C160"/>
      <c r="D160"/>
      <c r="E160"/>
      <c r="F160"/>
      <c r="G160"/>
      <c r="H160"/>
      <c r="I160"/>
      <c r="J160" s="58"/>
      <c r="K160" s="53"/>
    </row>
    <row r="161" spans="1:11" s="21" customFormat="1" x14ac:dyDescent="0.55000000000000004">
      <c r="A161" s="17"/>
      <c r="B161"/>
      <c r="C161"/>
      <c r="D161"/>
      <c r="E161"/>
      <c r="F161"/>
      <c r="G161"/>
      <c r="H161"/>
      <c r="I161"/>
      <c r="J161" s="58"/>
      <c r="K161" s="53"/>
    </row>
    <row r="162" spans="1:11" s="21" customFormat="1" x14ac:dyDescent="0.55000000000000004">
      <c r="A162" s="17"/>
      <c r="B162"/>
      <c r="C162"/>
      <c r="D162"/>
      <c r="E162"/>
      <c r="F162"/>
      <c r="G162"/>
      <c r="H162"/>
      <c r="I162"/>
      <c r="J162" s="58"/>
      <c r="K162" s="53"/>
    </row>
    <row r="163" spans="1:11" s="21" customFormat="1" x14ac:dyDescent="0.55000000000000004">
      <c r="A163" s="17"/>
      <c r="B163"/>
      <c r="C163"/>
      <c r="D163"/>
      <c r="E163"/>
      <c r="F163"/>
      <c r="G163"/>
      <c r="H163"/>
      <c r="I163"/>
      <c r="J163" s="58"/>
      <c r="K163" s="53"/>
    </row>
    <row r="164" spans="1:11" s="21" customFormat="1" x14ac:dyDescent="0.55000000000000004">
      <c r="A164" s="17"/>
      <c r="B164"/>
      <c r="C164"/>
      <c r="D164"/>
      <c r="E164"/>
      <c r="F164"/>
      <c r="G164"/>
      <c r="H164"/>
      <c r="I164"/>
      <c r="J164" s="58"/>
      <c r="K164" s="53"/>
    </row>
    <row r="165" spans="1:11" s="21" customFormat="1" x14ac:dyDescent="0.55000000000000004">
      <c r="A165" s="17"/>
      <c r="B165"/>
      <c r="C165"/>
      <c r="D165"/>
      <c r="E165"/>
      <c r="F165"/>
      <c r="G165"/>
      <c r="H165"/>
      <c r="I165"/>
      <c r="J165" s="58"/>
      <c r="K165" s="53"/>
    </row>
    <row r="166" spans="1:11" s="21" customFormat="1" x14ac:dyDescent="0.55000000000000004">
      <c r="A166" s="17"/>
      <c r="B166"/>
      <c r="C166"/>
      <c r="D166"/>
      <c r="E166"/>
      <c r="F166"/>
      <c r="G166"/>
      <c r="H166"/>
      <c r="I166"/>
      <c r="J166" s="58"/>
      <c r="K166" s="53"/>
    </row>
    <row r="167" spans="1:11" s="21" customFormat="1" x14ac:dyDescent="0.55000000000000004">
      <c r="A167" s="17"/>
      <c r="B167"/>
      <c r="C167"/>
      <c r="D167"/>
      <c r="E167"/>
      <c r="F167"/>
      <c r="G167"/>
      <c r="H167"/>
      <c r="I167"/>
      <c r="J167" s="58"/>
      <c r="K167" s="53"/>
    </row>
    <row r="168" spans="1:11" s="21" customFormat="1" x14ac:dyDescent="0.55000000000000004">
      <c r="A168" s="17"/>
      <c r="B168"/>
      <c r="C168"/>
      <c r="D168"/>
      <c r="E168"/>
      <c r="F168"/>
      <c r="G168"/>
      <c r="H168"/>
      <c r="I168"/>
      <c r="J168" s="58"/>
      <c r="K168" s="53"/>
    </row>
    <row r="169" spans="1:11" s="21" customFormat="1" x14ac:dyDescent="0.55000000000000004">
      <c r="A169" s="17"/>
      <c r="B169"/>
      <c r="C169"/>
      <c r="D169"/>
      <c r="E169"/>
      <c r="F169"/>
      <c r="G169"/>
      <c r="H169"/>
      <c r="I169"/>
      <c r="J169" s="58"/>
      <c r="K169" s="53"/>
    </row>
    <row r="170" spans="1:11" s="21" customFormat="1" x14ac:dyDescent="0.55000000000000004">
      <c r="A170" s="17"/>
      <c r="B170"/>
      <c r="C170"/>
      <c r="D170"/>
      <c r="E170"/>
      <c r="F170"/>
      <c r="G170"/>
      <c r="H170"/>
      <c r="I170"/>
      <c r="J170" s="58"/>
      <c r="K170" s="53"/>
    </row>
    <row r="171" spans="1:11" s="21" customFormat="1" x14ac:dyDescent="0.55000000000000004">
      <c r="A171" s="17"/>
      <c r="B171"/>
      <c r="C171"/>
      <c r="D171"/>
      <c r="E171"/>
      <c r="F171"/>
      <c r="G171"/>
      <c r="H171"/>
      <c r="I171"/>
      <c r="J171" s="58"/>
      <c r="K171" s="53"/>
    </row>
    <row r="172" spans="1:11" s="21" customFormat="1" x14ac:dyDescent="0.55000000000000004">
      <c r="A172" s="17"/>
      <c r="B172"/>
      <c r="C172"/>
      <c r="D172"/>
      <c r="E172"/>
      <c r="F172"/>
      <c r="G172"/>
      <c r="H172"/>
      <c r="I172"/>
      <c r="J172" s="58"/>
      <c r="K172" s="53"/>
    </row>
    <row r="173" spans="1:11" s="21" customFormat="1" x14ac:dyDescent="0.55000000000000004">
      <c r="A173" s="17"/>
      <c r="B173"/>
      <c r="C173"/>
      <c r="D173"/>
      <c r="E173"/>
      <c r="F173"/>
      <c r="G173"/>
      <c r="H173"/>
      <c r="I173"/>
      <c r="J173" s="58"/>
      <c r="K173" s="53"/>
    </row>
    <row r="174" spans="1:11" s="21" customFormat="1" x14ac:dyDescent="0.55000000000000004">
      <c r="A174" s="17"/>
      <c r="B174"/>
      <c r="C174"/>
      <c r="D174"/>
      <c r="E174"/>
      <c r="F174"/>
      <c r="G174"/>
      <c r="H174"/>
      <c r="I174"/>
      <c r="J174" s="58"/>
      <c r="K174" s="53"/>
    </row>
    <row r="175" spans="1:11" s="21" customFormat="1" x14ac:dyDescent="0.55000000000000004">
      <c r="A175" s="17"/>
      <c r="B175"/>
      <c r="C175"/>
      <c r="D175"/>
      <c r="E175"/>
      <c r="F175"/>
      <c r="G175"/>
      <c r="H175"/>
      <c r="I175"/>
      <c r="J175" s="58"/>
      <c r="K175" s="53"/>
    </row>
    <row r="176" spans="1:11" s="21" customFormat="1" x14ac:dyDescent="0.55000000000000004">
      <c r="A176" s="17"/>
      <c r="B176"/>
      <c r="C176"/>
      <c r="D176"/>
      <c r="E176"/>
      <c r="F176"/>
      <c r="G176"/>
      <c r="H176"/>
      <c r="I176"/>
      <c r="J176" s="58"/>
      <c r="K176" s="53"/>
    </row>
    <row r="177" spans="1:11" s="21" customFormat="1" x14ac:dyDescent="0.55000000000000004">
      <c r="A177" s="17"/>
      <c r="B177"/>
      <c r="C177"/>
      <c r="D177"/>
      <c r="E177"/>
      <c r="F177"/>
      <c r="G177"/>
      <c r="H177"/>
      <c r="I177"/>
      <c r="J177" s="58"/>
      <c r="K177" s="53"/>
    </row>
    <row r="178" spans="1:11" s="21" customFormat="1" x14ac:dyDescent="0.55000000000000004">
      <c r="A178" s="17"/>
      <c r="B178"/>
      <c r="C178"/>
      <c r="D178"/>
      <c r="E178"/>
      <c r="F178"/>
      <c r="G178"/>
      <c r="H178"/>
      <c r="I178"/>
      <c r="J178" s="58"/>
      <c r="K178" s="53"/>
    </row>
    <row r="179" spans="1:11" s="21" customFormat="1" x14ac:dyDescent="0.55000000000000004">
      <c r="A179" s="17"/>
      <c r="B179"/>
      <c r="C179"/>
      <c r="D179"/>
      <c r="E179"/>
      <c r="F179"/>
      <c r="G179"/>
      <c r="H179"/>
      <c r="I179"/>
      <c r="J179" s="58"/>
      <c r="K179" s="53"/>
    </row>
    <row r="180" spans="1:11" s="21" customFormat="1" x14ac:dyDescent="0.55000000000000004">
      <c r="A180" s="17"/>
      <c r="B180"/>
      <c r="C180"/>
      <c r="D180"/>
      <c r="E180"/>
      <c r="F180"/>
      <c r="G180"/>
      <c r="H180"/>
      <c r="I180"/>
      <c r="J180" s="58"/>
      <c r="K180" s="53"/>
    </row>
    <row r="181" spans="1:11" s="21" customFormat="1" x14ac:dyDescent="0.55000000000000004">
      <c r="A181" s="17"/>
      <c r="B181"/>
      <c r="C181"/>
      <c r="D181"/>
      <c r="E181"/>
      <c r="F181"/>
      <c r="G181"/>
      <c r="H181"/>
      <c r="I181"/>
      <c r="J181" s="58"/>
      <c r="K181" s="53"/>
    </row>
    <row r="182" spans="1:11" s="21" customFormat="1" x14ac:dyDescent="0.55000000000000004">
      <c r="A182" s="17"/>
      <c r="B182"/>
      <c r="C182"/>
      <c r="D182"/>
      <c r="E182"/>
      <c r="F182"/>
      <c r="G182"/>
      <c r="H182"/>
      <c r="I182"/>
      <c r="J182" s="58"/>
      <c r="K182" s="53"/>
    </row>
    <row r="183" spans="1:11" s="21" customFormat="1" x14ac:dyDescent="0.55000000000000004">
      <c r="A183" s="17"/>
      <c r="B183"/>
      <c r="C183"/>
      <c r="D183"/>
      <c r="E183"/>
      <c r="F183"/>
      <c r="G183"/>
      <c r="H183"/>
      <c r="I183"/>
      <c r="J183" s="58"/>
      <c r="K183" s="53"/>
    </row>
    <row r="184" spans="1:11" s="21" customFormat="1" x14ac:dyDescent="0.55000000000000004">
      <c r="A184" s="17"/>
      <c r="B184"/>
      <c r="C184"/>
      <c r="D184"/>
      <c r="E184"/>
      <c r="F184"/>
      <c r="G184"/>
      <c r="H184"/>
      <c r="I184"/>
      <c r="J184" s="58"/>
      <c r="K184" s="53"/>
    </row>
    <row r="185" spans="1:11" s="21" customFormat="1" x14ac:dyDescent="0.55000000000000004">
      <c r="A185" s="17"/>
      <c r="B185"/>
      <c r="C185"/>
      <c r="D185"/>
      <c r="E185"/>
      <c r="F185"/>
      <c r="G185"/>
      <c r="H185"/>
      <c r="I185"/>
      <c r="J185" s="58"/>
      <c r="K185" s="53"/>
    </row>
    <row r="186" spans="1:11" s="21" customFormat="1" x14ac:dyDescent="0.55000000000000004">
      <c r="A186" s="17"/>
      <c r="B186"/>
      <c r="C186"/>
      <c r="D186"/>
      <c r="E186"/>
      <c r="F186"/>
      <c r="G186"/>
      <c r="H186"/>
      <c r="I186"/>
      <c r="J186" s="58"/>
      <c r="K186" s="53"/>
    </row>
    <row r="187" spans="1:11" s="21" customFormat="1" x14ac:dyDescent="0.55000000000000004">
      <c r="A187" s="17"/>
      <c r="B187"/>
      <c r="C187"/>
      <c r="D187"/>
      <c r="E187"/>
      <c r="F187"/>
      <c r="G187"/>
      <c r="H187"/>
      <c r="I187"/>
      <c r="J187" s="58"/>
      <c r="K187" s="53"/>
    </row>
    <row r="188" spans="1:11" s="21" customFormat="1" x14ac:dyDescent="0.55000000000000004">
      <c r="A188" s="17"/>
      <c r="B188"/>
      <c r="C188"/>
      <c r="D188"/>
      <c r="E188"/>
      <c r="F188"/>
      <c r="G188"/>
      <c r="H188"/>
      <c r="I188"/>
      <c r="J188" s="58"/>
      <c r="K188" s="53"/>
    </row>
    <row r="189" spans="1:11" s="21" customFormat="1" x14ac:dyDescent="0.55000000000000004">
      <c r="A189" s="17"/>
      <c r="B189"/>
      <c r="C189"/>
      <c r="D189"/>
      <c r="E189"/>
      <c r="F189"/>
      <c r="G189"/>
      <c r="H189"/>
      <c r="I189"/>
      <c r="J189" s="58"/>
      <c r="K189" s="53"/>
    </row>
    <row r="190" spans="1:11" s="21" customFormat="1" x14ac:dyDescent="0.55000000000000004">
      <c r="A190" s="17"/>
      <c r="B190"/>
      <c r="C190"/>
      <c r="D190"/>
      <c r="E190"/>
      <c r="F190"/>
      <c r="G190"/>
      <c r="H190"/>
      <c r="I190"/>
      <c r="J190" s="58"/>
      <c r="K190" s="53"/>
    </row>
    <row r="191" spans="1:11" s="21" customFormat="1" x14ac:dyDescent="0.55000000000000004">
      <c r="A191" s="17"/>
      <c r="B191"/>
      <c r="C191"/>
      <c r="D191"/>
      <c r="E191"/>
      <c r="F191"/>
      <c r="G191"/>
      <c r="H191"/>
      <c r="I191"/>
      <c r="J191" s="58"/>
      <c r="K191" s="53"/>
    </row>
    <row r="192" spans="1:11" s="21" customFormat="1" x14ac:dyDescent="0.55000000000000004">
      <c r="A192" s="17"/>
      <c r="B192"/>
      <c r="C192"/>
      <c r="D192"/>
      <c r="E192"/>
      <c r="F192"/>
      <c r="G192"/>
      <c r="H192"/>
      <c r="I192"/>
      <c r="J192" s="58"/>
      <c r="K192" s="53"/>
    </row>
    <row r="193" spans="1:11" s="21" customFormat="1" x14ac:dyDescent="0.55000000000000004">
      <c r="A193" s="17"/>
      <c r="B193"/>
      <c r="C193"/>
      <c r="D193"/>
      <c r="E193"/>
      <c r="F193"/>
      <c r="G193"/>
      <c r="H193"/>
      <c r="I193"/>
      <c r="J193" s="58"/>
      <c r="K193" s="53"/>
    </row>
    <row r="194" spans="1:11" s="21" customFormat="1" x14ac:dyDescent="0.55000000000000004">
      <c r="A194" s="17"/>
      <c r="B194"/>
      <c r="C194"/>
      <c r="D194"/>
      <c r="E194"/>
      <c r="F194"/>
      <c r="G194"/>
      <c r="H194"/>
      <c r="I194"/>
      <c r="J194" s="58"/>
      <c r="K194" s="53"/>
    </row>
    <row r="195" spans="1:11" s="21" customFormat="1" x14ac:dyDescent="0.55000000000000004">
      <c r="A195" s="17"/>
      <c r="B195"/>
      <c r="C195"/>
      <c r="D195"/>
      <c r="E195"/>
      <c r="F195"/>
      <c r="G195"/>
      <c r="H195"/>
      <c r="I195"/>
      <c r="J195" s="58"/>
      <c r="K195" s="53"/>
    </row>
    <row r="196" spans="1:11" s="21" customFormat="1" x14ac:dyDescent="0.55000000000000004">
      <c r="A196" s="17"/>
      <c r="B196"/>
      <c r="C196"/>
      <c r="D196"/>
      <c r="E196"/>
      <c r="F196"/>
      <c r="G196"/>
      <c r="H196"/>
      <c r="I196"/>
      <c r="J196" s="58"/>
      <c r="K196" s="53"/>
    </row>
    <row r="197" spans="1:11" s="21" customFormat="1" x14ac:dyDescent="0.55000000000000004">
      <c r="A197" s="17"/>
      <c r="B197"/>
      <c r="C197"/>
      <c r="D197"/>
      <c r="E197"/>
      <c r="F197"/>
      <c r="G197"/>
      <c r="H197"/>
      <c r="I197"/>
      <c r="J197" s="58"/>
      <c r="K197" s="53"/>
    </row>
    <row r="198" spans="1:11" s="21" customFormat="1" x14ac:dyDescent="0.55000000000000004">
      <c r="A198" s="17"/>
      <c r="B198"/>
      <c r="C198"/>
      <c r="D198"/>
      <c r="E198"/>
      <c r="F198"/>
      <c r="G198"/>
      <c r="H198"/>
      <c r="I198"/>
      <c r="J198" s="58"/>
      <c r="K198" s="53"/>
    </row>
    <row r="199" spans="1:11" s="21" customFormat="1" x14ac:dyDescent="0.55000000000000004">
      <c r="A199" s="17"/>
      <c r="B199"/>
      <c r="C199"/>
      <c r="D199"/>
      <c r="E199"/>
      <c r="F199"/>
      <c r="G199"/>
      <c r="H199"/>
      <c r="I199"/>
      <c r="J199" s="58"/>
      <c r="K199" s="53"/>
    </row>
    <row r="200" spans="1:11" s="21" customFormat="1" x14ac:dyDescent="0.55000000000000004">
      <c r="A200" s="17"/>
      <c r="B200"/>
      <c r="C200"/>
      <c r="D200"/>
      <c r="E200"/>
      <c r="F200"/>
      <c r="G200"/>
      <c r="H200"/>
      <c r="I200"/>
      <c r="J200" s="58"/>
      <c r="K200" s="53"/>
    </row>
    <row r="201" spans="1:11" s="21" customFormat="1" x14ac:dyDescent="0.55000000000000004">
      <c r="A201" s="17"/>
      <c r="B201"/>
      <c r="C201"/>
      <c r="D201"/>
      <c r="E201"/>
      <c r="F201"/>
      <c r="G201"/>
      <c r="H201"/>
      <c r="I201"/>
      <c r="J201" s="58"/>
      <c r="K201" s="53"/>
    </row>
    <row r="202" spans="1:11" s="21" customFormat="1" x14ac:dyDescent="0.55000000000000004">
      <c r="A202" s="17"/>
      <c r="B202"/>
      <c r="C202"/>
      <c r="D202"/>
      <c r="E202"/>
      <c r="F202"/>
      <c r="G202"/>
      <c r="H202"/>
      <c r="I202"/>
      <c r="J202" s="58"/>
      <c r="K202" s="53"/>
    </row>
    <row r="203" spans="1:11" s="21" customFormat="1" x14ac:dyDescent="0.55000000000000004">
      <c r="A203" s="17"/>
      <c r="B203"/>
      <c r="C203"/>
      <c r="D203"/>
      <c r="E203"/>
      <c r="F203"/>
      <c r="G203"/>
      <c r="H203"/>
      <c r="I203"/>
      <c r="J203" s="58"/>
      <c r="K203" s="53"/>
    </row>
    <row r="204" spans="1:11" s="21" customFormat="1" x14ac:dyDescent="0.55000000000000004">
      <c r="A204" s="17"/>
      <c r="B204"/>
      <c r="C204"/>
      <c r="D204"/>
      <c r="E204"/>
      <c r="F204"/>
      <c r="G204"/>
      <c r="H204"/>
      <c r="I204"/>
      <c r="J204" s="58"/>
      <c r="K204" s="53"/>
    </row>
    <row r="205" spans="1:11" s="21" customFormat="1" x14ac:dyDescent="0.55000000000000004">
      <c r="A205" s="17"/>
      <c r="B205"/>
      <c r="C205"/>
      <c r="D205"/>
      <c r="E205"/>
      <c r="F205"/>
      <c r="G205"/>
      <c r="H205"/>
      <c r="I205"/>
      <c r="J205" s="58"/>
      <c r="K205" s="53"/>
    </row>
    <row r="206" spans="1:11" s="21" customFormat="1" x14ac:dyDescent="0.55000000000000004">
      <c r="A206" s="17"/>
      <c r="B206"/>
      <c r="C206"/>
      <c r="D206"/>
      <c r="E206"/>
      <c r="F206"/>
      <c r="G206"/>
      <c r="H206"/>
      <c r="I206"/>
      <c r="J206" s="58"/>
      <c r="K206" s="53"/>
    </row>
    <row r="207" spans="1:11" s="21" customFormat="1" x14ac:dyDescent="0.55000000000000004">
      <c r="A207" s="17"/>
      <c r="B207"/>
      <c r="C207"/>
      <c r="D207"/>
      <c r="E207"/>
      <c r="F207"/>
      <c r="G207"/>
      <c r="H207"/>
      <c r="I207"/>
      <c r="J207" s="58"/>
      <c r="K207" s="53"/>
    </row>
    <row r="208" spans="1:11" s="21" customFormat="1" x14ac:dyDescent="0.55000000000000004">
      <c r="A208" s="17"/>
      <c r="B208"/>
      <c r="C208"/>
      <c r="D208"/>
      <c r="E208"/>
      <c r="F208"/>
      <c r="G208"/>
      <c r="H208"/>
      <c r="I208"/>
      <c r="J208" s="58"/>
      <c r="K208" s="53"/>
    </row>
    <row r="209" spans="1:11" s="21" customFormat="1" x14ac:dyDescent="0.55000000000000004">
      <c r="A209" s="17"/>
      <c r="B209"/>
      <c r="C209"/>
      <c r="D209"/>
      <c r="E209"/>
      <c r="F209"/>
      <c r="G209"/>
      <c r="H209"/>
      <c r="I209"/>
      <c r="J209" s="58"/>
      <c r="K209" s="53"/>
    </row>
    <row r="210" spans="1:11" s="21" customFormat="1" x14ac:dyDescent="0.55000000000000004">
      <c r="A210" s="17"/>
      <c r="B210"/>
      <c r="C210"/>
      <c r="D210"/>
      <c r="E210"/>
      <c r="F210"/>
      <c r="G210"/>
      <c r="H210"/>
      <c r="I210"/>
      <c r="J210" s="58"/>
      <c r="K210" s="53"/>
    </row>
    <row r="211" spans="1:11" s="21" customFormat="1" x14ac:dyDescent="0.55000000000000004">
      <c r="A211" s="17"/>
      <c r="B211"/>
      <c r="C211"/>
      <c r="D211"/>
      <c r="E211"/>
      <c r="F211"/>
      <c r="G211"/>
      <c r="H211"/>
      <c r="I211"/>
      <c r="J211" s="58"/>
      <c r="K211" s="53"/>
    </row>
    <row r="212" spans="1:11" s="21" customFormat="1" x14ac:dyDescent="0.55000000000000004">
      <c r="A212" s="17"/>
      <c r="B212"/>
      <c r="C212"/>
      <c r="D212"/>
      <c r="E212"/>
      <c r="F212"/>
      <c r="G212"/>
      <c r="H212"/>
      <c r="I212"/>
      <c r="J212" s="58"/>
      <c r="K212" s="53"/>
    </row>
    <row r="213" spans="1:11" s="21" customFormat="1" x14ac:dyDescent="0.55000000000000004">
      <c r="A213" s="17"/>
      <c r="B213"/>
      <c r="C213"/>
      <c r="D213"/>
      <c r="E213"/>
      <c r="F213"/>
      <c r="G213"/>
      <c r="H213"/>
      <c r="I213"/>
      <c r="J213" s="58"/>
      <c r="K213" s="53"/>
    </row>
    <row r="214" spans="1:11" s="21" customFormat="1" x14ac:dyDescent="0.55000000000000004">
      <c r="A214" s="17"/>
      <c r="B214"/>
      <c r="C214"/>
      <c r="D214"/>
      <c r="E214"/>
      <c r="F214"/>
      <c r="G214"/>
      <c r="H214"/>
      <c r="I214"/>
      <c r="J214" s="58"/>
      <c r="K214" s="53"/>
    </row>
    <row r="215" spans="1:11" s="21" customFormat="1" x14ac:dyDescent="0.55000000000000004">
      <c r="A215" s="17"/>
      <c r="B215"/>
      <c r="C215"/>
      <c r="D215"/>
      <c r="E215"/>
      <c r="F215"/>
      <c r="G215"/>
      <c r="H215"/>
      <c r="I215"/>
      <c r="J215" s="58"/>
      <c r="K215" s="53"/>
    </row>
    <row r="216" spans="1:11" s="21" customFormat="1" x14ac:dyDescent="0.55000000000000004">
      <c r="A216" s="17"/>
      <c r="B216"/>
      <c r="C216"/>
      <c r="D216"/>
      <c r="E216"/>
      <c r="F216"/>
      <c r="G216"/>
      <c r="H216"/>
      <c r="I216"/>
      <c r="J216" s="58"/>
      <c r="K216" s="53"/>
    </row>
    <row r="217" spans="1:11" s="21" customFormat="1" x14ac:dyDescent="0.55000000000000004">
      <c r="A217" s="17"/>
      <c r="B217"/>
      <c r="C217"/>
      <c r="D217"/>
      <c r="E217"/>
      <c r="F217"/>
      <c r="G217"/>
      <c r="H217"/>
      <c r="I217"/>
      <c r="J217" s="58"/>
      <c r="K217" s="53"/>
    </row>
    <row r="218" spans="1:11" s="21" customFormat="1" x14ac:dyDescent="0.55000000000000004">
      <c r="A218" s="17"/>
      <c r="B218"/>
      <c r="C218"/>
      <c r="D218"/>
      <c r="E218"/>
      <c r="F218"/>
      <c r="G218"/>
      <c r="H218"/>
      <c r="I218"/>
      <c r="J218" s="58"/>
      <c r="K218" s="53"/>
    </row>
    <row r="219" spans="1:11" s="21" customFormat="1" x14ac:dyDescent="0.55000000000000004">
      <c r="A219" s="17"/>
      <c r="B219"/>
      <c r="C219"/>
      <c r="D219"/>
      <c r="E219"/>
      <c r="F219"/>
      <c r="G219"/>
      <c r="H219"/>
      <c r="I219"/>
      <c r="J219" s="58"/>
      <c r="K219" s="53"/>
    </row>
    <row r="220" spans="1:11" s="21" customFormat="1" x14ac:dyDescent="0.55000000000000004">
      <c r="A220" s="17"/>
      <c r="B220"/>
      <c r="C220"/>
      <c r="D220"/>
      <c r="E220"/>
      <c r="F220"/>
      <c r="G220"/>
      <c r="H220"/>
      <c r="I220"/>
      <c r="J220" s="58"/>
      <c r="K220" s="53"/>
    </row>
    <row r="221" spans="1:11" s="21" customFormat="1" x14ac:dyDescent="0.55000000000000004">
      <c r="A221" s="17"/>
      <c r="B221"/>
      <c r="C221"/>
      <c r="D221"/>
      <c r="E221"/>
      <c r="F221"/>
      <c r="G221"/>
      <c r="H221"/>
      <c r="I221"/>
      <c r="J221" s="58"/>
      <c r="K221" s="53"/>
    </row>
    <row r="222" spans="1:11" s="21" customFormat="1" x14ac:dyDescent="0.55000000000000004">
      <c r="A222" s="17"/>
      <c r="B222"/>
      <c r="C222"/>
      <c r="D222"/>
      <c r="E222"/>
      <c r="F222"/>
      <c r="G222"/>
      <c r="H222"/>
      <c r="I222"/>
      <c r="J222" s="58"/>
      <c r="K222" s="53"/>
    </row>
    <row r="223" spans="1:11" s="21" customFormat="1" x14ac:dyDescent="0.55000000000000004">
      <c r="A223" s="17"/>
      <c r="B223"/>
      <c r="C223"/>
      <c r="D223"/>
      <c r="E223"/>
      <c r="F223"/>
      <c r="G223"/>
      <c r="H223"/>
      <c r="I223"/>
      <c r="J223" s="58"/>
      <c r="K223" s="53"/>
    </row>
    <row r="224" spans="1:11" s="21" customFormat="1" x14ac:dyDescent="0.55000000000000004">
      <c r="A224" s="17"/>
      <c r="B224"/>
      <c r="C224"/>
      <c r="D224"/>
      <c r="E224"/>
      <c r="F224"/>
      <c r="G224"/>
      <c r="H224"/>
      <c r="I224"/>
      <c r="J224" s="58"/>
      <c r="K224" s="53"/>
    </row>
    <row r="225" spans="1:11" s="21" customFormat="1" x14ac:dyDescent="0.55000000000000004">
      <c r="A225" s="17"/>
      <c r="B225"/>
      <c r="C225"/>
      <c r="D225"/>
      <c r="E225"/>
      <c r="F225"/>
      <c r="G225"/>
      <c r="H225"/>
      <c r="I225"/>
      <c r="J225" s="58"/>
      <c r="K225" s="53"/>
    </row>
    <row r="226" spans="1:11" s="21" customFormat="1" x14ac:dyDescent="0.55000000000000004">
      <c r="A226" s="17"/>
      <c r="B226"/>
      <c r="C226"/>
      <c r="D226"/>
      <c r="E226"/>
      <c r="F226"/>
      <c r="G226"/>
      <c r="H226"/>
      <c r="I226"/>
      <c r="J226" s="58"/>
      <c r="K226" s="53"/>
    </row>
    <row r="227" spans="1:11" s="21" customFormat="1" x14ac:dyDescent="0.55000000000000004">
      <c r="A227" s="17"/>
      <c r="B227"/>
      <c r="C227"/>
      <c r="D227"/>
      <c r="E227"/>
      <c r="F227"/>
      <c r="G227"/>
      <c r="H227"/>
      <c r="I227"/>
      <c r="J227" s="58"/>
      <c r="K227" s="53"/>
    </row>
    <row r="228" spans="1:11" s="21" customFormat="1" x14ac:dyDescent="0.55000000000000004">
      <c r="A228" s="17"/>
      <c r="B228"/>
      <c r="C228"/>
      <c r="D228"/>
      <c r="E228"/>
      <c r="F228"/>
      <c r="G228"/>
      <c r="H228"/>
      <c r="I228"/>
      <c r="J228" s="58"/>
      <c r="K228" s="53"/>
    </row>
    <row r="229" spans="1:11" s="21" customFormat="1" x14ac:dyDescent="0.55000000000000004">
      <c r="A229" s="17"/>
      <c r="B229"/>
      <c r="C229"/>
      <c r="D229"/>
      <c r="E229"/>
      <c r="F229"/>
      <c r="G229"/>
      <c r="H229"/>
      <c r="I229"/>
      <c r="J229" s="58"/>
      <c r="K229" s="53"/>
    </row>
    <row r="230" spans="1:11" s="21" customFormat="1" x14ac:dyDescent="0.55000000000000004">
      <c r="A230" s="17"/>
      <c r="B230"/>
      <c r="C230"/>
      <c r="D230"/>
      <c r="E230"/>
      <c r="F230"/>
      <c r="G230"/>
      <c r="H230"/>
      <c r="I230"/>
      <c r="J230" s="58"/>
      <c r="K230" s="53"/>
    </row>
    <row r="231" spans="1:11" s="21" customFormat="1" x14ac:dyDescent="0.55000000000000004">
      <c r="A231" s="17"/>
      <c r="B231"/>
      <c r="C231"/>
      <c r="D231"/>
      <c r="E231"/>
      <c r="F231"/>
      <c r="G231"/>
      <c r="H231"/>
      <c r="I231"/>
      <c r="J231" s="58"/>
      <c r="K231" s="53"/>
    </row>
    <row r="232" spans="1:11" s="21" customFormat="1" x14ac:dyDescent="0.55000000000000004">
      <c r="A232" s="17"/>
      <c r="B232"/>
      <c r="C232"/>
      <c r="D232"/>
      <c r="E232"/>
      <c r="F232"/>
      <c r="G232"/>
      <c r="H232"/>
      <c r="I232"/>
      <c r="J232" s="58"/>
      <c r="K232" s="53"/>
    </row>
    <row r="233" spans="1:11" s="21" customFormat="1" x14ac:dyDescent="0.55000000000000004">
      <c r="A233" s="17"/>
      <c r="B233"/>
      <c r="C233"/>
      <c r="D233"/>
      <c r="E233"/>
      <c r="F233"/>
      <c r="G233"/>
      <c r="H233"/>
      <c r="I233"/>
      <c r="J233" s="58"/>
      <c r="K233" s="53"/>
    </row>
    <row r="234" spans="1:11" s="21" customFormat="1" x14ac:dyDescent="0.55000000000000004">
      <c r="A234" s="17"/>
      <c r="B234"/>
      <c r="C234"/>
      <c r="D234"/>
      <c r="E234"/>
      <c r="F234"/>
      <c r="G234"/>
      <c r="H234"/>
      <c r="I234"/>
      <c r="J234" s="58"/>
      <c r="K234" s="53"/>
    </row>
    <row r="235" spans="1:11" s="21" customFormat="1" x14ac:dyDescent="0.55000000000000004">
      <c r="A235" s="17"/>
      <c r="B235"/>
      <c r="C235"/>
      <c r="D235"/>
      <c r="E235"/>
      <c r="F235"/>
      <c r="G235"/>
      <c r="H235"/>
      <c r="I235"/>
      <c r="J235" s="58"/>
      <c r="K235" s="53"/>
    </row>
    <row r="236" spans="1:11" s="21" customFormat="1" x14ac:dyDescent="0.55000000000000004">
      <c r="A236" s="17"/>
      <c r="B236"/>
      <c r="C236"/>
      <c r="D236"/>
      <c r="E236"/>
      <c r="F236"/>
      <c r="G236"/>
      <c r="H236"/>
      <c r="I236"/>
      <c r="J236" s="58"/>
      <c r="K236" s="53"/>
    </row>
    <row r="237" spans="1:11" s="21" customFormat="1" x14ac:dyDescent="0.55000000000000004">
      <c r="A237" s="17"/>
      <c r="B237"/>
      <c r="C237"/>
      <c r="D237"/>
      <c r="E237"/>
      <c r="F237"/>
      <c r="G237"/>
      <c r="H237"/>
      <c r="I237"/>
      <c r="J237" s="58"/>
      <c r="K237" s="53"/>
    </row>
    <row r="238" spans="1:11" s="21" customFormat="1" x14ac:dyDescent="0.55000000000000004">
      <c r="A238" s="17"/>
      <c r="B238"/>
      <c r="C238"/>
      <c r="D238"/>
      <c r="E238"/>
      <c r="F238"/>
      <c r="G238"/>
      <c r="H238"/>
      <c r="I238"/>
      <c r="J238" s="58"/>
      <c r="K238" s="53"/>
    </row>
    <row r="239" spans="1:11" s="21" customFormat="1" x14ac:dyDescent="0.55000000000000004">
      <c r="A239" s="17"/>
      <c r="B239"/>
      <c r="C239"/>
      <c r="D239"/>
      <c r="E239"/>
      <c r="F239"/>
      <c r="G239"/>
      <c r="H239"/>
      <c r="I239"/>
      <c r="J239" s="58"/>
      <c r="K239" s="53"/>
    </row>
    <row r="240" spans="1:11" s="21" customFormat="1" x14ac:dyDescent="0.55000000000000004">
      <c r="A240" s="17"/>
      <c r="B240"/>
      <c r="C240"/>
      <c r="D240"/>
      <c r="E240"/>
      <c r="F240"/>
      <c r="G240"/>
      <c r="H240"/>
      <c r="I240"/>
      <c r="J240" s="58"/>
      <c r="K240" s="53"/>
    </row>
    <row r="241" spans="1:11" s="21" customFormat="1" x14ac:dyDescent="0.55000000000000004">
      <c r="A241" s="17"/>
      <c r="B241"/>
      <c r="C241"/>
      <c r="D241"/>
      <c r="E241"/>
      <c r="F241"/>
      <c r="G241"/>
      <c r="H241"/>
      <c r="I241"/>
      <c r="J241" s="58"/>
      <c r="K241" s="53"/>
    </row>
    <row r="256" spans="1:11" s="15" customFormat="1" x14ac:dyDescent="0.55000000000000004">
      <c r="A256" s="17"/>
      <c r="B256"/>
      <c r="C256"/>
      <c r="D256"/>
      <c r="E256"/>
      <c r="F256"/>
      <c r="G256"/>
      <c r="H256"/>
      <c r="I256"/>
    </row>
    <row r="257" spans="1:9" s="15" customFormat="1" x14ac:dyDescent="0.55000000000000004">
      <c r="A257" s="17"/>
      <c r="B257"/>
      <c r="C257"/>
      <c r="D257"/>
      <c r="E257"/>
      <c r="F257"/>
      <c r="G257"/>
      <c r="H257"/>
      <c r="I257"/>
    </row>
    <row r="258" spans="1:9" s="15" customFormat="1" x14ac:dyDescent="0.55000000000000004">
      <c r="A258" s="17"/>
      <c r="B258"/>
      <c r="C258"/>
      <c r="D258"/>
      <c r="E258"/>
      <c r="F258"/>
      <c r="G258"/>
      <c r="H258"/>
      <c r="I258"/>
    </row>
    <row r="259" spans="1:9" s="15" customFormat="1" x14ac:dyDescent="0.55000000000000004">
      <c r="A259" s="17"/>
      <c r="B259"/>
      <c r="C259"/>
      <c r="D259"/>
      <c r="E259"/>
      <c r="F259"/>
      <c r="G259"/>
      <c r="H259"/>
      <c r="I259"/>
    </row>
    <row r="260" spans="1:9" s="15" customFormat="1" x14ac:dyDescent="0.55000000000000004">
      <c r="A260" s="17"/>
      <c r="B260"/>
      <c r="C260"/>
      <c r="D260"/>
      <c r="E260"/>
      <c r="F260"/>
      <c r="G260"/>
      <c r="H260"/>
      <c r="I260"/>
    </row>
    <row r="261" spans="1:9" s="15" customFormat="1" x14ac:dyDescent="0.55000000000000004">
      <c r="A261" s="17"/>
      <c r="B261"/>
      <c r="C261"/>
      <c r="D261"/>
      <c r="E261"/>
      <c r="F261"/>
      <c r="G261"/>
      <c r="H261"/>
      <c r="I261"/>
    </row>
    <row r="262" spans="1:9" s="15" customFormat="1" x14ac:dyDescent="0.55000000000000004">
      <c r="A262" s="17"/>
      <c r="B262"/>
      <c r="C262"/>
      <c r="D262"/>
      <c r="E262"/>
      <c r="F262"/>
      <c r="G262"/>
      <c r="H262"/>
      <c r="I262"/>
    </row>
    <row r="263" spans="1:9" s="15" customFormat="1" x14ac:dyDescent="0.55000000000000004">
      <c r="A263" s="17"/>
      <c r="B263"/>
      <c r="C263"/>
      <c r="D263"/>
      <c r="E263"/>
      <c r="F263"/>
      <c r="G263"/>
      <c r="H263"/>
      <c r="I263"/>
    </row>
    <row r="264" spans="1:9" s="15" customFormat="1" x14ac:dyDescent="0.55000000000000004">
      <c r="A264" s="17"/>
      <c r="B264"/>
      <c r="C264"/>
      <c r="D264"/>
      <c r="E264"/>
      <c r="F264"/>
      <c r="G264"/>
      <c r="H264"/>
      <c r="I264"/>
    </row>
    <row r="265" spans="1:9" s="15" customFormat="1" x14ac:dyDescent="0.55000000000000004">
      <c r="A265" s="17"/>
      <c r="B265"/>
      <c r="C265"/>
      <c r="D265"/>
      <c r="E265"/>
      <c r="F265"/>
      <c r="G265"/>
      <c r="H265"/>
      <c r="I265"/>
    </row>
    <row r="266" spans="1:9" s="15" customFormat="1" x14ac:dyDescent="0.55000000000000004">
      <c r="A266" s="17"/>
      <c r="B266"/>
      <c r="C266"/>
      <c r="D266"/>
      <c r="E266"/>
      <c r="F266"/>
      <c r="G266"/>
      <c r="H266"/>
      <c r="I266"/>
    </row>
    <row r="267" spans="1:9" s="15" customFormat="1" x14ac:dyDescent="0.55000000000000004">
      <c r="A267" s="17"/>
      <c r="B267"/>
      <c r="C267"/>
      <c r="D267"/>
      <c r="E267"/>
      <c r="F267"/>
      <c r="G267"/>
      <c r="H267"/>
      <c r="I267"/>
    </row>
    <row r="268" spans="1:9" s="15" customFormat="1" x14ac:dyDescent="0.55000000000000004">
      <c r="A268" s="17"/>
      <c r="B268"/>
      <c r="C268"/>
      <c r="D268"/>
      <c r="E268"/>
      <c r="F268"/>
      <c r="G268"/>
      <c r="H268"/>
      <c r="I268"/>
    </row>
  </sheetData>
  <mergeCells count="2">
    <mergeCell ref="A4:F4"/>
    <mergeCell ref="D15:D16"/>
  </mergeCells>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5DC01-9DB1-45A1-AEB2-5493359D014E}">
  <sheetPr codeName="Planilha93">
    <tabColor theme="9" tint="0.59999389629810485"/>
  </sheetPr>
  <dimension ref="A1:Z267"/>
  <sheetViews>
    <sheetView showGridLines="0" zoomScaleNormal="100" workbookViewId="0">
      <selection activeCell="N12" sqref="N12"/>
    </sheetView>
  </sheetViews>
  <sheetFormatPr defaultColWidth="8.796875" defaultRowHeight="18" x14ac:dyDescent="0.55000000000000004"/>
  <cols>
    <col min="1" max="1" width="15.33203125" style="17" customWidth="1"/>
    <col min="2" max="2" width="54.33203125" customWidth="1"/>
    <col min="4" max="4" width="44.33203125" bestFit="1" customWidth="1"/>
    <col min="5" max="5" width="4.6640625" customWidth="1"/>
    <col min="6" max="7" width="7.1328125" bestFit="1" customWidth="1"/>
    <col min="8" max="8" width="10.6640625" bestFit="1" customWidth="1"/>
    <col min="9" max="9" width="12.33203125" bestFit="1" customWidth="1"/>
    <col min="10" max="11" width="11" bestFit="1" customWidth="1"/>
    <col min="12" max="12" width="12.33203125" bestFit="1" customWidth="1"/>
    <col min="13" max="13" width="13.33203125" customWidth="1"/>
    <col min="14" max="14" width="4.33203125" customWidth="1"/>
    <col min="15" max="15" width="12.1328125" style="15" customWidth="1"/>
    <col min="16" max="17" width="9" style="15" customWidth="1"/>
    <col min="18" max="26" width="8.796875" style="15"/>
  </cols>
  <sheetData>
    <row r="1" spans="1:26" x14ac:dyDescent="0.55000000000000004">
      <c r="A1" s="83" t="s">
        <v>1106</v>
      </c>
      <c r="O1" s="14"/>
      <c r="P1" s="14"/>
      <c r="Q1" s="14"/>
      <c r="R1" s="14"/>
      <c r="S1" s="14"/>
      <c r="T1" s="14"/>
      <c r="U1" s="14"/>
      <c r="V1" s="14"/>
      <c r="W1" s="14"/>
      <c r="X1" s="14"/>
      <c r="Y1" s="14"/>
      <c r="Z1" s="14"/>
    </row>
    <row r="2" spans="1:26" x14ac:dyDescent="0.55000000000000004">
      <c r="A2" s="17" t="s">
        <v>1107</v>
      </c>
      <c r="O2" s="14"/>
      <c r="P2" s="14"/>
      <c r="Q2" s="14"/>
      <c r="R2" s="14"/>
      <c r="S2" s="14"/>
      <c r="T2" s="14"/>
      <c r="U2" s="14"/>
      <c r="V2" s="14"/>
      <c r="W2" s="14"/>
      <c r="X2" s="14"/>
      <c r="Y2" s="14"/>
      <c r="Z2" s="14"/>
    </row>
    <row r="3" spans="1:26" x14ac:dyDescent="0.55000000000000004">
      <c r="O3" s="14"/>
      <c r="P3" s="14"/>
      <c r="Q3" s="14"/>
      <c r="R3" s="14"/>
      <c r="S3" s="14"/>
      <c r="T3" s="14"/>
      <c r="U3" s="14"/>
      <c r="V3" s="14"/>
      <c r="W3" s="14"/>
      <c r="X3" s="14"/>
      <c r="Y3" s="14"/>
      <c r="Z3" s="14"/>
    </row>
    <row r="4" spans="1:26" ht="41.25" customHeight="1" x14ac:dyDescent="0.45">
      <c r="A4" s="172" t="s">
        <v>1108</v>
      </c>
      <c r="B4" s="172"/>
      <c r="C4" s="172"/>
      <c r="D4" s="172"/>
      <c r="E4" s="172"/>
      <c r="F4" s="172"/>
      <c r="G4" s="172"/>
      <c r="H4" s="172"/>
      <c r="I4" s="172"/>
      <c r="J4" s="172"/>
      <c r="K4" s="126"/>
      <c r="L4" s="126"/>
      <c r="M4" s="126"/>
      <c r="O4" s="14"/>
      <c r="P4" s="14"/>
      <c r="Q4" s="14"/>
      <c r="R4" s="14"/>
      <c r="S4" s="14"/>
      <c r="T4" s="14"/>
      <c r="U4" s="14"/>
      <c r="V4" s="14"/>
      <c r="W4" s="14"/>
      <c r="X4" s="14"/>
      <c r="Y4" s="14"/>
      <c r="Z4" s="14"/>
    </row>
    <row r="6" spans="1:26" ht="15.75" x14ac:dyDescent="0.5">
      <c r="A6" s="2" t="s">
        <v>15</v>
      </c>
      <c r="B6" s="2" t="s">
        <v>16</v>
      </c>
    </row>
    <row r="7" spans="1:26" ht="15.75" x14ac:dyDescent="0.45">
      <c r="A7" s="23" t="s">
        <v>165</v>
      </c>
      <c r="B7" s="26" t="s">
        <v>498</v>
      </c>
    </row>
    <row r="8" spans="1:26" ht="15.75" customHeight="1" x14ac:dyDescent="0.45">
      <c r="A8" s="23" t="s">
        <v>1132</v>
      </c>
      <c r="B8" s="26" t="s">
        <v>1105</v>
      </c>
    </row>
    <row r="9" spans="1:26" ht="63" x14ac:dyDescent="0.45">
      <c r="A9" s="23" t="s">
        <v>1109</v>
      </c>
      <c r="B9" s="26" t="s">
        <v>1113</v>
      </c>
    </row>
    <row r="10" spans="1:26" ht="63" x14ac:dyDescent="0.45">
      <c r="A10" s="23" t="s">
        <v>1110</v>
      </c>
      <c r="B10" s="26" t="s">
        <v>1111</v>
      </c>
    </row>
    <row r="11" spans="1:26" ht="81.75" customHeight="1" x14ac:dyDescent="0.45">
      <c r="A11" s="23" t="s">
        <v>1097</v>
      </c>
      <c r="B11" s="26" t="s">
        <v>1112</v>
      </c>
    </row>
    <row r="12" spans="1:26" ht="67.5" customHeight="1" x14ac:dyDescent="0.45">
      <c r="A12" s="23" t="s">
        <v>1163</v>
      </c>
      <c r="B12" s="26" t="s">
        <v>1210</v>
      </c>
    </row>
    <row r="13" spans="1:26" ht="15.75" x14ac:dyDescent="0.5">
      <c r="A13" s="23"/>
      <c r="B13" s="24"/>
      <c r="O13" s="50"/>
    </row>
    <row r="14" spans="1:26" x14ac:dyDescent="0.55000000000000004">
      <c r="D14" s="1" t="s">
        <v>17</v>
      </c>
      <c r="F14" t="s">
        <v>1102</v>
      </c>
      <c r="G14" s="13" t="s">
        <v>165</v>
      </c>
      <c r="H14" s="13" t="s">
        <v>197</v>
      </c>
      <c r="I14" s="13" t="s">
        <v>1109</v>
      </c>
      <c r="J14" s="13" t="s">
        <v>1110</v>
      </c>
      <c r="K14" s="13" t="s">
        <v>1097</v>
      </c>
      <c r="L14" s="13" t="s">
        <v>1163</v>
      </c>
      <c r="O14" s="58" t="s">
        <v>192</v>
      </c>
      <c r="Q14" s="15" t="s">
        <v>201</v>
      </c>
      <c r="R14" s="15" t="s">
        <v>202</v>
      </c>
    </row>
    <row r="15" spans="1:26" x14ac:dyDescent="0.55000000000000004">
      <c r="D15" t="s">
        <v>195</v>
      </c>
      <c r="F15" s="49">
        <v>37622</v>
      </c>
      <c r="G15" s="92">
        <v>100.42</v>
      </c>
      <c r="H15" s="54" t="s">
        <v>200</v>
      </c>
      <c r="I15" s="54">
        <v>18</v>
      </c>
      <c r="J15" s="54">
        <v>96</v>
      </c>
      <c r="K15" s="54">
        <v>36</v>
      </c>
      <c r="L15" s="140" t="b">
        <v>1</v>
      </c>
      <c r="O15" s="58" t="e" cm="1">
        <f t="array" ref="O15:O267">_xlfn.LAMBDA(_xlpm.values,_xlop.trendCycle,_xlop.lowerCutoff,_xlop.upperCutoff,_xlop.lagLength,_xlop.drift,
_xlfn.LET(
    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_xlpm.drift, IF(OR(_xlfn.ISOMITTED(_xlpm.drift), ISBLANK(_xlpm.drift)), TRUE, _xlpm.drift),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_xlpm.AA, ZEROS(_xlpm.t, _xlpm.t),
    _xlpm.g, 1,
    _xlpm.cc, INDEX(_xlpm.g, 1),
    _xlpm.R_0, INDEX(_xlpm.BB, 1) * INDEX(_xlpm.cc, 1),
    _xlpm.r, _xlfn.SCAN(
        0,
        _xlfn.SEQUENCE(_xlpm.t),
        _xlfn.LAMBDA(_xlpm.accum,_xlpm.j,
            IF(
                _xlpm.j = 1,
                PI() * INDEX(_xlpm.BB, 1) * INDEX(_xlpm.cc, 1),
                _xlpm.accum - 2 * PI() * INDEX(_xlpm.BB, _xlpm.j - 1) * INDEX(_xlpm.cc, 1)
            )
        )
    ),
    _xlpm.bb_0, ZEROS(2 * _xlpm.nfix + 1, 1),
    _xlpm.bb_1, SLICE(_xlpm.bb_0, _xlpm.nfix + 1, 2 * _xlpm.nfix + 1, 1, 1, INDEX(_xlpm.BB, _xlfn.SEQUENCE(_xlpm.nfix + 1))),
    _xlpm.bb_2, SLICE(_xlpm.bb_1, 1, _xlpm.nfix, 1, 1, FLIPUD(INDEX(_xlpm.BB, _xlfn.SEQUENCE(_xlpm.nfix, 1, 2)))),
    _xlpm.bb_3t, TRANSPOSE(_xlpm.bb_2 - SUM(_xlpm.bb_2) / (2 * _xlpm.nfix + 1)),
    _xlpm.origin, _xlfn.EXPAND(REPMAT(_xlpm.bb_3t, _xlpm.t - 2 * _xlpm.nfix, 1), _xlpm.t - 2 * _xlpm.nfix, _xlpm.t, 0),
    _xlpm.rowMatrix, REPMAT(_xlfn.SEQUENCE(ROWS(_xlpm.origin)), 1, _xlpm.t),
    _xlpm.colMatrix, _xlfn.MAKEARRAY(
        ROWS(_xlpm.origin),
        COLUMNS(_xlpm.origin),
        _xlfn.LAMBDA(_xlpm.row,_xlpm.col, IF(_xlpm.row = _xlpm.col, 1, IF(_xlpm.row &gt; _xlpm.col, _xlpm.t, _xlpm.col - _xlpm.row + 1)))
    ),
    _xlpm.AA_1, _xlfn.VSTACK(ZEROS(_xlpm.nfix, _xlpm.t), INDEX(_xlpm.origin, _xlpm.rowMatrix, _xlpm.colMatrix), ZEROS(_xlpm.nfix, _xlpm.t)),
    _xlpm.cycle, _xlfn.VSTACK(
        NA() * _xlfn.SEQUENCE(_xlpm.nfix),
        _xlfn.CHOOSEROWS(MMULT(_xlpm.AA_1, _xlpm.yDrift), _xlfn.SEQUENCE(_xlpm.t - 2 * _xlpm.nfix, 1, _xlpm.nfix + 1)),
        NA() * _xlfn.SEQUENCE(_xlpm.nfix)
    ),
    _xlpm.final, IF(
        _xlpm.trendCycle = "t",
        _xlpm.y - _xlpm.cycle,
        IF(_xlpm.trendCycle = "c", _xlpm.cycle, "#trendCycle must be either ""t"" or ""c""")
    ),
    _xlpm.final
))($G$15:$G$267,$H$15,$I$15,$J$15,$K$15)</f>
        <v>#N/A</v>
      </c>
      <c r="P15" s="53"/>
      <c r="Q15" s="53" t="e" cm="1">
        <f t="array" ref="Q15:Q267">BKFILTER($G$15:$G$267,"T",$I$15,$J$15,$K$15,$L$15)</f>
        <v>#N/A</v>
      </c>
      <c r="R15" s="15" t="e" cm="1">
        <f t="array" ref="R15:R267">BKFILTER($G$15:$G$267,"C",$I$15,$J$15,$K$15,$L$15)</f>
        <v>#N/A</v>
      </c>
    </row>
    <row r="16" spans="1:26" x14ac:dyDescent="0.55000000000000004">
      <c r="D16" t="s">
        <v>222</v>
      </c>
      <c r="F16" s="49">
        <v>37653</v>
      </c>
      <c r="G16" s="92">
        <v>101.99</v>
      </c>
      <c r="O16" s="58" t="e">
        <v>#N/A</v>
      </c>
      <c r="P16" s="53"/>
      <c r="Q16" s="53" t="e">
        <v>#N/A</v>
      </c>
      <c r="R16" s="15" t="e">
        <v>#N/A</v>
      </c>
    </row>
    <row r="17" spans="1:26" x14ac:dyDescent="0.55000000000000004">
      <c r="F17" s="49">
        <v>37681</v>
      </c>
      <c r="G17" s="92">
        <v>101.8</v>
      </c>
      <c r="O17" s="58" t="e">
        <v>#N/A</v>
      </c>
      <c r="P17" s="53"/>
      <c r="Q17" s="53" t="e">
        <v>#N/A</v>
      </c>
      <c r="R17" s="15" t="e">
        <v>#N/A</v>
      </c>
    </row>
    <row r="18" spans="1:26" ht="18.75" customHeight="1" x14ac:dyDescent="0.55000000000000004">
      <c r="D18" s="173"/>
      <c r="F18" s="49">
        <v>37712</v>
      </c>
      <c r="G18" s="92">
        <v>101.01</v>
      </c>
      <c r="O18" s="58" t="e">
        <v>#N/A</v>
      </c>
      <c r="P18" s="53"/>
      <c r="Q18" s="53" t="e">
        <v>#N/A</v>
      </c>
      <c r="R18" s="15" t="e">
        <v>#N/A</v>
      </c>
    </row>
    <row r="19" spans="1:26" x14ac:dyDescent="0.55000000000000004">
      <c r="D19" s="173"/>
      <c r="F19" s="49">
        <v>37742</v>
      </c>
      <c r="G19" s="92">
        <v>99.97</v>
      </c>
      <c r="O19" s="58" t="e">
        <v>#N/A</v>
      </c>
      <c r="P19" s="53"/>
      <c r="Q19" s="53" t="e">
        <v>#N/A</v>
      </c>
      <c r="R19" s="15" t="e">
        <v>#N/A</v>
      </c>
    </row>
    <row r="20" spans="1:26" x14ac:dyDescent="0.55000000000000004">
      <c r="D20" s="46"/>
      <c r="F20" s="49">
        <v>37773</v>
      </c>
      <c r="G20" s="92">
        <v>100.14</v>
      </c>
      <c r="O20" s="58" t="e">
        <v>#N/A</v>
      </c>
      <c r="P20" s="53"/>
      <c r="Q20" s="53" t="e">
        <v>#N/A</v>
      </c>
      <c r="R20" s="15" t="e">
        <v>#N/A</v>
      </c>
    </row>
    <row r="21" spans="1:26" x14ac:dyDescent="0.55000000000000004">
      <c r="F21" s="49">
        <v>37803</v>
      </c>
      <c r="G21" s="92">
        <v>98.94</v>
      </c>
      <c r="O21" s="58" t="e">
        <v>#N/A</v>
      </c>
      <c r="P21" s="53"/>
      <c r="Q21" s="53" t="e">
        <v>#N/A</v>
      </c>
      <c r="R21" s="15" t="e">
        <v>#N/A</v>
      </c>
    </row>
    <row r="22" spans="1:26" x14ac:dyDescent="0.55000000000000004">
      <c r="F22" s="49">
        <v>37834</v>
      </c>
      <c r="G22" s="92">
        <v>99.82</v>
      </c>
      <c r="O22" s="58" t="e">
        <v>#N/A</v>
      </c>
      <c r="P22" s="53"/>
      <c r="Q22" s="53" t="e">
        <v>#N/A</v>
      </c>
      <c r="R22" s="15" t="e">
        <v>#N/A</v>
      </c>
    </row>
    <row r="23" spans="1:26" x14ac:dyDescent="0.55000000000000004">
      <c r="F23" s="49">
        <v>37865</v>
      </c>
      <c r="G23" s="92">
        <v>101.66</v>
      </c>
      <c r="O23" s="58" t="e">
        <v>#N/A</v>
      </c>
      <c r="P23" s="53"/>
      <c r="Q23" s="53" t="e">
        <v>#N/A</v>
      </c>
      <c r="R23" s="15" t="e">
        <v>#N/A</v>
      </c>
    </row>
    <row r="24" spans="1:26" s="21" customFormat="1" x14ac:dyDescent="0.55000000000000004">
      <c r="A24" s="17"/>
      <c r="B24"/>
      <c r="C24"/>
      <c r="D24"/>
      <c r="E24"/>
      <c r="F24" s="49">
        <v>37895</v>
      </c>
      <c r="G24" s="92">
        <v>101.86</v>
      </c>
      <c r="H24"/>
      <c r="I24"/>
      <c r="J24"/>
      <c r="K24"/>
      <c r="L24"/>
      <c r="M24"/>
      <c r="N24"/>
      <c r="O24" s="58" t="e">
        <v>#N/A</v>
      </c>
      <c r="P24" s="53"/>
      <c r="Q24" s="53" t="e">
        <v>#N/A</v>
      </c>
      <c r="R24" s="15" t="e">
        <v>#N/A</v>
      </c>
      <c r="S24" s="15"/>
      <c r="T24" s="15"/>
      <c r="U24" s="15"/>
      <c r="V24" s="15"/>
      <c r="W24" s="15"/>
      <c r="X24" s="15"/>
      <c r="Y24" s="15"/>
      <c r="Z24" s="15"/>
    </row>
    <row r="25" spans="1:26" s="21" customFormat="1" x14ac:dyDescent="0.55000000000000004">
      <c r="A25" s="17"/>
      <c r="B25"/>
      <c r="C25"/>
      <c r="D25"/>
      <c r="E25"/>
      <c r="F25" s="49">
        <v>37926</v>
      </c>
      <c r="G25" s="92">
        <v>102</v>
      </c>
      <c r="H25"/>
      <c r="I25"/>
      <c r="J25"/>
      <c r="K25"/>
      <c r="L25"/>
      <c r="M25"/>
      <c r="N25"/>
      <c r="O25" s="58" t="e">
        <v>#N/A</v>
      </c>
      <c r="P25" s="53"/>
      <c r="Q25" s="53" t="e">
        <v>#N/A</v>
      </c>
      <c r="R25" s="15" t="e">
        <v>#N/A</v>
      </c>
      <c r="S25" s="15"/>
      <c r="T25" s="15"/>
      <c r="U25" s="15"/>
      <c r="V25" s="15"/>
      <c r="W25" s="15"/>
      <c r="X25" s="15"/>
      <c r="Y25" s="15"/>
      <c r="Z25" s="15"/>
    </row>
    <row r="26" spans="1:26" s="21" customFormat="1" x14ac:dyDescent="0.55000000000000004">
      <c r="A26" s="17"/>
      <c r="B26"/>
      <c r="C26"/>
      <c r="D26"/>
      <c r="E26"/>
      <c r="F26" s="49">
        <v>37956</v>
      </c>
      <c r="G26" s="92">
        <v>101.94</v>
      </c>
      <c r="H26"/>
      <c r="I26"/>
      <c r="J26"/>
      <c r="K26"/>
      <c r="L26"/>
      <c r="M26"/>
      <c r="N26"/>
      <c r="O26" s="58" t="e">
        <v>#N/A</v>
      </c>
      <c r="P26" s="53"/>
      <c r="Q26" s="53" t="e">
        <v>#N/A</v>
      </c>
      <c r="R26" s="15" t="e">
        <v>#N/A</v>
      </c>
      <c r="S26" s="15"/>
      <c r="T26" s="15"/>
      <c r="U26" s="15"/>
      <c r="V26" s="15"/>
      <c r="W26" s="15"/>
      <c r="X26" s="15"/>
      <c r="Y26" s="15"/>
      <c r="Z26" s="15"/>
    </row>
    <row r="27" spans="1:26" s="21" customFormat="1" x14ac:dyDescent="0.55000000000000004">
      <c r="A27" s="17"/>
      <c r="B27"/>
      <c r="C27"/>
      <c r="D27"/>
      <c r="E27"/>
      <c r="F27" s="49">
        <v>37987</v>
      </c>
      <c r="G27" s="92">
        <v>103.64</v>
      </c>
      <c r="H27"/>
      <c r="I27"/>
      <c r="J27"/>
      <c r="K27"/>
      <c r="L27"/>
      <c r="M27"/>
      <c r="N27"/>
      <c r="O27" s="58" t="e">
        <v>#N/A</v>
      </c>
      <c r="P27" s="53"/>
      <c r="Q27" s="53" t="e">
        <v>#N/A</v>
      </c>
      <c r="R27" s="15" t="e">
        <v>#N/A</v>
      </c>
      <c r="S27" s="15"/>
      <c r="T27" s="15"/>
      <c r="U27" s="15"/>
      <c r="V27" s="15"/>
      <c r="W27" s="15"/>
      <c r="X27" s="15"/>
      <c r="Y27" s="15"/>
      <c r="Z27" s="15"/>
    </row>
    <row r="28" spans="1:26" s="21" customFormat="1" x14ac:dyDescent="0.55000000000000004">
      <c r="A28" s="17"/>
      <c r="B28"/>
      <c r="C28"/>
      <c r="D28"/>
      <c r="E28"/>
      <c r="F28" s="49">
        <v>38018</v>
      </c>
      <c r="G28" s="92">
        <v>104.52</v>
      </c>
      <c r="H28"/>
      <c r="I28"/>
      <c r="J28"/>
      <c r="K28"/>
      <c r="L28"/>
      <c r="M28"/>
      <c r="N28"/>
      <c r="O28" s="58" t="e">
        <v>#N/A</v>
      </c>
      <c r="P28" s="53"/>
      <c r="Q28" s="53" t="e">
        <v>#N/A</v>
      </c>
      <c r="R28" s="15" t="e">
        <v>#N/A</v>
      </c>
      <c r="S28" s="15"/>
      <c r="T28" s="15"/>
      <c r="U28" s="15"/>
      <c r="V28" s="15"/>
      <c r="W28" s="15"/>
      <c r="X28" s="15"/>
      <c r="Y28" s="15"/>
      <c r="Z28" s="15"/>
    </row>
    <row r="29" spans="1:26" s="21" customFormat="1" x14ac:dyDescent="0.55000000000000004">
      <c r="A29" s="17"/>
      <c r="B29"/>
      <c r="C29"/>
      <c r="D29"/>
      <c r="E29"/>
      <c r="F29" s="49">
        <v>38047</v>
      </c>
      <c r="G29" s="92">
        <v>105.83</v>
      </c>
      <c r="H29"/>
      <c r="I29"/>
      <c r="J29"/>
      <c r="K29"/>
      <c r="L29"/>
      <c r="M29"/>
      <c r="N29"/>
      <c r="O29" s="58" t="e">
        <v>#N/A</v>
      </c>
      <c r="P29" s="53"/>
      <c r="Q29" s="53" t="e">
        <v>#N/A</v>
      </c>
      <c r="R29" s="15" t="e">
        <v>#N/A</v>
      </c>
      <c r="S29" s="15"/>
      <c r="T29" s="15"/>
      <c r="U29" s="15"/>
      <c r="V29" s="15"/>
      <c r="W29" s="15"/>
      <c r="X29" s="15"/>
      <c r="Y29" s="15"/>
      <c r="Z29" s="15"/>
    </row>
    <row r="30" spans="1:26" s="21" customFormat="1" x14ac:dyDescent="0.55000000000000004">
      <c r="A30" s="17"/>
      <c r="B30"/>
      <c r="C30"/>
      <c r="D30"/>
      <c r="E30"/>
      <c r="F30" s="49">
        <v>38078</v>
      </c>
      <c r="G30" s="92">
        <v>106.41</v>
      </c>
      <c r="H30"/>
      <c r="I30"/>
      <c r="J30"/>
      <c r="K30"/>
      <c r="L30"/>
      <c r="M30"/>
      <c r="N30"/>
      <c r="O30" s="58" t="e">
        <v>#N/A</v>
      </c>
      <c r="P30" s="53"/>
      <c r="Q30" s="53" t="e">
        <v>#N/A</v>
      </c>
      <c r="R30" s="15" t="e">
        <v>#N/A</v>
      </c>
      <c r="S30" s="15"/>
      <c r="T30" s="15"/>
      <c r="U30" s="15"/>
      <c r="V30" s="15"/>
      <c r="W30" s="15"/>
      <c r="X30" s="15"/>
      <c r="Y30" s="15"/>
      <c r="Z30" s="15"/>
    </row>
    <row r="31" spans="1:26" s="21" customFormat="1" x14ac:dyDescent="0.55000000000000004">
      <c r="A31" s="17"/>
      <c r="B31"/>
      <c r="C31"/>
      <c r="D31"/>
      <c r="E31"/>
      <c r="F31" s="49">
        <v>38108</v>
      </c>
      <c r="G31" s="92">
        <v>106.33</v>
      </c>
      <c r="H31"/>
      <c r="I31"/>
      <c r="J31"/>
      <c r="K31"/>
      <c r="L31"/>
      <c r="M31"/>
      <c r="N31"/>
      <c r="O31" s="58" t="e">
        <v>#N/A</v>
      </c>
      <c r="P31" s="53"/>
      <c r="Q31" s="53" t="e">
        <v>#N/A</v>
      </c>
      <c r="R31" s="15" t="e">
        <v>#N/A</v>
      </c>
      <c r="S31" s="15"/>
      <c r="T31" s="15"/>
      <c r="U31" s="15"/>
      <c r="V31" s="15"/>
      <c r="W31" s="15"/>
      <c r="X31" s="15"/>
      <c r="Y31" s="15"/>
      <c r="Z31" s="15"/>
    </row>
    <row r="32" spans="1:26" s="21" customFormat="1" x14ac:dyDescent="0.55000000000000004">
      <c r="A32" s="17"/>
      <c r="B32"/>
      <c r="C32"/>
      <c r="D32"/>
      <c r="E32"/>
      <c r="F32" s="49">
        <v>38139</v>
      </c>
      <c r="G32" s="92">
        <v>107.19</v>
      </c>
      <c r="H32"/>
      <c r="I32"/>
      <c r="J32"/>
      <c r="K32"/>
      <c r="L32"/>
      <c r="M32"/>
      <c r="N32"/>
      <c r="O32" s="58" t="e">
        <v>#N/A</v>
      </c>
      <c r="P32" s="53"/>
      <c r="Q32" s="53" t="e">
        <v>#N/A</v>
      </c>
      <c r="R32" s="15" t="e">
        <v>#N/A</v>
      </c>
      <c r="S32" s="15"/>
      <c r="T32" s="15"/>
      <c r="U32" s="15"/>
      <c r="V32" s="15"/>
      <c r="W32" s="15"/>
      <c r="X32" s="15"/>
      <c r="Y32" s="15"/>
      <c r="Z32" s="15"/>
    </row>
    <row r="33" spans="1:26" s="21" customFormat="1" x14ac:dyDescent="0.55000000000000004">
      <c r="A33" s="17"/>
      <c r="B33"/>
      <c r="C33"/>
      <c r="D33"/>
      <c r="E33"/>
      <c r="F33" s="49">
        <v>38169</v>
      </c>
      <c r="G33" s="92">
        <v>107.67</v>
      </c>
      <c r="H33"/>
      <c r="I33"/>
      <c r="J33"/>
      <c r="K33"/>
      <c r="L33"/>
      <c r="M33"/>
      <c r="N33"/>
      <c r="O33" s="58" t="e">
        <v>#N/A</v>
      </c>
      <c r="P33" s="53"/>
      <c r="Q33" s="53" t="e">
        <v>#N/A</v>
      </c>
      <c r="R33" s="15" t="e">
        <v>#N/A</v>
      </c>
      <c r="S33" s="15"/>
      <c r="T33" s="15"/>
      <c r="U33" s="15"/>
      <c r="V33" s="15"/>
      <c r="W33" s="15"/>
      <c r="X33" s="15"/>
      <c r="Y33" s="15"/>
      <c r="Z33" s="15"/>
    </row>
    <row r="34" spans="1:26" s="21" customFormat="1" x14ac:dyDescent="0.55000000000000004">
      <c r="A34" s="17"/>
      <c r="B34"/>
      <c r="C34"/>
      <c r="D34"/>
      <c r="E34"/>
      <c r="F34" s="49">
        <v>38200</v>
      </c>
      <c r="G34" s="92">
        <v>108.18</v>
      </c>
      <c r="H34"/>
      <c r="I34"/>
      <c r="J34"/>
      <c r="K34"/>
      <c r="L34"/>
      <c r="M34"/>
      <c r="N34"/>
      <c r="O34" s="58" t="e">
        <v>#N/A</v>
      </c>
      <c r="P34" s="53"/>
      <c r="Q34" s="53" t="e">
        <v>#N/A</v>
      </c>
      <c r="R34" s="15" t="e">
        <v>#N/A</v>
      </c>
      <c r="S34" s="15"/>
      <c r="T34" s="15"/>
      <c r="U34" s="15"/>
      <c r="V34" s="15"/>
      <c r="W34" s="15"/>
      <c r="X34" s="15"/>
      <c r="Y34" s="15"/>
      <c r="Z34" s="15"/>
    </row>
    <row r="35" spans="1:26" s="21" customFormat="1" x14ac:dyDescent="0.55000000000000004">
      <c r="A35" s="17"/>
      <c r="B35"/>
      <c r="C35"/>
      <c r="D35"/>
      <c r="E35"/>
      <c r="F35" s="49">
        <v>38231</v>
      </c>
      <c r="G35" s="92">
        <v>109.16</v>
      </c>
      <c r="H35"/>
      <c r="I35"/>
      <c r="J35"/>
      <c r="K35"/>
      <c r="L35"/>
      <c r="M35"/>
      <c r="N35"/>
      <c r="O35" s="58" t="e">
        <v>#N/A</v>
      </c>
      <c r="P35" s="53"/>
      <c r="Q35" s="53" t="e">
        <v>#N/A</v>
      </c>
      <c r="R35" s="15" t="e">
        <v>#N/A</v>
      </c>
      <c r="S35" s="15"/>
      <c r="T35" s="15"/>
      <c r="U35" s="15"/>
      <c r="V35" s="15"/>
      <c r="W35" s="15"/>
      <c r="X35" s="15"/>
      <c r="Y35" s="15"/>
      <c r="Z35" s="15"/>
    </row>
    <row r="36" spans="1:26" s="21" customFormat="1" x14ac:dyDescent="0.55000000000000004">
      <c r="A36" s="17"/>
      <c r="B36"/>
      <c r="C36"/>
      <c r="D36"/>
      <c r="E36"/>
      <c r="F36" s="49">
        <v>38261</v>
      </c>
      <c r="G36" s="92">
        <v>108.73</v>
      </c>
      <c r="H36"/>
      <c r="I36"/>
      <c r="J36"/>
      <c r="K36"/>
      <c r="L36"/>
      <c r="M36"/>
      <c r="N36"/>
      <c r="O36" s="58" t="e">
        <v>#N/A</v>
      </c>
      <c r="P36" s="53"/>
      <c r="Q36" s="53" t="e">
        <v>#N/A</v>
      </c>
      <c r="R36" s="15" t="e">
        <v>#N/A</v>
      </c>
      <c r="S36" s="15"/>
      <c r="T36" s="15"/>
      <c r="U36" s="15"/>
      <c r="V36" s="15"/>
      <c r="W36" s="15"/>
      <c r="X36" s="15"/>
      <c r="Y36" s="15"/>
      <c r="Z36" s="15"/>
    </row>
    <row r="37" spans="1:26" s="21" customFormat="1" x14ac:dyDescent="0.55000000000000004">
      <c r="A37" s="17"/>
      <c r="B37"/>
      <c r="C37"/>
      <c r="D37"/>
      <c r="E37"/>
      <c r="F37" s="49">
        <v>38292</v>
      </c>
      <c r="G37" s="92">
        <v>109.67</v>
      </c>
      <c r="H37"/>
      <c r="I37"/>
      <c r="J37"/>
      <c r="K37"/>
      <c r="L37"/>
      <c r="M37"/>
      <c r="N37"/>
      <c r="O37" s="58" t="e">
        <v>#N/A</v>
      </c>
      <c r="P37" s="53"/>
      <c r="Q37" s="53" t="e">
        <v>#N/A</v>
      </c>
      <c r="R37" s="15" t="e">
        <v>#N/A</v>
      </c>
      <c r="S37" s="15"/>
      <c r="T37" s="15"/>
      <c r="U37" s="15"/>
      <c r="V37" s="15"/>
      <c r="W37" s="15"/>
      <c r="X37" s="15"/>
      <c r="Y37" s="15"/>
      <c r="Z37" s="15"/>
    </row>
    <row r="38" spans="1:26" s="21" customFormat="1" x14ac:dyDescent="0.55000000000000004">
      <c r="A38" s="17"/>
      <c r="B38"/>
      <c r="C38"/>
      <c r="D38"/>
      <c r="E38"/>
      <c r="F38" s="49">
        <v>38322</v>
      </c>
      <c r="G38" s="92">
        <v>109.08</v>
      </c>
      <c r="H38"/>
      <c r="I38"/>
      <c r="J38"/>
      <c r="K38"/>
      <c r="L38"/>
      <c r="M38"/>
      <c r="N38"/>
      <c r="O38" s="58" t="e">
        <v>#N/A</v>
      </c>
      <c r="P38" s="53"/>
      <c r="Q38" s="53" t="e">
        <v>#N/A</v>
      </c>
      <c r="R38" s="15" t="e">
        <v>#N/A</v>
      </c>
      <c r="S38" s="15"/>
      <c r="T38" s="15"/>
      <c r="U38" s="15"/>
      <c r="V38" s="15"/>
      <c r="W38" s="15"/>
      <c r="X38" s="15"/>
      <c r="Y38" s="15"/>
      <c r="Z38" s="15"/>
    </row>
    <row r="39" spans="1:26" s="21" customFormat="1" x14ac:dyDescent="0.55000000000000004">
      <c r="A39" s="17"/>
      <c r="B39"/>
      <c r="C39"/>
      <c r="D39"/>
      <c r="E39"/>
      <c r="F39" s="49">
        <v>38353</v>
      </c>
      <c r="G39" s="92">
        <v>109.54</v>
      </c>
      <c r="H39"/>
      <c r="I39"/>
      <c r="J39"/>
      <c r="K39"/>
      <c r="L39"/>
      <c r="M39"/>
      <c r="N39"/>
      <c r="O39" s="58" t="e">
        <v>#N/A</v>
      </c>
      <c r="P39" s="53"/>
      <c r="Q39" s="53" t="e">
        <v>#N/A</v>
      </c>
      <c r="R39" s="15" t="e">
        <v>#N/A</v>
      </c>
      <c r="S39" s="15"/>
      <c r="T39" s="15"/>
      <c r="U39" s="15"/>
      <c r="V39" s="15"/>
      <c r="W39" s="15"/>
      <c r="X39" s="15"/>
      <c r="Y39" s="15"/>
      <c r="Z39" s="15"/>
    </row>
    <row r="40" spans="1:26" s="21" customFormat="1" x14ac:dyDescent="0.55000000000000004">
      <c r="A40" s="17"/>
      <c r="B40"/>
      <c r="C40"/>
      <c r="D40"/>
      <c r="E40"/>
      <c r="F40" s="49">
        <v>38384</v>
      </c>
      <c r="G40" s="92">
        <v>110.2</v>
      </c>
      <c r="H40"/>
      <c r="I40"/>
      <c r="J40"/>
      <c r="K40"/>
      <c r="L40"/>
      <c r="M40"/>
      <c r="N40"/>
      <c r="O40" s="58" t="e">
        <v>#N/A</v>
      </c>
      <c r="P40" s="53"/>
      <c r="Q40" s="53" t="e">
        <v>#N/A</v>
      </c>
      <c r="R40" s="15" t="e">
        <v>#N/A</v>
      </c>
      <c r="S40" s="15"/>
      <c r="T40" s="15"/>
      <c r="U40" s="15"/>
      <c r="V40" s="15"/>
      <c r="W40" s="15"/>
      <c r="X40" s="15"/>
      <c r="Y40" s="15"/>
      <c r="Z40" s="15"/>
    </row>
    <row r="41" spans="1:26" s="21" customFormat="1" x14ac:dyDescent="0.55000000000000004">
      <c r="A41" s="17"/>
      <c r="B41"/>
      <c r="C41"/>
      <c r="D41"/>
      <c r="E41"/>
      <c r="F41" s="49">
        <v>38412</v>
      </c>
      <c r="G41" s="92">
        <v>110.38</v>
      </c>
      <c r="H41"/>
      <c r="I41"/>
      <c r="J41"/>
      <c r="K41"/>
      <c r="L41"/>
      <c r="M41"/>
      <c r="N41"/>
      <c r="O41" s="58" t="e">
        <v>#N/A</v>
      </c>
      <c r="P41" s="53"/>
      <c r="Q41" s="53" t="e">
        <v>#N/A</v>
      </c>
      <c r="R41" s="15" t="e">
        <v>#N/A</v>
      </c>
      <c r="S41" s="15"/>
      <c r="T41" s="15"/>
      <c r="U41" s="15"/>
      <c r="V41" s="15"/>
      <c r="W41" s="15"/>
      <c r="X41" s="15"/>
      <c r="Y41" s="15"/>
      <c r="Z41" s="15"/>
    </row>
    <row r="42" spans="1:26" s="21" customFormat="1" x14ac:dyDescent="0.55000000000000004">
      <c r="A42" s="17"/>
      <c r="B42"/>
      <c r="C42"/>
      <c r="D42"/>
      <c r="E42"/>
      <c r="F42" s="49">
        <v>38443</v>
      </c>
      <c r="G42" s="92">
        <v>111.11</v>
      </c>
      <c r="H42"/>
      <c r="I42"/>
      <c r="J42"/>
      <c r="K42"/>
      <c r="L42"/>
      <c r="M42"/>
      <c r="N42"/>
      <c r="O42" s="58" t="e">
        <v>#N/A</v>
      </c>
      <c r="P42" s="53"/>
      <c r="Q42" s="53" t="e">
        <v>#N/A</v>
      </c>
      <c r="R42" s="15" t="e">
        <v>#N/A</v>
      </c>
      <c r="S42" s="15"/>
      <c r="T42" s="15"/>
      <c r="U42" s="15"/>
      <c r="V42" s="15"/>
      <c r="W42" s="15"/>
      <c r="X42" s="15"/>
      <c r="Y42" s="15"/>
      <c r="Z42" s="15"/>
    </row>
    <row r="43" spans="1:26" s="21" customFormat="1" x14ac:dyDescent="0.55000000000000004">
      <c r="A43" s="17"/>
      <c r="B43"/>
      <c r="C43"/>
      <c r="D43"/>
      <c r="E43"/>
      <c r="F43" s="49">
        <v>38473</v>
      </c>
      <c r="G43" s="92">
        <v>111</v>
      </c>
      <c r="H43"/>
      <c r="I43"/>
      <c r="J43"/>
      <c r="K43"/>
      <c r="L43"/>
      <c r="M43"/>
      <c r="N43"/>
      <c r="O43" s="58" t="e">
        <v>#N/A</v>
      </c>
      <c r="P43" s="53"/>
      <c r="Q43" s="53" t="e">
        <v>#N/A</v>
      </c>
      <c r="R43" s="15" t="e">
        <v>#N/A</v>
      </c>
      <c r="S43" s="15"/>
      <c r="T43" s="15"/>
      <c r="U43" s="15"/>
      <c r="V43" s="15"/>
      <c r="W43" s="15"/>
      <c r="X43" s="15"/>
      <c r="Y43" s="15"/>
      <c r="Z43" s="15"/>
    </row>
    <row r="44" spans="1:26" s="21" customFormat="1" x14ac:dyDescent="0.55000000000000004">
      <c r="A44" s="17"/>
      <c r="B44"/>
      <c r="C44"/>
      <c r="D44"/>
      <c r="E44"/>
      <c r="F44" s="49">
        <v>38504</v>
      </c>
      <c r="G44" s="92">
        <v>110.33</v>
      </c>
      <c r="H44"/>
      <c r="I44"/>
      <c r="J44"/>
      <c r="K44"/>
      <c r="L44"/>
      <c r="M44"/>
      <c r="N44"/>
      <c r="O44" s="58" t="e">
        <v>#N/A</v>
      </c>
      <c r="P44" s="53"/>
      <c r="Q44" s="53" t="e">
        <v>#N/A</v>
      </c>
      <c r="R44" s="15" t="e">
        <v>#N/A</v>
      </c>
      <c r="S44" s="15"/>
      <c r="T44" s="15"/>
      <c r="U44" s="15"/>
      <c r="V44" s="15"/>
      <c r="W44" s="15"/>
      <c r="X44" s="15"/>
      <c r="Y44" s="15"/>
      <c r="Z44" s="15"/>
    </row>
    <row r="45" spans="1:26" s="21" customFormat="1" x14ac:dyDescent="0.55000000000000004">
      <c r="A45" s="17"/>
      <c r="B45"/>
      <c r="C45"/>
      <c r="D45"/>
      <c r="E45"/>
      <c r="F45" s="49">
        <v>38534</v>
      </c>
      <c r="G45" s="92">
        <v>110.43</v>
      </c>
      <c r="H45"/>
      <c r="I45"/>
      <c r="J45"/>
      <c r="K45"/>
      <c r="L45"/>
      <c r="M45"/>
      <c r="N45"/>
      <c r="O45" s="58" t="e">
        <v>#N/A</v>
      </c>
      <c r="P45" s="53"/>
      <c r="Q45" s="53" t="e">
        <v>#N/A</v>
      </c>
      <c r="R45" s="15" t="e">
        <v>#N/A</v>
      </c>
      <c r="S45" s="15"/>
      <c r="T45" s="15"/>
      <c r="U45" s="15"/>
      <c r="V45" s="15"/>
      <c r="W45" s="15"/>
      <c r="X45" s="15"/>
      <c r="Y45" s="15"/>
      <c r="Z45" s="15"/>
    </row>
    <row r="46" spans="1:26" s="21" customFormat="1" x14ac:dyDescent="0.55000000000000004">
      <c r="A46" s="17"/>
      <c r="B46"/>
      <c r="C46"/>
      <c r="D46"/>
      <c r="E46"/>
      <c r="F46" s="49">
        <v>38565</v>
      </c>
      <c r="G46" s="92">
        <v>111.22</v>
      </c>
      <c r="H46"/>
      <c r="I46"/>
      <c r="J46"/>
      <c r="K46"/>
      <c r="L46"/>
      <c r="M46"/>
      <c r="N46"/>
      <c r="O46" s="58" t="e">
        <v>#N/A</v>
      </c>
      <c r="P46" s="53"/>
      <c r="Q46" s="53" t="e">
        <v>#N/A</v>
      </c>
      <c r="R46" s="15" t="e">
        <v>#N/A</v>
      </c>
      <c r="S46" s="15"/>
      <c r="T46" s="15"/>
      <c r="U46" s="15"/>
      <c r="V46" s="15"/>
      <c r="W46" s="15"/>
      <c r="X46" s="15"/>
      <c r="Y46" s="15"/>
      <c r="Z46" s="15"/>
    </row>
    <row r="47" spans="1:26" s="21" customFormat="1" x14ac:dyDescent="0.55000000000000004">
      <c r="A47" s="17"/>
      <c r="B47"/>
      <c r="C47"/>
      <c r="D47"/>
      <c r="E47"/>
      <c r="F47" s="49">
        <v>38596</v>
      </c>
      <c r="G47" s="92">
        <v>110.72</v>
      </c>
      <c r="H47"/>
      <c r="I47"/>
      <c r="J47"/>
      <c r="K47"/>
      <c r="L47"/>
      <c r="M47"/>
      <c r="N47"/>
      <c r="O47" s="58" t="e">
        <v>#N/A</v>
      </c>
      <c r="P47" s="53"/>
      <c r="Q47" s="53" t="e">
        <v>#N/A</v>
      </c>
      <c r="R47" s="15" t="e">
        <v>#N/A</v>
      </c>
      <c r="S47" s="15"/>
      <c r="T47" s="15"/>
      <c r="U47" s="15"/>
      <c r="V47" s="15"/>
      <c r="W47" s="15"/>
      <c r="X47" s="15"/>
      <c r="Y47" s="15"/>
      <c r="Z47" s="15"/>
    </row>
    <row r="48" spans="1:26" s="21" customFormat="1" x14ac:dyDescent="0.55000000000000004">
      <c r="A48" s="17"/>
      <c r="B48"/>
      <c r="C48"/>
      <c r="D48"/>
      <c r="E48"/>
      <c r="F48" s="49">
        <v>38626</v>
      </c>
      <c r="G48" s="92">
        <v>111.1</v>
      </c>
      <c r="H48"/>
      <c r="I48"/>
      <c r="J48"/>
      <c r="K48"/>
      <c r="L48"/>
      <c r="M48"/>
      <c r="N48"/>
      <c r="O48" s="58" t="e">
        <v>#N/A</v>
      </c>
      <c r="P48" s="53"/>
      <c r="Q48" s="53" t="e">
        <v>#N/A</v>
      </c>
      <c r="R48" s="15" t="e">
        <v>#N/A</v>
      </c>
      <c r="S48" s="15"/>
      <c r="T48" s="15"/>
      <c r="U48" s="15"/>
      <c r="V48" s="15"/>
      <c r="W48" s="15"/>
      <c r="X48" s="15"/>
      <c r="Y48" s="15"/>
      <c r="Z48" s="15"/>
    </row>
    <row r="49" spans="1:26" s="21" customFormat="1" x14ac:dyDescent="0.55000000000000004">
      <c r="A49" s="17"/>
      <c r="B49"/>
      <c r="C49"/>
      <c r="D49"/>
      <c r="E49"/>
      <c r="F49" s="49">
        <v>38657</v>
      </c>
      <c r="G49" s="92">
        <v>111.85</v>
      </c>
      <c r="H49"/>
      <c r="I49"/>
      <c r="J49"/>
      <c r="K49"/>
      <c r="L49"/>
      <c r="M49"/>
      <c r="N49"/>
      <c r="O49" s="58" t="e">
        <v>#N/A</v>
      </c>
      <c r="P49" s="53"/>
      <c r="Q49" s="53" t="e">
        <v>#N/A</v>
      </c>
      <c r="R49" s="15" t="e">
        <v>#N/A</v>
      </c>
      <c r="S49" s="15"/>
      <c r="T49" s="15"/>
      <c r="U49" s="15"/>
      <c r="V49" s="15"/>
      <c r="W49" s="15"/>
      <c r="X49" s="15"/>
      <c r="Y49" s="15"/>
      <c r="Z49" s="15"/>
    </row>
    <row r="50" spans="1:26" s="21" customFormat="1" x14ac:dyDescent="0.55000000000000004">
      <c r="A50" s="17"/>
      <c r="B50"/>
      <c r="C50"/>
      <c r="D50"/>
      <c r="E50"/>
      <c r="F50" s="49">
        <v>38687</v>
      </c>
      <c r="G50" s="92">
        <v>112.92</v>
      </c>
      <c r="H50"/>
      <c r="I50"/>
      <c r="J50"/>
      <c r="K50"/>
      <c r="L50"/>
      <c r="M50"/>
      <c r="N50"/>
      <c r="O50" s="58" t="e">
        <v>#N/A</v>
      </c>
      <c r="P50" s="53"/>
      <c r="Q50" s="53" t="e">
        <v>#N/A</v>
      </c>
      <c r="R50" s="15" t="e">
        <v>#N/A</v>
      </c>
      <c r="S50" s="15"/>
      <c r="T50" s="15"/>
      <c r="U50" s="15"/>
      <c r="V50" s="15"/>
      <c r="W50" s="15"/>
      <c r="X50" s="15"/>
      <c r="Y50" s="15"/>
      <c r="Z50" s="15"/>
    </row>
    <row r="51" spans="1:26" s="21" customFormat="1" x14ac:dyDescent="0.55000000000000004">
      <c r="A51" s="17"/>
      <c r="B51"/>
      <c r="C51"/>
      <c r="D51"/>
      <c r="E51"/>
      <c r="F51" s="49">
        <v>38718</v>
      </c>
      <c r="G51" s="92">
        <v>113.5</v>
      </c>
      <c r="H51"/>
      <c r="I51"/>
      <c r="J51"/>
      <c r="K51"/>
      <c r="L51"/>
      <c r="M51"/>
      <c r="N51"/>
      <c r="O51" s="58">
        <v>115.08913842307834</v>
      </c>
      <c r="P51" s="53"/>
      <c r="Q51" s="53">
        <v>115.08913842307834</v>
      </c>
      <c r="R51" s="15">
        <v>-1.5891384230783419</v>
      </c>
      <c r="S51" s="15"/>
      <c r="T51" s="15"/>
      <c r="U51" s="15"/>
      <c r="V51" s="15"/>
      <c r="W51" s="15"/>
      <c r="X51" s="15"/>
      <c r="Y51" s="15"/>
      <c r="Z51" s="15"/>
    </row>
    <row r="52" spans="1:26" s="21" customFormat="1" x14ac:dyDescent="0.55000000000000004">
      <c r="A52" s="17"/>
      <c r="B52"/>
      <c r="C52"/>
      <c r="D52"/>
      <c r="E52"/>
      <c r="F52" s="49">
        <v>38749</v>
      </c>
      <c r="G52" s="92">
        <v>113.72</v>
      </c>
      <c r="H52"/>
      <c r="I52"/>
      <c r="J52"/>
      <c r="K52"/>
      <c r="L52"/>
      <c r="M52"/>
      <c r="N52"/>
      <c r="O52" s="58">
        <v>115.09709173188251</v>
      </c>
      <c r="P52" s="53"/>
      <c r="Q52" s="53">
        <v>115.09709173188251</v>
      </c>
      <c r="R52" s="15">
        <v>-1.3770917318825091</v>
      </c>
      <c r="S52" s="15"/>
      <c r="T52" s="15"/>
      <c r="U52" s="15"/>
      <c r="V52" s="15"/>
      <c r="W52" s="15"/>
      <c r="X52" s="15"/>
      <c r="Y52" s="15"/>
      <c r="Z52" s="15"/>
    </row>
    <row r="53" spans="1:26" s="21" customFormat="1" x14ac:dyDescent="0.55000000000000004">
      <c r="A53" s="17"/>
      <c r="B53"/>
      <c r="C53"/>
      <c r="D53"/>
      <c r="E53"/>
      <c r="F53" s="49">
        <v>38777</v>
      </c>
      <c r="G53" s="92">
        <v>113.48</v>
      </c>
      <c r="H53"/>
      <c r="I53"/>
      <c r="J53"/>
      <c r="K53"/>
      <c r="L53"/>
      <c r="M53"/>
      <c r="N53"/>
      <c r="O53" s="58">
        <v>114.60285947382177</v>
      </c>
      <c r="P53" s="53"/>
      <c r="Q53" s="53">
        <v>114.60285947382177</v>
      </c>
      <c r="R53" s="15">
        <v>-1.1228594738217614</v>
      </c>
      <c r="S53" s="15"/>
      <c r="T53" s="15"/>
      <c r="U53" s="15"/>
      <c r="V53" s="15"/>
      <c r="W53" s="15"/>
      <c r="X53" s="15"/>
      <c r="Y53" s="15"/>
      <c r="Z53" s="15"/>
    </row>
    <row r="54" spans="1:26" s="21" customFormat="1" x14ac:dyDescent="0.55000000000000004">
      <c r="A54" s="17"/>
      <c r="B54"/>
      <c r="C54"/>
      <c r="D54"/>
      <c r="E54"/>
      <c r="F54" s="49">
        <v>38808</v>
      </c>
      <c r="G54" s="92">
        <v>114.36</v>
      </c>
      <c r="H54"/>
      <c r="I54"/>
      <c r="J54"/>
      <c r="K54"/>
      <c r="L54"/>
      <c r="M54"/>
      <c r="N54"/>
      <c r="O54" s="58">
        <v>115.21202083704279</v>
      </c>
      <c r="P54" s="53"/>
      <c r="Q54" s="53">
        <v>115.21202083704279</v>
      </c>
      <c r="R54" s="15">
        <v>-0.85202083704279064</v>
      </c>
      <c r="S54" s="15"/>
      <c r="T54" s="15"/>
      <c r="U54" s="15"/>
      <c r="V54" s="15"/>
      <c r="W54" s="15"/>
      <c r="X54" s="15"/>
      <c r="Y54" s="15"/>
      <c r="Z54" s="15"/>
    </row>
    <row r="55" spans="1:26" s="21" customFormat="1" x14ac:dyDescent="0.55000000000000004">
      <c r="A55" s="17"/>
      <c r="B55"/>
      <c r="C55"/>
      <c r="D55"/>
      <c r="E55"/>
      <c r="F55" s="49">
        <v>38838</v>
      </c>
      <c r="G55" s="92">
        <v>115.67</v>
      </c>
      <c r="H55"/>
      <c r="I55"/>
      <c r="J55"/>
      <c r="K55"/>
      <c r="L55"/>
      <c r="M55"/>
      <c r="N55"/>
      <c r="O55" s="58">
        <v>116.25573721140944</v>
      </c>
      <c r="P55" s="53"/>
      <c r="Q55" s="53">
        <v>116.25573721140944</v>
      </c>
      <c r="R55" s="15">
        <v>-0.58573721140944168</v>
      </c>
      <c r="S55" s="15"/>
      <c r="T55" s="15"/>
      <c r="U55" s="15"/>
      <c r="V55" s="15"/>
      <c r="W55" s="15"/>
      <c r="X55" s="15"/>
      <c r="Y55" s="15"/>
      <c r="Z55" s="15"/>
    </row>
    <row r="56" spans="1:26" s="21" customFormat="1" x14ac:dyDescent="0.55000000000000004">
      <c r="A56" s="17"/>
      <c r="B56"/>
      <c r="C56"/>
      <c r="D56"/>
      <c r="E56"/>
      <c r="F56" s="49">
        <v>38869</v>
      </c>
      <c r="G56" s="92">
        <v>114.35</v>
      </c>
      <c r="H56"/>
      <c r="I56"/>
      <c r="J56"/>
      <c r="K56"/>
      <c r="L56"/>
      <c r="M56"/>
      <c r="N56"/>
      <c r="O56" s="58">
        <v>114.6880737645252</v>
      </c>
      <c r="P56" s="53"/>
      <c r="Q56" s="53">
        <v>114.6880737645252</v>
      </c>
      <c r="R56" s="15">
        <v>-0.33807376452520166</v>
      </c>
      <c r="S56" s="15"/>
      <c r="T56" s="15"/>
      <c r="U56" s="15"/>
      <c r="V56" s="15"/>
      <c r="W56" s="15"/>
      <c r="X56" s="15"/>
      <c r="Y56" s="15"/>
      <c r="Z56" s="15"/>
    </row>
    <row r="57" spans="1:26" s="21" customFormat="1" x14ac:dyDescent="0.55000000000000004">
      <c r="A57" s="17"/>
      <c r="B57"/>
      <c r="C57"/>
      <c r="D57"/>
      <c r="E57"/>
      <c r="F57" s="49">
        <v>38899</v>
      </c>
      <c r="G57" s="92">
        <v>116.57</v>
      </c>
      <c r="H57"/>
      <c r="I57"/>
      <c r="J57"/>
      <c r="K57"/>
      <c r="L57"/>
      <c r="M57"/>
      <c r="N57"/>
      <c r="O57" s="58">
        <v>116.68736357282084</v>
      </c>
      <c r="P57" s="53"/>
      <c r="Q57" s="53">
        <v>116.68736357282084</v>
      </c>
      <c r="R57" s="15">
        <v>-0.11736357282085191</v>
      </c>
      <c r="S57" s="15"/>
      <c r="T57" s="15"/>
      <c r="U57" s="15"/>
      <c r="V57" s="15"/>
      <c r="W57" s="15"/>
      <c r="X57" s="15"/>
      <c r="Y57" s="15"/>
      <c r="Z57" s="15"/>
    </row>
    <row r="58" spans="1:26" s="21" customFormat="1" x14ac:dyDescent="0.55000000000000004">
      <c r="A58" s="17"/>
      <c r="B58"/>
      <c r="C58"/>
      <c r="D58"/>
      <c r="E58"/>
      <c r="F58" s="49">
        <v>38930</v>
      </c>
      <c r="G58" s="92">
        <v>116.62</v>
      </c>
      <c r="H58"/>
      <c r="I58"/>
      <c r="J58"/>
      <c r="K58"/>
      <c r="L58"/>
      <c r="M58"/>
      <c r="N58"/>
      <c r="O58" s="58">
        <v>116.55966982917799</v>
      </c>
      <c r="P58" s="53"/>
      <c r="Q58" s="53">
        <v>116.55966982917799</v>
      </c>
      <c r="R58" s="15">
        <v>6.0330170822017859E-2</v>
      </c>
      <c r="S58" s="15"/>
      <c r="T58" s="15"/>
      <c r="U58" s="15"/>
      <c r="V58" s="15"/>
      <c r="W58" s="15"/>
      <c r="X58" s="15"/>
      <c r="Y58" s="15"/>
      <c r="Z58" s="15"/>
    </row>
    <row r="59" spans="1:26" s="21" customFormat="1" x14ac:dyDescent="0.55000000000000004">
      <c r="A59" s="17"/>
      <c r="B59"/>
      <c r="C59"/>
      <c r="D59"/>
      <c r="E59"/>
      <c r="F59" s="49">
        <v>38961</v>
      </c>
      <c r="G59" s="92">
        <v>116.69</v>
      </c>
      <c r="H59"/>
      <c r="I59"/>
      <c r="J59"/>
      <c r="K59"/>
      <c r="L59"/>
      <c r="M59"/>
      <c r="N59"/>
      <c r="O59" s="58">
        <v>116.49282064920142</v>
      </c>
      <c r="P59" s="53"/>
      <c r="Q59" s="53">
        <v>116.49282064920142</v>
      </c>
      <c r="R59" s="15">
        <v>0.19717935079857368</v>
      </c>
      <c r="S59" s="15"/>
      <c r="T59" s="15"/>
      <c r="U59" s="15"/>
      <c r="V59" s="15"/>
      <c r="W59" s="15"/>
      <c r="X59" s="15"/>
      <c r="Y59" s="15"/>
      <c r="Z59" s="15"/>
    </row>
    <row r="60" spans="1:26" s="21" customFormat="1" x14ac:dyDescent="0.55000000000000004">
      <c r="A60" s="17"/>
      <c r="B60"/>
      <c r="C60"/>
      <c r="D60"/>
      <c r="E60"/>
      <c r="F60" s="49">
        <v>38991</v>
      </c>
      <c r="G60" s="92">
        <v>118.11</v>
      </c>
      <c r="H60"/>
      <c r="I60"/>
      <c r="J60"/>
      <c r="K60"/>
      <c r="L60"/>
      <c r="M60"/>
      <c r="N60"/>
      <c r="O60" s="58">
        <v>117.81724027538073</v>
      </c>
      <c r="P60" s="53"/>
      <c r="Q60" s="53">
        <v>117.81724027538073</v>
      </c>
      <c r="R60" s="15">
        <v>0.29275972461927008</v>
      </c>
      <c r="S60" s="15"/>
      <c r="T60" s="15"/>
      <c r="U60" s="15"/>
      <c r="V60" s="15"/>
      <c r="W60" s="15"/>
      <c r="X60" s="15"/>
      <c r="Y60" s="15"/>
      <c r="Z60" s="15"/>
    </row>
    <row r="61" spans="1:26" s="21" customFormat="1" x14ac:dyDescent="0.55000000000000004">
      <c r="A61" s="17"/>
      <c r="B61"/>
      <c r="C61"/>
      <c r="D61"/>
      <c r="E61"/>
      <c r="F61" s="49">
        <v>39022</v>
      </c>
      <c r="G61" s="92">
        <v>118.91</v>
      </c>
      <c r="H61"/>
      <c r="I61"/>
      <c r="J61"/>
      <c r="K61"/>
      <c r="L61"/>
      <c r="M61"/>
      <c r="N61"/>
      <c r="O61" s="58">
        <v>118.55644468872647</v>
      </c>
      <c r="P61" s="53"/>
      <c r="Q61" s="53">
        <v>118.55644468872647</v>
      </c>
      <c r="R61" s="15">
        <v>0.35355531127352158</v>
      </c>
      <c r="S61" s="15"/>
      <c r="T61" s="15"/>
      <c r="U61" s="15"/>
      <c r="V61" s="15"/>
      <c r="W61" s="15"/>
      <c r="X61" s="15"/>
      <c r="Y61" s="15"/>
      <c r="Z61" s="15"/>
    </row>
    <row r="62" spans="1:26" s="21" customFormat="1" x14ac:dyDescent="0.55000000000000004">
      <c r="A62" s="17"/>
      <c r="B62"/>
      <c r="C62"/>
      <c r="D62"/>
      <c r="E62"/>
      <c r="F62" s="49">
        <v>39052</v>
      </c>
      <c r="G62" s="92">
        <v>120.7</v>
      </c>
      <c r="H62"/>
      <c r="I62"/>
      <c r="J62"/>
      <c r="K62"/>
      <c r="L62"/>
      <c r="M62"/>
      <c r="N62"/>
      <c r="O62" s="58">
        <v>120.30910952824873</v>
      </c>
      <c r="P62" s="53"/>
      <c r="Q62" s="53">
        <v>120.30910952824873</v>
      </c>
      <c r="R62" s="15">
        <v>0.39089047175128083</v>
      </c>
      <c r="S62" s="15"/>
      <c r="T62" s="15"/>
      <c r="U62" s="15"/>
      <c r="V62" s="15"/>
      <c r="W62" s="15"/>
      <c r="X62" s="15"/>
      <c r="Y62" s="15"/>
      <c r="Z62" s="15"/>
    </row>
    <row r="63" spans="1:26" s="21" customFormat="1" x14ac:dyDescent="0.55000000000000004">
      <c r="A63" s="17"/>
      <c r="B63"/>
      <c r="C63"/>
      <c r="D63"/>
      <c r="E63"/>
      <c r="F63" s="49">
        <v>39083</v>
      </c>
      <c r="G63" s="92">
        <v>119.93</v>
      </c>
      <c r="H63"/>
      <c r="I63"/>
      <c r="J63"/>
      <c r="K63"/>
      <c r="L63"/>
      <c r="M63"/>
      <c r="N63"/>
      <c r="O63" s="58">
        <v>119.50795766460794</v>
      </c>
      <c r="P63" s="53"/>
      <c r="Q63" s="53">
        <v>119.50795766460794</v>
      </c>
      <c r="R63" s="15">
        <v>0.42204233539206509</v>
      </c>
      <c r="S63" s="15"/>
      <c r="T63" s="15"/>
      <c r="U63" s="15"/>
      <c r="V63" s="15"/>
      <c r="W63" s="15"/>
      <c r="X63" s="15"/>
      <c r="Y63" s="15"/>
      <c r="Z63" s="15"/>
    </row>
    <row r="64" spans="1:26" s="21" customFormat="1" x14ac:dyDescent="0.55000000000000004">
      <c r="A64" s="17"/>
      <c r="B64"/>
      <c r="C64"/>
      <c r="D64"/>
      <c r="E64"/>
      <c r="F64" s="49">
        <v>39114</v>
      </c>
      <c r="G64" s="92">
        <v>120.36</v>
      </c>
      <c r="H64"/>
      <c r="I64"/>
      <c r="J64"/>
      <c r="K64"/>
      <c r="L64"/>
      <c r="M64"/>
      <c r="N64"/>
      <c r="O64" s="58">
        <v>119.89079640930778</v>
      </c>
      <c r="P64" s="53"/>
      <c r="Q64" s="53">
        <v>119.89079640930778</v>
      </c>
      <c r="R64" s="15">
        <v>0.46920359069221829</v>
      </c>
      <c r="S64" s="15"/>
      <c r="T64" s="15"/>
      <c r="U64" s="15"/>
      <c r="V64" s="15"/>
      <c r="W64" s="15"/>
      <c r="X64" s="15"/>
      <c r="Y64" s="15"/>
      <c r="Z64" s="15"/>
    </row>
    <row r="65" spans="1:26" s="21" customFormat="1" x14ac:dyDescent="0.55000000000000004">
      <c r="A65" s="17"/>
      <c r="B65"/>
      <c r="C65"/>
      <c r="D65"/>
      <c r="E65"/>
      <c r="F65" s="49">
        <v>39142</v>
      </c>
      <c r="G65" s="92">
        <v>119.48</v>
      </c>
      <c r="H65"/>
      <c r="I65"/>
      <c r="J65"/>
      <c r="K65"/>
      <c r="L65"/>
      <c r="M65"/>
      <c r="N65"/>
      <c r="O65" s="58">
        <v>118.93128910815402</v>
      </c>
      <c r="P65" s="53"/>
      <c r="Q65" s="53">
        <v>118.93128910815402</v>
      </c>
      <c r="R65" s="15">
        <v>0.54871089184598087</v>
      </c>
      <c r="S65" s="15"/>
      <c r="T65" s="15"/>
      <c r="U65" s="15"/>
      <c r="V65" s="15"/>
      <c r="W65" s="15"/>
      <c r="X65" s="15"/>
      <c r="Y65" s="15"/>
      <c r="Z65" s="15"/>
    </row>
    <row r="66" spans="1:26" s="21" customFormat="1" x14ac:dyDescent="0.55000000000000004">
      <c r="A66" s="17"/>
      <c r="B66"/>
      <c r="C66"/>
      <c r="D66"/>
      <c r="E66"/>
      <c r="F66" s="49">
        <v>39173</v>
      </c>
      <c r="G66" s="92">
        <v>121.1</v>
      </c>
      <c r="H66"/>
      <c r="I66"/>
      <c r="J66"/>
      <c r="K66"/>
      <c r="L66"/>
      <c r="M66"/>
      <c r="N66"/>
      <c r="O66" s="58">
        <v>120.41944559423774</v>
      </c>
      <c r="P66" s="53"/>
      <c r="Q66" s="53">
        <v>120.41944559423774</v>
      </c>
      <c r="R66" s="15">
        <v>0.68055440576224469</v>
      </c>
      <c r="S66" s="15"/>
      <c r="T66" s="15"/>
      <c r="U66" s="15"/>
      <c r="V66" s="15"/>
      <c r="W66" s="15"/>
      <c r="X66" s="15"/>
      <c r="Y66" s="15"/>
      <c r="Z66" s="15"/>
    </row>
    <row r="67" spans="1:26" s="21" customFormat="1" x14ac:dyDescent="0.55000000000000004">
      <c r="A67" s="17"/>
      <c r="B67"/>
      <c r="C67"/>
      <c r="D67"/>
      <c r="E67"/>
      <c r="F67" s="49">
        <v>39203</v>
      </c>
      <c r="G67" s="92">
        <v>122.21</v>
      </c>
      <c r="H67"/>
      <c r="I67"/>
      <c r="J67"/>
      <c r="K67"/>
      <c r="L67"/>
      <c r="M67"/>
      <c r="N67"/>
      <c r="O67" s="58">
        <v>121.32564881132848</v>
      </c>
      <c r="P67" s="53"/>
      <c r="Q67" s="53">
        <v>121.32564881132848</v>
      </c>
      <c r="R67" s="15">
        <v>0.88435118867151474</v>
      </c>
      <c r="S67" s="15"/>
      <c r="T67" s="15"/>
      <c r="U67" s="15"/>
      <c r="V67" s="15"/>
      <c r="W67" s="15"/>
      <c r="X67" s="15"/>
      <c r="Y67" s="15"/>
      <c r="Z67" s="15"/>
    </row>
    <row r="68" spans="1:26" s="21" customFormat="1" x14ac:dyDescent="0.55000000000000004">
      <c r="A68" s="17"/>
      <c r="B68"/>
      <c r="C68"/>
      <c r="D68"/>
      <c r="E68"/>
      <c r="F68" s="49">
        <v>39234</v>
      </c>
      <c r="G68" s="92">
        <v>122.99</v>
      </c>
      <c r="H68"/>
      <c r="I68"/>
      <c r="J68"/>
      <c r="K68"/>
      <c r="L68"/>
      <c r="M68"/>
      <c r="N68"/>
      <c r="O68" s="58">
        <v>121.8174295630225</v>
      </c>
      <c r="P68" s="53"/>
      <c r="Q68" s="53">
        <v>121.8174295630225</v>
      </c>
      <c r="R68" s="15">
        <v>1.1725704369774943</v>
      </c>
      <c r="S68" s="15"/>
      <c r="T68" s="15"/>
      <c r="U68" s="15"/>
      <c r="V68" s="15"/>
      <c r="W68" s="15"/>
      <c r="X68" s="15"/>
      <c r="Y68" s="15"/>
      <c r="Z68" s="15"/>
    </row>
    <row r="69" spans="1:26" s="21" customFormat="1" x14ac:dyDescent="0.55000000000000004">
      <c r="A69" s="17"/>
      <c r="B69"/>
      <c r="C69"/>
      <c r="D69"/>
      <c r="E69"/>
      <c r="F69" s="49">
        <v>39264</v>
      </c>
      <c r="G69" s="92">
        <v>123.81</v>
      </c>
      <c r="H69"/>
      <c r="I69"/>
      <c r="J69"/>
      <c r="K69"/>
      <c r="L69"/>
      <c r="M69"/>
      <c r="N69"/>
      <c r="O69" s="58">
        <v>122.26315404317182</v>
      </c>
      <c r="P69" s="53"/>
      <c r="Q69" s="53">
        <v>122.26315404317182</v>
      </c>
      <c r="R69" s="15">
        <v>1.5468459568281827</v>
      </c>
      <c r="S69" s="15"/>
      <c r="T69" s="15"/>
      <c r="U69" s="15"/>
      <c r="V69" s="15"/>
      <c r="W69" s="15"/>
      <c r="X69" s="15"/>
      <c r="Y69" s="15"/>
      <c r="Z69" s="15"/>
    </row>
    <row r="70" spans="1:26" s="21" customFormat="1" x14ac:dyDescent="0.55000000000000004">
      <c r="A70" s="17"/>
      <c r="B70"/>
      <c r="C70"/>
      <c r="D70"/>
      <c r="E70"/>
      <c r="F70" s="49">
        <v>39295</v>
      </c>
      <c r="G70" s="92">
        <v>124.24</v>
      </c>
      <c r="H70"/>
      <c r="I70"/>
      <c r="J70"/>
      <c r="K70"/>
      <c r="L70"/>
      <c r="M70"/>
      <c r="N70"/>
      <c r="O70" s="58">
        <v>122.24632885460005</v>
      </c>
      <c r="P70" s="53"/>
      <c r="Q70" s="53">
        <v>122.24632885460005</v>
      </c>
      <c r="R70" s="15">
        <v>1.9936711453999387</v>
      </c>
      <c r="S70" s="15"/>
      <c r="T70" s="15"/>
      <c r="U70" s="15"/>
      <c r="V70" s="15"/>
      <c r="W70" s="15"/>
      <c r="X70" s="15"/>
      <c r="Y70" s="15"/>
      <c r="Z70" s="15"/>
    </row>
    <row r="71" spans="1:26" s="21" customFormat="1" x14ac:dyDescent="0.55000000000000004">
      <c r="A71" s="17"/>
      <c r="B71"/>
      <c r="C71"/>
      <c r="D71"/>
      <c r="E71"/>
      <c r="F71" s="49">
        <v>39326</v>
      </c>
      <c r="G71" s="92">
        <v>125.04</v>
      </c>
      <c r="H71"/>
      <c r="I71"/>
      <c r="J71"/>
      <c r="K71"/>
      <c r="L71"/>
      <c r="M71"/>
      <c r="N71"/>
      <c r="O71" s="58">
        <v>122.55074526034446</v>
      </c>
      <c r="P71" s="53"/>
      <c r="Q71" s="53">
        <v>122.55074526034446</v>
      </c>
      <c r="R71" s="15">
        <v>2.4892547396555433</v>
      </c>
      <c r="S71" s="15"/>
      <c r="T71" s="15"/>
      <c r="U71" s="15"/>
      <c r="V71" s="15"/>
      <c r="W71" s="15"/>
      <c r="X71" s="15"/>
      <c r="Y71" s="15"/>
      <c r="Z71" s="15"/>
    </row>
    <row r="72" spans="1:26" s="21" customFormat="1" x14ac:dyDescent="0.55000000000000004">
      <c r="A72" s="17"/>
      <c r="B72"/>
      <c r="C72"/>
      <c r="D72"/>
      <c r="E72"/>
      <c r="F72" s="49">
        <v>39356</v>
      </c>
      <c r="G72" s="92">
        <v>126.27</v>
      </c>
      <c r="H72"/>
      <c r="I72"/>
      <c r="J72"/>
      <c r="K72"/>
      <c r="L72"/>
      <c r="M72"/>
      <c r="N72"/>
      <c r="O72" s="58">
        <v>123.26494234388262</v>
      </c>
      <c r="P72" s="53"/>
      <c r="Q72" s="53">
        <v>123.26494234388262</v>
      </c>
      <c r="R72" s="15">
        <v>3.0050576561173745</v>
      </c>
      <c r="S72" s="15"/>
      <c r="T72" s="15"/>
      <c r="U72" s="15"/>
      <c r="V72" s="15"/>
      <c r="W72" s="15"/>
      <c r="X72" s="15"/>
      <c r="Y72" s="15"/>
      <c r="Z72" s="15"/>
    </row>
    <row r="73" spans="1:26" s="21" customFormat="1" x14ac:dyDescent="0.55000000000000004">
      <c r="A73" s="17"/>
      <c r="B73"/>
      <c r="C73"/>
      <c r="D73"/>
      <c r="E73"/>
      <c r="F73" s="49">
        <v>39387</v>
      </c>
      <c r="G73" s="92">
        <v>126.23</v>
      </c>
      <c r="H73"/>
      <c r="I73"/>
      <c r="J73"/>
      <c r="K73"/>
      <c r="L73"/>
      <c r="M73"/>
      <c r="N73"/>
      <c r="O73" s="58">
        <v>122.73465855053612</v>
      </c>
      <c r="P73" s="53"/>
      <c r="Q73" s="53">
        <v>122.73465855053612</v>
      </c>
      <c r="R73" s="15">
        <v>3.4953414494638726</v>
      </c>
      <c r="S73" s="15"/>
      <c r="T73" s="15"/>
      <c r="U73" s="15"/>
      <c r="V73" s="15"/>
      <c r="W73" s="15"/>
      <c r="X73" s="15"/>
      <c r="Y73" s="15"/>
      <c r="Z73" s="15"/>
    </row>
    <row r="74" spans="1:26" s="21" customFormat="1" x14ac:dyDescent="0.55000000000000004">
      <c r="A74" s="17"/>
      <c r="B74"/>
      <c r="C74"/>
      <c r="D74"/>
      <c r="E74"/>
      <c r="F74" s="49">
        <v>39417</v>
      </c>
      <c r="G74" s="92">
        <v>127.6</v>
      </c>
      <c r="H74"/>
      <c r="I74"/>
      <c r="J74"/>
      <c r="K74"/>
      <c r="L74"/>
      <c r="M74"/>
      <c r="N74"/>
      <c r="O74" s="58">
        <v>123.67225413102061</v>
      </c>
      <c r="P74" s="53"/>
      <c r="Q74" s="53">
        <v>123.67225413102061</v>
      </c>
      <c r="R74" s="15">
        <v>3.9277458689793869</v>
      </c>
      <c r="S74" s="15"/>
      <c r="T74" s="15"/>
      <c r="U74" s="15"/>
      <c r="V74" s="15"/>
      <c r="W74" s="15"/>
      <c r="X74" s="15"/>
      <c r="Y74" s="15"/>
      <c r="Z74" s="15"/>
    </row>
    <row r="75" spans="1:26" s="21" customFormat="1" x14ac:dyDescent="0.55000000000000004">
      <c r="A75" s="17"/>
      <c r="B75"/>
      <c r="C75"/>
      <c r="D75"/>
      <c r="E75"/>
      <c r="F75" s="49">
        <v>39448</v>
      </c>
      <c r="G75" s="92">
        <v>127.44</v>
      </c>
      <c r="H75"/>
      <c r="I75"/>
      <c r="J75"/>
      <c r="K75"/>
      <c r="L75"/>
      <c r="M75"/>
      <c r="N75"/>
      <c r="O75" s="58">
        <v>123.19063624628478</v>
      </c>
      <c r="P75" s="53"/>
      <c r="Q75" s="53">
        <v>123.19063624628478</v>
      </c>
      <c r="R75" s="15">
        <v>4.2493637537152118</v>
      </c>
      <c r="S75" s="15"/>
      <c r="T75" s="15"/>
      <c r="U75" s="15"/>
      <c r="V75" s="15"/>
      <c r="W75" s="15"/>
      <c r="X75" s="15"/>
      <c r="Y75" s="15"/>
      <c r="Z75" s="15"/>
    </row>
    <row r="76" spans="1:26" s="21" customFormat="1" x14ac:dyDescent="0.55000000000000004">
      <c r="A76" s="17"/>
      <c r="B76"/>
      <c r="C76"/>
      <c r="D76"/>
      <c r="E76"/>
      <c r="F76" s="49">
        <v>39479</v>
      </c>
      <c r="G76" s="92">
        <v>127.11</v>
      </c>
      <c r="H76"/>
      <c r="I76"/>
      <c r="J76"/>
      <c r="K76"/>
      <c r="L76"/>
      <c r="M76"/>
      <c r="N76"/>
      <c r="O76" s="58">
        <v>122.68920175699856</v>
      </c>
      <c r="P76" s="53"/>
      <c r="Q76" s="53">
        <v>122.68920175699856</v>
      </c>
      <c r="R76" s="15">
        <v>4.4207982430014452</v>
      </c>
      <c r="S76" s="15"/>
      <c r="T76" s="15"/>
      <c r="U76" s="15"/>
      <c r="V76" s="15"/>
      <c r="W76" s="15"/>
      <c r="X76" s="15"/>
      <c r="Y76" s="15"/>
      <c r="Z76" s="15"/>
    </row>
    <row r="77" spans="1:26" s="21" customFormat="1" x14ac:dyDescent="0.55000000000000004">
      <c r="A77" s="17"/>
      <c r="B77"/>
      <c r="C77"/>
      <c r="D77"/>
      <c r="E77"/>
      <c r="F77" s="49">
        <v>39508</v>
      </c>
      <c r="G77" s="92">
        <v>126.39</v>
      </c>
      <c r="H77"/>
      <c r="I77"/>
      <c r="J77"/>
      <c r="K77"/>
      <c r="L77"/>
      <c r="M77"/>
      <c r="N77"/>
      <c r="O77" s="58">
        <v>121.98321560558556</v>
      </c>
      <c r="P77" s="53"/>
      <c r="Q77" s="53">
        <v>121.98321560558556</v>
      </c>
      <c r="R77" s="15">
        <v>4.4067843944144407</v>
      </c>
      <c r="S77" s="15"/>
      <c r="T77" s="15"/>
      <c r="U77" s="15"/>
      <c r="V77" s="15"/>
      <c r="W77" s="15"/>
      <c r="X77" s="15"/>
      <c r="Y77" s="15"/>
      <c r="Z77" s="15"/>
    </row>
    <row r="78" spans="1:26" s="21" customFormat="1" x14ac:dyDescent="0.55000000000000004">
      <c r="A78" s="17"/>
      <c r="B78"/>
      <c r="C78"/>
      <c r="D78"/>
      <c r="E78"/>
      <c r="F78" s="49">
        <v>39539</v>
      </c>
      <c r="G78" s="92">
        <v>128.02000000000001</v>
      </c>
      <c r="H78"/>
      <c r="I78"/>
      <c r="J78"/>
      <c r="K78"/>
      <c r="L78"/>
      <c r="M78"/>
      <c r="N78"/>
      <c r="O78" s="58">
        <v>123.83772487235841</v>
      </c>
      <c r="P78" s="53"/>
      <c r="Q78" s="53">
        <v>123.83772487235841</v>
      </c>
      <c r="R78" s="15">
        <v>4.1822751276416037</v>
      </c>
      <c r="S78" s="15"/>
      <c r="T78" s="15"/>
      <c r="U78" s="15"/>
      <c r="V78" s="15"/>
      <c r="W78" s="15"/>
      <c r="X78" s="15"/>
      <c r="Y78" s="15"/>
      <c r="Z78" s="15"/>
    </row>
    <row r="79" spans="1:26" s="21" customFormat="1" x14ac:dyDescent="0.55000000000000004">
      <c r="A79" s="17"/>
      <c r="B79"/>
      <c r="C79"/>
      <c r="D79"/>
      <c r="E79"/>
      <c r="F79" s="49">
        <v>39569</v>
      </c>
      <c r="G79" s="92">
        <v>129.38999999999999</v>
      </c>
      <c r="H79"/>
      <c r="I79"/>
      <c r="J79"/>
      <c r="K79"/>
      <c r="L79"/>
      <c r="M79"/>
      <c r="N79"/>
      <c r="O79" s="58">
        <v>125.65341418990262</v>
      </c>
      <c r="P79" s="53"/>
      <c r="Q79" s="53">
        <v>125.65341418990262</v>
      </c>
      <c r="R79" s="15">
        <v>3.7365858100973677</v>
      </c>
      <c r="S79" s="15"/>
      <c r="T79" s="15"/>
      <c r="U79" s="15"/>
      <c r="V79" s="15"/>
      <c r="W79" s="15"/>
      <c r="X79" s="15"/>
      <c r="Y79" s="15"/>
      <c r="Z79" s="15"/>
    </row>
    <row r="80" spans="1:26" s="21" customFormat="1" x14ac:dyDescent="0.55000000000000004">
      <c r="A80" s="17"/>
      <c r="B80"/>
      <c r="C80"/>
      <c r="D80"/>
      <c r="E80"/>
      <c r="F80" s="49">
        <v>39600</v>
      </c>
      <c r="G80" s="92">
        <v>130.47999999999999</v>
      </c>
      <c r="H80"/>
      <c r="I80"/>
      <c r="J80"/>
      <c r="K80"/>
      <c r="L80"/>
      <c r="M80"/>
      <c r="N80"/>
      <c r="O80" s="58">
        <v>127.40982124567837</v>
      </c>
      <c r="P80" s="53"/>
      <c r="Q80" s="53">
        <v>127.40982124567837</v>
      </c>
      <c r="R80" s="15">
        <v>3.070178754321617</v>
      </c>
      <c r="S80" s="15"/>
      <c r="T80" s="15"/>
      <c r="U80" s="15"/>
      <c r="V80" s="15"/>
      <c r="W80" s="15"/>
      <c r="X80" s="15"/>
      <c r="Y80" s="15"/>
      <c r="Z80" s="15"/>
    </row>
    <row r="81" spans="1:26" s="21" customFormat="1" x14ac:dyDescent="0.55000000000000004">
      <c r="A81" s="17"/>
      <c r="B81"/>
      <c r="C81"/>
      <c r="D81"/>
      <c r="E81"/>
      <c r="F81" s="49">
        <v>39630</v>
      </c>
      <c r="G81" s="92">
        <v>130.53</v>
      </c>
      <c r="H81"/>
      <c r="I81"/>
      <c r="J81"/>
      <c r="K81"/>
      <c r="L81"/>
      <c r="M81"/>
      <c r="N81"/>
      <c r="O81" s="58">
        <v>128.32572974155167</v>
      </c>
      <c r="P81" s="53"/>
      <c r="Q81" s="53">
        <v>128.32572974155167</v>
      </c>
      <c r="R81" s="15">
        <v>2.2042702584483389</v>
      </c>
      <c r="S81" s="15"/>
      <c r="T81" s="15"/>
      <c r="U81" s="15"/>
      <c r="V81" s="15"/>
      <c r="W81" s="15"/>
      <c r="X81" s="15"/>
      <c r="Y81" s="15"/>
      <c r="Z81" s="15"/>
    </row>
    <row r="82" spans="1:26" s="21" customFormat="1" x14ac:dyDescent="0.55000000000000004">
      <c r="A82" s="17"/>
      <c r="B82"/>
      <c r="C82"/>
      <c r="D82"/>
      <c r="E82"/>
      <c r="F82" s="49">
        <v>39661</v>
      </c>
      <c r="G82" s="92">
        <v>131.08000000000001</v>
      </c>
      <c r="H82"/>
      <c r="I82"/>
      <c r="J82"/>
      <c r="K82"/>
      <c r="L82"/>
      <c r="M82"/>
      <c r="N82"/>
      <c r="O82" s="58">
        <v>129.90097139473619</v>
      </c>
      <c r="P82" s="53"/>
      <c r="Q82" s="53">
        <v>129.90097139473619</v>
      </c>
      <c r="R82" s="15">
        <v>1.1790286052638317</v>
      </c>
      <c r="S82" s="15"/>
      <c r="T82" s="15"/>
      <c r="U82" s="15"/>
      <c r="V82" s="15"/>
      <c r="W82" s="15"/>
      <c r="X82" s="15"/>
      <c r="Y82" s="15"/>
      <c r="Z82" s="15"/>
    </row>
    <row r="83" spans="1:26" s="21" customFormat="1" x14ac:dyDescent="0.55000000000000004">
      <c r="A83" s="17"/>
      <c r="B83"/>
      <c r="C83"/>
      <c r="D83"/>
      <c r="E83"/>
      <c r="F83" s="49">
        <v>39692</v>
      </c>
      <c r="G83" s="92">
        <v>130.53</v>
      </c>
      <c r="H83"/>
      <c r="I83"/>
      <c r="J83"/>
      <c r="K83"/>
      <c r="L83"/>
      <c r="M83"/>
      <c r="N83"/>
      <c r="O83" s="58">
        <v>130.48441807272329</v>
      </c>
      <c r="P83" s="53"/>
      <c r="Q83" s="53">
        <v>130.48441807272329</v>
      </c>
      <c r="R83" s="15">
        <v>4.5581927276715783E-2</v>
      </c>
      <c r="S83" s="15"/>
      <c r="T83" s="15"/>
      <c r="U83" s="15"/>
      <c r="V83" s="15"/>
      <c r="W83" s="15"/>
      <c r="X83" s="15"/>
      <c r="Y83" s="15"/>
      <c r="Z83" s="15"/>
    </row>
    <row r="84" spans="1:26" s="21" customFormat="1" x14ac:dyDescent="0.55000000000000004">
      <c r="A84" s="17"/>
      <c r="B84"/>
      <c r="C84"/>
      <c r="D84"/>
      <c r="E84"/>
      <c r="F84" s="49">
        <v>39722</v>
      </c>
      <c r="G84" s="92">
        <v>128.13</v>
      </c>
      <c r="H84"/>
      <c r="I84"/>
      <c r="J84"/>
      <c r="K84"/>
      <c r="L84"/>
      <c r="M84"/>
      <c r="N84"/>
      <c r="O84" s="58">
        <v>129.26980170004666</v>
      </c>
      <c r="P84" s="53"/>
      <c r="Q84" s="53">
        <v>129.26980170004666</v>
      </c>
      <c r="R84" s="15">
        <v>-1.1398017000466503</v>
      </c>
      <c r="S84" s="15"/>
      <c r="T84" s="15"/>
      <c r="U84" s="15"/>
      <c r="V84" s="15"/>
      <c r="W84" s="15"/>
      <c r="X84" s="15"/>
      <c r="Y84" s="15"/>
      <c r="Z84" s="15"/>
    </row>
    <row r="85" spans="1:26" s="21" customFormat="1" x14ac:dyDescent="0.55000000000000004">
      <c r="A85" s="17"/>
      <c r="B85"/>
      <c r="C85"/>
      <c r="D85"/>
      <c r="E85"/>
      <c r="F85" s="49">
        <v>39753</v>
      </c>
      <c r="G85" s="92">
        <v>125.02</v>
      </c>
      <c r="H85"/>
      <c r="I85"/>
      <c r="J85"/>
      <c r="K85"/>
      <c r="L85"/>
      <c r="M85"/>
      <c r="N85"/>
      <c r="O85" s="58">
        <v>127.33233131484376</v>
      </c>
      <c r="P85" s="53"/>
      <c r="Q85" s="53">
        <v>127.33233131484376</v>
      </c>
      <c r="R85" s="15">
        <v>-2.3123313148437559</v>
      </c>
      <c r="S85" s="15"/>
      <c r="T85" s="15"/>
      <c r="U85" s="15"/>
      <c r="V85" s="15"/>
      <c r="W85" s="15"/>
      <c r="X85" s="15"/>
      <c r="Y85" s="15"/>
      <c r="Z85" s="15"/>
    </row>
    <row r="86" spans="1:26" s="21" customFormat="1" x14ac:dyDescent="0.55000000000000004">
      <c r="A86" s="17"/>
      <c r="B86"/>
      <c r="C86"/>
      <c r="D86"/>
      <c r="E86"/>
      <c r="F86" s="49">
        <v>39783</v>
      </c>
      <c r="G86" s="92">
        <v>121.66</v>
      </c>
      <c r="H86"/>
      <c r="I86"/>
      <c r="J86"/>
      <c r="K86"/>
      <c r="L86"/>
      <c r="M86"/>
      <c r="N86"/>
      <c r="O86" s="58">
        <v>125.06100253515305</v>
      </c>
      <c r="P86" s="53"/>
      <c r="Q86" s="53">
        <v>125.06100253515305</v>
      </c>
      <c r="R86" s="15">
        <v>-3.4010025351530579</v>
      </c>
      <c r="S86" s="15"/>
      <c r="T86" s="15"/>
      <c r="U86" s="15"/>
      <c r="V86" s="15"/>
      <c r="W86" s="15"/>
      <c r="X86" s="15"/>
      <c r="Y86" s="15"/>
      <c r="Z86" s="15"/>
    </row>
    <row r="87" spans="1:26" s="21" customFormat="1" x14ac:dyDescent="0.55000000000000004">
      <c r="A87" s="17"/>
      <c r="B87"/>
      <c r="C87"/>
      <c r="D87"/>
      <c r="E87"/>
      <c r="F87" s="49">
        <v>39814</v>
      </c>
      <c r="G87" s="92">
        <v>121.23</v>
      </c>
      <c r="H87"/>
      <c r="I87"/>
      <c r="J87"/>
      <c r="K87"/>
      <c r="L87"/>
      <c r="M87"/>
      <c r="N87"/>
      <c r="O87" s="58">
        <v>125.56831790417564</v>
      </c>
      <c r="P87" s="53"/>
      <c r="Q87" s="53">
        <v>125.56831790417564</v>
      </c>
      <c r="R87" s="15">
        <v>-4.3383179041756348</v>
      </c>
      <c r="S87" s="15"/>
      <c r="T87" s="15"/>
      <c r="U87" s="15"/>
      <c r="V87" s="15"/>
      <c r="W87" s="15"/>
      <c r="X87" s="15"/>
      <c r="Y87" s="15"/>
      <c r="Z87" s="15"/>
    </row>
    <row r="88" spans="1:26" s="21" customFormat="1" x14ac:dyDescent="0.55000000000000004">
      <c r="A88" s="17"/>
      <c r="B88"/>
      <c r="C88"/>
      <c r="D88"/>
      <c r="E88"/>
      <c r="F88" s="49">
        <v>39845</v>
      </c>
      <c r="G88" s="92">
        <v>122.4</v>
      </c>
      <c r="H88"/>
      <c r="I88"/>
      <c r="J88"/>
      <c r="K88"/>
      <c r="L88"/>
      <c r="M88"/>
      <c r="N88"/>
      <c r="O88" s="58">
        <v>127.47996873231139</v>
      </c>
      <c r="P88" s="53"/>
      <c r="Q88" s="53">
        <v>127.47996873231139</v>
      </c>
      <c r="R88" s="15">
        <v>-5.0799687323113911</v>
      </c>
      <c r="S88" s="15"/>
      <c r="T88" s="15"/>
      <c r="U88" s="15"/>
      <c r="V88" s="15"/>
      <c r="W88" s="15"/>
      <c r="X88" s="15"/>
      <c r="Y88" s="15"/>
      <c r="Z88" s="15"/>
    </row>
    <row r="89" spans="1:26" s="21" customFormat="1" x14ac:dyDescent="0.55000000000000004">
      <c r="A89" s="17"/>
      <c r="B89"/>
      <c r="C89"/>
      <c r="D89"/>
      <c r="E89"/>
      <c r="F89" s="49">
        <v>39873</v>
      </c>
      <c r="G89" s="92">
        <v>122.96</v>
      </c>
      <c r="H89"/>
      <c r="I89"/>
      <c r="J89"/>
      <c r="K89"/>
      <c r="L89"/>
      <c r="M89"/>
      <c r="N89"/>
      <c r="O89" s="58">
        <v>128.54357609537243</v>
      </c>
      <c r="P89" s="53"/>
      <c r="Q89" s="53">
        <v>128.54357609537243</v>
      </c>
      <c r="R89" s="15">
        <v>-5.5835760953724387</v>
      </c>
      <c r="S89" s="15"/>
      <c r="T89" s="15"/>
      <c r="U89" s="15"/>
      <c r="V89" s="15"/>
      <c r="W89" s="15"/>
      <c r="X89" s="15"/>
      <c r="Y89" s="15"/>
      <c r="Z89" s="15"/>
    </row>
    <row r="90" spans="1:26" s="21" customFormat="1" x14ac:dyDescent="0.55000000000000004">
      <c r="A90" s="17"/>
      <c r="B90"/>
      <c r="C90"/>
      <c r="D90"/>
      <c r="E90"/>
      <c r="F90" s="49">
        <v>39904</v>
      </c>
      <c r="G90" s="92">
        <v>123.53</v>
      </c>
      <c r="H90"/>
      <c r="I90"/>
      <c r="J90"/>
      <c r="K90"/>
      <c r="L90"/>
      <c r="M90"/>
      <c r="N90"/>
      <c r="O90" s="58">
        <v>129.35596072898312</v>
      </c>
      <c r="P90" s="53"/>
      <c r="Q90" s="53">
        <v>129.35596072898312</v>
      </c>
      <c r="R90" s="15">
        <v>-5.825960728983107</v>
      </c>
      <c r="S90" s="15"/>
      <c r="T90" s="15"/>
      <c r="U90" s="15"/>
      <c r="V90" s="15"/>
      <c r="W90" s="15"/>
      <c r="X90" s="15"/>
      <c r="Y90" s="15"/>
      <c r="Z90" s="15"/>
    </row>
    <row r="91" spans="1:26" s="21" customFormat="1" x14ac:dyDescent="0.55000000000000004">
      <c r="A91" s="17"/>
      <c r="B91"/>
      <c r="C91"/>
      <c r="D91"/>
      <c r="E91"/>
      <c r="F91" s="49">
        <v>39934</v>
      </c>
      <c r="G91" s="92">
        <v>124.81</v>
      </c>
      <c r="H91"/>
      <c r="I91"/>
      <c r="J91"/>
      <c r="K91"/>
      <c r="L91"/>
      <c r="M91"/>
      <c r="N91"/>
      <c r="O91" s="58">
        <v>130.61316626836364</v>
      </c>
      <c r="P91" s="53"/>
      <c r="Q91" s="53">
        <v>130.61316626836364</v>
      </c>
      <c r="R91" s="15">
        <v>-5.8031662683636478</v>
      </c>
      <c r="S91" s="15"/>
      <c r="T91" s="15"/>
      <c r="U91" s="15"/>
      <c r="V91" s="15"/>
      <c r="W91" s="15"/>
      <c r="X91" s="15"/>
      <c r="Y91" s="15"/>
      <c r="Z91" s="15"/>
    </row>
    <row r="92" spans="1:26" s="21" customFormat="1" x14ac:dyDescent="0.55000000000000004">
      <c r="A92" s="17"/>
      <c r="B92"/>
      <c r="C92"/>
      <c r="D92"/>
      <c r="E92"/>
      <c r="F92" s="49">
        <v>39965</v>
      </c>
      <c r="G92" s="92">
        <v>125.44</v>
      </c>
      <c r="H92"/>
      <c r="I92"/>
      <c r="J92"/>
      <c r="K92"/>
      <c r="L92"/>
      <c r="M92"/>
      <c r="N92"/>
      <c r="O92" s="58">
        <v>130.96966340692126</v>
      </c>
      <c r="P92" s="53"/>
      <c r="Q92" s="53">
        <v>130.96966340692126</v>
      </c>
      <c r="R92" s="15">
        <v>-5.5296634069212622</v>
      </c>
      <c r="S92" s="15"/>
      <c r="T92" s="15"/>
      <c r="U92" s="15"/>
      <c r="V92" s="15"/>
      <c r="W92" s="15"/>
      <c r="X92" s="15"/>
      <c r="Y92" s="15"/>
      <c r="Z92" s="15"/>
    </row>
    <row r="93" spans="1:26" s="21" customFormat="1" x14ac:dyDescent="0.55000000000000004">
      <c r="A93" s="17"/>
      <c r="B93"/>
      <c r="C93"/>
      <c r="D93"/>
      <c r="E93"/>
      <c r="F93" s="49">
        <v>39995</v>
      </c>
      <c r="G93" s="92">
        <v>125.84</v>
      </c>
      <c r="H93"/>
      <c r="I93"/>
      <c r="J93"/>
      <c r="K93"/>
      <c r="L93"/>
      <c r="M93"/>
      <c r="N93"/>
      <c r="O93" s="58">
        <v>130.87529093732851</v>
      </c>
      <c r="P93" s="53"/>
      <c r="Q93" s="53">
        <v>130.87529093732851</v>
      </c>
      <c r="R93" s="15">
        <v>-5.0352909373285071</v>
      </c>
      <c r="S93" s="15"/>
      <c r="T93" s="15"/>
      <c r="U93" s="15"/>
      <c r="V93" s="15"/>
      <c r="W93" s="15"/>
      <c r="X93" s="15"/>
      <c r="Y93" s="15"/>
      <c r="Z93" s="15"/>
    </row>
    <row r="94" spans="1:26" s="21" customFormat="1" x14ac:dyDescent="0.55000000000000004">
      <c r="A94" s="17"/>
      <c r="B94"/>
      <c r="C94"/>
      <c r="D94"/>
      <c r="E94"/>
      <c r="F94" s="49">
        <v>40026</v>
      </c>
      <c r="G94" s="92">
        <v>128.07</v>
      </c>
      <c r="H94"/>
      <c r="I94"/>
      <c r="J94"/>
      <c r="K94"/>
      <c r="L94"/>
      <c r="M94"/>
      <c r="N94"/>
      <c r="O94" s="58">
        <v>132.42190159064998</v>
      </c>
      <c r="P94" s="53"/>
      <c r="Q94" s="53">
        <v>132.42190159064998</v>
      </c>
      <c r="R94" s="15">
        <v>-4.3519015906499812</v>
      </c>
      <c r="S94" s="15"/>
      <c r="T94" s="15"/>
      <c r="U94" s="15"/>
      <c r="V94" s="15"/>
      <c r="W94" s="15"/>
      <c r="X94" s="15"/>
      <c r="Y94" s="15"/>
      <c r="Z94" s="15"/>
    </row>
    <row r="95" spans="1:26" s="21" customFormat="1" x14ac:dyDescent="0.55000000000000004">
      <c r="A95" s="17"/>
      <c r="B95"/>
      <c r="C95"/>
      <c r="D95"/>
      <c r="E95"/>
      <c r="F95" s="49">
        <v>40057</v>
      </c>
      <c r="G95" s="92">
        <v>128.88999999999999</v>
      </c>
      <c r="H95"/>
      <c r="I95"/>
      <c r="J95"/>
      <c r="K95"/>
      <c r="L95"/>
      <c r="M95"/>
      <c r="N95"/>
      <c r="O95" s="58">
        <v>132.42089521015086</v>
      </c>
      <c r="P95" s="53"/>
      <c r="Q95" s="53">
        <v>132.42089521015086</v>
      </c>
      <c r="R95" s="15">
        <v>-3.5308952101508697</v>
      </c>
      <c r="S95" s="15"/>
      <c r="T95" s="15"/>
      <c r="U95" s="15"/>
      <c r="V95" s="15"/>
      <c r="W95" s="15"/>
      <c r="X95" s="15"/>
      <c r="Y95" s="15"/>
      <c r="Z95" s="15"/>
    </row>
    <row r="96" spans="1:26" s="21" customFormat="1" x14ac:dyDescent="0.55000000000000004">
      <c r="A96" s="17"/>
      <c r="B96"/>
      <c r="C96"/>
      <c r="D96"/>
      <c r="E96"/>
      <c r="F96" s="49">
        <v>40087</v>
      </c>
      <c r="G96" s="92">
        <v>129.97</v>
      </c>
      <c r="H96"/>
      <c r="I96"/>
      <c r="J96"/>
      <c r="K96"/>
      <c r="L96"/>
      <c r="M96"/>
      <c r="N96"/>
      <c r="O96" s="58">
        <v>132.59736116149486</v>
      </c>
      <c r="P96" s="53"/>
      <c r="Q96" s="53">
        <v>132.59736116149486</v>
      </c>
      <c r="R96" s="15">
        <v>-2.6273611614948664</v>
      </c>
      <c r="S96" s="15"/>
      <c r="T96" s="15"/>
      <c r="U96" s="15"/>
      <c r="V96" s="15"/>
      <c r="W96" s="15"/>
      <c r="X96" s="15"/>
      <c r="Y96" s="15"/>
      <c r="Z96" s="15"/>
    </row>
    <row r="97" spans="1:26" s="21" customFormat="1" x14ac:dyDescent="0.55000000000000004">
      <c r="A97" s="17"/>
      <c r="B97"/>
      <c r="C97"/>
      <c r="D97"/>
      <c r="E97"/>
      <c r="F97" s="49">
        <v>40118</v>
      </c>
      <c r="G97" s="92">
        <v>130.07</v>
      </c>
      <c r="H97"/>
      <c r="I97"/>
      <c r="J97"/>
      <c r="K97"/>
      <c r="L97"/>
      <c r="M97"/>
      <c r="N97"/>
      <c r="O97" s="58">
        <v>131.76065976436209</v>
      </c>
      <c r="P97" s="53"/>
      <c r="Q97" s="53">
        <v>131.76065976436209</v>
      </c>
      <c r="R97" s="15">
        <v>-1.6906597643620924</v>
      </c>
      <c r="S97" s="15"/>
      <c r="T97" s="15"/>
      <c r="U97" s="15"/>
      <c r="V97" s="15"/>
      <c r="W97" s="15"/>
      <c r="X97" s="15"/>
      <c r="Y97" s="15"/>
      <c r="Z97" s="15"/>
    </row>
    <row r="98" spans="1:26" s="21" customFormat="1" x14ac:dyDescent="0.55000000000000004">
      <c r="A98" s="17"/>
      <c r="B98"/>
      <c r="C98"/>
      <c r="D98"/>
      <c r="E98"/>
      <c r="F98" s="49">
        <v>40148</v>
      </c>
      <c r="G98" s="92">
        <v>132.08000000000001</v>
      </c>
      <c r="H98"/>
      <c r="I98"/>
      <c r="J98"/>
      <c r="K98"/>
      <c r="L98"/>
      <c r="M98"/>
      <c r="N98"/>
      <c r="O98" s="58">
        <v>132.85148289724063</v>
      </c>
      <c r="P98" s="53"/>
      <c r="Q98" s="53">
        <v>132.85148289724063</v>
      </c>
      <c r="R98" s="15">
        <v>-0.77148289724061203</v>
      </c>
      <c r="S98" s="15"/>
      <c r="T98" s="15"/>
      <c r="U98" s="15"/>
      <c r="V98" s="15"/>
      <c r="W98" s="15"/>
      <c r="X98" s="15"/>
      <c r="Y98" s="15"/>
      <c r="Z98" s="15"/>
    </row>
    <row r="99" spans="1:26" s="21" customFormat="1" x14ac:dyDescent="0.55000000000000004">
      <c r="A99" s="17"/>
      <c r="B99"/>
      <c r="C99"/>
      <c r="D99"/>
      <c r="E99"/>
      <c r="F99" s="49">
        <v>40179</v>
      </c>
      <c r="G99" s="92">
        <v>133.88</v>
      </c>
      <c r="H99"/>
      <c r="I99"/>
      <c r="J99"/>
      <c r="K99"/>
      <c r="L99"/>
      <c r="M99"/>
      <c r="N99"/>
      <c r="O99" s="58">
        <v>133.79572840202249</v>
      </c>
      <c r="P99" s="53"/>
      <c r="Q99" s="53">
        <v>133.79572840202249</v>
      </c>
      <c r="R99" s="15">
        <v>8.4271597977514268E-2</v>
      </c>
      <c r="S99" s="15"/>
      <c r="T99" s="15"/>
      <c r="U99" s="15"/>
      <c r="V99" s="15"/>
      <c r="W99" s="15"/>
      <c r="X99" s="15"/>
      <c r="Y99" s="15"/>
      <c r="Z99" s="15"/>
    </row>
    <row r="100" spans="1:26" s="21" customFormat="1" x14ac:dyDescent="0.55000000000000004">
      <c r="A100" s="17"/>
      <c r="B100"/>
      <c r="C100"/>
      <c r="D100"/>
      <c r="E100"/>
      <c r="F100" s="49">
        <v>40210</v>
      </c>
      <c r="G100" s="92">
        <v>135.35</v>
      </c>
      <c r="H100"/>
      <c r="I100"/>
      <c r="J100"/>
      <c r="K100"/>
      <c r="L100"/>
      <c r="M100"/>
      <c r="N100"/>
      <c r="O100" s="58">
        <v>134.50595653352678</v>
      </c>
      <c r="P100" s="53"/>
      <c r="Q100" s="53">
        <v>134.50595653352678</v>
      </c>
      <c r="R100" s="15">
        <v>0.84404346647321304</v>
      </c>
      <c r="S100" s="15"/>
      <c r="T100" s="15"/>
      <c r="U100" s="15"/>
      <c r="V100" s="15"/>
      <c r="W100" s="15"/>
      <c r="X100" s="15"/>
      <c r="Y100" s="15"/>
      <c r="Z100" s="15"/>
    </row>
    <row r="101" spans="1:26" s="21" customFormat="1" x14ac:dyDescent="0.55000000000000004">
      <c r="A101" s="17"/>
      <c r="B101"/>
      <c r="C101"/>
      <c r="D101"/>
      <c r="E101"/>
      <c r="F101" s="49">
        <v>40238</v>
      </c>
      <c r="G101" s="92">
        <v>136.52000000000001</v>
      </c>
      <c r="H101"/>
      <c r="I101"/>
      <c r="J101"/>
      <c r="K101"/>
      <c r="L101"/>
      <c r="M101"/>
      <c r="N101"/>
      <c r="O101" s="58">
        <v>135.03333539169785</v>
      </c>
      <c r="P101" s="53"/>
      <c r="Q101" s="53">
        <v>135.03333539169785</v>
      </c>
      <c r="R101" s="15">
        <v>1.4866646083021586</v>
      </c>
      <c r="S101" s="15"/>
      <c r="T101" s="15"/>
      <c r="U101" s="15"/>
      <c r="V101" s="15"/>
      <c r="W101" s="15"/>
      <c r="X101" s="15"/>
      <c r="Y101" s="15"/>
      <c r="Z101" s="15"/>
    </row>
    <row r="102" spans="1:26" s="21" customFormat="1" x14ac:dyDescent="0.55000000000000004">
      <c r="A102" s="17"/>
      <c r="B102"/>
      <c r="C102"/>
      <c r="D102"/>
      <c r="E102"/>
      <c r="F102" s="49">
        <v>40269</v>
      </c>
      <c r="G102" s="92">
        <v>137.13</v>
      </c>
      <c r="H102"/>
      <c r="I102"/>
      <c r="J102"/>
      <c r="K102"/>
      <c r="L102"/>
      <c r="M102"/>
      <c r="N102"/>
      <c r="O102" s="58">
        <v>135.13269991336637</v>
      </c>
      <c r="P102" s="53"/>
      <c r="Q102" s="53">
        <v>135.13269991336637</v>
      </c>
      <c r="R102" s="15">
        <v>1.997300086633627</v>
      </c>
      <c r="S102" s="15"/>
      <c r="T102" s="15"/>
      <c r="U102" s="15"/>
      <c r="V102" s="15"/>
      <c r="W102" s="15"/>
      <c r="X102" s="15"/>
      <c r="Y102" s="15"/>
      <c r="Z102" s="15"/>
    </row>
    <row r="103" spans="1:26" s="21" customFormat="1" x14ac:dyDescent="0.55000000000000004">
      <c r="A103" s="17"/>
      <c r="B103"/>
      <c r="C103"/>
      <c r="D103"/>
      <c r="E103"/>
      <c r="F103" s="49">
        <v>40299</v>
      </c>
      <c r="G103" s="92">
        <v>136.21</v>
      </c>
      <c r="H103"/>
      <c r="I103"/>
      <c r="J103"/>
      <c r="K103"/>
      <c r="L103"/>
      <c r="M103"/>
      <c r="N103"/>
      <c r="O103" s="58">
        <v>133.82973336089583</v>
      </c>
      <c r="P103" s="53"/>
      <c r="Q103" s="53">
        <v>133.82973336089583</v>
      </c>
      <c r="R103" s="15">
        <v>2.3802666391041885</v>
      </c>
      <c r="S103" s="15"/>
      <c r="T103" s="15"/>
      <c r="U103" s="15"/>
      <c r="V103" s="15"/>
      <c r="W103" s="15"/>
      <c r="X103" s="15"/>
      <c r="Y103" s="15"/>
      <c r="Z103" s="15"/>
    </row>
    <row r="104" spans="1:26" s="21" customFormat="1" x14ac:dyDescent="0.55000000000000004">
      <c r="A104" s="17"/>
      <c r="B104"/>
      <c r="C104"/>
      <c r="D104"/>
      <c r="E104"/>
      <c r="F104" s="49">
        <v>40330</v>
      </c>
      <c r="G104" s="92">
        <v>135.88999999999999</v>
      </c>
      <c r="H104"/>
      <c r="I104"/>
      <c r="J104"/>
      <c r="K104"/>
      <c r="L104"/>
      <c r="M104"/>
      <c r="N104"/>
      <c r="O104" s="58">
        <v>133.24735666204722</v>
      </c>
      <c r="P104" s="53"/>
      <c r="Q104" s="53">
        <v>133.24735666204722</v>
      </c>
      <c r="R104" s="15">
        <v>2.6426433379527676</v>
      </c>
      <c r="S104" s="15"/>
      <c r="T104" s="15"/>
      <c r="U104" s="15"/>
      <c r="V104" s="15"/>
      <c r="W104" s="15"/>
      <c r="X104" s="15"/>
      <c r="Y104" s="15"/>
      <c r="Z104" s="15"/>
    </row>
    <row r="105" spans="1:26" s="21" customFormat="1" x14ac:dyDescent="0.55000000000000004">
      <c r="A105" s="17"/>
      <c r="B105"/>
      <c r="C105"/>
      <c r="D105"/>
      <c r="E105"/>
      <c r="F105" s="49">
        <v>40360</v>
      </c>
      <c r="G105" s="92">
        <v>136.72</v>
      </c>
      <c r="H105"/>
      <c r="I105"/>
      <c r="J105"/>
      <c r="K105"/>
      <c r="L105"/>
      <c r="M105"/>
      <c r="N105"/>
      <c r="O105" s="58">
        <v>133.923352165696</v>
      </c>
      <c r="P105" s="53"/>
      <c r="Q105" s="53">
        <v>133.923352165696</v>
      </c>
      <c r="R105" s="15">
        <v>2.7966478343040078</v>
      </c>
      <c r="S105" s="15"/>
      <c r="T105" s="15"/>
      <c r="U105" s="15"/>
      <c r="V105" s="15"/>
      <c r="W105" s="15"/>
      <c r="X105" s="15"/>
      <c r="Y105" s="15"/>
      <c r="Z105" s="15"/>
    </row>
    <row r="106" spans="1:26" s="21" customFormat="1" x14ac:dyDescent="0.55000000000000004">
      <c r="A106" s="17"/>
      <c r="B106"/>
      <c r="C106"/>
      <c r="D106"/>
      <c r="E106"/>
      <c r="F106" s="49">
        <v>40391</v>
      </c>
      <c r="G106" s="92">
        <v>137.71</v>
      </c>
      <c r="H106"/>
      <c r="I106"/>
      <c r="J106"/>
      <c r="K106"/>
      <c r="L106"/>
      <c r="M106"/>
      <c r="N106"/>
      <c r="O106" s="58">
        <v>134.8475775405058</v>
      </c>
      <c r="P106" s="53"/>
      <c r="Q106" s="53">
        <v>134.8475775405058</v>
      </c>
      <c r="R106" s="15">
        <v>2.8624224594942067</v>
      </c>
      <c r="S106" s="15"/>
      <c r="T106" s="15"/>
      <c r="U106" s="15"/>
      <c r="V106" s="15"/>
      <c r="W106" s="15"/>
      <c r="X106" s="15"/>
      <c r="Y106" s="15"/>
      <c r="Z106" s="15"/>
    </row>
    <row r="107" spans="1:26" s="21" customFormat="1" x14ac:dyDescent="0.55000000000000004">
      <c r="A107" s="17"/>
      <c r="B107"/>
      <c r="C107"/>
      <c r="D107"/>
      <c r="E107"/>
      <c r="F107" s="49">
        <v>40422</v>
      </c>
      <c r="G107" s="92">
        <v>138.85</v>
      </c>
      <c r="H107"/>
      <c r="I107"/>
      <c r="J107"/>
      <c r="K107"/>
      <c r="L107"/>
      <c r="M107"/>
      <c r="N107"/>
      <c r="O107" s="58">
        <v>135.98985002363091</v>
      </c>
      <c r="P107" s="53"/>
      <c r="Q107" s="53">
        <v>135.98985002363091</v>
      </c>
      <c r="R107" s="15">
        <v>2.8601499763690983</v>
      </c>
      <c r="S107" s="15"/>
      <c r="T107" s="15"/>
      <c r="U107" s="15"/>
      <c r="V107" s="15"/>
      <c r="W107" s="15"/>
      <c r="X107" s="15"/>
      <c r="Y107" s="15"/>
      <c r="Z107" s="15"/>
    </row>
    <row r="108" spans="1:26" s="21" customFormat="1" x14ac:dyDescent="0.55000000000000004">
      <c r="A108" s="17"/>
      <c r="B108"/>
      <c r="C108"/>
      <c r="D108"/>
      <c r="E108"/>
      <c r="F108" s="49">
        <v>40452</v>
      </c>
      <c r="G108" s="92">
        <v>138.68</v>
      </c>
      <c r="H108"/>
      <c r="I108"/>
      <c r="J108"/>
      <c r="K108"/>
      <c r="L108"/>
      <c r="M108"/>
      <c r="N108"/>
      <c r="O108" s="58">
        <v>135.86684353414554</v>
      </c>
      <c r="P108" s="53"/>
      <c r="Q108" s="53">
        <v>135.86684353414554</v>
      </c>
      <c r="R108" s="15">
        <v>2.8131564658544739</v>
      </c>
      <c r="S108" s="15"/>
      <c r="T108" s="15"/>
      <c r="U108" s="15"/>
      <c r="V108" s="15"/>
      <c r="W108" s="15"/>
      <c r="X108" s="15"/>
      <c r="Y108" s="15"/>
      <c r="Z108" s="15"/>
    </row>
    <row r="109" spans="1:26" s="21" customFormat="1" x14ac:dyDescent="0.55000000000000004">
      <c r="A109" s="17"/>
      <c r="B109"/>
      <c r="C109"/>
      <c r="D109"/>
      <c r="E109"/>
      <c r="F109" s="49">
        <v>40483</v>
      </c>
      <c r="G109" s="92">
        <v>140.13999999999999</v>
      </c>
      <c r="H109"/>
      <c r="I109"/>
      <c r="J109"/>
      <c r="K109"/>
      <c r="L109"/>
      <c r="M109"/>
      <c r="N109"/>
      <c r="O109" s="58">
        <v>137.40033982501919</v>
      </c>
      <c r="P109" s="53"/>
      <c r="Q109" s="53">
        <v>137.40033982501919</v>
      </c>
      <c r="R109" s="15">
        <v>2.7396601749807918</v>
      </c>
      <c r="S109" s="15"/>
      <c r="T109" s="15"/>
      <c r="U109" s="15"/>
      <c r="V109" s="15"/>
      <c r="W109" s="15"/>
      <c r="X109" s="15"/>
      <c r="Y109" s="15"/>
      <c r="Z109" s="15"/>
    </row>
    <row r="110" spans="1:26" s="21" customFormat="1" x14ac:dyDescent="0.55000000000000004">
      <c r="A110" s="17"/>
      <c r="B110"/>
      <c r="C110"/>
      <c r="D110"/>
      <c r="E110"/>
      <c r="F110" s="49">
        <v>40513</v>
      </c>
      <c r="G110" s="92">
        <v>138.66999999999999</v>
      </c>
      <c r="H110"/>
      <c r="I110"/>
      <c r="J110"/>
      <c r="K110"/>
      <c r="L110"/>
      <c r="M110"/>
      <c r="N110"/>
      <c r="O110" s="58">
        <v>136.01877634545144</v>
      </c>
      <c r="P110" s="53"/>
      <c r="Q110" s="53">
        <v>136.01877634545144</v>
      </c>
      <c r="R110" s="15">
        <v>2.6512236545485521</v>
      </c>
      <c r="S110" s="15"/>
      <c r="T110" s="15"/>
      <c r="U110" s="15"/>
      <c r="V110" s="15"/>
      <c r="W110" s="15"/>
      <c r="X110" s="15"/>
      <c r="Y110" s="15"/>
      <c r="Z110" s="15"/>
    </row>
    <row r="111" spans="1:26" s="21" customFormat="1" x14ac:dyDescent="0.55000000000000004">
      <c r="A111" s="17"/>
      <c r="B111"/>
      <c r="C111"/>
      <c r="D111"/>
      <c r="E111"/>
      <c r="F111" s="49">
        <v>40544</v>
      </c>
      <c r="G111" s="92">
        <v>140.26</v>
      </c>
      <c r="H111"/>
      <c r="I111"/>
      <c r="J111"/>
      <c r="K111"/>
      <c r="L111"/>
      <c r="M111"/>
      <c r="N111"/>
      <c r="O111" s="58">
        <v>137.6971156721568</v>
      </c>
      <c r="P111" s="53"/>
      <c r="Q111" s="53">
        <v>137.6971156721568</v>
      </c>
      <c r="R111" s="15">
        <v>2.5628843278431881</v>
      </c>
      <c r="S111" s="15"/>
      <c r="T111" s="15"/>
      <c r="U111" s="15"/>
      <c r="V111" s="15"/>
      <c r="W111" s="15"/>
      <c r="X111" s="15"/>
      <c r="Y111" s="15"/>
      <c r="Z111" s="15"/>
    </row>
    <row r="112" spans="1:26" s="21" customFormat="1" x14ac:dyDescent="0.55000000000000004">
      <c r="A112" s="17"/>
      <c r="B112"/>
      <c r="C112"/>
      <c r="D112"/>
      <c r="E112"/>
      <c r="F112" s="49">
        <v>40575</v>
      </c>
      <c r="G112" s="92">
        <v>140.93</v>
      </c>
      <c r="H112"/>
      <c r="I112"/>
      <c r="J112"/>
      <c r="K112"/>
      <c r="L112"/>
      <c r="M112"/>
      <c r="N112"/>
      <c r="O112" s="58">
        <v>138.45301160629393</v>
      </c>
      <c r="P112" s="53"/>
      <c r="Q112" s="53">
        <v>138.45301160629393</v>
      </c>
      <c r="R112" s="15">
        <v>2.4769883937060877</v>
      </c>
      <c r="S112" s="15"/>
      <c r="T112" s="15"/>
      <c r="U112" s="15"/>
      <c r="V112" s="15"/>
      <c r="W112" s="15"/>
      <c r="X112" s="15"/>
      <c r="Y112" s="15"/>
      <c r="Z112" s="15"/>
    </row>
    <row r="113" spans="1:26" s="21" customFormat="1" x14ac:dyDescent="0.55000000000000004">
      <c r="A113" s="17"/>
      <c r="B113"/>
      <c r="C113"/>
      <c r="D113"/>
      <c r="E113"/>
      <c r="F113" s="49">
        <v>40603</v>
      </c>
      <c r="G113" s="92">
        <v>141.06</v>
      </c>
      <c r="H113"/>
      <c r="I113"/>
      <c r="J113"/>
      <c r="K113"/>
      <c r="L113"/>
      <c r="M113"/>
      <c r="N113"/>
      <c r="O113" s="58">
        <v>138.66399242171067</v>
      </c>
      <c r="P113" s="53"/>
      <c r="Q113" s="53">
        <v>138.66399242171067</v>
      </c>
      <c r="R113" s="15">
        <v>2.3960075782893324</v>
      </c>
      <c r="S113" s="15"/>
      <c r="T113" s="15"/>
      <c r="U113" s="15"/>
      <c r="V113" s="15"/>
      <c r="W113" s="15"/>
      <c r="X113" s="15"/>
      <c r="Y113" s="15"/>
      <c r="Z113" s="15"/>
    </row>
    <row r="114" spans="1:26" s="21" customFormat="1" x14ac:dyDescent="0.55000000000000004">
      <c r="A114" s="17"/>
      <c r="B114"/>
      <c r="C114"/>
      <c r="D114"/>
      <c r="E114"/>
      <c r="F114" s="49">
        <v>40634</v>
      </c>
      <c r="G114" s="92">
        <v>140.97</v>
      </c>
      <c r="H114"/>
      <c r="I114"/>
      <c r="J114"/>
      <c r="K114"/>
      <c r="L114"/>
      <c r="M114"/>
      <c r="N114"/>
      <c r="O114" s="58">
        <v>138.65015589742495</v>
      </c>
      <c r="P114" s="53"/>
      <c r="Q114" s="53">
        <v>138.65015589742495</v>
      </c>
      <c r="R114" s="15">
        <v>2.3198441025750332</v>
      </c>
      <c r="S114" s="15"/>
      <c r="T114" s="15"/>
      <c r="U114" s="15"/>
      <c r="V114" s="15"/>
      <c r="W114" s="15"/>
      <c r="X114" s="15"/>
      <c r="Y114" s="15"/>
      <c r="Z114" s="15"/>
    </row>
    <row r="115" spans="1:26" s="21" customFormat="1" x14ac:dyDescent="0.55000000000000004">
      <c r="A115" s="17"/>
      <c r="B115"/>
      <c r="C115"/>
      <c r="D115"/>
      <c r="E115"/>
      <c r="F115" s="49">
        <v>40664</v>
      </c>
      <c r="G115" s="92">
        <v>141.18</v>
      </c>
      <c r="H115"/>
      <c r="I115"/>
      <c r="J115"/>
      <c r="K115"/>
      <c r="L115"/>
      <c r="M115"/>
      <c r="N115"/>
      <c r="O115" s="58">
        <v>138.93311761939336</v>
      </c>
      <c r="P115" s="53"/>
      <c r="Q115" s="53">
        <v>138.93311761939336</v>
      </c>
      <c r="R115" s="15">
        <v>2.2468823806066371</v>
      </c>
      <c r="S115" s="15"/>
      <c r="T115" s="15"/>
      <c r="U115" s="15"/>
      <c r="V115" s="15"/>
      <c r="W115" s="15"/>
      <c r="X115" s="15"/>
      <c r="Y115" s="15"/>
      <c r="Z115" s="15"/>
    </row>
    <row r="116" spans="1:26" s="21" customFormat="1" x14ac:dyDescent="0.55000000000000004">
      <c r="A116" s="17"/>
      <c r="B116"/>
      <c r="C116"/>
      <c r="D116"/>
      <c r="E116"/>
      <c r="F116" s="49">
        <v>40695</v>
      </c>
      <c r="G116" s="92">
        <v>141.85</v>
      </c>
      <c r="H116"/>
      <c r="I116"/>
      <c r="J116"/>
      <c r="K116"/>
      <c r="L116"/>
      <c r="M116"/>
      <c r="N116"/>
      <c r="O116" s="58">
        <v>139.67649200230881</v>
      </c>
      <c r="P116" s="53"/>
      <c r="Q116" s="53">
        <v>139.67649200230881</v>
      </c>
      <c r="R116" s="15">
        <v>2.1735079976911877</v>
      </c>
      <c r="S116" s="15"/>
      <c r="T116" s="15"/>
      <c r="U116" s="15"/>
      <c r="V116" s="15"/>
      <c r="W116" s="15"/>
      <c r="X116" s="15"/>
      <c r="Y116" s="15"/>
      <c r="Z116" s="15"/>
    </row>
    <row r="117" spans="1:26" s="21" customFormat="1" x14ac:dyDescent="0.55000000000000004">
      <c r="A117" s="17"/>
      <c r="B117"/>
      <c r="C117"/>
      <c r="D117"/>
      <c r="E117"/>
      <c r="F117" s="49">
        <v>40725</v>
      </c>
      <c r="G117" s="92">
        <v>142.1</v>
      </c>
      <c r="H117"/>
      <c r="I117"/>
      <c r="J117"/>
      <c r="K117"/>
      <c r="L117"/>
      <c r="M117"/>
      <c r="N117"/>
      <c r="O117" s="58">
        <v>140.01988043604251</v>
      </c>
      <c r="P117" s="53"/>
      <c r="Q117" s="53">
        <v>140.01988043604251</v>
      </c>
      <c r="R117" s="15">
        <v>2.0801195639574792</v>
      </c>
      <c r="S117" s="15"/>
      <c r="T117" s="15"/>
      <c r="U117" s="15"/>
      <c r="V117" s="15"/>
      <c r="W117" s="15"/>
      <c r="X117" s="15"/>
      <c r="Y117" s="15"/>
      <c r="Z117" s="15"/>
    </row>
    <row r="118" spans="1:26" s="21" customFormat="1" x14ac:dyDescent="0.55000000000000004">
      <c r="A118" s="17"/>
      <c r="B118"/>
      <c r="C118"/>
      <c r="D118"/>
      <c r="E118"/>
      <c r="F118" s="49">
        <v>40756</v>
      </c>
      <c r="G118" s="92">
        <v>141.94</v>
      </c>
      <c r="H118"/>
      <c r="I118"/>
      <c r="J118"/>
      <c r="K118"/>
      <c r="L118"/>
      <c r="M118"/>
      <c r="N118"/>
      <c r="O118" s="58">
        <v>139.98801032328416</v>
      </c>
      <c r="P118" s="53"/>
      <c r="Q118" s="53">
        <v>139.98801032328416</v>
      </c>
      <c r="R118" s="15">
        <v>1.9519896767158309</v>
      </c>
      <c r="S118" s="15"/>
      <c r="T118" s="15"/>
      <c r="U118" s="15"/>
      <c r="V118" s="15"/>
      <c r="W118" s="15"/>
      <c r="X118" s="15"/>
      <c r="Y118" s="15"/>
      <c r="Z118" s="15"/>
    </row>
    <row r="119" spans="1:26" s="21" customFormat="1" x14ac:dyDescent="0.55000000000000004">
      <c r="A119" s="17"/>
      <c r="B119"/>
      <c r="C119"/>
      <c r="D119"/>
      <c r="E119"/>
      <c r="F119" s="49">
        <v>40787</v>
      </c>
      <c r="G119" s="92">
        <v>141.58000000000001</v>
      </c>
      <c r="H119"/>
      <c r="I119"/>
      <c r="J119"/>
      <c r="K119"/>
      <c r="L119"/>
      <c r="M119"/>
      <c r="N119"/>
      <c r="O119" s="58">
        <v>139.79675460519229</v>
      </c>
      <c r="P119" s="53"/>
      <c r="Q119" s="53">
        <v>139.79675460519229</v>
      </c>
      <c r="R119" s="15">
        <v>1.7832453948077325</v>
      </c>
      <c r="S119" s="15"/>
      <c r="T119" s="15"/>
      <c r="U119" s="15"/>
      <c r="V119" s="15"/>
      <c r="W119" s="15"/>
      <c r="X119" s="15"/>
      <c r="Y119" s="15"/>
      <c r="Z119" s="15"/>
    </row>
    <row r="120" spans="1:26" s="21" customFormat="1" x14ac:dyDescent="0.55000000000000004">
      <c r="A120" s="17"/>
      <c r="B120"/>
      <c r="C120"/>
      <c r="D120"/>
      <c r="E120"/>
      <c r="F120" s="49">
        <v>40817</v>
      </c>
      <c r="G120" s="92">
        <v>141.61000000000001</v>
      </c>
      <c r="H120"/>
      <c r="I120"/>
      <c r="J120"/>
      <c r="K120"/>
      <c r="L120"/>
      <c r="M120"/>
      <c r="N120"/>
      <c r="O120" s="58">
        <v>140.03461141152695</v>
      </c>
      <c r="P120" s="53"/>
      <c r="Q120" s="53">
        <v>140.03461141152695</v>
      </c>
      <c r="R120" s="15">
        <v>1.5753885884730583</v>
      </c>
      <c r="S120" s="15"/>
      <c r="T120" s="15"/>
      <c r="U120" s="15"/>
      <c r="V120" s="15"/>
      <c r="W120" s="15"/>
      <c r="X120" s="15"/>
      <c r="Y120" s="15"/>
      <c r="Z120" s="15"/>
    </row>
    <row r="121" spans="1:26" s="21" customFormat="1" x14ac:dyDescent="0.55000000000000004">
      <c r="A121" s="17"/>
      <c r="B121"/>
      <c r="C121"/>
      <c r="D121"/>
      <c r="E121"/>
      <c r="F121" s="49">
        <v>40848</v>
      </c>
      <c r="G121" s="92">
        <v>142.31</v>
      </c>
      <c r="H121"/>
      <c r="I121"/>
      <c r="J121"/>
      <c r="K121"/>
      <c r="L121"/>
      <c r="M121"/>
      <c r="N121"/>
      <c r="O121" s="58">
        <v>140.97634071355773</v>
      </c>
      <c r="P121" s="53"/>
      <c r="Q121" s="53">
        <v>140.97634071355773</v>
      </c>
      <c r="R121" s="15">
        <v>1.3336592864422692</v>
      </c>
      <c r="S121" s="15"/>
      <c r="T121" s="15"/>
      <c r="U121" s="15"/>
      <c r="V121" s="15"/>
      <c r="W121" s="15"/>
      <c r="X121" s="15"/>
      <c r="Y121" s="15"/>
      <c r="Z121" s="15"/>
    </row>
    <row r="122" spans="1:26" s="21" customFormat="1" x14ac:dyDescent="0.55000000000000004">
      <c r="A122" s="17"/>
      <c r="B122"/>
      <c r="C122"/>
      <c r="D122"/>
      <c r="E122"/>
      <c r="F122" s="49">
        <v>40878</v>
      </c>
      <c r="G122" s="92">
        <v>140.91999999999999</v>
      </c>
      <c r="H122"/>
      <c r="I122"/>
      <c r="J122"/>
      <c r="K122"/>
      <c r="L122"/>
      <c r="M122"/>
      <c r="N122"/>
      <c r="O122" s="58">
        <v>139.847603310816</v>
      </c>
      <c r="P122" s="53"/>
      <c r="Q122" s="53">
        <v>139.847603310816</v>
      </c>
      <c r="R122" s="15">
        <v>1.0723966891839916</v>
      </c>
      <c r="S122" s="15"/>
      <c r="T122" s="15"/>
      <c r="U122" s="15"/>
      <c r="V122" s="15"/>
      <c r="W122" s="15"/>
      <c r="X122" s="15"/>
      <c r="Y122" s="15"/>
      <c r="Z122" s="15"/>
    </row>
    <row r="123" spans="1:26" s="21" customFormat="1" x14ac:dyDescent="0.55000000000000004">
      <c r="A123" s="17"/>
      <c r="B123"/>
      <c r="C123"/>
      <c r="D123"/>
      <c r="E123"/>
      <c r="F123" s="49">
        <v>40909</v>
      </c>
      <c r="G123" s="92">
        <v>139.04</v>
      </c>
      <c r="H123"/>
      <c r="I123"/>
      <c r="J123"/>
      <c r="K123"/>
      <c r="L123"/>
      <c r="M123"/>
      <c r="N123"/>
      <c r="O123" s="58">
        <v>138.22212712262041</v>
      </c>
      <c r="P123" s="53"/>
      <c r="Q123" s="53">
        <v>138.22212712262041</v>
      </c>
      <c r="R123" s="15">
        <v>0.81787287737957826</v>
      </c>
      <c r="S123" s="15"/>
      <c r="T123" s="15"/>
      <c r="U123" s="15"/>
      <c r="V123" s="15"/>
      <c r="W123" s="15"/>
      <c r="X123" s="15"/>
      <c r="Y123" s="15"/>
      <c r="Z123" s="15"/>
    </row>
    <row r="124" spans="1:26" s="21" customFormat="1" x14ac:dyDescent="0.55000000000000004">
      <c r="A124" s="17"/>
      <c r="B124"/>
      <c r="C124"/>
      <c r="D124"/>
      <c r="E124"/>
      <c r="F124" s="49">
        <v>40940</v>
      </c>
      <c r="G124" s="92">
        <v>140.55000000000001</v>
      </c>
      <c r="H124"/>
      <c r="I124"/>
      <c r="J124"/>
      <c r="K124"/>
      <c r="L124"/>
      <c r="M124"/>
      <c r="N124"/>
      <c r="O124" s="58">
        <v>139.95218775463292</v>
      </c>
      <c r="P124" s="53"/>
      <c r="Q124" s="53">
        <v>139.95218775463292</v>
      </c>
      <c r="R124" s="15">
        <v>0.59781224536708744</v>
      </c>
      <c r="S124" s="15"/>
      <c r="T124" s="15"/>
      <c r="U124" s="15"/>
      <c r="V124" s="15"/>
      <c r="W124" s="15"/>
      <c r="X124" s="15"/>
      <c r="Y124" s="15"/>
      <c r="Z124" s="15"/>
    </row>
    <row r="125" spans="1:26" s="21" customFormat="1" x14ac:dyDescent="0.55000000000000004">
      <c r="A125" s="17"/>
      <c r="B125"/>
      <c r="C125"/>
      <c r="D125"/>
      <c r="E125"/>
      <c r="F125" s="49">
        <v>40969</v>
      </c>
      <c r="G125" s="92">
        <v>140.13999999999999</v>
      </c>
      <c r="H125"/>
      <c r="I125"/>
      <c r="J125"/>
      <c r="K125"/>
      <c r="L125"/>
      <c r="M125"/>
      <c r="N125"/>
      <c r="O125" s="58">
        <v>139.7143570356167</v>
      </c>
      <c r="P125" s="53"/>
      <c r="Q125" s="53">
        <v>139.7143570356167</v>
      </c>
      <c r="R125" s="15">
        <v>0.42564296438328286</v>
      </c>
      <c r="S125" s="15"/>
      <c r="T125" s="15"/>
      <c r="U125" s="15"/>
      <c r="V125" s="15"/>
      <c r="W125" s="15"/>
      <c r="X125" s="15"/>
      <c r="Y125" s="15"/>
      <c r="Z125" s="15"/>
    </row>
    <row r="126" spans="1:26" s="21" customFormat="1" x14ac:dyDescent="0.55000000000000004">
      <c r="A126" s="17"/>
      <c r="B126"/>
      <c r="C126"/>
      <c r="D126"/>
      <c r="E126"/>
      <c r="F126" s="49">
        <v>41000</v>
      </c>
      <c r="G126" s="92">
        <v>140.76</v>
      </c>
      <c r="H126"/>
      <c r="I126"/>
      <c r="J126"/>
      <c r="K126"/>
      <c r="L126"/>
      <c r="M126"/>
      <c r="N126"/>
      <c r="O126" s="58">
        <v>140.44694293884575</v>
      </c>
      <c r="P126" s="53"/>
      <c r="Q126" s="53">
        <v>140.44694293884575</v>
      </c>
      <c r="R126" s="15">
        <v>0.31305706115422738</v>
      </c>
      <c r="S126" s="15"/>
      <c r="T126" s="15"/>
      <c r="U126" s="15"/>
      <c r="V126" s="15"/>
      <c r="W126" s="15"/>
      <c r="X126" s="15"/>
      <c r="Y126" s="15"/>
      <c r="Z126" s="15"/>
    </row>
    <row r="127" spans="1:26" s="21" customFormat="1" x14ac:dyDescent="0.55000000000000004">
      <c r="A127" s="17"/>
      <c r="B127"/>
      <c r="C127"/>
      <c r="D127"/>
      <c r="E127"/>
      <c r="F127" s="49">
        <v>41030</v>
      </c>
      <c r="G127" s="92">
        <v>142.5</v>
      </c>
      <c r="H127"/>
      <c r="I127"/>
      <c r="J127"/>
      <c r="K127"/>
      <c r="L127"/>
      <c r="M127"/>
      <c r="N127"/>
      <c r="O127" s="58">
        <v>142.23102459571709</v>
      </c>
      <c r="P127" s="53"/>
      <c r="Q127" s="53">
        <v>142.23102459571709</v>
      </c>
      <c r="R127" s="15">
        <v>0.26897540428291694</v>
      </c>
      <c r="S127" s="15"/>
      <c r="T127" s="15"/>
      <c r="U127" s="15"/>
      <c r="V127" s="15"/>
      <c r="W127" s="15"/>
      <c r="X127" s="15"/>
      <c r="Y127" s="15"/>
      <c r="Z127" s="15"/>
    </row>
    <row r="128" spans="1:26" s="21" customFormat="1" x14ac:dyDescent="0.55000000000000004">
      <c r="A128" s="17"/>
      <c r="B128"/>
      <c r="C128"/>
      <c r="D128"/>
      <c r="E128"/>
      <c r="F128" s="49">
        <v>41061</v>
      </c>
      <c r="G128" s="92">
        <v>143.55000000000001</v>
      </c>
      <c r="H128"/>
      <c r="I128"/>
      <c r="J128"/>
      <c r="K128"/>
      <c r="L128"/>
      <c r="M128"/>
      <c r="N128"/>
      <c r="O128" s="58">
        <v>143.24742513735939</v>
      </c>
      <c r="P128" s="53"/>
      <c r="Q128" s="53">
        <v>143.24742513735939</v>
      </c>
      <c r="R128" s="15">
        <v>0.30257486264063577</v>
      </c>
      <c r="S128" s="15"/>
      <c r="T128" s="15"/>
      <c r="U128" s="15"/>
      <c r="V128" s="15"/>
      <c r="W128" s="15"/>
      <c r="X128" s="15"/>
      <c r="Y128" s="15"/>
      <c r="Z128" s="15"/>
    </row>
    <row r="129" spans="1:26" s="21" customFormat="1" x14ac:dyDescent="0.55000000000000004">
      <c r="A129" s="17"/>
      <c r="B129"/>
      <c r="C129"/>
      <c r="D129"/>
      <c r="E129"/>
      <c r="F129" s="49">
        <v>41091</v>
      </c>
      <c r="G129" s="92">
        <v>143.82</v>
      </c>
      <c r="H129"/>
      <c r="I129"/>
      <c r="J129"/>
      <c r="K129"/>
      <c r="L129"/>
      <c r="M129"/>
      <c r="N129"/>
      <c r="O129" s="58">
        <v>143.40492353752543</v>
      </c>
      <c r="P129" s="53"/>
      <c r="Q129" s="53">
        <v>143.40492353752543</v>
      </c>
      <c r="R129" s="15">
        <v>0.41507646247457042</v>
      </c>
      <c r="S129" s="15"/>
      <c r="T129" s="15"/>
      <c r="U129" s="15"/>
      <c r="V129" s="15"/>
      <c r="W129" s="15"/>
      <c r="X129" s="15"/>
      <c r="Y129" s="15"/>
      <c r="Z129" s="15"/>
    </row>
    <row r="130" spans="1:26" s="21" customFormat="1" x14ac:dyDescent="0.55000000000000004">
      <c r="A130" s="17"/>
      <c r="B130"/>
      <c r="C130"/>
      <c r="D130"/>
      <c r="E130"/>
      <c r="F130" s="49">
        <v>41122</v>
      </c>
      <c r="G130" s="92">
        <v>144.26</v>
      </c>
      <c r="H130"/>
      <c r="I130"/>
      <c r="J130"/>
      <c r="K130"/>
      <c r="L130"/>
      <c r="M130"/>
      <c r="N130"/>
      <c r="O130" s="58">
        <v>143.65959124850116</v>
      </c>
      <c r="P130" s="53"/>
      <c r="Q130" s="53">
        <v>143.65959124850116</v>
      </c>
      <c r="R130" s="15">
        <v>0.60040875149883755</v>
      </c>
      <c r="S130" s="15"/>
      <c r="T130" s="15"/>
      <c r="U130" s="15"/>
      <c r="V130" s="15"/>
      <c r="W130" s="15"/>
      <c r="X130" s="15"/>
      <c r="Y130" s="15"/>
      <c r="Z130" s="15"/>
    </row>
    <row r="131" spans="1:26" s="21" customFormat="1" x14ac:dyDescent="0.55000000000000004">
      <c r="A131" s="17"/>
      <c r="B131"/>
      <c r="C131"/>
      <c r="D131"/>
      <c r="E131"/>
      <c r="F131" s="49">
        <v>41153</v>
      </c>
      <c r="G131" s="92">
        <v>143.66</v>
      </c>
      <c r="H131"/>
      <c r="I131"/>
      <c r="J131"/>
      <c r="K131"/>
      <c r="L131"/>
      <c r="M131"/>
      <c r="N131"/>
      <c r="O131" s="58">
        <v>142.80321252041284</v>
      </c>
      <c r="P131" s="53"/>
      <c r="Q131" s="53">
        <v>142.80321252041284</v>
      </c>
      <c r="R131" s="15">
        <v>0.85678747958715151</v>
      </c>
      <c r="S131" s="15"/>
      <c r="T131" s="15"/>
      <c r="U131" s="15"/>
      <c r="V131" s="15"/>
      <c r="W131" s="15"/>
      <c r="X131" s="15"/>
      <c r="Y131" s="15"/>
      <c r="Z131" s="15"/>
    </row>
    <row r="132" spans="1:26" s="21" customFormat="1" x14ac:dyDescent="0.55000000000000004">
      <c r="A132" s="17"/>
      <c r="B132"/>
      <c r="C132"/>
      <c r="D132"/>
      <c r="E132"/>
      <c r="F132" s="49">
        <v>41183</v>
      </c>
      <c r="G132" s="92">
        <v>144.84</v>
      </c>
      <c r="H132"/>
      <c r="I132"/>
      <c r="J132"/>
      <c r="K132"/>
      <c r="L132"/>
      <c r="M132"/>
      <c r="N132"/>
      <c r="O132" s="58">
        <v>143.67783487419902</v>
      </c>
      <c r="P132" s="53"/>
      <c r="Q132" s="53">
        <v>143.67783487419902</v>
      </c>
      <c r="R132" s="15">
        <v>1.1621651258009913</v>
      </c>
      <c r="S132" s="15"/>
      <c r="T132" s="15"/>
      <c r="U132" s="15"/>
      <c r="V132" s="15"/>
      <c r="W132" s="15"/>
      <c r="X132" s="15"/>
      <c r="Y132" s="15"/>
      <c r="Z132" s="15"/>
    </row>
    <row r="133" spans="1:26" s="21" customFormat="1" x14ac:dyDescent="0.55000000000000004">
      <c r="A133" s="17"/>
      <c r="B133"/>
      <c r="C133"/>
      <c r="D133"/>
      <c r="E133"/>
      <c r="F133" s="49">
        <v>41214</v>
      </c>
      <c r="G133" s="92">
        <v>144.63999999999999</v>
      </c>
      <c r="H133"/>
      <c r="I133"/>
      <c r="J133"/>
      <c r="K133"/>
      <c r="L133"/>
      <c r="M133"/>
      <c r="N133"/>
      <c r="O133" s="58">
        <v>143.12935068948829</v>
      </c>
      <c r="P133" s="53"/>
      <c r="Q133" s="53">
        <v>143.12935068948829</v>
      </c>
      <c r="R133" s="15">
        <v>1.5106493105116923</v>
      </c>
      <c r="S133" s="15"/>
      <c r="T133" s="15"/>
      <c r="U133" s="15"/>
      <c r="V133" s="15"/>
      <c r="W133" s="15"/>
      <c r="X133" s="15"/>
      <c r="Y133" s="15"/>
      <c r="Z133" s="15"/>
    </row>
    <row r="134" spans="1:26" s="21" customFormat="1" x14ac:dyDescent="0.55000000000000004">
      <c r="A134" s="17"/>
      <c r="B134"/>
      <c r="C134"/>
      <c r="D134"/>
      <c r="E134"/>
      <c r="F134" s="49">
        <v>41244</v>
      </c>
      <c r="G134" s="92">
        <v>144.15</v>
      </c>
      <c r="H134"/>
      <c r="I134"/>
      <c r="J134"/>
      <c r="K134"/>
      <c r="L134"/>
      <c r="M134"/>
      <c r="N134"/>
      <c r="O134" s="58">
        <v>142.26414970480684</v>
      </c>
      <c r="P134" s="53"/>
      <c r="Q134" s="53">
        <v>142.26414970480684</v>
      </c>
      <c r="R134" s="15">
        <v>1.8858502951931637</v>
      </c>
      <c r="S134" s="15"/>
      <c r="T134" s="15"/>
      <c r="U134" s="15"/>
      <c r="V134" s="15"/>
      <c r="W134" s="15"/>
      <c r="X134" s="15"/>
      <c r="Y134" s="15"/>
      <c r="Z134" s="15"/>
    </row>
    <row r="135" spans="1:26" s="21" customFormat="1" x14ac:dyDescent="0.55000000000000004">
      <c r="A135" s="17"/>
      <c r="B135"/>
      <c r="C135"/>
      <c r="D135"/>
      <c r="E135"/>
      <c r="F135" s="49">
        <v>41275</v>
      </c>
      <c r="G135" s="92">
        <v>144.97999999999999</v>
      </c>
      <c r="H135"/>
      <c r="I135"/>
      <c r="J135"/>
      <c r="K135"/>
      <c r="L135"/>
      <c r="M135"/>
      <c r="N135"/>
      <c r="O135" s="58">
        <v>142.70184601612874</v>
      </c>
      <c r="P135" s="53"/>
      <c r="Q135" s="53">
        <v>142.70184601612874</v>
      </c>
      <c r="R135" s="15">
        <v>2.2781539838712588</v>
      </c>
      <c r="S135" s="15"/>
      <c r="T135" s="15"/>
      <c r="U135" s="15"/>
      <c r="V135" s="15"/>
      <c r="W135" s="15"/>
      <c r="X135" s="15"/>
      <c r="Y135" s="15"/>
      <c r="Z135" s="15"/>
    </row>
    <row r="136" spans="1:26" s="21" customFormat="1" x14ac:dyDescent="0.55000000000000004">
      <c r="A136" s="17"/>
      <c r="B136"/>
      <c r="C136"/>
      <c r="D136"/>
      <c r="E136"/>
      <c r="F136" s="49">
        <v>41306</v>
      </c>
      <c r="G136" s="92">
        <v>143.82</v>
      </c>
      <c r="H136"/>
      <c r="I136"/>
      <c r="J136"/>
      <c r="K136"/>
      <c r="L136"/>
      <c r="M136"/>
      <c r="N136"/>
      <c r="O136" s="58">
        <v>141.15240867344016</v>
      </c>
      <c r="P136" s="53"/>
      <c r="Q136" s="53">
        <v>141.15240867344016</v>
      </c>
      <c r="R136" s="15">
        <v>2.6675913265598421</v>
      </c>
      <c r="S136" s="15"/>
      <c r="T136" s="15"/>
      <c r="U136" s="15"/>
      <c r="V136" s="15"/>
      <c r="W136" s="15"/>
      <c r="X136" s="15"/>
      <c r="Y136" s="15"/>
      <c r="Z136" s="15"/>
    </row>
    <row r="137" spans="1:26" s="21" customFormat="1" x14ac:dyDescent="0.55000000000000004">
      <c r="A137" s="17"/>
      <c r="B137"/>
      <c r="C137"/>
      <c r="D137"/>
      <c r="E137"/>
      <c r="F137" s="49">
        <v>41334</v>
      </c>
      <c r="G137" s="92">
        <v>145.04</v>
      </c>
      <c r="H137"/>
      <c r="I137"/>
      <c r="J137"/>
      <c r="K137"/>
      <c r="L137"/>
      <c r="M137"/>
      <c r="N137"/>
      <c r="O137" s="58">
        <v>142.00001292761689</v>
      </c>
      <c r="P137" s="53"/>
      <c r="Q137" s="53">
        <v>142.00001292761689</v>
      </c>
      <c r="R137" s="15">
        <v>3.0399870723830924</v>
      </c>
      <c r="S137" s="15"/>
      <c r="T137" s="15"/>
      <c r="U137" s="15"/>
      <c r="V137" s="15"/>
      <c r="W137" s="15"/>
      <c r="X137" s="15"/>
      <c r="Y137" s="15"/>
      <c r="Z137" s="15"/>
    </row>
    <row r="138" spans="1:26" s="21" customFormat="1" x14ac:dyDescent="0.55000000000000004">
      <c r="A138" s="17"/>
      <c r="B138"/>
      <c r="C138"/>
      <c r="D138"/>
      <c r="E138"/>
      <c r="F138" s="49">
        <v>41365</v>
      </c>
      <c r="G138" s="92">
        <v>146.28</v>
      </c>
      <c r="H138"/>
      <c r="I138"/>
      <c r="J138"/>
      <c r="K138"/>
      <c r="L138"/>
      <c r="M138"/>
      <c r="N138"/>
      <c r="O138" s="58">
        <v>142.89924995652115</v>
      </c>
      <c r="P138" s="53"/>
      <c r="Q138" s="53">
        <v>142.89924995652115</v>
      </c>
      <c r="R138" s="15">
        <v>3.3807500434788418</v>
      </c>
      <c r="S138" s="15"/>
      <c r="T138" s="15"/>
      <c r="U138" s="15"/>
      <c r="V138" s="15"/>
      <c r="W138" s="15"/>
      <c r="X138" s="15"/>
      <c r="Y138" s="15"/>
      <c r="Z138" s="15"/>
    </row>
    <row r="139" spans="1:26" s="21" customFormat="1" x14ac:dyDescent="0.55000000000000004">
      <c r="A139" s="17"/>
      <c r="B139"/>
      <c r="C139"/>
      <c r="D139"/>
      <c r="E139"/>
      <c r="F139" s="49">
        <v>41395</v>
      </c>
      <c r="G139" s="92">
        <v>146.79</v>
      </c>
      <c r="H139"/>
      <c r="I139"/>
      <c r="J139"/>
      <c r="K139"/>
      <c r="L139"/>
      <c r="M139"/>
      <c r="N139"/>
      <c r="O139" s="58">
        <v>143.10867096725653</v>
      </c>
      <c r="P139" s="53"/>
      <c r="Q139" s="53">
        <v>143.10867096725653</v>
      </c>
      <c r="R139" s="15">
        <v>3.6813290327434594</v>
      </c>
      <c r="S139" s="15"/>
      <c r="T139" s="15"/>
      <c r="U139" s="15"/>
      <c r="V139" s="15"/>
      <c r="W139" s="15"/>
      <c r="X139" s="15"/>
      <c r="Y139" s="15"/>
      <c r="Z139" s="15"/>
    </row>
    <row r="140" spans="1:26" s="21" customFormat="1" x14ac:dyDescent="0.55000000000000004">
      <c r="A140" s="17"/>
      <c r="B140"/>
      <c r="C140"/>
      <c r="D140"/>
      <c r="E140"/>
      <c r="F140" s="49">
        <v>41426</v>
      </c>
      <c r="G140" s="92">
        <v>146.35</v>
      </c>
      <c r="H140"/>
      <c r="I140"/>
      <c r="J140"/>
      <c r="K140"/>
      <c r="L140"/>
      <c r="M140"/>
      <c r="N140"/>
      <c r="O140" s="58">
        <v>142.41612146016922</v>
      </c>
      <c r="P140" s="53"/>
      <c r="Q140" s="53">
        <v>142.41612146016922</v>
      </c>
      <c r="R140" s="15">
        <v>3.9338785398307738</v>
      </c>
      <c r="S140" s="15"/>
      <c r="T140" s="15"/>
      <c r="U140" s="15"/>
      <c r="V140" s="15"/>
      <c r="W140" s="15"/>
      <c r="X140" s="15"/>
      <c r="Y140" s="15"/>
      <c r="Z140" s="15"/>
    </row>
    <row r="141" spans="1:26" s="21" customFormat="1" x14ac:dyDescent="0.55000000000000004">
      <c r="A141" s="17"/>
      <c r="B141"/>
      <c r="C141"/>
      <c r="D141"/>
      <c r="E141"/>
      <c r="F141" s="49">
        <v>41456</v>
      </c>
      <c r="G141" s="92">
        <v>146.93</v>
      </c>
      <c r="H141"/>
      <c r="I141"/>
      <c r="J141"/>
      <c r="K141"/>
      <c r="L141"/>
      <c r="M141"/>
      <c r="N141"/>
      <c r="O141" s="58">
        <v>142.78792756373124</v>
      </c>
      <c r="P141" s="53"/>
      <c r="Q141" s="53">
        <v>142.78792756373124</v>
      </c>
      <c r="R141" s="15">
        <v>4.1420724362687702</v>
      </c>
      <c r="S141" s="15"/>
      <c r="T141" s="15"/>
      <c r="U141" s="15"/>
      <c r="V141" s="15"/>
      <c r="W141" s="15"/>
      <c r="X141" s="15"/>
      <c r="Y141" s="15"/>
      <c r="Z141" s="15"/>
    </row>
    <row r="142" spans="1:26" s="21" customFormat="1" x14ac:dyDescent="0.55000000000000004">
      <c r="A142" s="17"/>
      <c r="B142"/>
      <c r="C142"/>
      <c r="D142"/>
      <c r="E142"/>
      <c r="F142" s="49">
        <v>41487</v>
      </c>
      <c r="G142" s="92">
        <v>147.18</v>
      </c>
      <c r="H142"/>
      <c r="I142"/>
      <c r="J142"/>
      <c r="K142"/>
      <c r="L142"/>
      <c r="M142"/>
      <c r="N142"/>
      <c r="O142" s="58">
        <v>142.86824205728473</v>
      </c>
      <c r="P142" s="53"/>
      <c r="Q142" s="53">
        <v>142.86824205728473</v>
      </c>
      <c r="R142" s="15">
        <v>4.3117579427152775</v>
      </c>
      <c r="S142" s="15"/>
      <c r="T142" s="15"/>
      <c r="U142" s="15"/>
      <c r="V142" s="15"/>
      <c r="W142" s="15"/>
      <c r="X142" s="15"/>
      <c r="Y142" s="15"/>
      <c r="Z142" s="15"/>
    </row>
    <row r="143" spans="1:26" s="21" customFormat="1" x14ac:dyDescent="0.55000000000000004">
      <c r="A143" s="17"/>
      <c r="B143"/>
      <c r="C143"/>
      <c r="D143"/>
      <c r="E143"/>
      <c r="F143" s="49">
        <v>41518</v>
      </c>
      <c r="G143" s="92">
        <v>147.83000000000001</v>
      </c>
      <c r="H143"/>
      <c r="I143"/>
      <c r="J143"/>
      <c r="K143"/>
      <c r="L143"/>
      <c r="M143"/>
      <c r="N143"/>
      <c r="O143" s="58">
        <v>143.3864050912855</v>
      </c>
      <c r="P143" s="53"/>
      <c r="Q143" s="53">
        <v>143.3864050912855</v>
      </c>
      <c r="R143" s="15">
        <v>4.4435949087145206</v>
      </c>
      <c r="S143" s="15"/>
      <c r="T143" s="15"/>
      <c r="U143" s="15"/>
      <c r="V143" s="15"/>
      <c r="W143" s="15"/>
      <c r="X143" s="15"/>
      <c r="Y143" s="15"/>
      <c r="Z143" s="15"/>
    </row>
    <row r="144" spans="1:26" s="21" customFormat="1" x14ac:dyDescent="0.55000000000000004">
      <c r="A144" s="17"/>
      <c r="B144"/>
      <c r="C144"/>
      <c r="D144"/>
      <c r="E144"/>
      <c r="F144" s="49">
        <v>41548</v>
      </c>
      <c r="G144" s="92">
        <v>147.99</v>
      </c>
      <c r="H144"/>
      <c r="I144"/>
      <c r="J144"/>
      <c r="K144"/>
      <c r="L144"/>
      <c r="M144"/>
      <c r="N144"/>
      <c r="O144" s="58">
        <v>143.44954263878572</v>
      </c>
      <c r="P144" s="53"/>
      <c r="Q144" s="53">
        <v>143.44954263878572</v>
      </c>
      <c r="R144" s="15">
        <v>4.5404573612143055</v>
      </c>
      <c r="S144" s="15"/>
      <c r="T144" s="15"/>
      <c r="U144" s="15"/>
      <c r="V144" s="15"/>
      <c r="W144" s="15"/>
      <c r="X144" s="15"/>
      <c r="Y144" s="15"/>
      <c r="Z144" s="15"/>
    </row>
    <row r="145" spans="1:26" s="21" customFormat="1" x14ac:dyDescent="0.55000000000000004">
      <c r="A145" s="17"/>
      <c r="B145"/>
      <c r="C145"/>
      <c r="D145"/>
      <c r="E145"/>
      <c r="F145" s="49">
        <v>41579</v>
      </c>
      <c r="G145" s="92">
        <v>148.36000000000001</v>
      </c>
      <c r="H145"/>
      <c r="I145"/>
      <c r="J145"/>
      <c r="K145"/>
      <c r="L145"/>
      <c r="M145"/>
      <c r="N145"/>
      <c r="O145" s="58">
        <v>143.75523976653747</v>
      </c>
      <c r="P145" s="53"/>
      <c r="Q145" s="53">
        <v>143.75523976653747</v>
      </c>
      <c r="R145" s="15">
        <v>4.6047602334625362</v>
      </c>
      <c r="S145" s="15"/>
      <c r="T145" s="15"/>
      <c r="U145" s="15"/>
      <c r="V145" s="15"/>
      <c r="W145" s="15"/>
      <c r="X145" s="15"/>
      <c r="Y145" s="15"/>
      <c r="Z145" s="15"/>
    </row>
    <row r="146" spans="1:26" s="21" customFormat="1" x14ac:dyDescent="0.55000000000000004">
      <c r="A146" s="17"/>
      <c r="B146"/>
      <c r="C146"/>
      <c r="D146"/>
      <c r="E146"/>
      <c r="F146" s="49">
        <v>41609</v>
      </c>
      <c r="G146" s="92">
        <v>148.76</v>
      </c>
      <c r="H146"/>
      <c r="I146"/>
      <c r="J146"/>
      <c r="K146"/>
      <c r="L146"/>
      <c r="M146"/>
      <c r="N146"/>
      <c r="O146" s="58">
        <v>144.11327872644574</v>
      </c>
      <c r="P146" s="53"/>
      <c r="Q146" s="53">
        <v>144.11327872644574</v>
      </c>
      <c r="R146" s="15">
        <v>4.6467212735542445</v>
      </c>
      <c r="S146" s="15"/>
      <c r="T146" s="15"/>
      <c r="U146" s="15"/>
      <c r="V146" s="15"/>
      <c r="W146" s="15"/>
      <c r="X146" s="15"/>
      <c r="Y146" s="15"/>
      <c r="Z146" s="15"/>
    </row>
    <row r="147" spans="1:26" s="21" customFormat="1" x14ac:dyDescent="0.55000000000000004">
      <c r="A147" s="17"/>
      <c r="B147"/>
      <c r="C147"/>
      <c r="D147"/>
      <c r="E147"/>
      <c r="F147" s="49">
        <v>41640</v>
      </c>
      <c r="G147" s="92">
        <v>148.31</v>
      </c>
      <c r="H147"/>
      <c r="I147"/>
      <c r="J147"/>
      <c r="K147"/>
      <c r="L147"/>
      <c r="M147"/>
      <c r="N147"/>
      <c r="O147" s="58">
        <v>143.64826185619248</v>
      </c>
      <c r="P147" s="53"/>
      <c r="Q147" s="53">
        <v>143.64826185619248</v>
      </c>
      <c r="R147" s="15">
        <v>4.6617381438075247</v>
      </c>
      <c r="S147" s="15"/>
      <c r="T147" s="15"/>
      <c r="U147" s="15"/>
      <c r="V147" s="15"/>
      <c r="W147" s="15"/>
      <c r="X147" s="15"/>
      <c r="Y147" s="15"/>
      <c r="Z147" s="15"/>
    </row>
    <row r="148" spans="1:26" s="21" customFormat="1" x14ac:dyDescent="0.55000000000000004">
      <c r="A148" s="17"/>
      <c r="B148"/>
      <c r="C148"/>
      <c r="D148"/>
      <c r="E148"/>
      <c r="F148" s="49">
        <v>41671</v>
      </c>
      <c r="G148" s="92">
        <v>148</v>
      </c>
      <c r="H148"/>
      <c r="I148"/>
      <c r="J148"/>
      <c r="K148"/>
      <c r="L148"/>
      <c r="M148"/>
      <c r="N148"/>
      <c r="O148" s="58">
        <v>143.34639597213416</v>
      </c>
      <c r="P148" s="53"/>
      <c r="Q148" s="53">
        <v>143.34639597213416</v>
      </c>
      <c r="R148" s="15">
        <v>4.6536040278658479</v>
      </c>
      <c r="S148" s="15"/>
      <c r="T148" s="15"/>
      <c r="U148" s="15"/>
      <c r="V148" s="15"/>
      <c r="W148" s="15"/>
      <c r="X148" s="15"/>
      <c r="Y148" s="15"/>
      <c r="Z148" s="15"/>
    </row>
    <row r="149" spans="1:26" s="21" customFormat="1" x14ac:dyDescent="0.55000000000000004">
      <c r="A149" s="17"/>
      <c r="B149"/>
      <c r="C149"/>
      <c r="D149"/>
      <c r="E149"/>
      <c r="F149" s="49">
        <v>41699</v>
      </c>
      <c r="G149" s="92">
        <v>147.78</v>
      </c>
      <c r="H149"/>
      <c r="I149"/>
      <c r="J149"/>
      <c r="K149"/>
      <c r="L149"/>
      <c r="M149"/>
      <c r="N149"/>
      <c r="O149" s="58">
        <v>143.15899436957997</v>
      </c>
      <c r="P149" s="53"/>
      <c r="Q149" s="53">
        <v>143.15899436957997</v>
      </c>
      <c r="R149" s="15">
        <v>4.6210056304200222</v>
      </c>
      <c r="S149" s="15"/>
      <c r="T149" s="15"/>
      <c r="U149" s="15"/>
      <c r="V149" s="15"/>
      <c r="W149" s="15"/>
      <c r="X149" s="15"/>
      <c r="Y149" s="15"/>
      <c r="Z149" s="15"/>
    </row>
    <row r="150" spans="1:26" s="21" customFormat="1" x14ac:dyDescent="0.55000000000000004">
      <c r="A150" s="17"/>
      <c r="B150"/>
      <c r="C150"/>
      <c r="D150"/>
      <c r="E150"/>
      <c r="F150" s="49">
        <v>41730</v>
      </c>
      <c r="G150" s="92">
        <v>147.07</v>
      </c>
      <c r="H150"/>
      <c r="I150"/>
      <c r="J150"/>
      <c r="K150"/>
      <c r="L150"/>
      <c r="M150"/>
      <c r="N150"/>
      <c r="O150" s="58">
        <v>142.50630031340182</v>
      </c>
      <c r="P150" s="53"/>
      <c r="Q150" s="53">
        <v>142.50630031340182</v>
      </c>
      <c r="R150" s="15">
        <v>4.5636996865981612</v>
      </c>
      <c r="S150" s="15"/>
      <c r="T150" s="15"/>
      <c r="U150" s="15"/>
      <c r="V150" s="15"/>
      <c r="W150" s="15"/>
      <c r="X150" s="15"/>
      <c r="Y150" s="15"/>
      <c r="Z150" s="15"/>
    </row>
    <row r="151" spans="1:26" s="21" customFormat="1" x14ac:dyDescent="0.55000000000000004">
      <c r="A151" s="17"/>
      <c r="B151"/>
      <c r="C151"/>
      <c r="D151"/>
      <c r="E151"/>
      <c r="F151" s="49">
        <v>41760</v>
      </c>
      <c r="G151" s="92">
        <v>146.37</v>
      </c>
      <c r="H151"/>
      <c r="I151"/>
      <c r="J151"/>
      <c r="K151"/>
      <c r="L151"/>
      <c r="M151"/>
      <c r="N151"/>
      <c r="O151" s="58">
        <v>141.88675463226204</v>
      </c>
      <c r="P151" s="53"/>
      <c r="Q151" s="53">
        <v>141.88675463226204</v>
      </c>
      <c r="R151" s="15">
        <v>4.4832453677379656</v>
      </c>
      <c r="S151" s="15"/>
      <c r="T151" s="15"/>
      <c r="U151" s="15"/>
      <c r="V151" s="15"/>
      <c r="W151" s="15"/>
      <c r="X151" s="15"/>
      <c r="Y151" s="15"/>
      <c r="Z151" s="15"/>
    </row>
    <row r="152" spans="1:26" s="21" customFormat="1" x14ac:dyDescent="0.55000000000000004">
      <c r="A152" s="17"/>
      <c r="B152"/>
      <c r="C152"/>
      <c r="D152"/>
      <c r="E152"/>
      <c r="F152" s="49">
        <v>41791</v>
      </c>
      <c r="G152" s="92">
        <v>143.43</v>
      </c>
      <c r="H152"/>
      <c r="I152"/>
      <c r="J152"/>
      <c r="K152"/>
      <c r="L152"/>
      <c r="M152"/>
      <c r="N152"/>
      <c r="O152" s="58">
        <v>139.05361555965001</v>
      </c>
      <c r="P152" s="53"/>
      <c r="Q152" s="53">
        <v>139.05361555965001</v>
      </c>
      <c r="R152" s="15">
        <v>4.376384440349991</v>
      </c>
      <c r="S152" s="15"/>
      <c r="T152" s="15"/>
      <c r="U152" s="15"/>
      <c r="V152" s="15"/>
      <c r="W152" s="15"/>
      <c r="X152" s="15"/>
      <c r="Y152" s="15"/>
      <c r="Z152" s="15"/>
    </row>
    <row r="153" spans="1:26" s="21" customFormat="1" x14ac:dyDescent="0.55000000000000004">
      <c r="A153" s="17"/>
      <c r="B153"/>
      <c r="C153"/>
      <c r="D153"/>
      <c r="E153"/>
      <c r="F153" s="49">
        <v>41821</v>
      </c>
      <c r="G153" s="92">
        <v>144.66999999999999</v>
      </c>
      <c r="H153"/>
      <c r="I153"/>
      <c r="J153"/>
      <c r="K153"/>
      <c r="L153"/>
      <c r="M153"/>
      <c r="N153"/>
      <c r="O153" s="58">
        <v>140.42999059613015</v>
      </c>
      <c r="P153" s="53"/>
      <c r="Q153" s="53">
        <v>140.42999059613015</v>
      </c>
      <c r="R153" s="15">
        <v>4.240009403869835</v>
      </c>
      <c r="S153" s="15"/>
      <c r="T153" s="15"/>
      <c r="U153" s="15"/>
      <c r="V153" s="15"/>
      <c r="W153" s="15"/>
      <c r="X153" s="15"/>
      <c r="Y153" s="15"/>
      <c r="Z153" s="15"/>
    </row>
    <row r="154" spans="1:26" s="21" customFormat="1" x14ac:dyDescent="0.55000000000000004">
      <c r="A154" s="17"/>
      <c r="B154"/>
      <c r="C154"/>
      <c r="D154"/>
      <c r="E154"/>
      <c r="F154" s="49">
        <v>41852</v>
      </c>
      <c r="G154" s="92">
        <v>145.66</v>
      </c>
      <c r="H154"/>
      <c r="I154"/>
      <c r="J154"/>
      <c r="K154"/>
      <c r="L154"/>
      <c r="M154"/>
      <c r="N154"/>
      <c r="O154" s="58">
        <v>141.58750969411116</v>
      </c>
      <c r="P154" s="53"/>
      <c r="Q154" s="53">
        <v>141.58750969411116</v>
      </c>
      <c r="R154" s="15">
        <v>4.0724903058888398</v>
      </c>
      <c r="S154" s="15"/>
      <c r="T154" s="15"/>
      <c r="U154" s="15"/>
      <c r="V154" s="15"/>
      <c r="W154" s="15"/>
      <c r="X154" s="15"/>
      <c r="Y154" s="15"/>
      <c r="Z154" s="15"/>
    </row>
    <row r="155" spans="1:26" s="21" customFormat="1" x14ac:dyDescent="0.55000000000000004">
      <c r="A155" s="17"/>
      <c r="B155"/>
      <c r="C155"/>
      <c r="D155"/>
      <c r="E155"/>
      <c r="F155" s="49">
        <v>41883</v>
      </c>
      <c r="G155" s="92">
        <v>146.22999999999999</v>
      </c>
      <c r="H155"/>
      <c r="I155"/>
      <c r="J155"/>
      <c r="K155"/>
      <c r="L155"/>
      <c r="M155"/>
      <c r="N155"/>
      <c r="O155" s="58">
        <v>142.35972485998229</v>
      </c>
      <c r="P155" s="53"/>
      <c r="Q155" s="53">
        <v>142.35972485998229</v>
      </c>
      <c r="R155" s="15">
        <v>3.8702751400176889</v>
      </c>
      <c r="S155" s="15"/>
      <c r="T155" s="15"/>
      <c r="U155" s="15"/>
      <c r="V155" s="15"/>
      <c r="W155" s="15"/>
      <c r="X155" s="15"/>
      <c r="Y155" s="15"/>
      <c r="Z155" s="15"/>
    </row>
    <row r="156" spans="1:26" s="21" customFormat="1" x14ac:dyDescent="0.55000000000000004">
      <c r="A156" s="17"/>
      <c r="B156"/>
      <c r="C156"/>
      <c r="D156"/>
      <c r="E156"/>
      <c r="F156" s="49">
        <v>41913</v>
      </c>
      <c r="G156" s="92">
        <v>145.41</v>
      </c>
      <c r="H156"/>
      <c r="I156"/>
      <c r="J156"/>
      <c r="K156"/>
      <c r="L156"/>
      <c r="M156"/>
      <c r="N156"/>
      <c r="O156" s="58">
        <v>141.78022449913897</v>
      </c>
      <c r="P156" s="53"/>
      <c r="Q156" s="53">
        <v>141.78022449913897</v>
      </c>
      <c r="R156" s="15">
        <v>3.6297755008610366</v>
      </c>
      <c r="S156" s="15"/>
      <c r="T156" s="15"/>
      <c r="U156" s="15"/>
      <c r="V156" s="15"/>
      <c r="W156" s="15"/>
      <c r="X156" s="15"/>
      <c r="Y156" s="15"/>
      <c r="Z156" s="15"/>
    </row>
    <row r="157" spans="1:26" s="21" customFormat="1" x14ac:dyDescent="0.55000000000000004">
      <c r="A157" s="17"/>
      <c r="B157"/>
      <c r="C157"/>
      <c r="D157"/>
      <c r="E157"/>
      <c r="F157" s="49">
        <v>41944</v>
      </c>
      <c r="G157" s="92">
        <v>145.62</v>
      </c>
      <c r="H157"/>
      <c r="I157"/>
      <c r="J157"/>
      <c r="K157"/>
      <c r="L157"/>
      <c r="M157"/>
      <c r="N157"/>
      <c r="O157" s="58">
        <v>142.26986257873989</v>
      </c>
      <c r="P157" s="53"/>
      <c r="Q157" s="53">
        <v>142.26986257873989</v>
      </c>
      <c r="R157" s="15">
        <v>3.3501374212601278</v>
      </c>
      <c r="S157" s="15"/>
      <c r="T157" s="15"/>
      <c r="U157" s="15"/>
      <c r="V157" s="15"/>
      <c r="W157" s="15"/>
      <c r="X157" s="15"/>
      <c r="Y157" s="15"/>
      <c r="Z157" s="15"/>
    </row>
    <row r="158" spans="1:26" s="21" customFormat="1" x14ac:dyDescent="0.55000000000000004">
      <c r="A158" s="17"/>
      <c r="B158"/>
      <c r="C158"/>
      <c r="D158"/>
      <c r="E158"/>
      <c r="F158" s="49">
        <v>41974</v>
      </c>
      <c r="G158" s="92">
        <v>146.28</v>
      </c>
      <c r="H158"/>
      <c r="I158"/>
      <c r="J158"/>
      <c r="K158"/>
      <c r="L158"/>
      <c r="M158"/>
      <c r="N158"/>
      <c r="O158" s="58">
        <v>143.25926941401354</v>
      </c>
      <c r="P158" s="53"/>
      <c r="Q158" s="53">
        <v>143.25926941401354</v>
      </c>
      <c r="R158" s="15">
        <v>3.0207305859864491</v>
      </c>
      <c r="S158" s="15"/>
      <c r="T158" s="15"/>
      <c r="U158" s="15"/>
      <c r="V158" s="15"/>
      <c r="W158" s="15"/>
      <c r="X158" s="15"/>
      <c r="Y158" s="15"/>
      <c r="Z158" s="15"/>
    </row>
    <row r="159" spans="1:26" s="21" customFormat="1" x14ac:dyDescent="0.55000000000000004">
      <c r="A159" s="17"/>
      <c r="B159"/>
      <c r="C159"/>
      <c r="D159"/>
      <c r="E159"/>
      <c r="F159" s="49">
        <v>42005</v>
      </c>
      <c r="G159" s="92">
        <v>145.11000000000001</v>
      </c>
      <c r="H159"/>
      <c r="I159"/>
      <c r="J159"/>
      <c r="K159"/>
      <c r="L159"/>
      <c r="M159"/>
      <c r="N159"/>
      <c r="O159" s="58">
        <v>142.46970259595801</v>
      </c>
      <c r="P159" s="53"/>
      <c r="Q159" s="53">
        <v>142.46970259595801</v>
      </c>
      <c r="R159" s="15">
        <v>2.64029740404201</v>
      </c>
      <c r="S159" s="15"/>
      <c r="T159" s="15"/>
      <c r="U159" s="15"/>
      <c r="V159" s="15"/>
      <c r="W159" s="15"/>
      <c r="X159" s="15"/>
      <c r="Y159" s="15"/>
      <c r="Z159" s="15"/>
    </row>
    <row r="160" spans="1:26" s="21" customFormat="1" x14ac:dyDescent="0.55000000000000004">
      <c r="A160" s="17"/>
      <c r="B160"/>
      <c r="C160"/>
      <c r="D160"/>
      <c r="E160"/>
      <c r="F160" s="49">
        <v>42036</v>
      </c>
      <c r="G160" s="92">
        <v>144.05000000000001</v>
      </c>
      <c r="H160"/>
      <c r="I160"/>
      <c r="J160"/>
      <c r="K160"/>
      <c r="L160"/>
      <c r="M160"/>
      <c r="N160"/>
      <c r="O160" s="58">
        <v>141.83453776331751</v>
      </c>
      <c r="P160" s="53"/>
      <c r="Q160" s="53">
        <v>141.83453776331751</v>
      </c>
      <c r="R160" s="15">
        <v>2.2154622366825034</v>
      </c>
      <c r="S160" s="15"/>
      <c r="T160" s="15"/>
      <c r="U160" s="15"/>
      <c r="V160" s="15"/>
      <c r="W160" s="15"/>
      <c r="X160" s="15"/>
      <c r="Y160" s="15"/>
      <c r="Z160" s="15"/>
    </row>
    <row r="161" spans="1:26" s="21" customFormat="1" x14ac:dyDescent="0.55000000000000004">
      <c r="A161" s="17"/>
      <c r="B161"/>
      <c r="C161"/>
      <c r="D161"/>
      <c r="E161"/>
      <c r="F161" s="49">
        <v>42064</v>
      </c>
      <c r="G161" s="92">
        <v>143.72999999999999</v>
      </c>
      <c r="H161"/>
      <c r="I161"/>
      <c r="J161"/>
      <c r="K161"/>
      <c r="L161"/>
      <c r="M161"/>
      <c r="N161"/>
      <c r="O161" s="58">
        <v>141.9739624284677</v>
      </c>
      <c r="P161" s="53"/>
      <c r="Q161" s="53">
        <v>141.9739624284677</v>
      </c>
      <c r="R161" s="15">
        <v>1.7560375715322776</v>
      </c>
      <c r="S161" s="15"/>
      <c r="T161" s="15"/>
      <c r="U161" s="15"/>
      <c r="V161" s="15"/>
      <c r="W161" s="15"/>
      <c r="X161" s="15"/>
      <c r="Y161" s="15"/>
      <c r="Z161" s="15"/>
    </row>
    <row r="162" spans="1:26" s="21" customFormat="1" x14ac:dyDescent="0.55000000000000004">
      <c r="A162" s="17"/>
      <c r="B162"/>
      <c r="C162"/>
      <c r="D162"/>
      <c r="E162"/>
      <c r="F162" s="49">
        <v>42095</v>
      </c>
      <c r="G162" s="92">
        <v>142.02000000000001</v>
      </c>
      <c r="H162"/>
      <c r="I162"/>
      <c r="J162"/>
      <c r="K162"/>
      <c r="L162"/>
      <c r="M162"/>
      <c r="N162"/>
      <c r="O162" s="58">
        <v>140.76419078677813</v>
      </c>
      <c r="P162" s="53"/>
      <c r="Q162" s="53">
        <v>140.76419078677813</v>
      </c>
      <c r="R162" s="15">
        <v>1.2558092132218728</v>
      </c>
      <c r="S162" s="15"/>
      <c r="T162" s="15"/>
      <c r="U162" s="15"/>
      <c r="V162" s="15"/>
      <c r="W162" s="15"/>
      <c r="X162" s="15"/>
      <c r="Y162" s="15"/>
      <c r="Z162" s="15"/>
    </row>
    <row r="163" spans="1:26" s="21" customFormat="1" x14ac:dyDescent="0.55000000000000004">
      <c r="A163" s="17"/>
      <c r="B163"/>
      <c r="C163"/>
      <c r="D163"/>
      <c r="E163"/>
      <c r="F163" s="49">
        <v>42125</v>
      </c>
      <c r="G163" s="92">
        <v>141.07</v>
      </c>
      <c r="H163"/>
      <c r="I163"/>
      <c r="J163"/>
      <c r="K163"/>
      <c r="L163"/>
      <c r="M163"/>
      <c r="N163"/>
      <c r="O163" s="58">
        <v>140.33151935832322</v>
      </c>
      <c r="P163" s="53"/>
      <c r="Q163" s="53">
        <v>140.33151935832322</v>
      </c>
      <c r="R163" s="15">
        <v>0.73848064167676775</v>
      </c>
      <c r="S163" s="15"/>
      <c r="T163" s="15"/>
      <c r="U163" s="15"/>
      <c r="V163" s="15"/>
      <c r="W163" s="15"/>
      <c r="X163" s="15"/>
      <c r="Y163" s="15"/>
      <c r="Z163" s="15"/>
    </row>
    <row r="164" spans="1:26" s="21" customFormat="1" x14ac:dyDescent="0.55000000000000004">
      <c r="A164" s="17"/>
      <c r="B164"/>
      <c r="C164"/>
      <c r="D164"/>
      <c r="E164"/>
      <c r="F164" s="49">
        <v>42156</v>
      </c>
      <c r="G164" s="92">
        <v>139.55000000000001</v>
      </c>
      <c r="H164"/>
      <c r="I164"/>
      <c r="J164"/>
      <c r="K164"/>
      <c r="L164"/>
      <c r="M164"/>
      <c r="N164"/>
      <c r="O164" s="58">
        <v>139.35935894724881</v>
      </c>
      <c r="P164" s="53"/>
      <c r="Q164" s="53">
        <v>139.35935894724881</v>
      </c>
      <c r="R164" s="15">
        <v>0.19064105275120563</v>
      </c>
      <c r="S164" s="15"/>
      <c r="T164" s="15"/>
      <c r="U164" s="15"/>
      <c r="V164" s="15"/>
      <c r="W164" s="15"/>
      <c r="X164" s="15"/>
      <c r="Y164" s="15"/>
      <c r="Z164" s="15"/>
    </row>
    <row r="165" spans="1:26" s="21" customFormat="1" x14ac:dyDescent="0.55000000000000004">
      <c r="A165" s="17"/>
      <c r="B165"/>
      <c r="C165"/>
      <c r="D165"/>
      <c r="E165"/>
      <c r="F165" s="49">
        <v>42186</v>
      </c>
      <c r="G165" s="92">
        <v>138.41999999999999</v>
      </c>
      <c r="H165"/>
      <c r="I165"/>
      <c r="J165"/>
      <c r="K165"/>
      <c r="L165"/>
      <c r="M165"/>
      <c r="N165"/>
      <c r="O165" s="58">
        <v>138.80575141141804</v>
      </c>
      <c r="P165" s="53"/>
      <c r="Q165" s="53">
        <v>138.80575141141804</v>
      </c>
      <c r="R165" s="15">
        <v>-0.38575141141805591</v>
      </c>
      <c r="S165" s="15"/>
      <c r="T165" s="15"/>
      <c r="U165" s="15"/>
      <c r="V165" s="15"/>
      <c r="W165" s="15"/>
      <c r="X165" s="15"/>
      <c r="Y165" s="15"/>
      <c r="Z165" s="15"/>
    </row>
    <row r="166" spans="1:26" s="21" customFormat="1" x14ac:dyDescent="0.55000000000000004">
      <c r="A166" s="17"/>
      <c r="B166"/>
      <c r="C166"/>
      <c r="D166"/>
      <c r="E166"/>
      <c r="F166" s="49">
        <v>42217</v>
      </c>
      <c r="G166" s="92">
        <v>138.83000000000001</v>
      </c>
      <c r="H166"/>
      <c r="I166"/>
      <c r="J166"/>
      <c r="K166"/>
      <c r="L166"/>
      <c r="M166"/>
      <c r="N166"/>
      <c r="O166" s="58">
        <v>139.81733833778929</v>
      </c>
      <c r="P166" s="53"/>
      <c r="Q166" s="53">
        <v>139.81733833778929</v>
      </c>
      <c r="R166" s="15">
        <v>-0.9873383377892706</v>
      </c>
      <c r="S166" s="15"/>
      <c r="T166" s="15"/>
      <c r="U166" s="15"/>
      <c r="V166" s="15"/>
      <c r="W166" s="15"/>
      <c r="X166" s="15"/>
      <c r="Y166" s="15"/>
      <c r="Z166" s="15"/>
    </row>
    <row r="167" spans="1:26" s="21" customFormat="1" x14ac:dyDescent="0.55000000000000004">
      <c r="A167" s="17"/>
      <c r="B167"/>
      <c r="C167"/>
      <c r="D167"/>
      <c r="E167"/>
      <c r="F167" s="49">
        <v>42248</v>
      </c>
      <c r="G167" s="92">
        <v>137.71</v>
      </c>
      <c r="H167"/>
      <c r="I167"/>
      <c r="J167"/>
      <c r="K167"/>
      <c r="L167"/>
      <c r="M167"/>
      <c r="N167"/>
      <c r="O167" s="58">
        <v>139.30776976225951</v>
      </c>
      <c r="P167" s="53"/>
      <c r="Q167" s="53">
        <v>139.30776976225951</v>
      </c>
      <c r="R167" s="15">
        <v>-1.5977697622595173</v>
      </c>
      <c r="S167" s="15"/>
      <c r="T167" s="15"/>
      <c r="U167" s="15"/>
      <c r="V167" s="15"/>
      <c r="W167" s="15"/>
      <c r="X167" s="15"/>
      <c r="Y167" s="15"/>
      <c r="Z167" s="15"/>
    </row>
    <row r="168" spans="1:26" s="21" customFormat="1" x14ac:dyDescent="0.55000000000000004">
      <c r="A168" s="17"/>
      <c r="B168"/>
      <c r="C168"/>
      <c r="D168"/>
      <c r="E168"/>
      <c r="F168" s="49">
        <v>42278</v>
      </c>
      <c r="G168" s="92">
        <v>138.78</v>
      </c>
      <c r="H168"/>
      <c r="I168"/>
      <c r="J168"/>
      <c r="K168"/>
      <c r="L168"/>
      <c r="M168"/>
      <c r="N168"/>
      <c r="O168" s="58">
        <v>140.98396857141759</v>
      </c>
      <c r="P168" s="53"/>
      <c r="Q168" s="53">
        <v>140.98396857141759</v>
      </c>
      <c r="R168" s="15">
        <v>-2.2039685714175818</v>
      </c>
      <c r="S168" s="15"/>
      <c r="T168" s="15"/>
      <c r="U168" s="15"/>
      <c r="V168" s="15"/>
      <c r="W168" s="15"/>
      <c r="X168" s="15"/>
      <c r="Y168" s="15"/>
      <c r="Z168" s="15"/>
    </row>
    <row r="169" spans="1:26" s="21" customFormat="1" x14ac:dyDescent="0.55000000000000004">
      <c r="A169" s="17"/>
      <c r="B169"/>
      <c r="C169"/>
      <c r="D169"/>
      <c r="E169"/>
      <c r="F169" s="49">
        <v>42309</v>
      </c>
      <c r="G169" s="92">
        <v>136.81</v>
      </c>
      <c r="H169"/>
      <c r="I169"/>
      <c r="J169"/>
      <c r="K169"/>
      <c r="L169"/>
      <c r="M169"/>
      <c r="N169"/>
      <c r="O169" s="58">
        <v>139.59627474687963</v>
      </c>
      <c r="P169" s="53"/>
      <c r="Q169" s="53">
        <v>139.59627474687963</v>
      </c>
      <c r="R169" s="15">
        <v>-2.7862747468796267</v>
      </c>
      <c r="S169" s="15"/>
      <c r="T169" s="15"/>
      <c r="U169" s="15"/>
      <c r="V169" s="15"/>
      <c r="W169" s="15"/>
      <c r="X169" s="15"/>
      <c r="Y169" s="15"/>
      <c r="Z169" s="15"/>
    </row>
    <row r="170" spans="1:26" s="21" customFormat="1" x14ac:dyDescent="0.55000000000000004">
      <c r="A170" s="17"/>
      <c r="B170"/>
      <c r="C170"/>
      <c r="D170"/>
      <c r="E170"/>
      <c r="F170" s="49">
        <v>42339</v>
      </c>
      <c r="G170" s="92">
        <v>136.47999999999999</v>
      </c>
      <c r="H170"/>
      <c r="I170"/>
      <c r="J170"/>
      <c r="K170"/>
      <c r="L170"/>
      <c r="M170"/>
      <c r="N170"/>
      <c r="O170" s="58">
        <v>139.81387745951415</v>
      </c>
      <c r="P170" s="53"/>
      <c r="Q170" s="53">
        <v>139.81387745951415</v>
      </c>
      <c r="R170" s="15">
        <v>-3.3338774595141438</v>
      </c>
      <c r="S170" s="15"/>
      <c r="T170" s="15"/>
      <c r="U170" s="15"/>
      <c r="V170" s="15"/>
      <c r="W170" s="15"/>
      <c r="X170" s="15"/>
      <c r="Y170" s="15"/>
      <c r="Z170" s="15"/>
    </row>
    <row r="171" spans="1:26" s="21" customFormat="1" x14ac:dyDescent="0.55000000000000004">
      <c r="A171" s="17"/>
      <c r="B171"/>
      <c r="C171"/>
      <c r="D171"/>
      <c r="E171"/>
      <c r="F171" s="49">
        <v>42370</v>
      </c>
      <c r="G171" s="92">
        <v>135.58000000000001</v>
      </c>
      <c r="H171"/>
      <c r="I171"/>
      <c r="J171"/>
      <c r="K171"/>
      <c r="L171"/>
      <c r="M171"/>
      <c r="N171"/>
      <c r="O171" s="58">
        <v>139.40933415689543</v>
      </c>
      <c r="P171" s="53"/>
      <c r="Q171" s="53">
        <v>139.40933415689543</v>
      </c>
      <c r="R171" s="15">
        <v>-3.8293341568954227</v>
      </c>
      <c r="S171" s="15"/>
      <c r="T171" s="15"/>
      <c r="U171" s="15"/>
      <c r="V171" s="15"/>
      <c r="W171" s="15"/>
      <c r="X171" s="15"/>
      <c r="Y171" s="15"/>
      <c r="Z171" s="15"/>
    </row>
    <row r="172" spans="1:26" s="21" customFormat="1" x14ac:dyDescent="0.55000000000000004">
      <c r="A172" s="17"/>
      <c r="B172"/>
      <c r="C172"/>
      <c r="D172"/>
      <c r="E172"/>
      <c r="F172" s="49">
        <v>42401</v>
      </c>
      <c r="G172" s="92">
        <v>135.41999999999999</v>
      </c>
      <c r="H172"/>
      <c r="I172"/>
      <c r="J172"/>
      <c r="K172"/>
      <c r="L172"/>
      <c r="M172"/>
      <c r="N172"/>
      <c r="O172" s="58">
        <v>139.66871290651565</v>
      </c>
      <c r="P172" s="53"/>
      <c r="Q172" s="53">
        <v>139.66871290651565</v>
      </c>
      <c r="R172" s="15">
        <v>-4.248712906515677</v>
      </c>
      <c r="S172" s="15"/>
      <c r="T172" s="15"/>
      <c r="U172" s="15"/>
      <c r="V172" s="15"/>
      <c r="W172" s="15"/>
      <c r="X172" s="15"/>
      <c r="Y172" s="15"/>
      <c r="Z172" s="15"/>
    </row>
    <row r="173" spans="1:26" s="21" customFormat="1" x14ac:dyDescent="0.55000000000000004">
      <c r="A173" s="17"/>
      <c r="B173"/>
      <c r="C173"/>
      <c r="D173"/>
      <c r="E173"/>
      <c r="F173" s="49">
        <v>42430</v>
      </c>
      <c r="G173" s="92">
        <v>134.47</v>
      </c>
      <c r="H173"/>
      <c r="I173"/>
      <c r="J173"/>
      <c r="K173"/>
      <c r="L173"/>
      <c r="M173"/>
      <c r="N173"/>
      <c r="O173" s="58">
        <v>139.05081438283423</v>
      </c>
      <c r="P173" s="53"/>
      <c r="Q173" s="53">
        <v>139.05081438283423</v>
      </c>
      <c r="R173" s="15">
        <v>-4.580814382834232</v>
      </c>
      <c r="S173" s="15"/>
      <c r="T173" s="15"/>
      <c r="U173" s="15"/>
      <c r="V173" s="15"/>
      <c r="W173" s="15"/>
      <c r="X173" s="15"/>
      <c r="Y173" s="15"/>
      <c r="Z173" s="15"/>
    </row>
    <row r="174" spans="1:26" s="21" customFormat="1" x14ac:dyDescent="0.55000000000000004">
      <c r="A174" s="17"/>
      <c r="B174"/>
      <c r="C174"/>
      <c r="D174"/>
      <c r="E174"/>
      <c r="F174" s="49">
        <v>42461</v>
      </c>
      <c r="G174" s="92">
        <v>134.49</v>
      </c>
      <c r="H174"/>
      <c r="I174"/>
      <c r="J174"/>
      <c r="K174"/>
      <c r="L174"/>
      <c r="M174"/>
      <c r="N174"/>
      <c r="O174" s="58">
        <v>139.30139421403339</v>
      </c>
      <c r="P174" s="53"/>
      <c r="Q174" s="53">
        <v>139.30139421403339</v>
      </c>
      <c r="R174" s="15">
        <v>-4.8113942140333865</v>
      </c>
      <c r="S174" s="15"/>
      <c r="T174" s="15"/>
      <c r="U174" s="15"/>
      <c r="V174" s="15"/>
      <c r="W174" s="15"/>
      <c r="X174" s="15"/>
      <c r="Y174" s="15"/>
      <c r="Z174" s="15"/>
    </row>
    <row r="175" spans="1:26" s="21" customFormat="1" x14ac:dyDescent="0.55000000000000004">
      <c r="A175" s="17"/>
      <c r="B175"/>
      <c r="C175"/>
      <c r="D175"/>
      <c r="E175"/>
      <c r="F175" s="49">
        <v>42491</v>
      </c>
      <c r="G175" s="92">
        <v>134.07</v>
      </c>
      <c r="H175"/>
      <c r="I175"/>
      <c r="J175"/>
      <c r="K175"/>
      <c r="L175"/>
      <c r="M175"/>
      <c r="N175"/>
      <c r="O175" s="58">
        <v>139.01748261224097</v>
      </c>
      <c r="P175" s="53"/>
      <c r="Q175" s="53">
        <v>139.01748261224097</v>
      </c>
      <c r="R175" s="15">
        <v>-4.9474826122409663</v>
      </c>
      <c r="S175" s="15"/>
      <c r="T175" s="15"/>
      <c r="U175" s="15"/>
      <c r="V175" s="15"/>
      <c r="W175" s="15"/>
      <c r="X175" s="15"/>
      <c r="Y175" s="15"/>
      <c r="Z175" s="15"/>
    </row>
    <row r="176" spans="1:26" s="21" customFormat="1" x14ac:dyDescent="0.55000000000000004">
      <c r="A176" s="17"/>
      <c r="B176"/>
      <c r="C176"/>
      <c r="D176"/>
      <c r="E176"/>
      <c r="F176" s="49">
        <v>42522</v>
      </c>
      <c r="G176" s="92">
        <v>134.57</v>
      </c>
      <c r="H176"/>
      <c r="I176"/>
      <c r="J176"/>
      <c r="K176"/>
      <c r="L176"/>
      <c r="M176"/>
      <c r="N176"/>
      <c r="O176" s="58">
        <v>139.56396867210398</v>
      </c>
      <c r="P176" s="53"/>
      <c r="Q176" s="53">
        <v>139.56396867210398</v>
      </c>
      <c r="R176" s="15">
        <v>-4.993968672103982</v>
      </c>
      <c r="S176" s="15"/>
      <c r="T176" s="15"/>
      <c r="U176" s="15"/>
      <c r="V176" s="15"/>
      <c r="W176" s="15"/>
      <c r="X176" s="15"/>
      <c r="Y176" s="15"/>
      <c r="Z176" s="15"/>
    </row>
    <row r="177" spans="1:26" s="21" customFormat="1" x14ac:dyDescent="0.55000000000000004">
      <c r="A177" s="17"/>
      <c r="B177"/>
      <c r="C177"/>
      <c r="D177"/>
      <c r="E177"/>
      <c r="F177" s="49">
        <v>42552</v>
      </c>
      <c r="G177" s="92">
        <v>134.43</v>
      </c>
      <c r="H177"/>
      <c r="I177"/>
      <c r="J177"/>
      <c r="K177"/>
      <c r="L177"/>
      <c r="M177"/>
      <c r="N177"/>
      <c r="O177" s="58">
        <v>139.38444549758765</v>
      </c>
      <c r="P177" s="53"/>
      <c r="Q177" s="53">
        <v>139.38444549758765</v>
      </c>
      <c r="R177" s="15">
        <v>-4.95444549758765</v>
      </c>
      <c r="S177" s="15"/>
      <c r="T177" s="15"/>
      <c r="U177" s="15"/>
      <c r="V177" s="15"/>
      <c r="W177" s="15"/>
      <c r="X177" s="15"/>
      <c r="Y177" s="15"/>
      <c r="Z177" s="15"/>
    </row>
    <row r="178" spans="1:26" s="21" customFormat="1" x14ac:dyDescent="0.55000000000000004">
      <c r="A178" s="17"/>
      <c r="B178"/>
      <c r="C178"/>
      <c r="D178"/>
      <c r="E178"/>
      <c r="F178" s="49">
        <v>42583</v>
      </c>
      <c r="G178" s="92">
        <v>133.72</v>
      </c>
      <c r="H178"/>
      <c r="I178"/>
      <c r="J178"/>
      <c r="K178"/>
      <c r="L178"/>
      <c r="M178"/>
      <c r="N178"/>
      <c r="O178" s="58">
        <v>138.55445098257229</v>
      </c>
      <c r="P178" s="53"/>
      <c r="Q178" s="53">
        <v>138.55445098257229</v>
      </c>
      <c r="R178" s="15">
        <v>-4.834450982572287</v>
      </c>
      <c r="S178" s="15"/>
      <c r="T178" s="15"/>
      <c r="U178" s="15"/>
      <c r="V178" s="15"/>
      <c r="W178" s="15"/>
      <c r="X178" s="15"/>
      <c r="Y178" s="15"/>
      <c r="Z178" s="15"/>
    </row>
    <row r="179" spans="1:26" s="21" customFormat="1" x14ac:dyDescent="0.55000000000000004">
      <c r="A179" s="17"/>
      <c r="B179"/>
      <c r="C179"/>
      <c r="D179"/>
      <c r="E179"/>
      <c r="F179" s="49">
        <v>42614</v>
      </c>
      <c r="G179" s="92">
        <v>133.63999999999999</v>
      </c>
      <c r="H179"/>
      <c r="I179"/>
      <c r="J179"/>
      <c r="K179"/>
      <c r="L179"/>
      <c r="M179"/>
      <c r="N179"/>
      <c r="O179" s="58">
        <v>138.28921033697074</v>
      </c>
      <c r="P179" s="53"/>
      <c r="Q179" s="53">
        <v>138.28921033697074</v>
      </c>
      <c r="R179" s="15">
        <v>-4.6492103369707474</v>
      </c>
      <c r="S179" s="15"/>
      <c r="T179" s="15"/>
      <c r="U179" s="15"/>
      <c r="V179" s="15"/>
      <c r="W179" s="15"/>
      <c r="X179" s="15"/>
      <c r="Y179" s="15"/>
      <c r="Z179" s="15"/>
    </row>
    <row r="180" spans="1:26" s="21" customFormat="1" x14ac:dyDescent="0.55000000000000004">
      <c r="A180" s="17"/>
      <c r="B180"/>
      <c r="C180"/>
      <c r="D180"/>
      <c r="E180"/>
      <c r="F180" s="49">
        <v>42644</v>
      </c>
      <c r="G180" s="92">
        <v>133.34</v>
      </c>
      <c r="H180"/>
      <c r="I180"/>
      <c r="J180"/>
      <c r="K180"/>
      <c r="L180"/>
      <c r="M180"/>
      <c r="N180"/>
      <c r="O180" s="58">
        <v>137.75654175415031</v>
      </c>
      <c r="P180" s="53"/>
      <c r="Q180" s="53">
        <v>137.75654175415031</v>
      </c>
      <c r="R180" s="15">
        <v>-4.4165417541503045</v>
      </c>
      <c r="S180" s="15"/>
      <c r="T180" s="15"/>
      <c r="U180" s="15"/>
      <c r="V180" s="15"/>
      <c r="W180" s="15"/>
      <c r="X180" s="15"/>
      <c r="Y180" s="15"/>
      <c r="Z180" s="15"/>
    </row>
    <row r="181" spans="1:26" s="21" customFormat="1" x14ac:dyDescent="0.55000000000000004">
      <c r="A181" s="17"/>
      <c r="B181"/>
      <c r="C181"/>
      <c r="D181"/>
      <c r="E181"/>
      <c r="F181" s="49">
        <v>42675</v>
      </c>
      <c r="G181" s="92">
        <v>133.13999999999999</v>
      </c>
      <c r="H181"/>
      <c r="I181"/>
      <c r="J181"/>
      <c r="K181"/>
      <c r="L181"/>
      <c r="M181"/>
      <c r="N181"/>
      <c r="O181" s="58">
        <v>137.28830968298317</v>
      </c>
      <c r="P181" s="53"/>
      <c r="Q181" s="53">
        <v>137.28830968298317</v>
      </c>
      <c r="R181" s="15">
        <v>-4.1483096829831956</v>
      </c>
      <c r="S181" s="15"/>
      <c r="T181" s="15"/>
      <c r="U181" s="15"/>
      <c r="V181" s="15"/>
      <c r="W181" s="15"/>
      <c r="X181" s="15"/>
      <c r="Y181" s="15"/>
      <c r="Z181" s="15"/>
    </row>
    <row r="182" spans="1:26" s="21" customFormat="1" x14ac:dyDescent="0.55000000000000004">
      <c r="A182" s="17"/>
      <c r="B182"/>
      <c r="C182"/>
      <c r="D182"/>
      <c r="E182"/>
      <c r="F182" s="49">
        <v>42705</v>
      </c>
      <c r="G182" s="92">
        <v>132.54</v>
      </c>
      <c r="H182"/>
      <c r="I182"/>
      <c r="J182"/>
      <c r="K182"/>
      <c r="L182"/>
      <c r="M182"/>
      <c r="N182"/>
      <c r="O182" s="58">
        <v>136.39486678332921</v>
      </c>
      <c r="P182" s="53"/>
      <c r="Q182" s="53">
        <v>136.39486678332921</v>
      </c>
      <c r="R182" s="15">
        <v>-3.8548667833292098</v>
      </c>
      <c r="S182" s="15"/>
      <c r="T182" s="15"/>
      <c r="U182" s="15"/>
      <c r="V182" s="15"/>
      <c r="W182" s="15"/>
      <c r="X182" s="15"/>
      <c r="Y182" s="15"/>
      <c r="Z182" s="15"/>
    </row>
    <row r="183" spans="1:26" s="21" customFormat="1" x14ac:dyDescent="0.55000000000000004">
      <c r="A183" s="17"/>
      <c r="B183"/>
      <c r="C183"/>
      <c r="D183"/>
      <c r="E183"/>
      <c r="F183" s="49">
        <v>42736</v>
      </c>
      <c r="G183" s="92">
        <v>133.61000000000001</v>
      </c>
      <c r="H183"/>
      <c r="I183"/>
      <c r="J183"/>
      <c r="K183"/>
      <c r="L183"/>
      <c r="M183"/>
      <c r="N183"/>
      <c r="O183" s="58">
        <v>137.16148711817868</v>
      </c>
      <c r="P183" s="53"/>
      <c r="Q183" s="53">
        <v>137.16148711817868</v>
      </c>
      <c r="R183" s="15">
        <v>-3.5514871181786782</v>
      </c>
      <c r="S183" s="15"/>
      <c r="T183" s="15"/>
      <c r="U183" s="15"/>
      <c r="V183" s="15"/>
      <c r="W183" s="15"/>
      <c r="X183" s="15"/>
      <c r="Y183" s="15"/>
      <c r="Z183" s="15"/>
    </row>
    <row r="184" spans="1:26" s="21" customFormat="1" x14ac:dyDescent="0.55000000000000004">
      <c r="A184" s="17"/>
      <c r="B184"/>
      <c r="C184"/>
      <c r="D184"/>
      <c r="E184"/>
      <c r="F184" s="49">
        <v>42767</v>
      </c>
      <c r="G184" s="92">
        <v>135.55000000000001</v>
      </c>
      <c r="H184"/>
      <c r="I184"/>
      <c r="J184"/>
      <c r="K184"/>
      <c r="L184"/>
      <c r="M184"/>
      <c r="N184"/>
      <c r="O184" s="58">
        <v>138.79709033513424</v>
      </c>
      <c r="P184" s="53"/>
      <c r="Q184" s="53">
        <v>138.79709033513424</v>
      </c>
      <c r="R184" s="15">
        <v>-3.2470903351342231</v>
      </c>
      <c r="S184" s="15"/>
      <c r="T184" s="15"/>
      <c r="U184" s="15"/>
      <c r="V184" s="15"/>
      <c r="W184" s="15"/>
      <c r="X184" s="15"/>
      <c r="Y184" s="15"/>
      <c r="Z184" s="15"/>
    </row>
    <row r="185" spans="1:26" s="21" customFormat="1" x14ac:dyDescent="0.55000000000000004">
      <c r="A185" s="17"/>
      <c r="B185"/>
      <c r="C185"/>
      <c r="D185"/>
      <c r="E185"/>
      <c r="F185" s="49">
        <v>42795</v>
      </c>
      <c r="G185" s="92">
        <v>135.34</v>
      </c>
      <c r="H185"/>
      <c r="I185"/>
      <c r="J185"/>
      <c r="K185"/>
      <c r="L185"/>
      <c r="M185"/>
      <c r="N185"/>
      <c r="O185" s="58">
        <v>138.24742120519687</v>
      </c>
      <c r="P185" s="53"/>
      <c r="Q185" s="53">
        <v>138.24742120519687</v>
      </c>
      <c r="R185" s="15">
        <v>-2.9074212051968558</v>
      </c>
      <c r="S185" s="15"/>
      <c r="T185" s="15"/>
      <c r="U185" s="15"/>
      <c r="V185" s="15"/>
      <c r="W185" s="15"/>
      <c r="X185" s="15"/>
      <c r="Y185" s="15"/>
      <c r="Z185" s="15"/>
    </row>
    <row r="186" spans="1:26" s="21" customFormat="1" x14ac:dyDescent="0.55000000000000004">
      <c r="A186" s="17"/>
      <c r="B186"/>
      <c r="C186"/>
      <c r="D186"/>
      <c r="E186"/>
      <c r="F186" s="49">
        <v>42826</v>
      </c>
      <c r="G186" s="92">
        <v>135.29</v>
      </c>
      <c r="H186"/>
      <c r="I186"/>
      <c r="J186"/>
      <c r="K186"/>
      <c r="L186"/>
      <c r="M186"/>
      <c r="N186"/>
      <c r="O186" s="58">
        <v>137.77960944968578</v>
      </c>
      <c r="P186" s="53"/>
      <c r="Q186" s="53">
        <v>137.77960944968578</v>
      </c>
      <c r="R186" s="15">
        <v>-2.4896094496857817</v>
      </c>
      <c r="S186" s="15"/>
      <c r="T186" s="15"/>
      <c r="U186" s="15"/>
      <c r="V186" s="15"/>
      <c r="W186" s="15"/>
      <c r="X186" s="15"/>
      <c r="Y186" s="15"/>
      <c r="Z186" s="15"/>
    </row>
    <row r="187" spans="1:26" s="21" customFormat="1" x14ac:dyDescent="0.55000000000000004">
      <c r="A187" s="17"/>
      <c r="B187"/>
      <c r="C187"/>
      <c r="D187"/>
      <c r="E187"/>
      <c r="F187" s="49">
        <v>42856</v>
      </c>
      <c r="G187" s="92">
        <v>135.06</v>
      </c>
      <c r="H187"/>
      <c r="I187"/>
      <c r="J187"/>
      <c r="K187"/>
      <c r="L187"/>
      <c r="M187"/>
      <c r="N187"/>
      <c r="O187" s="58">
        <v>137.07826745533208</v>
      </c>
      <c r="P187" s="53"/>
      <c r="Q187" s="53">
        <v>137.07826745533208</v>
      </c>
      <c r="R187" s="15">
        <v>-2.018267455332067</v>
      </c>
      <c r="S187" s="15"/>
      <c r="T187" s="15"/>
      <c r="U187" s="15"/>
      <c r="V187" s="15"/>
      <c r="W187" s="15"/>
      <c r="X187" s="15"/>
      <c r="Y187" s="15"/>
      <c r="Z187" s="15"/>
    </row>
    <row r="188" spans="1:26" s="21" customFormat="1" x14ac:dyDescent="0.55000000000000004">
      <c r="A188" s="17"/>
      <c r="B188"/>
      <c r="C188"/>
      <c r="D188"/>
      <c r="E188"/>
      <c r="F188" s="49">
        <v>42887</v>
      </c>
      <c r="G188" s="92">
        <v>135.94999999999999</v>
      </c>
      <c r="H188"/>
      <c r="I188"/>
      <c r="J188"/>
      <c r="K188"/>
      <c r="L188"/>
      <c r="M188"/>
      <c r="N188"/>
      <c r="O188" s="58">
        <v>137.47465783618938</v>
      </c>
      <c r="P188" s="53"/>
      <c r="Q188" s="53">
        <v>137.47465783618938</v>
      </c>
      <c r="R188" s="15">
        <v>-1.5246578361893917</v>
      </c>
      <c r="S188" s="15"/>
      <c r="T188" s="15"/>
      <c r="U188" s="15"/>
      <c r="V188" s="15"/>
      <c r="W188" s="15"/>
      <c r="X188" s="15"/>
      <c r="Y188" s="15"/>
      <c r="Z188" s="15"/>
    </row>
    <row r="189" spans="1:26" s="21" customFormat="1" x14ac:dyDescent="0.55000000000000004">
      <c r="A189" s="17"/>
      <c r="B189"/>
      <c r="C189"/>
      <c r="D189"/>
      <c r="E189"/>
      <c r="F189" s="49">
        <v>42917</v>
      </c>
      <c r="G189" s="92">
        <v>136.34</v>
      </c>
      <c r="H189"/>
      <c r="I189"/>
      <c r="J189"/>
      <c r="K189"/>
      <c r="L189"/>
      <c r="M189"/>
      <c r="N189"/>
      <c r="O189" s="58">
        <v>137.37848764741514</v>
      </c>
      <c r="P189" s="53"/>
      <c r="Q189" s="53">
        <v>137.37848764741514</v>
      </c>
      <c r="R189" s="15">
        <v>-1.0384876474151272</v>
      </c>
      <c r="S189" s="15"/>
      <c r="T189" s="15"/>
      <c r="U189" s="15"/>
      <c r="V189" s="15"/>
      <c r="W189" s="15"/>
      <c r="X189" s="15"/>
      <c r="Y189" s="15"/>
      <c r="Z189" s="15"/>
    </row>
    <row r="190" spans="1:26" s="21" customFormat="1" x14ac:dyDescent="0.55000000000000004">
      <c r="A190" s="17"/>
      <c r="B190"/>
      <c r="C190"/>
      <c r="D190"/>
      <c r="E190"/>
      <c r="F190" s="49">
        <v>42948</v>
      </c>
      <c r="G190" s="92">
        <v>135.63999999999999</v>
      </c>
      <c r="H190"/>
      <c r="I190"/>
      <c r="J190"/>
      <c r="K190"/>
      <c r="L190"/>
      <c r="M190"/>
      <c r="N190"/>
      <c r="O190" s="58">
        <v>136.21951931683876</v>
      </c>
      <c r="P190" s="53"/>
      <c r="Q190" s="53">
        <v>136.21951931683876</v>
      </c>
      <c r="R190" s="15">
        <v>-0.57951931683877178</v>
      </c>
      <c r="S190" s="15"/>
      <c r="T190" s="15"/>
      <c r="U190" s="15"/>
      <c r="V190" s="15"/>
      <c r="W190" s="15"/>
      <c r="X190" s="15"/>
      <c r="Y190" s="15"/>
      <c r="Z190" s="15"/>
    </row>
    <row r="191" spans="1:26" s="21" customFormat="1" x14ac:dyDescent="0.55000000000000004">
      <c r="A191" s="17"/>
      <c r="B191"/>
      <c r="C191"/>
      <c r="D191"/>
      <c r="E191"/>
      <c r="F191" s="49">
        <v>42979</v>
      </c>
      <c r="G191" s="92">
        <v>135.63999999999999</v>
      </c>
      <c r="H191"/>
      <c r="I191"/>
      <c r="J191"/>
      <c r="K191"/>
      <c r="L191"/>
      <c r="M191"/>
      <c r="N191"/>
      <c r="O191" s="58">
        <v>135.82480658060436</v>
      </c>
      <c r="P191" s="53"/>
      <c r="Q191" s="53">
        <v>135.82480658060436</v>
      </c>
      <c r="R191" s="15">
        <v>-0.18480658060436578</v>
      </c>
      <c r="S191" s="15"/>
      <c r="T191" s="15"/>
      <c r="U191" s="15"/>
      <c r="V191" s="15"/>
      <c r="W191" s="15"/>
      <c r="X191" s="15"/>
      <c r="Y191" s="15"/>
      <c r="Z191" s="15"/>
    </row>
    <row r="192" spans="1:26" s="21" customFormat="1" x14ac:dyDescent="0.55000000000000004">
      <c r="A192" s="17"/>
      <c r="B192"/>
      <c r="C192"/>
      <c r="D192"/>
      <c r="E192"/>
      <c r="F192" s="49">
        <v>43009</v>
      </c>
      <c r="G192" s="92">
        <v>136.04</v>
      </c>
      <c r="H192"/>
      <c r="I192"/>
      <c r="J192"/>
      <c r="K192"/>
      <c r="L192"/>
      <c r="M192"/>
      <c r="N192"/>
      <c r="O192" s="58">
        <v>135.9242879712053</v>
      </c>
      <c r="P192" s="53"/>
      <c r="Q192" s="53">
        <v>135.9242879712053</v>
      </c>
      <c r="R192" s="15">
        <v>0.11571202879470155</v>
      </c>
      <c r="S192" s="15"/>
      <c r="T192" s="15"/>
      <c r="U192" s="15"/>
      <c r="V192" s="15"/>
      <c r="W192" s="15"/>
      <c r="X192" s="15"/>
      <c r="Y192" s="15"/>
      <c r="Z192" s="15"/>
    </row>
    <row r="193" spans="1:26" s="21" customFormat="1" x14ac:dyDescent="0.55000000000000004">
      <c r="A193" s="17"/>
      <c r="B193"/>
      <c r="C193"/>
      <c r="D193"/>
      <c r="E193"/>
      <c r="F193" s="49">
        <v>43040</v>
      </c>
      <c r="G193" s="92">
        <v>135.99</v>
      </c>
      <c r="H193"/>
      <c r="I193"/>
      <c r="J193"/>
      <c r="K193"/>
      <c r="L193"/>
      <c r="M193"/>
      <c r="N193"/>
      <c r="O193" s="58">
        <v>135.67921227056439</v>
      </c>
      <c r="P193" s="53"/>
      <c r="Q193" s="53">
        <v>135.67921227056439</v>
      </c>
      <c r="R193" s="15">
        <v>0.31078772943560301</v>
      </c>
      <c r="S193" s="15"/>
      <c r="T193" s="15"/>
      <c r="U193" s="15"/>
      <c r="V193" s="15"/>
      <c r="W193" s="15"/>
      <c r="X193" s="15"/>
      <c r="Y193" s="15"/>
      <c r="Z193" s="15"/>
    </row>
    <row r="194" spans="1:26" s="21" customFormat="1" x14ac:dyDescent="0.55000000000000004">
      <c r="A194" s="17"/>
      <c r="B194"/>
      <c r="C194"/>
      <c r="D194"/>
      <c r="E194"/>
      <c r="F194" s="49">
        <v>43070</v>
      </c>
      <c r="G194" s="92">
        <v>138.11000000000001</v>
      </c>
      <c r="H194"/>
      <c r="I194"/>
      <c r="J194"/>
      <c r="K194"/>
      <c r="L194"/>
      <c r="M194"/>
      <c r="N194"/>
      <c r="O194" s="58">
        <v>137.70757281844899</v>
      </c>
      <c r="P194" s="53"/>
      <c r="Q194" s="53">
        <v>137.70757281844899</v>
      </c>
      <c r="R194" s="15">
        <v>0.40242718155102719</v>
      </c>
      <c r="S194" s="15"/>
      <c r="T194" s="15"/>
      <c r="U194" s="15"/>
      <c r="V194" s="15"/>
      <c r="W194" s="15"/>
      <c r="X194" s="15"/>
      <c r="Y194" s="15"/>
      <c r="Z194" s="15"/>
    </row>
    <row r="195" spans="1:26" s="21" customFormat="1" x14ac:dyDescent="0.55000000000000004">
      <c r="A195" s="17"/>
      <c r="B195"/>
      <c r="C195"/>
      <c r="D195"/>
      <c r="E195"/>
      <c r="F195" s="49">
        <v>43101</v>
      </c>
      <c r="G195" s="92">
        <v>137.41999999999999</v>
      </c>
      <c r="H195"/>
      <c r="I195"/>
      <c r="J195"/>
      <c r="K195"/>
      <c r="L195"/>
      <c r="M195"/>
      <c r="N195"/>
      <c r="O195" s="58">
        <v>137.02159150516155</v>
      </c>
      <c r="P195" s="53"/>
      <c r="Q195" s="53">
        <v>137.02159150516155</v>
      </c>
      <c r="R195" s="15">
        <v>0.39840849483844865</v>
      </c>
      <c r="S195" s="15"/>
      <c r="T195" s="15"/>
      <c r="U195" s="15"/>
      <c r="V195" s="15"/>
      <c r="W195" s="15"/>
      <c r="X195" s="15"/>
      <c r="Y195" s="15"/>
      <c r="Z195" s="15"/>
    </row>
    <row r="196" spans="1:26" s="21" customFormat="1" x14ac:dyDescent="0.55000000000000004">
      <c r="A196" s="17"/>
      <c r="B196"/>
      <c r="C196"/>
      <c r="D196"/>
      <c r="E196"/>
      <c r="F196" s="49">
        <v>43132</v>
      </c>
      <c r="G196" s="92">
        <v>136.83000000000001</v>
      </c>
      <c r="H196"/>
      <c r="I196"/>
      <c r="J196"/>
      <c r="K196"/>
      <c r="L196"/>
      <c r="M196"/>
      <c r="N196"/>
      <c r="O196" s="58">
        <v>136.51668772597466</v>
      </c>
      <c r="P196" s="53"/>
      <c r="Q196" s="53">
        <v>136.51668772597466</v>
      </c>
      <c r="R196" s="15">
        <v>0.31331227402533651</v>
      </c>
      <c r="S196" s="15"/>
      <c r="T196" s="15"/>
      <c r="U196" s="15"/>
      <c r="V196" s="15"/>
      <c r="W196" s="15"/>
      <c r="X196" s="15"/>
      <c r="Y196" s="15"/>
      <c r="Z196" s="15"/>
    </row>
    <row r="197" spans="1:26" s="21" customFormat="1" x14ac:dyDescent="0.55000000000000004">
      <c r="A197" s="17"/>
      <c r="B197"/>
      <c r="C197"/>
      <c r="D197"/>
      <c r="E197"/>
      <c r="F197" s="49">
        <v>43160</v>
      </c>
      <c r="G197" s="92">
        <v>136.59</v>
      </c>
      <c r="H197"/>
      <c r="I197"/>
      <c r="J197"/>
      <c r="K197"/>
      <c r="L197"/>
      <c r="M197"/>
      <c r="N197"/>
      <c r="O197" s="58">
        <v>136.3881479224093</v>
      </c>
      <c r="P197" s="53"/>
      <c r="Q197" s="53">
        <v>136.3881479224093</v>
      </c>
      <c r="R197" s="15">
        <v>0.20185207759069795</v>
      </c>
      <c r="S197" s="15"/>
      <c r="T197" s="15"/>
      <c r="U197" s="15"/>
      <c r="V197" s="15"/>
      <c r="W197" s="15"/>
      <c r="X197" s="15"/>
      <c r="Y197" s="15"/>
      <c r="Z197" s="15"/>
    </row>
    <row r="198" spans="1:26" s="21" customFormat="1" x14ac:dyDescent="0.55000000000000004">
      <c r="A198" s="17"/>
      <c r="B198"/>
      <c r="C198"/>
      <c r="D198"/>
      <c r="E198"/>
      <c r="F198" s="49">
        <v>43191</v>
      </c>
      <c r="G198" s="92">
        <v>137.28</v>
      </c>
      <c r="H198"/>
      <c r="I198"/>
      <c r="J198"/>
      <c r="K198"/>
      <c r="L198"/>
      <c r="M198"/>
      <c r="N198"/>
      <c r="O198" s="58">
        <v>137.18606264824174</v>
      </c>
      <c r="P198" s="53"/>
      <c r="Q198" s="53">
        <v>137.18606264824174</v>
      </c>
      <c r="R198" s="15">
        <v>9.3937351758256182E-2</v>
      </c>
      <c r="S198" s="15"/>
      <c r="T198" s="15"/>
      <c r="U198" s="15"/>
      <c r="V198" s="15"/>
      <c r="W198" s="15"/>
      <c r="X198" s="15"/>
      <c r="Y198" s="15"/>
      <c r="Z198" s="15"/>
    </row>
    <row r="199" spans="1:26" s="21" customFormat="1" x14ac:dyDescent="0.55000000000000004">
      <c r="A199" s="17"/>
      <c r="B199"/>
      <c r="C199"/>
      <c r="D199"/>
      <c r="E199"/>
      <c r="F199" s="49">
        <v>43221</v>
      </c>
      <c r="G199" s="92">
        <v>133.07</v>
      </c>
      <c r="H199"/>
      <c r="I199"/>
      <c r="J199"/>
      <c r="K199"/>
      <c r="L199"/>
      <c r="M199"/>
      <c r="N199"/>
      <c r="O199" s="58">
        <v>133.04939862267017</v>
      </c>
      <c r="P199" s="53"/>
      <c r="Q199" s="53">
        <v>133.04939862267017</v>
      </c>
      <c r="R199" s="15">
        <v>2.0601377329813431E-2</v>
      </c>
      <c r="S199" s="15"/>
      <c r="T199" s="15"/>
      <c r="U199" s="15"/>
      <c r="V199" s="15"/>
      <c r="W199" s="15"/>
      <c r="X199" s="15"/>
      <c r="Y199" s="15"/>
      <c r="Z199" s="15"/>
    </row>
    <row r="200" spans="1:26" s="21" customFormat="1" x14ac:dyDescent="0.55000000000000004">
      <c r="A200" s="17"/>
      <c r="B200"/>
      <c r="C200"/>
      <c r="D200"/>
      <c r="E200"/>
      <c r="F200" s="49">
        <v>43252</v>
      </c>
      <c r="G200" s="92">
        <v>137.38999999999999</v>
      </c>
      <c r="H200"/>
      <c r="I200"/>
      <c r="J200"/>
      <c r="K200"/>
      <c r="L200"/>
      <c r="M200"/>
      <c r="N200"/>
      <c r="O200" s="58">
        <v>137.37139019611763</v>
      </c>
      <c r="P200" s="53"/>
      <c r="Q200" s="53">
        <v>137.37139019611763</v>
      </c>
      <c r="R200" s="15">
        <v>1.8609803882363607E-2</v>
      </c>
      <c r="S200" s="15"/>
      <c r="T200" s="15"/>
      <c r="U200" s="15"/>
      <c r="V200" s="15"/>
      <c r="W200" s="15"/>
      <c r="X200" s="15"/>
      <c r="Y200" s="15"/>
      <c r="Z200" s="15"/>
    </row>
    <row r="201" spans="1:26" s="21" customFormat="1" x14ac:dyDescent="0.55000000000000004">
      <c r="A201" s="17"/>
      <c r="B201"/>
      <c r="C201"/>
      <c r="D201"/>
      <c r="E201"/>
      <c r="F201" s="49">
        <v>43282</v>
      </c>
      <c r="G201" s="92">
        <v>137.91999999999999</v>
      </c>
      <c r="H201"/>
      <c r="I201"/>
      <c r="J201"/>
      <c r="K201"/>
      <c r="L201"/>
      <c r="M201"/>
      <c r="N201"/>
      <c r="O201" s="58">
        <v>137.80401032154114</v>
      </c>
      <c r="P201" s="53"/>
      <c r="Q201" s="53">
        <v>137.80401032154114</v>
      </c>
      <c r="R201" s="15">
        <v>0.11598967845885022</v>
      </c>
      <c r="S201" s="15"/>
      <c r="T201" s="15"/>
      <c r="U201" s="15"/>
      <c r="V201" s="15"/>
      <c r="W201" s="15"/>
      <c r="X201" s="15"/>
      <c r="Y201" s="15"/>
      <c r="Z201" s="15"/>
    </row>
    <row r="202" spans="1:26" s="21" customFormat="1" x14ac:dyDescent="0.55000000000000004">
      <c r="A202" s="17"/>
      <c r="B202"/>
      <c r="C202"/>
      <c r="D202"/>
      <c r="E202"/>
      <c r="F202" s="49">
        <v>43313</v>
      </c>
      <c r="G202" s="92">
        <v>138.94999999999999</v>
      </c>
      <c r="H202"/>
      <c r="I202"/>
      <c r="J202"/>
      <c r="K202"/>
      <c r="L202"/>
      <c r="M202"/>
      <c r="N202"/>
      <c r="O202" s="58">
        <v>138.62165872613079</v>
      </c>
      <c r="P202" s="53"/>
      <c r="Q202" s="53">
        <v>138.62165872613079</v>
      </c>
      <c r="R202" s="15">
        <v>0.32834127386918732</v>
      </c>
      <c r="S202" s="15"/>
      <c r="T202" s="15"/>
      <c r="U202" s="15"/>
      <c r="V202" s="15"/>
      <c r="W202" s="15"/>
      <c r="X202" s="15"/>
      <c r="Y202" s="15"/>
      <c r="Z202" s="15"/>
    </row>
    <row r="203" spans="1:26" s="21" customFormat="1" x14ac:dyDescent="0.55000000000000004">
      <c r="A203" s="17"/>
      <c r="B203"/>
      <c r="C203"/>
      <c r="D203"/>
      <c r="E203"/>
      <c r="F203" s="49">
        <v>43344</v>
      </c>
      <c r="G203" s="92">
        <v>138.22</v>
      </c>
      <c r="H203"/>
      <c r="I203"/>
      <c r="J203"/>
      <c r="K203"/>
      <c r="L203"/>
      <c r="M203"/>
      <c r="N203"/>
      <c r="O203" s="58">
        <v>137.56082204874232</v>
      </c>
      <c r="P203" s="53"/>
      <c r="Q203" s="53">
        <v>137.56082204874232</v>
      </c>
      <c r="R203" s="15">
        <v>0.65917795125768253</v>
      </c>
      <c r="S203" s="15"/>
      <c r="T203" s="15"/>
      <c r="U203" s="15"/>
      <c r="V203" s="15"/>
      <c r="W203" s="15"/>
      <c r="X203" s="15"/>
      <c r="Y203" s="15"/>
      <c r="Z203" s="15"/>
    </row>
    <row r="204" spans="1:26" s="21" customFormat="1" x14ac:dyDescent="0.55000000000000004">
      <c r="A204" s="17"/>
      <c r="B204"/>
      <c r="C204"/>
      <c r="D204"/>
      <c r="E204"/>
      <c r="F204" s="49">
        <v>43374</v>
      </c>
      <c r="G204" s="92">
        <v>138.44</v>
      </c>
      <c r="H204"/>
      <c r="I204"/>
      <c r="J204"/>
      <c r="K204"/>
      <c r="L204"/>
      <c r="M204"/>
      <c r="N204"/>
      <c r="O204" s="58">
        <v>137.35228981711305</v>
      </c>
      <c r="P204" s="53"/>
      <c r="Q204" s="53">
        <v>137.35228981711305</v>
      </c>
      <c r="R204" s="15">
        <v>1.087710182886958</v>
      </c>
      <c r="S204" s="15"/>
      <c r="T204" s="15"/>
      <c r="U204" s="15"/>
      <c r="V204" s="15"/>
      <c r="W204" s="15"/>
      <c r="X204" s="15"/>
      <c r="Y204" s="15"/>
      <c r="Z204" s="15"/>
    </row>
    <row r="205" spans="1:26" s="21" customFormat="1" x14ac:dyDescent="0.55000000000000004">
      <c r="A205" s="17"/>
      <c r="B205"/>
      <c r="C205"/>
      <c r="D205"/>
      <c r="E205"/>
      <c r="F205" s="49">
        <v>43405</v>
      </c>
      <c r="G205" s="92">
        <v>138.61000000000001</v>
      </c>
      <c r="H205"/>
      <c r="I205"/>
      <c r="J205"/>
      <c r="K205"/>
      <c r="L205"/>
      <c r="M205"/>
      <c r="N205"/>
      <c r="O205" s="58">
        <v>137.02599679078443</v>
      </c>
      <c r="P205" s="53"/>
      <c r="Q205" s="53">
        <v>137.02599679078443</v>
      </c>
      <c r="R205" s="15">
        <v>1.584003209215586</v>
      </c>
      <c r="S205" s="15"/>
      <c r="T205" s="15"/>
      <c r="U205" s="15"/>
      <c r="V205" s="15"/>
      <c r="W205" s="15"/>
      <c r="X205" s="15"/>
      <c r="Y205" s="15"/>
      <c r="Z205" s="15"/>
    </row>
    <row r="206" spans="1:26" s="21" customFormat="1" x14ac:dyDescent="0.55000000000000004">
      <c r="A206" s="17"/>
      <c r="B206"/>
      <c r="C206"/>
      <c r="D206"/>
      <c r="E206"/>
      <c r="F206" s="49">
        <v>43435</v>
      </c>
      <c r="G206" s="92">
        <v>139.18</v>
      </c>
      <c r="H206"/>
      <c r="I206"/>
      <c r="J206"/>
      <c r="K206"/>
      <c r="L206"/>
      <c r="M206"/>
      <c r="N206"/>
      <c r="O206" s="58">
        <v>137.07797876260895</v>
      </c>
      <c r="P206" s="53"/>
      <c r="Q206" s="53">
        <v>137.07797876260895</v>
      </c>
      <c r="R206" s="15">
        <v>2.1020212373910541</v>
      </c>
      <c r="S206" s="15"/>
      <c r="T206" s="15"/>
      <c r="U206" s="15"/>
      <c r="V206" s="15"/>
      <c r="W206" s="15"/>
      <c r="X206" s="15"/>
      <c r="Y206" s="15"/>
      <c r="Z206" s="15"/>
    </row>
    <row r="207" spans="1:26" s="21" customFormat="1" x14ac:dyDescent="0.55000000000000004">
      <c r="A207" s="17"/>
      <c r="B207"/>
      <c r="C207"/>
      <c r="D207"/>
      <c r="E207"/>
      <c r="F207" s="49">
        <v>43466</v>
      </c>
      <c r="G207" s="92">
        <v>139.28</v>
      </c>
      <c r="H207"/>
      <c r="I207"/>
      <c r="J207"/>
      <c r="K207"/>
      <c r="L207"/>
      <c r="M207"/>
      <c r="N207"/>
      <c r="O207" s="58">
        <v>136.67580556010685</v>
      </c>
      <c r="P207" s="53"/>
      <c r="Q207" s="53">
        <v>136.67580556010685</v>
      </c>
      <c r="R207" s="15">
        <v>2.60419443989315</v>
      </c>
      <c r="S207" s="15"/>
      <c r="T207" s="15"/>
      <c r="U207" s="15"/>
      <c r="V207" s="15"/>
      <c r="W207" s="15"/>
      <c r="X207" s="15"/>
      <c r="Y207" s="15"/>
      <c r="Z207" s="15"/>
    </row>
    <row r="208" spans="1:26" s="21" customFormat="1" x14ac:dyDescent="0.55000000000000004">
      <c r="A208" s="17"/>
      <c r="B208"/>
      <c r="C208"/>
      <c r="D208"/>
      <c r="E208"/>
      <c r="F208" s="49">
        <v>43497</v>
      </c>
      <c r="G208" s="92">
        <v>137.69</v>
      </c>
      <c r="H208"/>
      <c r="I208"/>
      <c r="J208"/>
      <c r="K208"/>
      <c r="L208"/>
      <c r="M208"/>
      <c r="N208"/>
      <c r="O208" s="58">
        <v>134.65436269985835</v>
      </c>
      <c r="P208" s="53"/>
      <c r="Q208" s="53">
        <v>134.65436269985835</v>
      </c>
      <c r="R208" s="15">
        <v>3.035637300141631</v>
      </c>
      <c r="S208" s="15"/>
      <c r="T208" s="15"/>
      <c r="U208" s="15"/>
      <c r="V208" s="15"/>
      <c r="W208" s="15"/>
      <c r="X208" s="15"/>
      <c r="Y208" s="15"/>
      <c r="Z208" s="15"/>
    </row>
    <row r="209" spans="1:26" s="21" customFormat="1" x14ac:dyDescent="0.55000000000000004">
      <c r="A209" s="17"/>
      <c r="B209"/>
      <c r="C209"/>
      <c r="D209"/>
      <c r="E209"/>
      <c r="F209" s="49">
        <v>43525</v>
      </c>
      <c r="G209" s="92">
        <v>137</v>
      </c>
      <c r="H209"/>
      <c r="I209"/>
      <c r="J209"/>
      <c r="K209"/>
      <c r="L209"/>
      <c r="M209"/>
      <c r="N209"/>
      <c r="O209" s="58">
        <v>133.65734259704072</v>
      </c>
      <c r="P209" s="53"/>
      <c r="Q209" s="53">
        <v>133.65734259704072</v>
      </c>
      <c r="R209" s="15">
        <v>3.3426574029592704</v>
      </c>
      <c r="S209" s="15"/>
      <c r="T209" s="15"/>
      <c r="U209" s="15"/>
      <c r="V209" s="15"/>
      <c r="W209" s="15"/>
      <c r="X209" s="15"/>
      <c r="Y209" s="15"/>
      <c r="Z209" s="15"/>
    </row>
    <row r="210" spans="1:26" s="21" customFormat="1" x14ac:dyDescent="0.55000000000000004">
      <c r="A210" s="17"/>
      <c r="B210"/>
      <c r="C210"/>
      <c r="D210"/>
      <c r="E210"/>
      <c r="F210" s="49">
        <v>43556</v>
      </c>
      <c r="G210" s="92">
        <v>136.87</v>
      </c>
      <c r="H210"/>
      <c r="I210"/>
      <c r="J210"/>
      <c r="K210"/>
      <c r="L210"/>
      <c r="M210"/>
      <c r="N210"/>
      <c r="O210" s="58">
        <v>133.3927553209644</v>
      </c>
      <c r="P210" s="53"/>
      <c r="Q210" s="53">
        <v>133.3927553209644</v>
      </c>
      <c r="R210" s="15">
        <v>3.4772446790356057</v>
      </c>
      <c r="S210" s="15"/>
      <c r="T210" s="15"/>
      <c r="U210" s="15"/>
      <c r="V210" s="15"/>
      <c r="W210" s="15"/>
      <c r="X210" s="15"/>
      <c r="Y210" s="15"/>
      <c r="Z210" s="15"/>
    </row>
    <row r="211" spans="1:26" s="21" customFormat="1" x14ac:dyDescent="0.55000000000000004">
      <c r="A211" s="17"/>
      <c r="B211"/>
      <c r="C211"/>
      <c r="D211"/>
      <c r="E211"/>
      <c r="F211" s="49">
        <v>43586</v>
      </c>
      <c r="G211" s="92">
        <v>138.63999999999999</v>
      </c>
      <c r="H211"/>
      <c r="I211"/>
      <c r="J211"/>
      <c r="K211"/>
      <c r="L211"/>
      <c r="M211"/>
      <c r="N211"/>
      <c r="O211" s="58">
        <v>135.23404839821876</v>
      </c>
      <c r="P211" s="53"/>
      <c r="Q211" s="53">
        <v>135.23404839821876</v>
      </c>
      <c r="R211" s="15">
        <v>3.4059516017812372</v>
      </c>
      <c r="S211" s="15"/>
      <c r="T211" s="15"/>
      <c r="U211" s="15"/>
      <c r="V211" s="15"/>
      <c r="W211" s="15"/>
      <c r="X211" s="15"/>
      <c r="Y211" s="15"/>
      <c r="Z211" s="15"/>
    </row>
    <row r="212" spans="1:26" s="21" customFormat="1" x14ac:dyDescent="0.55000000000000004">
      <c r="A212" s="17"/>
      <c r="B212"/>
      <c r="C212"/>
      <c r="D212"/>
      <c r="E212"/>
      <c r="F212" s="49">
        <v>43617</v>
      </c>
      <c r="G212" s="92">
        <v>138.86000000000001</v>
      </c>
      <c r="H212"/>
      <c r="I212"/>
      <c r="J212"/>
      <c r="K212"/>
      <c r="L212"/>
      <c r="M212"/>
      <c r="N212"/>
      <c r="O212" s="58">
        <v>135.75746431091451</v>
      </c>
      <c r="P212" s="53"/>
      <c r="Q212" s="53">
        <v>135.75746431091451</v>
      </c>
      <c r="R212" s="15">
        <v>3.1025356890854883</v>
      </c>
      <c r="S212" s="15"/>
      <c r="T212" s="15"/>
      <c r="U212" s="15"/>
      <c r="V212" s="15"/>
      <c r="W212" s="15"/>
      <c r="X212" s="15"/>
      <c r="Y212" s="15"/>
      <c r="Z212" s="15"/>
    </row>
    <row r="213" spans="1:26" s="21" customFormat="1" x14ac:dyDescent="0.55000000000000004">
      <c r="A213" s="17"/>
      <c r="B213"/>
      <c r="C213"/>
      <c r="D213"/>
      <c r="E213"/>
      <c r="F213" s="49">
        <v>43647</v>
      </c>
      <c r="G213" s="92">
        <v>138.29</v>
      </c>
      <c r="H213"/>
      <c r="I213"/>
      <c r="J213"/>
      <c r="K213"/>
      <c r="L213"/>
      <c r="M213"/>
      <c r="N213"/>
      <c r="O213" s="58">
        <v>135.73669450247084</v>
      </c>
      <c r="P213" s="53"/>
      <c r="Q213" s="53">
        <v>135.73669450247084</v>
      </c>
      <c r="R213" s="15">
        <v>2.5533054975291529</v>
      </c>
      <c r="S213" s="15"/>
      <c r="T213" s="15"/>
      <c r="U213" s="15"/>
      <c r="V213" s="15"/>
      <c r="W213" s="15"/>
      <c r="X213" s="15"/>
      <c r="Y213" s="15"/>
      <c r="Z213" s="15"/>
    </row>
    <row r="214" spans="1:26" s="21" customFormat="1" x14ac:dyDescent="0.55000000000000004">
      <c r="A214" s="17"/>
      <c r="B214"/>
      <c r="C214"/>
      <c r="D214"/>
      <c r="E214"/>
      <c r="F214" s="49">
        <v>43678</v>
      </c>
      <c r="G214" s="92">
        <v>138.35</v>
      </c>
      <c r="H214"/>
      <c r="I214"/>
      <c r="J214"/>
      <c r="K214"/>
      <c r="L214"/>
      <c r="M214"/>
      <c r="N214"/>
      <c r="O214" s="58">
        <v>136.57577018755214</v>
      </c>
      <c r="P214" s="53"/>
      <c r="Q214" s="53">
        <v>136.57577018755214</v>
      </c>
      <c r="R214" s="15">
        <v>1.7742298124478626</v>
      </c>
      <c r="S214" s="15"/>
      <c r="T214" s="15"/>
      <c r="U214" s="15"/>
      <c r="V214" s="15"/>
      <c r="W214" s="15"/>
      <c r="X214" s="15"/>
      <c r="Y214" s="15"/>
      <c r="Z214" s="15"/>
    </row>
    <row r="215" spans="1:26" s="21" customFormat="1" x14ac:dyDescent="0.55000000000000004">
      <c r="A215" s="17"/>
      <c r="B215"/>
      <c r="C215"/>
      <c r="D215"/>
      <c r="E215"/>
      <c r="F215" s="49">
        <v>43709</v>
      </c>
      <c r="G215" s="92">
        <v>139.16</v>
      </c>
      <c r="H215"/>
      <c r="I215"/>
      <c r="J215"/>
      <c r="K215"/>
      <c r="L215"/>
      <c r="M215"/>
      <c r="N215"/>
      <c r="O215" s="58">
        <v>138.36200282386523</v>
      </c>
      <c r="P215" s="53"/>
      <c r="Q215" s="53">
        <v>138.36200282386523</v>
      </c>
      <c r="R215" s="15">
        <v>0.79799717613477084</v>
      </c>
      <c r="S215" s="15"/>
      <c r="T215" s="15"/>
      <c r="U215" s="15"/>
      <c r="V215" s="15"/>
      <c r="W215" s="15"/>
      <c r="X215" s="15"/>
      <c r="Y215" s="15"/>
      <c r="Z215" s="15"/>
    </row>
    <row r="216" spans="1:26" s="21" customFormat="1" x14ac:dyDescent="0.55000000000000004">
      <c r="A216" s="17"/>
      <c r="B216"/>
      <c r="C216"/>
      <c r="D216"/>
      <c r="E216"/>
      <c r="F216" s="49">
        <v>43739</v>
      </c>
      <c r="G216" s="92">
        <v>140.56</v>
      </c>
      <c r="H216"/>
      <c r="I216"/>
      <c r="J216"/>
      <c r="K216"/>
      <c r="L216"/>
      <c r="M216"/>
      <c r="N216"/>
      <c r="O216" s="58">
        <v>140.883261787962</v>
      </c>
      <c r="P216" s="53"/>
      <c r="Q216" s="53">
        <v>140.883261787962</v>
      </c>
      <c r="R216" s="15">
        <v>-0.32326178796198668</v>
      </c>
      <c r="S216" s="15"/>
      <c r="T216" s="15"/>
      <c r="U216" s="15"/>
      <c r="V216" s="15"/>
      <c r="W216" s="15"/>
      <c r="X216" s="15"/>
      <c r="Y216" s="15"/>
      <c r="Z216" s="15"/>
    </row>
    <row r="217" spans="1:26" s="21" customFormat="1" x14ac:dyDescent="0.55000000000000004">
      <c r="A217" s="17"/>
      <c r="B217"/>
      <c r="C217"/>
      <c r="D217"/>
      <c r="E217"/>
      <c r="F217" s="49">
        <v>43770</v>
      </c>
      <c r="G217" s="92">
        <v>139.88</v>
      </c>
      <c r="H217"/>
      <c r="I217"/>
      <c r="J217"/>
      <c r="K217"/>
      <c r="L217"/>
      <c r="M217"/>
      <c r="N217"/>
      <c r="O217" s="58">
        <v>141.39790272834193</v>
      </c>
      <c r="P217" s="53"/>
      <c r="Q217" s="53">
        <v>141.39790272834193</v>
      </c>
      <c r="R217" s="15">
        <v>-1.5179027283419342</v>
      </c>
      <c r="S217" s="15"/>
      <c r="T217" s="15"/>
      <c r="U217" s="15"/>
      <c r="V217" s="15"/>
      <c r="W217" s="15"/>
      <c r="X217" s="15"/>
      <c r="Y217" s="15"/>
      <c r="Z217" s="15"/>
    </row>
    <row r="218" spans="1:26" s="21" customFormat="1" x14ac:dyDescent="0.55000000000000004">
      <c r="A218" s="17"/>
      <c r="B218"/>
      <c r="C218"/>
      <c r="D218"/>
      <c r="E218"/>
      <c r="F218" s="49">
        <v>43800</v>
      </c>
      <c r="G218" s="92">
        <v>139.28</v>
      </c>
      <c r="H218"/>
      <c r="I218"/>
      <c r="J218"/>
      <c r="K218"/>
      <c r="L218"/>
      <c r="M218"/>
      <c r="N218"/>
      <c r="O218" s="58">
        <v>141.9915594780197</v>
      </c>
      <c r="P218" s="53"/>
      <c r="Q218" s="53">
        <v>141.9915594780197</v>
      </c>
      <c r="R218" s="15">
        <v>-2.7115594780196939</v>
      </c>
      <c r="S218" s="15"/>
      <c r="T218" s="15"/>
      <c r="U218" s="15"/>
      <c r="V218" s="15"/>
      <c r="W218" s="15"/>
      <c r="X218" s="15"/>
      <c r="Y218" s="15"/>
      <c r="Z218" s="15"/>
    </row>
    <row r="219" spans="1:26" s="21" customFormat="1" x14ac:dyDescent="0.55000000000000004">
      <c r="A219" s="17"/>
      <c r="B219"/>
      <c r="C219"/>
      <c r="D219"/>
      <c r="E219"/>
      <c r="F219" s="49">
        <v>43831</v>
      </c>
      <c r="G219" s="92">
        <v>140.05000000000001</v>
      </c>
      <c r="H219"/>
      <c r="I219"/>
      <c r="J219"/>
      <c r="K219"/>
      <c r="L219"/>
      <c r="M219"/>
      <c r="N219"/>
      <c r="O219" s="58">
        <v>143.8841970744721</v>
      </c>
      <c r="P219" s="53"/>
      <c r="Q219" s="53">
        <v>143.8841970744721</v>
      </c>
      <c r="R219" s="15">
        <v>-3.8341970744720992</v>
      </c>
      <c r="S219" s="15"/>
      <c r="T219" s="15"/>
      <c r="U219" s="15"/>
      <c r="V219" s="15"/>
      <c r="W219" s="15"/>
      <c r="X219" s="15"/>
      <c r="Y219" s="15"/>
      <c r="Z219" s="15"/>
    </row>
    <row r="220" spans="1:26" s="21" customFormat="1" x14ac:dyDescent="0.55000000000000004">
      <c r="A220" s="17"/>
      <c r="B220"/>
      <c r="C220"/>
      <c r="D220"/>
      <c r="E220"/>
      <c r="F220" s="49">
        <v>43862</v>
      </c>
      <c r="G220" s="92">
        <v>139.65</v>
      </c>
      <c r="H220"/>
      <c r="I220"/>
      <c r="J220"/>
      <c r="K220"/>
      <c r="L220"/>
      <c r="M220"/>
      <c r="N220"/>
      <c r="O220" s="58">
        <v>144.47883794667683</v>
      </c>
      <c r="P220" s="53"/>
      <c r="Q220" s="53">
        <v>144.47883794667683</v>
      </c>
      <c r="R220" s="15">
        <v>-4.8288379466768285</v>
      </c>
      <c r="S220" s="15"/>
      <c r="T220" s="15"/>
      <c r="U220" s="15"/>
      <c r="V220" s="15"/>
      <c r="W220" s="15"/>
      <c r="X220" s="15"/>
      <c r="Y220" s="15"/>
      <c r="Z220" s="15"/>
    </row>
    <row r="221" spans="1:26" s="21" customFormat="1" x14ac:dyDescent="0.55000000000000004">
      <c r="A221" s="17"/>
      <c r="B221"/>
      <c r="C221"/>
      <c r="D221"/>
      <c r="E221"/>
      <c r="F221" s="49">
        <v>43891</v>
      </c>
      <c r="G221" s="92">
        <v>129.71</v>
      </c>
      <c r="H221"/>
      <c r="I221"/>
      <c r="J221"/>
      <c r="K221"/>
      <c r="L221"/>
      <c r="M221"/>
      <c r="N221"/>
      <c r="O221" s="58">
        <v>135.34511313811183</v>
      </c>
      <c r="P221" s="53"/>
      <c r="Q221" s="53">
        <v>135.34511313811183</v>
      </c>
      <c r="R221" s="15">
        <v>-5.6351131381118105</v>
      </c>
      <c r="S221" s="15"/>
      <c r="T221" s="15"/>
      <c r="U221" s="15"/>
      <c r="V221" s="15"/>
      <c r="W221" s="15"/>
      <c r="X221" s="15"/>
      <c r="Y221" s="15"/>
      <c r="Z221" s="15"/>
    </row>
    <row r="222" spans="1:26" s="21" customFormat="1" x14ac:dyDescent="0.55000000000000004">
      <c r="A222" s="17"/>
      <c r="B222"/>
      <c r="C222"/>
      <c r="D222"/>
      <c r="E222"/>
      <c r="F222" s="49">
        <v>43922</v>
      </c>
      <c r="G222" s="92">
        <v>117.19</v>
      </c>
      <c r="H222"/>
      <c r="I222"/>
      <c r="J222"/>
      <c r="K222"/>
      <c r="L222"/>
      <c r="M222"/>
      <c r="N222"/>
      <c r="O222" s="58">
        <v>123.410767895825</v>
      </c>
      <c r="P222" s="53"/>
      <c r="Q222" s="53">
        <v>123.410767895825</v>
      </c>
      <c r="R222" s="15">
        <v>-6.2207678958250039</v>
      </c>
      <c r="S222" s="15"/>
      <c r="T222" s="15"/>
      <c r="U222" s="15"/>
      <c r="V222" s="15"/>
      <c r="W222" s="15"/>
      <c r="X222" s="15"/>
      <c r="Y222" s="15"/>
      <c r="Z222" s="15"/>
    </row>
    <row r="223" spans="1:26" s="21" customFormat="1" x14ac:dyDescent="0.55000000000000004">
      <c r="A223" s="17"/>
      <c r="B223"/>
      <c r="C223"/>
      <c r="D223"/>
      <c r="E223"/>
      <c r="F223" s="49">
        <v>43952</v>
      </c>
      <c r="G223" s="92">
        <v>121.03</v>
      </c>
      <c r="H223"/>
      <c r="I223"/>
      <c r="J223"/>
      <c r="K223"/>
      <c r="L223"/>
      <c r="M223"/>
      <c r="N223"/>
      <c r="O223" s="58">
        <v>127.57201626933592</v>
      </c>
      <c r="P223" s="53"/>
      <c r="Q223" s="53">
        <v>127.57201626933592</v>
      </c>
      <c r="R223" s="15">
        <v>-6.5420162693359156</v>
      </c>
      <c r="S223" s="15"/>
      <c r="T223" s="15"/>
      <c r="U223" s="15"/>
      <c r="V223" s="15"/>
      <c r="W223" s="15"/>
      <c r="X223" s="15"/>
      <c r="Y223" s="15"/>
      <c r="Z223" s="15"/>
    </row>
    <row r="224" spans="1:26" s="21" customFormat="1" x14ac:dyDescent="0.55000000000000004">
      <c r="A224" s="17"/>
      <c r="B224"/>
      <c r="C224"/>
      <c r="D224"/>
      <c r="E224"/>
      <c r="F224" s="49">
        <v>43983</v>
      </c>
      <c r="G224" s="92">
        <v>127.06</v>
      </c>
      <c r="H224"/>
      <c r="I224"/>
      <c r="J224"/>
      <c r="K224"/>
      <c r="L224"/>
      <c r="M224"/>
      <c r="N224"/>
      <c r="O224" s="58">
        <v>133.64825835309057</v>
      </c>
      <c r="P224" s="53"/>
      <c r="Q224" s="53">
        <v>133.64825835309057</v>
      </c>
      <c r="R224" s="15">
        <v>-6.5882583530905734</v>
      </c>
      <c r="S224" s="15"/>
      <c r="T224" s="15"/>
      <c r="U224" s="15"/>
      <c r="V224" s="15"/>
      <c r="W224" s="15"/>
      <c r="X224" s="15"/>
      <c r="Y224" s="15"/>
      <c r="Z224" s="15"/>
    </row>
    <row r="225" spans="1:26" s="21" customFormat="1" x14ac:dyDescent="0.55000000000000004">
      <c r="A225" s="17"/>
      <c r="B225"/>
      <c r="C225"/>
      <c r="D225"/>
      <c r="E225"/>
      <c r="F225" s="49">
        <v>44013</v>
      </c>
      <c r="G225" s="92">
        <v>130.99</v>
      </c>
      <c r="H225"/>
      <c r="I225"/>
      <c r="J225"/>
      <c r="K225"/>
      <c r="L225"/>
      <c r="M225"/>
      <c r="N225"/>
      <c r="O225" s="58">
        <v>137.35645382237291</v>
      </c>
      <c r="P225" s="53"/>
      <c r="Q225" s="53">
        <v>137.35645382237291</v>
      </c>
      <c r="R225" s="15">
        <v>-6.3664538223728906</v>
      </c>
      <c r="S225" s="15"/>
      <c r="T225" s="15"/>
      <c r="U225" s="15"/>
      <c r="V225" s="15"/>
      <c r="W225" s="15"/>
      <c r="X225" s="15"/>
      <c r="Y225" s="15"/>
      <c r="Z225" s="15"/>
    </row>
    <row r="226" spans="1:26" s="21" customFormat="1" x14ac:dyDescent="0.55000000000000004">
      <c r="A226" s="17"/>
      <c r="B226"/>
      <c r="C226"/>
      <c r="D226"/>
      <c r="E226"/>
      <c r="F226" s="49">
        <v>44044</v>
      </c>
      <c r="G226" s="92">
        <v>133.86000000000001</v>
      </c>
      <c r="H226"/>
      <c r="I226"/>
      <c r="J226"/>
      <c r="K226"/>
      <c r="L226"/>
      <c r="M226"/>
      <c r="N226"/>
      <c r="O226" s="58">
        <v>139.76196625052035</v>
      </c>
      <c r="P226" s="53"/>
      <c r="Q226" s="53">
        <v>139.76196625052035</v>
      </c>
      <c r="R226" s="15">
        <v>-5.901966250520327</v>
      </c>
      <c r="S226" s="15"/>
      <c r="T226" s="15"/>
      <c r="U226" s="15"/>
      <c r="V226" s="15"/>
      <c r="W226" s="15"/>
      <c r="X226" s="15"/>
      <c r="Y226" s="15"/>
      <c r="Z226" s="15"/>
    </row>
    <row r="227" spans="1:26" s="21" customFormat="1" x14ac:dyDescent="0.55000000000000004">
      <c r="A227" s="17"/>
      <c r="B227"/>
      <c r="C227"/>
      <c r="D227"/>
      <c r="E227"/>
      <c r="F227" s="49">
        <v>44075</v>
      </c>
      <c r="G227" s="92">
        <v>136.84</v>
      </c>
      <c r="H227"/>
      <c r="I227"/>
      <c r="J227"/>
      <c r="K227"/>
      <c r="L227"/>
      <c r="M227"/>
      <c r="N227"/>
      <c r="O227" s="58">
        <v>142.07885246892999</v>
      </c>
      <c r="P227" s="53"/>
      <c r="Q227" s="53">
        <v>142.07885246892999</v>
      </c>
      <c r="R227" s="15">
        <v>-5.2388524689299922</v>
      </c>
      <c r="S227" s="15"/>
      <c r="T227" s="15"/>
      <c r="U227" s="15"/>
      <c r="V227" s="15"/>
      <c r="W227" s="15"/>
      <c r="X227" s="15"/>
      <c r="Y227" s="15"/>
      <c r="Z227" s="15"/>
    </row>
    <row r="228" spans="1:26" s="21" customFormat="1" x14ac:dyDescent="0.55000000000000004">
      <c r="A228" s="17"/>
      <c r="B228"/>
      <c r="C228"/>
      <c r="D228"/>
      <c r="E228"/>
      <c r="F228" s="49">
        <v>44105</v>
      </c>
      <c r="G228" s="92">
        <v>139.32</v>
      </c>
      <c r="H228"/>
      <c r="I228"/>
      <c r="J228"/>
      <c r="K228"/>
      <c r="L228"/>
      <c r="M228"/>
      <c r="N228"/>
      <c r="O228" s="58">
        <v>143.74919323187081</v>
      </c>
      <c r="P228" s="53"/>
      <c r="Q228" s="53">
        <v>143.74919323187081</v>
      </c>
      <c r="R228" s="15">
        <v>-4.4291932318708014</v>
      </c>
      <c r="S228" s="15"/>
      <c r="T228" s="15"/>
      <c r="U228" s="15"/>
      <c r="V228" s="15"/>
      <c r="W228" s="15"/>
      <c r="X228" s="15"/>
      <c r="Y228" s="15"/>
      <c r="Z228" s="15"/>
    </row>
    <row r="229" spans="1:26" s="21" customFormat="1" x14ac:dyDescent="0.55000000000000004">
      <c r="A229" s="17"/>
      <c r="B229"/>
      <c r="C229"/>
      <c r="D229"/>
      <c r="E229"/>
      <c r="F229" s="49">
        <v>44136</v>
      </c>
      <c r="G229" s="92">
        <v>139.24</v>
      </c>
      <c r="H229"/>
      <c r="I229"/>
      <c r="J229"/>
      <c r="K229"/>
      <c r="L229"/>
      <c r="M229"/>
      <c r="N229"/>
      <c r="O229" s="58">
        <v>142.77615958133205</v>
      </c>
      <c r="P229" s="53"/>
      <c r="Q229" s="53">
        <v>142.77615958133205</v>
      </c>
      <c r="R229" s="15">
        <v>-3.5361595813320497</v>
      </c>
      <c r="S229" s="15"/>
      <c r="T229" s="15"/>
      <c r="U229" s="15"/>
      <c r="V229" s="15"/>
      <c r="W229" s="15"/>
      <c r="X229" s="15"/>
      <c r="Y229" s="15"/>
      <c r="Z229" s="15"/>
    </row>
    <row r="230" spans="1:26" s="21" customFormat="1" x14ac:dyDescent="0.55000000000000004">
      <c r="A230" s="17"/>
      <c r="B230"/>
      <c r="C230"/>
      <c r="D230"/>
      <c r="E230"/>
      <c r="F230" s="49">
        <v>44166</v>
      </c>
      <c r="G230" s="92">
        <v>139.54</v>
      </c>
      <c r="H230"/>
      <c r="I230"/>
      <c r="J230"/>
      <c r="K230"/>
      <c r="L230"/>
      <c r="M230"/>
      <c r="N230"/>
      <c r="O230" s="58">
        <v>142.17146070122362</v>
      </c>
      <c r="P230" s="53"/>
      <c r="Q230" s="53">
        <v>142.17146070122362</v>
      </c>
      <c r="R230" s="15">
        <v>-2.6314607012236384</v>
      </c>
      <c r="S230" s="15"/>
      <c r="T230" s="15"/>
      <c r="U230" s="15"/>
      <c r="V230" s="15"/>
      <c r="W230" s="15"/>
      <c r="X230" s="15"/>
      <c r="Y230" s="15"/>
      <c r="Z230" s="15"/>
    </row>
    <row r="231" spans="1:26" s="21" customFormat="1" x14ac:dyDescent="0.55000000000000004">
      <c r="A231" s="17"/>
      <c r="B231"/>
      <c r="C231"/>
      <c r="D231"/>
      <c r="E231"/>
      <c r="F231" s="49">
        <v>44197</v>
      </c>
      <c r="G231" s="92">
        <v>140.13</v>
      </c>
      <c r="H231"/>
      <c r="I231"/>
      <c r="J231"/>
      <c r="K231"/>
      <c r="L231"/>
      <c r="M231"/>
      <c r="N231"/>
      <c r="O231" s="58">
        <v>141.9094194562802</v>
      </c>
      <c r="P231" s="53"/>
      <c r="Q231" s="53">
        <v>141.9094194562802</v>
      </c>
      <c r="R231" s="15">
        <v>-1.7794194562802084</v>
      </c>
      <c r="S231" s="15"/>
      <c r="T231" s="15"/>
      <c r="U231" s="15"/>
      <c r="V231" s="15"/>
      <c r="W231" s="15"/>
      <c r="X231" s="15"/>
      <c r="Y231" s="15"/>
      <c r="Z231" s="15"/>
    </row>
    <row r="232" spans="1:26" s="21" customFormat="1" x14ac:dyDescent="0.55000000000000004">
      <c r="A232" s="17"/>
      <c r="B232"/>
      <c r="C232"/>
      <c r="D232"/>
      <c r="E232"/>
      <c r="F232" s="49">
        <v>44228</v>
      </c>
      <c r="G232" s="92">
        <v>140.97999999999999</v>
      </c>
      <c r="H232"/>
      <c r="I232"/>
      <c r="J232"/>
      <c r="K232"/>
      <c r="L232"/>
      <c r="M232"/>
      <c r="N232"/>
      <c r="O232" s="58" t="e">
        <v>#N/A</v>
      </c>
      <c r="P232" s="53"/>
      <c r="Q232" s="53" t="e">
        <v>#N/A</v>
      </c>
      <c r="R232" s="15" t="e">
        <v>#N/A</v>
      </c>
      <c r="S232" s="15"/>
      <c r="T232" s="15"/>
      <c r="U232" s="15"/>
      <c r="V232" s="15"/>
      <c r="W232" s="15"/>
      <c r="X232" s="15"/>
      <c r="Y232" s="15"/>
      <c r="Z232" s="15"/>
    </row>
    <row r="233" spans="1:26" s="21" customFormat="1" x14ac:dyDescent="0.55000000000000004">
      <c r="A233" s="17"/>
      <c r="B233"/>
      <c r="C233"/>
      <c r="D233"/>
      <c r="E233"/>
      <c r="F233" s="49">
        <v>44256</v>
      </c>
      <c r="G233" s="92">
        <v>135.72</v>
      </c>
      <c r="H233"/>
      <c r="I233"/>
      <c r="J233"/>
      <c r="K233"/>
      <c r="L233"/>
      <c r="M233"/>
      <c r="N233"/>
      <c r="O233" s="58" t="e">
        <v>#N/A</v>
      </c>
      <c r="P233" s="53"/>
      <c r="Q233" s="53" t="e">
        <v>#N/A</v>
      </c>
      <c r="R233" s="15" t="e">
        <v>#N/A</v>
      </c>
      <c r="S233" s="15"/>
      <c r="T233" s="15"/>
      <c r="U233" s="15"/>
      <c r="V233" s="15"/>
      <c r="W233" s="15"/>
      <c r="X233" s="15"/>
      <c r="Y233" s="15"/>
      <c r="Z233" s="15"/>
    </row>
    <row r="234" spans="1:26" s="21" customFormat="1" x14ac:dyDescent="0.55000000000000004">
      <c r="A234" s="17"/>
      <c r="B234"/>
      <c r="C234"/>
      <c r="D234"/>
      <c r="E234"/>
      <c r="F234" s="49">
        <v>44287</v>
      </c>
      <c r="G234" s="92">
        <v>137.44</v>
      </c>
      <c r="H234"/>
      <c r="I234"/>
      <c r="J234"/>
      <c r="K234"/>
      <c r="L234"/>
      <c r="M234"/>
      <c r="N234"/>
      <c r="O234" s="58" t="e">
        <v>#N/A</v>
      </c>
      <c r="P234" s="53"/>
      <c r="Q234" s="53" t="e">
        <v>#N/A</v>
      </c>
      <c r="R234" s="15" t="e">
        <v>#N/A</v>
      </c>
      <c r="S234" s="15"/>
      <c r="T234" s="15"/>
      <c r="U234" s="15"/>
      <c r="V234" s="15"/>
      <c r="W234" s="15"/>
      <c r="X234" s="15"/>
      <c r="Y234" s="15"/>
      <c r="Z234" s="15"/>
    </row>
    <row r="235" spans="1:26" s="21" customFormat="1" x14ac:dyDescent="0.55000000000000004">
      <c r="A235" s="17"/>
      <c r="B235"/>
      <c r="C235"/>
      <c r="D235"/>
      <c r="E235"/>
      <c r="F235" s="49">
        <v>44317</v>
      </c>
      <c r="G235" s="92">
        <v>138.74</v>
      </c>
      <c r="H235"/>
      <c r="I235"/>
      <c r="J235"/>
      <c r="K235"/>
      <c r="L235"/>
      <c r="M235"/>
      <c r="N235"/>
      <c r="O235" s="58" t="e">
        <v>#N/A</v>
      </c>
      <c r="P235" s="53"/>
      <c r="Q235" s="53" t="e">
        <v>#N/A</v>
      </c>
      <c r="R235" s="15" t="e">
        <v>#N/A</v>
      </c>
      <c r="S235" s="15"/>
      <c r="T235" s="15"/>
      <c r="U235" s="15"/>
      <c r="V235" s="15"/>
      <c r="W235" s="15"/>
      <c r="X235" s="15"/>
      <c r="Y235" s="15"/>
      <c r="Z235" s="15"/>
    </row>
    <row r="236" spans="1:26" s="21" customFormat="1" x14ac:dyDescent="0.55000000000000004">
      <c r="A236" s="17"/>
      <c r="B236"/>
      <c r="C236"/>
      <c r="D236"/>
      <c r="E236"/>
      <c r="F236" s="49">
        <v>44348</v>
      </c>
      <c r="G236" s="92">
        <v>138.94999999999999</v>
      </c>
      <c r="H236"/>
      <c r="I236"/>
      <c r="J236"/>
      <c r="K236"/>
      <c r="L236"/>
      <c r="M236"/>
      <c r="N236"/>
      <c r="O236" s="58" t="e">
        <v>#N/A</v>
      </c>
      <c r="P236" s="53"/>
      <c r="Q236" s="53" t="e">
        <v>#N/A</v>
      </c>
      <c r="R236" s="15" t="e">
        <v>#N/A</v>
      </c>
      <c r="S236" s="15"/>
      <c r="T236" s="15"/>
      <c r="U236" s="15"/>
      <c r="V236" s="15"/>
      <c r="W236" s="15"/>
      <c r="X236" s="15"/>
      <c r="Y236" s="15"/>
      <c r="Z236" s="15"/>
    </row>
    <row r="237" spans="1:26" s="21" customFormat="1" x14ac:dyDescent="0.55000000000000004">
      <c r="A237" s="17"/>
      <c r="B237"/>
      <c r="C237"/>
      <c r="D237"/>
      <c r="E237"/>
      <c r="F237" s="49">
        <v>44378</v>
      </c>
      <c r="G237" s="92">
        <v>138.49</v>
      </c>
      <c r="H237"/>
      <c r="I237"/>
      <c r="J237"/>
      <c r="K237"/>
      <c r="L237"/>
      <c r="M237"/>
      <c r="N237"/>
      <c r="O237" s="58" t="e">
        <v>#N/A</v>
      </c>
      <c r="P237" s="53"/>
      <c r="Q237" s="53" t="e">
        <v>#N/A</v>
      </c>
      <c r="R237" s="15" t="e">
        <v>#N/A</v>
      </c>
      <c r="S237" s="15"/>
      <c r="T237" s="15"/>
      <c r="U237" s="15"/>
      <c r="V237" s="15"/>
      <c r="W237" s="15"/>
      <c r="X237" s="15"/>
      <c r="Y237" s="15"/>
      <c r="Z237" s="15"/>
    </row>
    <row r="238" spans="1:26" s="21" customFormat="1" x14ac:dyDescent="0.55000000000000004">
      <c r="A238" s="17"/>
      <c r="B238"/>
      <c r="C238"/>
      <c r="D238"/>
      <c r="E238"/>
      <c r="F238" s="49">
        <v>44409</v>
      </c>
      <c r="G238" s="92">
        <v>138.91999999999999</v>
      </c>
      <c r="H238"/>
      <c r="I238"/>
      <c r="J238"/>
      <c r="K238"/>
      <c r="L238"/>
      <c r="M238"/>
      <c r="N238"/>
      <c r="O238" s="58" t="e">
        <v>#N/A</v>
      </c>
      <c r="P238" s="53"/>
      <c r="Q238" s="53" t="e">
        <v>#N/A</v>
      </c>
      <c r="R238" s="15" t="e">
        <v>#N/A</v>
      </c>
      <c r="S238" s="15"/>
      <c r="T238" s="15"/>
      <c r="U238" s="15"/>
      <c r="V238" s="15"/>
      <c r="W238" s="15"/>
      <c r="X238" s="15"/>
      <c r="Y238" s="15"/>
      <c r="Z238" s="15"/>
    </row>
    <row r="239" spans="1:26" s="21" customFormat="1" x14ac:dyDescent="0.55000000000000004">
      <c r="A239" s="17"/>
      <c r="B239"/>
      <c r="C239"/>
      <c r="D239"/>
      <c r="E239"/>
      <c r="F239" s="49">
        <v>44440</v>
      </c>
      <c r="G239" s="92">
        <v>138.86000000000001</v>
      </c>
      <c r="H239"/>
      <c r="I239"/>
      <c r="J239"/>
      <c r="K239"/>
      <c r="L239"/>
      <c r="M239"/>
      <c r="N239"/>
      <c r="O239" s="58" t="e">
        <v>#N/A</v>
      </c>
      <c r="P239" s="53"/>
      <c r="Q239" s="53" t="e">
        <v>#N/A</v>
      </c>
      <c r="R239" s="15" t="e">
        <v>#N/A</v>
      </c>
      <c r="S239" s="15"/>
      <c r="T239" s="15"/>
      <c r="U239" s="15"/>
      <c r="V239" s="15"/>
      <c r="W239" s="15"/>
      <c r="X239" s="15"/>
      <c r="Y239" s="15"/>
      <c r="Z239" s="15"/>
    </row>
    <row r="240" spans="1:26" s="21" customFormat="1" x14ac:dyDescent="0.55000000000000004">
      <c r="A240" s="17"/>
      <c r="B240"/>
      <c r="C240"/>
      <c r="D240"/>
      <c r="E240"/>
      <c r="F240" s="49">
        <v>44470</v>
      </c>
      <c r="G240" s="92">
        <v>139.62</v>
      </c>
      <c r="H240"/>
      <c r="I240"/>
      <c r="J240"/>
      <c r="K240"/>
      <c r="L240"/>
      <c r="M240"/>
      <c r="N240"/>
      <c r="O240" s="58" t="e">
        <v>#N/A</v>
      </c>
      <c r="P240" s="53"/>
      <c r="Q240" s="53" t="e">
        <v>#N/A</v>
      </c>
      <c r="R240" s="15" t="e">
        <v>#N/A</v>
      </c>
      <c r="S240" s="15"/>
      <c r="T240" s="15"/>
      <c r="U240" s="15"/>
      <c r="V240" s="15"/>
      <c r="W240" s="15"/>
      <c r="X240" s="15"/>
      <c r="Y240" s="15"/>
      <c r="Z240" s="15"/>
    </row>
    <row r="241" spans="1:26" s="21" customFormat="1" x14ac:dyDescent="0.55000000000000004">
      <c r="A241" s="17"/>
      <c r="B241"/>
      <c r="C241"/>
      <c r="D241"/>
      <c r="E241"/>
      <c r="F241" s="49">
        <v>44501</v>
      </c>
      <c r="G241" s="92">
        <v>141.05000000000001</v>
      </c>
      <c r="H241"/>
      <c r="I241"/>
      <c r="J241"/>
      <c r="K241"/>
      <c r="L241"/>
      <c r="M241"/>
      <c r="N241"/>
      <c r="O241" s="58" t="e">
        <v>#N/A</v>
      </c>
      <c r="P241" s="53"/>
      <c r="Q241" s="53" t="e">
        <v>#N/A</v>
      </c>
      <c r="R241" s="15" t="e">
        <v>#N/A</v>
      </c>
      <c r="S241" s="15"/>
      <c r="T241" s="15"/>
      <c r="U241" s="15"/>
      <c r="V241" s="15"/>
      <c r="W241" s="15"/>
      <c r="X241" s="15"/>
      <c r="Y241" s="15"/>
      <c r="Z241" s="15"/>
    </row>
    <row r="242" spans="1:26" s="21" customFormat="1" x14ac:dyDescent="0.55000000000000004">
      <c r="A242" s="17"/>
      <c r="B242"/>
      <c r="C242"/>
      <c r="D242"/>
      <c r="E242"/>
      <c r="F242" s="49">
        <v>44531</v>
      </c>
      <c r="G242" s="92">
        <v>141.22</v>
      </c>
      <c r="H242"/>
      <c r="I242"/>
      <c r="J242"/>
      <c r="K242"/>
      <c r="L242"/>
      <c r="M242"/>
      <c r="N242"/>
      <c r="O242" s="58" t="e">
        <v>#N/A</v>
      </c>
      <c r="P242" s="53"/>
      <c r="Q242" s="53" t="e">
        <v>#N/A</v>
      </c>
      <c r="R242" s="15" t="e">
        <v>#N/A</v>
      </c>
      <c r="S242" s="15"/>
      <c r="T242" s="15"/>
      <c r="U242" s="15"/>
      <c r="V242" s="15"/>
      <c r="W242" s="15"/>
      <c r="X242" s="15"/>
      <c r="Y242" s="15"/>
      <c r="Z242" s="15"/>
    </row>
    <row r="243" spans="1:26" s="21" customFormat="1" x14ac:dyDescent="0.55000000000000004">
      <c r="A243" s="17"/>
      <c r="B243"/>
      <c r="C243"/>
      <c r="D243"/>
      <c r="E243"/>
      <c r="F243" s="49">
        <v>44562</v>
      </c>
      <c r="G243" s="92">
        <v>140.26</v>
      </c>
      <c r="H243"/>
      <c r="I243"/>
      <c r="J243"/>
      <c r="K243"/>
      <c r="L243"/>
      <c r="M243"/>
      <c r="N243"/>
      <c r="O243" s="58" t="e">
        <v>#N/A</v>
      </c>
      <c r="P243" s="53"/>
      <c r="Q243" s="53" t="e">
        <v>#N/A</v>
      </c>
      <c r="R243" s="15" t="e">
        <v>#N/A</v>
      </c>
      <c r="S243" s="15"/>
      <c r="T243" s="15"/>
      <c r="U243" s="15"/>
      <c r="V243" s="15"/>
      <c r="W243" s="15"/>
      <c r="X243" s="15"/>
      <c r="Y243" s="15"/>
      <c r="Z243" s="15"/>
    </row>
    <row r="244" spans="1:26" s="21" customFormat="1" x14ac:dyDescent="0.55000000000000004">
      <c r="A244" s="17"/>
      <c r="B244"/>
      <c r="C244"/>
      <c r="D244"/>
      <c r="E244"/>
      <c r="F244" s="49">
        <v>44593</v>
      </c>
      <c r="G244" s="92">
        <v>140.82</v>
      </c>
      <c r="H244"/>
      <c r="I244"/>
      <c r="J244"/>
      <c r="K244"/>
      <c r="L244"/>
      <c r="M244"/>
      <c r="N244"/>
      <c r="O244" s="58" t="e">
        <v>#N/A</v>
      </c>
      <c r="P244" s="53"/>
      <c r="Q244" s="53" t="e">
        <v>#N/A</v>
      </c>
      <c r="R244" s="15" t="e">
        <v>#N/A</v>
      </c>
      <c r="S244" s="15"/>
      <c r="T244" s="15"/>
      <c r="U244" s="15"/>
      <c r="V244" s="15"/>
      <c r="W244" s="15"/>
      <c r="X244" s="15"/>
      <c r="Y244" s="15"/>
      <c r="Z244" s="15"/>
    </row>
    <row r="245" spans="1:26" x14ac:dyDescent="0.55000000000000004">
      <c r="F245" s="49">
        <v>44621</v>
      </c>
      <c r="G245" s="92">
        <v>141.94</v>
      </c>
      <c r="O245" s="15" t="e">
        <v>#N/A</v>
      </c>
      <c r="Q245" s="15" t="e">
        <v>#N/A</v>
      </c>
      <c r="R245" s="15" t="e">
        <v>#N/A</v>
      </c>
    </row>
    <row r="246" spans="1:26" x14ac:dyDescent="0.55000000000000004">
      <c r="F246" s="49">
        <v>44652</v>
      </c>
      <c r="G246" s="92">
        <v>142.19</v>
      </c>
      <c r="O246" s="15" t="e">
        <v>#N/A</v>
      </c>
      <c r="Q246" s="15" t="e">
        <v>#N/A</v>
      </c>
      <c r="R246" s="15" t="e">
        <v>#N/A</v>
      </c>
    </row>
    <row r="247" spans="1:26" x14ac:dyDescent="0.55000000000000004">
      <c r="F247" s="49">
        <v>44682</v>
      </c>
      <c r="G247" s="92">
        <v>142.15</v>
      </c>
      <c r="O247" s="15" t="e">
        <v>#N/A</v>
      </c>
      <c r="Q247" s="15" t="e">
        <v>#N/A</v>
      </c>
      <c r="R247" s="15" t="e">
        <v>#N/A</v>
      </c>
    </row>
    <row r="248" spans="1:26" x14ac:dyDescent="0.55000000000000004">
      <c r="F248" s="49">
        <v>44713</v>
      </c>
      <c r="G248" s="92">
        <v>142.88999999999999</v>
      </c>
      <c r="O248" s="15" t="e">
        <v>#N/A</v>
      </c>
      <c r="Q248" s="15" t="e">
        <v>#N/A</v>
      </c>
      <c r="R248" s="15" t="e">
        <v>#N/A</v>
      </c>
    </row>
    <row r="249" spans="1:26" x14ac:dyDescent="0.55000000000000004">
      <c r="F249" s="49">
        <v>44743</v>
      </c>
      <c r="G249" s="92">
        <v>145.41999999999999</v>
      </c>
      <c r="O249" s="15" t="e">
        <v>#N/A</v>
      </c>
      <c r="Q249" s="15" t="e">
        <v>#N/A</v>
      </c>
      <c r="R249" s="15" t="e">
        <v>#N/A</v>
      </c>
    </row>
    <row r="250" spans="1:26" x14ac:dyDescent="0.55000000000000004">
      <c r="F250" s="49">
        <v>44774</v>
      </c>
      <c r="G250" s="92">
        <v>144.47999999999999</v>
      </c>
      <c r="O250" s="15" t="e">
        <v>#N/A</v>
      </c>
      <c r="Q250" s="15" t="e">
        <v>#N/A</v>
      </c>
      <c r="R250" s="15" t="e">
        <v>#N/A</v>
      </c>
    </row>
    <row r="251" spans="1:26" x14ac:dyDescent="0.55000000000000004">
      <c r="F251" s="49">
        <v>44805</v>
      </c>
      <c r="G251" s="92">
        <v>144.49</v>
      </c>
      <c r="O251" s="15" t="e">
        <v>#N/A</v>
      </c>
      <c r="Q251" s="15" t="e">
        <v>#N/A</v>
      </c>
      <c r="R251" s="15" t="e">
        <v>#N/A</v>
      </c>
    </row>
    <row r="252" spans="1:26" x14ac:dyDescent="0.55000000000000004">
      <c r="F252" s="49">
        <v>44835</v>
      </c>
      <c r="G252" s="92">
        <v>144.68</v>
      </c>
      <c r="O252" s="15" t="e">
        <v>#N/A</v>
      </c>
      <c r="Q252" s="15" t="e">
        <v>#N/A</v>
      </c>
      <c r="R252" s="15" t="e">
        <v>#N/A</v>
      </c>
    </row>
    <row r="253" spans="1:26" x14ac:dyDescent="0.55000000000000004">
      <c r="F253" s="49">
        <v>44866</v>
      </c>
      <c r="G253" s="92">
        <v>142.74</v>
      </c>
      <c r="O253" s="15" t="e">
        <v>#N/A</v>
      </c>
      <c r="Q253" s="15" t="e">
        <v>#N/A</v>
      </c>
      <c r="R253" s="15" t="e">
        <v>#N/A</v>
      </c>
    </row>
    <row r="254" spans="1:26" x14ac:dyDescent="0.55000000000000004">
      <c r="F254" s="49">
        <v>44896</v>
      </c>
      <c r="G254" s="92">
        <v>142.30000000000001</v>
      </c>
      <c r="O254" s="15" t="e">
        <v>#N/A</v>
      </c>
      <c r="Q254" s="15" t="e">
        <v>#N/A</v>
      </c>
      <c r="R254" s="15" t="e">
        <v>#N/A</v>
      </c>
    </row>
    <row r="255" spans="1:26" x14ac:dyDescent="0.55000000000000004">
      <c r="F255" s="49">
        <v>44927</v>
      </c>
      <c r="G255" s="92">
        <v>143.47999999999999</v>
      </c>
      <c r="O255" s="15" t="e">
        <v>#N/A</v>
      </c>
      <c r="Q255" s="15" t="e">
        <v>#N/A</v>
      </c>
      <c r="R255" s="15" t="e">
        <v>#N/A</v>
      </c>
    </row>
    <row r="256" spans="1:26" x14ac:dyDescent="0.55000000000000004">
      <c r="F256" s="49">
        <v>44958</v>
      </c>
      <c r="G256" s="92">
        <v>147.52000000000001</v>
      </c>
      <c r="O256" s="15" t="e">
        <v>#N/A</v>
      </c>
      <c r="Q256" s="15" t="e">
        <v>#N/A</v>
      </c>
      <c r="R256" s="15" t="e">
        <v>#N/A</v>
      </c>
    </row>
    <row r="257" spans="1:18" x14ac:dyDescent="0.55000000000000004">
      <c r="F257" s="49">
        <v>44986</v>
      </c>
      <c r="G257" s="92">
        <v>147.02000000000001</v>
      </c>
      <c r="O257" s="15" t="e">
        <v>#N/A</v>
      </c>
      <c r="Q257" s="15" t="e">
        <v>#N/A</v>
      </c>
      <c r="R257" s="15" t="e">
        <v>#N/A</v>
      </c>
    </row>
    <row r="258" spans="1:18" x14ac:dyDescent="0.55000000000000004">
      <c r="F258" s="49">
        <v>45017</v>
      </c>
      <c r="G258" s="92">
        <v>148.88</v>
      </c>
      <c r="O258" s="15" t="e">
        <v>#N/A</v>
      </c>
      <c r="Q258" s="15" t="e">
        <v>#N/A</v>
      </c>
      <c r="R258" s="15" t="e">
        <v>#N/A</v>
      </c>
    </row>
    <row r="259" spans="1:18" s="15" customFormat="1" x14ac:dyDescent="0.55000000000000004">
      <c r="A259" s="17"/>
      <c r="B259"/>
      <c r="C259"/>
      <c r="D259"/>
      <c r="E259"/>
      <c r="F259" s="49">
        <v>45047</v>
      </c>
      <c r="G259" s="92">
        <v>146.16</v>
      </c>
      <c r="H259"/>
      <c r="I259"/>
      <c r="J259"/>
      <c r="K259"/>
      <c r="L259"/>
      <c r="M259"/>
      <c r="N259"/>
      <c r="O259" s="15" t="e">
        <v>#N/A</v>
      </c>
      <c r="Q259" s="15" t="e">
        <v>#N/A</v>
      </c>
      <c r="R259" s="15" t="e">
        <v>#N/A</v>
      </c>
    </row>
    <row r="260" spans="1:18" s="15" customFormat="1" x14ac:dyDescent="0.55000000000000004">
      <c r="A260" s="17"/>
      <c r="B260"/>
      <c r="C260"/>
      <c r="D260"/>
      <c r="E260"/>
      <c r="F260" s="49">
        <v>45078</v>
      </c>
      <c r="G260" s="92">
        <v>146.55000000000001</v>
      </c>
      <c r="H260"/>
      <c r="I260"/>
      <c r="J260"/>
      <c r="K260"/>
      <c r="L260"/>
      <c r="M260"/>
      <c r="N260"/>
      <c r="O260" s="15" t="e">
        <v>#N/A</v>
      </c>
      <c r="Q260" s="15" t="e">
        <v>#N/A</v>
      </c>
      <c r="R260" s="15" t="e">
        <v>#N/A</v>
      </c>
    </row>
    <row r="261" spans="1:18" s="15" customFormat="1" x14ac:dyDescent="0.55000000000000004">
      <c r="A261" s="17"/>
      <c r="B261"/>
      <c r="C261"/>
      <c r="D261"/>
      <c r="E261"/>
      <c r="F261" s="49">
        <v>45108</v>
      </c>
      <c r="G261" s="92">
        <v>146.97999999999999</v>
      </c>
      <c r="H261"/>
      <c r="I261"/>
      <c r="J261"/>
      <c r="K261"/>
      <c r="L261"/>
      <c r="M261"/>
      <c r="N261"/>
      <c r="O261" s="15" t="e">
        <v>#N/A</v>
      </c>
      <c r="Q261" s="15" t="e">
        <v>#N/A</v>
      </c>
      <c r="R261" s="15" t="e">
        <v>#N/A</v>
      </c>
    </row>
    <row r="262" spans="1:18" s="15" customFormat="1" x14ac:dyDescent="0.55000000000000004">
      <c r="A262" s="17"/>
      <c r="B262"/>
      <c r="C262"/>
      <c r="D262"/>
      <c r="E262"/>
      <c r="F262" s="49">
        <v>45139</v>
      </c>
      <c r="G262" s="92">
        <v>146.13999999999999</v>
      </c>
      <c r="H262"/>
      <c r="I262"/>
      <c r="J262"/>
      <c r="K262"/>
      <c r="L262"/>
      <c r="M262"/>
      <c r="N262"/>
      <c r="O262" s="15" t="e">
        <v>#N/A</v>
      </c>
      <c r="Q262" s="15" t="e">
        <v>#N/A</v>
      </c>
      <c r="R262" s="15" t="e">
        <v>#N/A</v>
      </c>
    </row>
    <row r="263" spans="1:18" s="15" customFormat="1" x14ac:dyDescent="0.55000000000000004">
      <c r="A263" s="17"/>
      <c r="B263"/>
      <c r="C263"/>
      <c r="D263"/>
      <c r="E263"/>
      <c r="F263" s="49">
        <v>45170</v>
      </c>
      <c r="G263" s="92">
        <v>146.19</v>
      </c>
      <c r="H263"/>
      <c r="I263"/>
      <c r="J263"/>
      <c r="K263"/>
      <c r="L263"/>
      <c r="M263"/>
      <c r="N263"/>
      <c r="O263" s="15" t="e">
        <v>#N/A</v>
      </c>
      <c r="Q263" s="15" t="e">
        <v>#N/A</v>
      </c>
      <c r="R263" s="15" t="e">
        <v>#N/A</v>
      </c>
    </row>
    <row r="264" spans="1:18" s="15" customFormat="1" x14ac:dyDescent="0.55000000000000004">
      <c r="A264" s="17"/>
      <c r="B264"/>
      <c r="C264"/>
      <c r="D264"/>
      <c r="E264"/>
      <c r="F264" s="49">
        <v>45200</v>
      </c>
      <c r="G264" s="92">
        <v>146.26</v>
      </c>
      <c r="H264"/>
      <c r="I264"/>
      <c r="J264"/>
      <c r="K264"/>
      <c r="L264"/>
      <c r="M264"/>
      <c r="N264"/>
      <c r="O264" s="15" t="e">
        <v>#N/A</v>
      </c>
      <c r="Q264" s="15" t="e">
        <v>#N/A</v>
      </c>
      <c r="R264" s="15" t="e">
        <v>#N/A</v>
      </c>
    </row>
    <row r="265" spans="1:18" s="15" customFormat="1" x14ac:dyDescent="0.55000000000000004">
      <c r="A265" s="17"/>
      <c r="B265"/>
      <c r="C265"/>
      <c r="D265"/>
      <c r="E265"/>
      <c r="F265" s="49">
        <v>45231</v>
      </c>
      <c r="G265" s="92">
        <v>146.41</v>
      </c>
      <c r="H265"/>
      <c r="I265"/>
      <c r="J265"/>
      <c r="K265"/>
      <c r="L265"/>
      <c r="M265"/>
      <c r="N265"/>
      <c r="O265" s="15" t="e">
        <v>#N/A</v>
      </c>
      <c r="Q265" s="15" t="e">
        <v>#N/A</v>
      </c>
      <c r="R265" s="15" t="e">
        <v>#N/A</v>
      </c>
    </row>
    <row r="266" spans="1:18" s="15" customFormat="1" x14ac:dyDescent="0.55000000000000004">
      <c r="A266" s="17"/>
      <c r="B266"/>
      <c r="C266"/>
      <c r="D266"/>
      <c r="E266"/>
      <c r="F266" s="49">
        <v>45261</v>
      </c>
      <c r="G266" s="92">
        <v>147.61000000000001</v>
      </c>
      <c r="H266"/>
      <c r="I266"/>
      <c r="J266"/>
      <c r="K266"/>
      <c r="L266"/>
      <c r="M266"/>
      <c r="N266"/>
      <c r="O266" s="15" t="e">
        <v>#N/A</v>
      </c>
      <c r="Q266" s="15" t="e">
        <v>#N/A</v>
      </c>
      <c r="R266" s="15" t="e">
        <v>#N/A</v>
      </c>
    </row>
    <row r="267" spans="1:18" s="15" customFormat="1" x14ac:dyDescent="0.55000000000000004">
      <c r="A267" s="17"/>
      <c r="B267"/>
      <c r="C267"/>
      <c r="D267"/>
      <c r="E267"/>
      <c r="F267" s="49">
        <v>45292</v>
      </c>
      <c r="G267" s="92">
        <v>148.5</v>
      </c>
      <c r="H267"/>
      <c r="I267"/>
      <c r="J267"/>
      <c r="K267"/>
      <c r="L267"/>
      <c r="M267"/>
      <c r="N267"/>
      <c r="O267" s="15" t="e">
        <v>#N/A</v>
      </c>
      <c r="Q267" s="15" t="e">
        <v>#N/A</v>
      </c>
      <c r="R267" s="15" t="e">
        <v>#N/A</v>
      </c>
    </row>
  </sheetData>
  <mergeCells count="2">
    <mergeCell ref="A4:J4"/>
    <mergeCell ref="D18:D19"/>
  </mergeCells>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CD0D9-F433-45B6-A049-09B58A9F3A0F}">
  <sheetPr codeName="Planilha98">
    <tabColor theme="9" tint="0.59999389629810485"/>
  </sheetPr>
  <dimension ref="A1:AA269"/>
  <sheetViews>
    <sheetView showGridLines="0" zoomScaleNormal="100" workbookViewId="0">
      <selection activeCell="P17" sqref="P17"/>
    </sheetView>
  </sheetViews>
  <sheetFormatPr defaultColWidth="8.796875" defaultRowHeight="18" x14ac:dyDescent="0.55000000000000004"/>
  <cols>
    <col min="1" max="1" width="15.33203125" style="17" customWidth="1"/>
    <col min="2" max="2" width="61.1328125" customWidth="1"/>
    <col min="4" max="4" width="44.33203125" bestFit="1" customWidth="1"/>
    <col min="5" max="5" width="4.6640625" customWidth="1"/>
    <col min="6" max="7" width="7.1328125" bestFit="1" customWidth="1"/>
    <col min="8" max="8" width="10.6640625" bestFit="1" customWidth="1"/>
    <col min="9" max="9" width="12.33203125" bestFit="1" customWidth="1"/>
    <col min="10" max="11" width="11" bestFit="1" customWidth="1"/>
    <col min="12" max="14" width="13.33203125" customWidth="1"/>
    <col min="15" max="15" width="4.33203125" customWidth="1"/>
    <col min="16" max="16" width="12.1328125" style="15" customWidth="1"/>
    <col min="17" max="18" width="9" style="15" customWidth="1"/>
    <col min="19" max="27" width="8.796875" style="15"/>
  </cols>
  <sheetData>
    <row r="1" spans="1:27" x14ac:dyDescent="0.55000000000000004">
      <c r="A1" s="83" t="s">
        <v>1156</v>
      </c>
      <c r="P1" s="14"/>
      <c r="Q1" s="14"/>
      <c r="R1" s="14"/>
      <c r="S1" s="14"/>
      <c r="T1" s="14"/>
      <c r="U1" s="14"/>
      <c r="V1" s="14"/>
      <c r="W1" s="14"/>
      <c r="X1" s="14"/>
      <c r="Y1" s="14"/>
      <c r="Z1" s="14"/>
      <c r="AA1" s="14"/>
    </row>
    <row r="2" spans="1:27" x14ac:dyDescent="0.55000000000000004">
      <c r="A2" s="17" t="s">
        <v>1157</v>
      </c>
      <c r="P2" s="14"/>
      <c r="Q2" s="14"/>
      <c r="R2" s="14"/>
      <c r="S2" s="14"/>
      <c r="T2" s="14"/>
      <c r="U2" s="14"/>
      <c r="V2" s="14"/>
      <c r="W2" s="14"/>
      <c r="X2" s="14"/>
      <c r="Y2" s="14"/>
      <c r="Z2" s="14"/>
      <c r="AA2" s="14"/>
    </row>
    <row r="3" spans="1:27" x14ac:dyDescent="0.55000000000000004">
      <c r="P3" s="14"/>
      <c r="Q3" s="14"/>
      <c r="R3" s="14"/>
      <c r="S3" s="14"/>
      <c r="T3" s="14"/>
      <c r="U3" s="14"/>
      <c r="V3" s="14"/>
      <c r="W3" s="14"/>
      <c r="X3" s="14"/>
      <c r="Y3" s="14"/>
      <c r="Z3" s="14"/>
      <c r="AA3" s="14"/>
    </row>
    <row r="4" spans="1:27" ht="41.25" customHeight="1" x14ac:dyDescent="0.45">
      <c r="A4" s="172" t="s">
        <v>1158</v>
      </c>
      <c r="B4" s="172"/>
      <c r="C4" s="172"/>
      <c r="D4" s="172"/>
      <c r="E4" s="172"/>
      <c r="F4" s="172"/>
      <c r="G4" s="172"/>
      <c r="H4" s="172"/>
      <c r="I4" s="172"/>
      <c r="J4" s="172"/>
      <c r="K4" s="126"/>
      <c r="L4" s="126"/>
      <c r="M4" s="126"/>
      <c r="N4" s="126"/>
      <c r="P4" s="14"/>
      <c r="Q4" s="14"/>
      <c r="R4" s="14"/>
      <c r="S4" s="14"/>
      <c r="T4" s="14"/>
      <c r="U4" s="14"/>
      <c r="V4" s="14"/>
      <c r="W4" s="14"/>
      <c r="X4" s="14"/>
      <c r="Y4" s="14"/>
      <c r="Z4" s="14"/>
      <c r="AA4" s="14"/>
    </row>
    <row r="6" spans="1:27" ht="15.75" x14ac:dyDescent="0.5">
      <c r="A6" s="2" t="s">
        <v>15</v>
      </c>
      <c r="B6" s="2" t="s">
        <v>16</v>
      </c>
    </row>
    <row r="7" spans="1:27" ht="15.75" x14ac:dyDescent="0.45">
      <c r="A7" s="23" t="s">
        <v>165</v>
      </c>
      <c r="B7" s="26" t="s">
        <v>498</v>
      </c>
    </row>
    <row r="8" spans="1:27" ht="15.75" customHeight="1" x14ac:dyDescent="0.45">
      <c r="A8" s="23" t="s">
        <v>1132</v>
      </c>
      <c r="B8" s="26" t="s">
        <v>1105</v>
      </c>
    </row>
    <row r="9" spans="1:27" ht="47.25" x14ac:dyDescent="0.45">
      <c r="A9" s="23" t="s">
        <v>1109</v>
      </c>
      <c r="B9" s="26" t="s">
        <v>1113</v>
      </c>
    </row>
    <row r="10" spans="1:27" ht="47.25" x14ac:dyDescent="0.45">
      <c r="A10" s="23" t="s">
        <v>1110</v>
      </c>
      <c r="B10" s="26" t="s">
        <v>1111</v>
      </c>
    </row>
    <row r="11" spans="1:27" ht="78.75" x14ac:dyDescent="0.45">
      <c r="A11" s="23" t="s">
        <v>1097</v>
      </c>
      <c r="B11" s="26" t="s">
        <v>1159</v>
      </c>
    </row>
    <row r="12" spans="1:27" ht="47.25" x14ac:dyDescent="0.45">
      <c r="A12" s="23" t="s">
        <v>1131</v>
      </c>
      <c r="B12" s="26" t="s">
        <v>1160</v>
      </c>
    </row>
    <row r="13" spans="1:27" ht="31.5" x14ac:dyDescent="0.45">
      <c r="A13" s="23" t="s">
        <v>1161</v>
      </c>
      <c r="B13" s="26" t="s">
        <v>1162</v>
      </c>
    </row>
    <row r="14" spans="1:27" ht="67.5" customHeight="1" x14ac:dyDescent="0.45">
      <c r="A14" s="23" t="s">
        <v>1163</v>
      </c>
      <c r="B14" s="26" t="s">
        <v>1210</v>
      </c>
    </row>
    <row r="15" spans="1:27" ht="15.75" x14ac:dyDescent="0.5">
      <c r="A15" s="23"/>
      <c r="B15" s="24"/>
      <c r="P15" s="50"/>
    </row>
    <row r="16" spans="1:27" x14ac:dyDescent="0.55000000000000004">
      <c r="D16" s="1" t="s">
        <v>17</v>
      </c>
      <c r="F16" t="s">
        <v>1102</v>
      </c>
      <c r="G16" s="13" t="s">
        <v>165</v>
      </c>
      <c r="H16" s="13" t="s">
        <v>197</v>
      </c>
      <c r="I16" s="13" t="s">
        <v>1109</v>
      </c>
      <c r="J16" s="13" t="s">
        <v>1110</v>
      </c>
      <c r="K16" s="13" t="s">
        <v>1097</v>
      </c>
      <c r="L16" s="13" t="s">
        <v>1161</v>
      </c>
      <c r="M16" s="13" t="s">
        <v>1163</v>
      </c>
      <c r="N16" s="13" t="s">
        <v>1131</v>
      </c>
      <c r="P16" s="58" t="s">
        <v>192</v>
      </c>
      <c r="R16" s="15" t="s">
        <v>201</v>
      </c>
      <c r="S16" s="15" t="s">
        <v>202</v>
      </c>
    </row>
    <row r="17" spans="1:27" x14ac:dyDescent="0.55000000000000004">
      <c r="D17" t="s">
        <v>195</v>
      </c>
      <c r="F17" s="49">
        <v>37622</v>
      </c>
      <c r="G17" s="92">
        <v>100.42</v>
      </c>
      <c r="H17" s="54" t="s">
        <v>199</v>
      </c>
      <c r="I17" s="54">
        <v>18</v>
      </c>
      <c r="J17" s="54">
        <v>96</v>
      </c>
      <c r="K17" s="54">
        <v>36</v>
      </c>
      <c r="L17" s="140" t="b">
        <v>1</v>
      </c>
      <c r="M17" s="140" t="b">
        <v>1</v>
      </c>
      <c r="N17" s="140" t="s">
        <v>1271</v>
      </c>
      <c r="P17" s="151" cm="1">
        <f t="array" ref="P17:P269">_xlfn.LAMBDA(_xlpm.values,_xlop.trendCycle,_xlop.lowerCutoff,_xlop.upperCutoff,_xlop.lagLength,_xlop.root,_xlop.drift,_xlop.filterType, _xlfn.LET(_xlpm.y, VEC(_xlpm.values), _xlpm.t, ROWS(_xlpm.y), _xlpm.trendCycle, IF(OR(_xlfn.ISOMITTED(_xlpm.trendCycle), ISBLANK(_xlpm.trendCycle)), "t", LOWER(_xlpm.trendCycle)), _xlpm.lowerCutoff, IF(OR(_xlfn.ISOMITTED(_xlpm.lowerCutoff), ISBLANK(_xlpm.lowerCutoff)), 6, _xlpm.lowerCutoff), _xlpm.upperCutoff, IF(OR(_xlfn.ISOMITTED(_xlpm.upperCutoff), ISBLANK(_xlpm.upperCutoff)), 32, _xlpm.upperCutoff), _xlpm.lagLength, IF(OR(_xlfn.ISOMITTED(_xlpm.lagLength), ISBLANK(_xlpm.lagLength)), 12, _xlpm.lagLength), _xlpm.root, IF(OR(_xlfn.ISOMITTED(_xlpm.root), ISBLANK(_xlpm.root)), TRUE, _xlpm.root), _xlpm.drift, IF(OR(_xlfn.ISOMITTED(_xlpm.drift), ISBLANK(_xlpm.drift)), TRUE, _xlpm.drift), _xlpm.filterType, IF(OR(_xlfn.ISOMITTED(_xlpm.filterType), ISBLANK(_xlpm.filterType)), "asymmetric", _xlpm.filterType), _xlpm.f_undrift, _xlfn.LAMBDA(_xlpm.x, _xlpm.x - _xlfn.SEQUENCE(_xlpm.t, 1, 0) * (INDEX(_xlpm.x, _xlpm.t) - INDEX(_xlpm.x, 1)) / (_xlpm.t - 1)), _xlpm.yDrift, IF(_xlpm.drift, _xlpm.f_undrift(_xlpm.y), _xlpm.y), _xlpm.nfix, _xlpm.lagLength, _xlpm.a, 2 * PI() / _xlpm.upperCutoff, _xlpm.B, 2 * PI() / _xlpm.lowerCutoff, _xlpm.j, _xlfn.SEQUENCE(2 * _xlpm.t), _xlpm.BB, _xlfn.VSTACK((_xlpm.B - _xlpm.a) / PI(), (SIN(_xlpm.j * _xlpm.B) - SIN(_xlpm.j * _xlpm.a)) / (_xlpm.j * PI())), _xlpm.zeroLine, ZEROS(1, _xlpm.t), _xlpm.g, 1, _xlpm.cc, INDEX(_xlpm.g, 1), _xlpm.R_0, INDEX(_xlpm.BB, 1) * INDEX(_xlpm.cc, 1), _xlpm.r, _xlfn.SCAN(0, _xlfn.SEQUENCE(_xlpm.t), _xlfn.LAMBDA(_xlpm.accum,_xlpm.j, IF(_xlpm.j = 1, PI() * INDEX(_xlpm.BB, 1) * INDEX(_xlpm.cc, 1), _xlpm.accum - 2 * PI() * INDEX(_xlpm.BB, _xlpm.j - 1) * INDEX(_xlpm.cc, 1)))), _xlpm.filtAsymmCycle, IF(_xlpm.filterType &lt;&gt; "asymmetric", NA(), _xlfn.LET(_xlpm.AA_1, _xlfn.REDUCE(0, _xlfn.SEQUENCE(_xlpm.t), _xlfn.LAMBDA(_xlpm.accum,_xlpm.i, _xlfn.LET(_xlpm.beforeRoot, IF(_xlpm.i = 1, TRANSPOSE(INDEX(_xlpm.BB, _xlfn.SEQUENCE(_xlpm.t - _xlpm.i + 1), 0)), _xlfn.HSTACK(ZEROS(1, _xlpm.i - 1), TRANSPOSE(INDEX(_xlpm.BB, _xlfn.SEQUENCE(_xlpm.t - _xlpm.i + 1), 0)))), _xlpm.afterRoot, IF(_xlpm.root = FALSE, _xlpm.beforeRoot, SLICE(_xlpm.beforeRoot, _xlpm.i, _xlpm.i, _xlpm.t, _xlpm.t, INDEX(_xlpm.r, _xlpm.t + 1 - _xlpm.i) / (2 * PI()))), IF(_xlpm.i = 1, _xlpm.afterRoot, _xlfn.VSTACK(_xlpm.accum, _xlpm.afterRoot))))), _xlpm.AA_2, SLICE(_xlpm.AA_1, 1, 1, 1, 1, INDEX(_xlpm.AA_1, _xlpm.t, _xlpm.t)), _xlpm.AA_3, _xlpm.AA_2 + FLIPUD(FLIPLR(TRIU(_xlpm.AA_2, 1))), _xlpm.cycle, _xlfn.CHOOSEROWS(MMULT(_xlpm.AA_3, _xlpm.yDrift), _xlfn.SEQUENCE(_xlpm.t, 1, 1)), _xlpm.cycle)), _xlpm.filtSymmCycle, IF(_xlpm.filterType &lt;&gt; "symmetric", NA(), _xlfn.LET(_xlpm.AA_1, _xlfn.REDUCE(_xlpm.zeroLine, _xlfn.SEQUENCE(ROUNDUP(_xlpm.t / 2, 0) - 2 + 1, 1, 2), _xlfn.LAMBDA(_xlpm.accum,_xlpm.i, _xlfn.LET(_xlpm.AAA_1, SLICE(_xlpm.zeroLine, 1, 1, _xlpm.i, _xlpm.i + _xlpm.i - 1, TRANSPOSE(INDEX(_xlpm.BB, _xlfn.SEQUENCE(_xlpm.i), 0))), _xlpm.AAA_2, IF(_xlpm.root = FALSE, _xlpm.AAA_1, SLICE(_xlpm.AAA_1, 1, 1, _xlpm.i + _xlpm.i - 1, _xlpm.i + _xlpm.i - 1, INDEX(_xlpm.r, _xlpm.i - 1 + 1) / (2 * PI()))), _xlpm.AAA_3, SLICE(_xlpm.AAA_2, 1, 1, 1, _xlpm.i - 1, FLIPLR(INDEX(_xlpm.AAA_2, 1, _xlfn.SEQUENCE(1, _xlpm.i + _xlpm.i - 1 - _xlpm.i - 1 + 1, _xlpm.i + 1)))), _xlfn.VSTACK(_xlpm.accum, _xlpm.AAA_3)))), _xlpm.AA_2, _xlfn.VSTACK(_xlpm.AA_1, ZEROS(_xlpm.t - (ROUNDUP(_xlpm.t / 2, 0) - 2 + 1) + 1, _xlpm.t)), _xlpm.AA_3, SLICE(_xlpm.AA_2, ROUNDUP(_xlpm.t / 2, 0) + 1, _xlpm.t, 0, 0, FLIPUD(FLIPLR(SLICE(_xlpm.AA_2, 1, ROUNDDOWN(_xlpm.t / 2, 0), 0, 0)))), _xlpm.cycle, MMULT(_xlpm.AA_3, _xlpm.yDrift), _xlpm.cycle)), _xlpm.filtFixedCycle, IF(_xlpm.filterType &lt;&gt; "fixed", NA(), _xlfn.LET(_xlpm.BBB_0, ZEROS(2 * _xlpm.nfix + 1, 1), _xlpm.BBB_1, SLICE(_xlpm.BBB_0, _xlpm.nfix + 1, 2 * _xlpm.nfix + 1, 0, 0, INDEX(_xlpm.BB, _xlfn.SEQUENCE(_xlpm.nfix + 1))), _xlpm.BBB_2, SLICE(_xlpm.BBB_1, 1, _xlpm.nfix, 0, 0, FLIPUD(INDEX(_xlpm.BB, _xlfn.SEQUENCE(_xlpm.nfix + 1 - 1, 1, 2)))), _xlpm.BBB_3, IF(_xlpm.root = FALSE, _xlpm.BBB_2, SLICE(_xlpm.BBB_2, 2 * _xlpm.nfix + 1, 2 * _xlpm.nfix + 1, 0, 0, INDEX(_xlpm.r, _xlpm.nfix + 1) / (2 * PI()))), _xlpm.BBB_4, IF(_xlpm.root = FALSE, _xlpm.BBB_3, SLICE(_xlpm.BBB_3, 1, 1, 0, 0, INDEX(_xlpm.r, _xlpm.nfix + 1) / (2 * PI()))), _xlpm.AA_1, _xlfn.REDUCE(ZEROS(_xlpm.nfix, _xlpm.t), _xlfn.SEQUENCE(_xlpm.t - _xlpm.nfix - _xlpm.nfix - 1 + 1, 1, _xlpm.nfix + 1), _xlfn.LAMBDA(_xlpm.accum,_xlpm.i, _xlfn.LET(_xlpm.AAA_1, SLICE(_xlpm.zeroLine, 1, 1, _xlpm.i - _xlpm.nfix, _xlpm.i + _xlpm.nfix, TRANSPOSE(_xlpm.BBB_4)), _xlfn.VSTACK(_xlpm.accum, _xlpm.AAA_1)))), _xlpm.AAdrift, IF(_xlpm.drift = FALSE, _xlpm.AA_1, ), _xlpm.cycle, _xlfn.VSTACK(NA() * _xlfn.SEQUENCE(_xlpm.nfix), _xlfn.CHOOSEROWS(MMULT(_xlpm.AA_1, _xlpm.yDrift), _xlfn.SEQUENCE(_xlpm.t - 2 * _xlpm.nfix, 1, _xlpm.nfix + 1)), NA() * _xlfn.SEQUENCE(_xlpm.nfix)), _xlpm.cycle)), _xlpm.cycle, _xlfn.SWITCH(_xlpm.filterType, "asymmetric", _xlpm.filtAsymmCycle, "symmetric", _xlpm.filtSymmCycle, "fixed", _xlpm.filtFixedCycle), _xlpm.final, IF(_xlpm.trendCycle = "t", _xlpm.y - _xlpm.cycle, IF(_xlpm.trendCycle = "c", _xlpm.cycle, "#trendCycle must be either ""t"" or ""c""")), _xlpm.final))($G$17:$G$269, $H$17, $I$17, $J$17, $K$17, $L$17, $M$17, $N$17)</f>
        <v>-0.98864297484385344</v>
      </c>
      <c r="Q17" s="58"/>
      <c r="R17" s="53" cm="1">
        <f t="array" ref="R17:R269">CFFILTER($G$17:$G$269,"T",$I$17,$J$17,$K$17,$L$17,$M$17,$N$17)</f>
        <v>101.40864297484386</v>
      </c>
      <c r="S17" s="151" cm="1">
        <f t="array" ref="S17:S269">CFFILTER($G$17:$G$269,"C",$I$17,$J$17,$K$17,$L$17,$M$17,$N$17)</f>
        <v>-0.98864297484385344</v>
      </c>
    </row>
    <row r="18" spans="1:27" x14ac:dyDescent="0.55000000000000004">
      <c r="D18" t="s">
        <v>222</v>
      </c>
      <c r="F18" s="49">
        <v>37653</v>
      </c>
      <c r="G18" s="92">
        <v>101.99</v>
      </c>
      <c r="P18" s="151">
        <v>-1.250435588043793</v>
      </c>
      <c r="Q18" s="58"/>
      <c r="R18" s="53">
        <v>103.24043558804379</v>
      </c>
      <c r="S18" s="151">
        <v>-1.250435588043793</v>
      </c>
    </row>
    <row r="19" spans="1:27" x14ac:dyDescent="0.55000000000000004">
      <c r="F19" s="49">
        <v>37681</v>
      </c>
      <c r="G19" s="92">
        <v>101.8</v>
      </c>
      <c r="P19" s="151">
        <v>-1.5140580633628047</v>
      </c>
      <c r="Q19" s="58"/>
      <c r="R19" s="53">
        <v>103.31405806336281</v>
      </c>
      <c r="S19" s="151">
        <v>-1.5140580633628047</v>
      </c>
    </row>
    <row r="20" spans="1:27" ht="18.75" customHeight="1" x14ac:dyDescent="0.55000000000000004">
      <c r="D20" s="173"/>
      <c r="F20" s="49">
        <v>37712</v>
      </c>
      <c r="G20" s="92">
        <v>101.01</v>
      </c>
      <c r="P20" s="151">
        <v>-1.7649072261636904</v>
      </c>
      <c r="Q20" s="58"/>
      <c r="R20" s="53">
        <v>102.77490722616369</v>
      </c>
      <c r="S20" s="151">
        <v>-1.7649072261636904</v>
      </c>
    </row>
    <row r="21" spans="1:27" x14ac:dyDescent="0.55000000000000004">
      <c r="D21" s="173"/>
      <c r="F21" s="49">
        <v>37742</v>
      </c>
      <c r="G21" s="92">
        <v>99.97</v>
      </c>
      <c r="P21" s="151">
        <v>-1.9878066204678742</v>
      </c>
      <c r="Q21" s="58"/>
      <c r="R21" s="53">
        <v>101.95780662046788</v>
      </c>
      <c r="S21" s="151">
        <v>-1.9878066204678742</v>
      </c>
    </row>
    <row r="22" spans="1:27" x14ac:dyDescent="0.55000000000000004">
      <c r="D22" s="46"/>
      <c r="F22" s="49">
        <v>37773</v>
      </c>
      <c r="G22" s="92">
        <v>100.14</v>
      </c>
      <c r="P22" s="151">
        <v>-2.1680206288753059</v>
      </c>
      <c r="Q22" s="58"/>
      <c r="R22" s="53">
        <v>102.30802062887531</v>
      </c>
      <c r="S22" s="151">
        <v>-2.1680206288753059</v>
      </c>
    </row>
    <row r="23" spans="1:27" x14ac:dyDescent="0.55000000000000004">
      <c r="F23" s="49">
        <v>37803</v>
      </c>
      <c r="G23" s="92">
        <v>98.94</v>
      </c>
      <c r="P23" s="151">
        <v>-2.2922762606536455</v>
      </c>
      <c r="Q23" s="58"/>
      <c r="R23" s="53">
        <v>101.23227626065365</v>
      </c>
      <c r="S23" s="151">
        <v>-2.2922762606536455</v>
      </c>
    </row>
    <row r="24" spans="1:27" x14ac:dyDescent="0.55000000000000004">
      <c r="F24" s="49">
        <v>37834</v>
      </c>
      <c r="G24" s="92">
        <v>99.82</v>
      </c>
      <c r="P24" s="151">
        <v>-2.3497214368067953</v>
      </c>
      <c r="Q24" s="58"/>
      <c r="R24" s="53">
        <v>102.16972143680678</v>
      </c>
      <c r="S24" s="151">
        <v>-2.3497214368067953</v>
      </c>
    </row>
    <row r="25" spans="1:27" x14ac:dyDescent="0.55000000000000004">
      <c r="F25" s="49">
        <v>37865</v>
      </c>
      <c r="G25" s="92">
        <v>101.66</v>
      </c>
      <c r="P25" s="151">
        <v>-2.3327531753537483</v>
      </c>
      <c r="Q25" s="58"/>
      <c r="R25" s="53">
        <v>103.99275317535374</v>
      </c>
      <c r="S25" s="151">
        <v>-2.3327531753537483</v>
      </c>
    </row>
    <row r="26" spans="1:27" s="21" customFormat="1" x14ac:dyDescent="0.55000000000000004">
      <c r="A26" s="17"/>
      <c r="B26"/>
      <c r="C26"/>
      <c r="D26"/>
      <c r="E26"/>
      <c r="F26" s="49">
        <v>37895</v>
      </c>
      <c r="G26" s="92">
        <v>101.86</v>
      </c>
      <c r="H26"/>
      <c r="I26"/>
      <c r="J26"/>
      <c r="K26"/>
      <c r="L26"/>
      <c r="M26"/>
      <c r="N26"/>
      <c r="O26"/>
      <c r="P26" s="151">
        <v>-2.2376579562085741</v>
      </c>
      <c r="Q26" s="58"/>
      <c r="R26" s="53">
        <v>104.09765795620858</v>
      </c>
      <c r="S26" s="151">
        <v>-2.2376579562085741</v>
      </c>
      <c r="T26" s="15"/>
      <c r="U26" s="15"/>
      <c r="V26" s="15"/>
      <c r="W26" s="15"/>
      <c r="X26" s="15"/>
      <c r="Y26" s="15"/>
      <c r="Z26" s="15"/>
      <c r="AA26" s="15"/>
    </row>
    <row r="27" spans="1:27" s="21" customFormat="1" x14ac:dyDescent="0.55000000000000004">
      <c r="A27" s="17"/>
      <c r="B27"/>
      <c r="C27"/>
      <c r="D27"/>
      <c r="E27"/>
      <c r="F27" s="49">
        <v>37926</v>
      </c>
      <c r="G27" s="92">
        <v>102</v>
      </c>
      <c r="H27"/>
      <c r="I27"/>
      <c r="J27"/>
      <c r="K27"/>
      <c r="L27"/>
      <c r="M27"/>
      <c r="N27"/>
      <c r="O27"/>
      <c r="P27" s="151">
        <v>-2.0650188903501654</v>
      </c>
      <c r="Q27" s="53"/>
      <c r="R27" s="53">
        <v>104.06501889035016</v>
      </c>
      <c r="S27" s="151">
        <v>-2.0650188903501654</v>
      </c>
      <c r="T27" s="15"/>
      <c r="U27" s="15"/>
      <c r="V27" s="15"/>
      <c r="W27" s="15"/>
      <c r="X27" s="15"/>
      <c r="Y27" s="15"/>
      <c r="Z27" s="15"/>
      <c r="AA27" s="15"/>
    </row>
    <row r="28" spans="1:27" s="21" customFormat="1" x14ac:dyDescent="0.55000000000000004">
      <c r="A28" s="17"/>
      <c r="B28"/>
      <c r="C28"/>
      <c r="D28"/>
      <c r="E28"/>
      <c r="F28" s="49">
        <v>37956</v>
      </c>
      <c r="G28" s="92">
        <v>101.94</v>
      </c>
      <c r="H28"/>
      <c r="I28"/>
      <c r="J28"/>
      <c r="K28"/>
      <c r="L28"/>
      <c r="M28"/>
      <c r="N28"/>
      <c r="O28"/>
      <c r="P28" s="151">
        <v>-1.8198591688456185</v>
      </c>
      <c r="Q28" s="53"/>
      <c r="R28" s="53">
        <v>103.75985916884562</v>
      </c>
      <c r="S28" s="151">
        <v>-1.8198591688456185</v>
      </c>
      <c r="T28" s="15"/>
      <c r="U28" s="15"/>
      <c r="V28" s="15"/>
      <c r="W28" s="15"/>
      <c r="X28" s="15"/>
      <c r="Y28" s="15"/>
      <c r="Z28" s="15"/>
      <c r="AA28" s="15"/>
    </row>
    <row r="29" spans="1:27" s="21" customFormat="1" x14ac:dyDescent="0.55000000000000004">
      <c r="A29" s="17"/>
      <c r="B29"/>
      <c r="C29"/>
      <c r="D29"/>
      <c r="E29"/>
      <c r="F29" s="49">
        <v>37987</v>
      </c>
      <c r="G29" s="92">
        <v>103.64</v>
      </c>
      <c r="H29"/>
      <c r="I29"/>
      <c r="J29"/>
      <c r="K29"/>
      <c r="L29"/>
      <c r="M29"/>
      <c r="N29"/>
      <c r="O29"/>
      <c r="P29" s="151">
        <v>-1.5115076231861009</v>
      </c>
      <c r="Q29" s="53"/>
      <c r="R29" s="53">
        <v>105.15150762318611</v>
      </c>
      <c r="S29" s="151">
        <v>-1.5115076231861009</v>
      </c>
      <c r="T29" s="15"/>
      <c r="U29" s="15"/>
      <c r="V29" s="15"/>
      <c r="W29" s="15"/>
      <c r="X29" s="15"/>
      <c r="Y29" s="15"/>
      <c r="Z29" s="15"/>
      <c r="AA29" s="15"/>
    </row>
    <row r="30" spans="1:27" s="21" customFormat="1" x14ac:dyDescent="0.55000000000000004">
      <c r="A30" s="17"/>
      <c r="B30"/>
      <c r="C30"/>
      <c r="D30"/>
      <c r="E30"/>
      <c r="F30" s="49">
        <v>38018</v>
      </c>
      <c r="G30" s="92">
        <v>104.52</v>
      </c>
      <c r="H30"/>
      <c r="I30"/>
      <c r="J30"/>
      <c r="K30"/>
      <c r="L30"/>
      <c r="M30"/>
      <c r="N30"/>
      <c r="O30"/>
      <c r="P30" s="151">
        <v>-1.1531891267798526</v>
      </c>
      <c r="Q30" s="53"/>
      <c r="R30" s="53">
        <v>105.67318912677985</v>
      </c>
      <c r="S30" s="151">
        <v>-1.1531891267798526</v>
      </c>
      <c r="T30" s="15"/>
      <c r="U30" s="15"/>
      <c r="V30" s="15"/>
      <c r="W30" s="15"/>
      <c r="X30" s="15"/>
      <c r="Y30" s="15"/>
      <c r="Z30" s="15"/>
      <c r="AA30" s="15"/>
    </row>
    <row r="31" spans="1:27" s="21" customFormat="1" x14ac:dyDescent="0.55000000000000004">
      <c r="A31" s="17"/>
      <c r="B31"/>
      <c r="C31"/>
      <c r="D31"/>
      <c r="E31"/>
      <c r="F31" s="49">
        <v>38047</v>
      </c>
      <c r="G31" s="92">
        <v>105.83</v>
      </c>
      <c r="H31"/>
      <c r="I31"/>
      <c r="J31"/>
      <c r="K31"/>
      <c r="L31"/>
      <c r="M31"/>
      <c r="N31"/>
      <c r="O31"/>
      <c r="P31" s="151">
        <v>-0.76135913313979087</v>
      </c>
      <c r="Q31" s="53"/>
      <c r="R31" s="53">
        <v>106.59135913313979</v>
      </c>
      <c r="S31" s="151">
        <v>-0.76135913313979087</v>
      </c>
      <c r="T31" s="15"/>
      <c r="U31" s="15"/>
      <c r="V31" s="15"/>
      <c r="W31" s="15"/>
      <c r="X31" s="15"/>
      <c r="Y31" s="15"/>
      <c r="Z31" s="15"/>
      <c r="AA31" s="15"/>
    </row>
    <row r="32" spans="1:27" s="21" customFormat="1" x14ac:dyDescent="0.55000000000000004">
      <c r="A32" s="17"/>
      <c r="B32"/>
      <c r="C32"/>
      <c r="D32"/>
      <c r="E32"/>
      <c r="F32" s="49">
        <v>38078</v>
      </c>
      <c r="G32" s="92">
        <v>106.41</v>
      </c>
      <c r="H32"/>
      <c r="I32"/>
      <c r="J32"/>
      <c r="K32"/>
      <c r="L32"/>
      <c r="M32"/>
      <c r="N32"/>
      <c r="O32"/>
      <c r="P32" s="151">
        <v>-0.35481711326400189</v>
      </c>
      <c r="Q32" s="53"/>
      <c r="R32" s="53">
        <v>106.764817113264</v>
      </c>
      <c r="S32" s="151">
        <v>-0.35481711326400189</v>
      </c>
      <c r="T32" s="15"/>
      <c r="U32" s="15"/>
      <c r="V32" s="15"/>
      <c r="W32" s="15"/>
      <c r="X32" s="15"/>
      <c r="Y32" s="15"/>
      <c r="Z32" s="15"/>
      <c r="AA32" s="15"/>
    </row>
    <row r="33" spans="1:27" s="21" customFormat="1" x14ac:dyDescent="0.55000000000000004">
      <c r="A33" s="17"/>
      <c r="B33"/>
      <c r="C33"/>
      <c r="D33"/>
      <c r="E33"/>
      <c r="F33" s="49">
        <v>38108</v>
      </c>
      <c r="G33" s="92">
        <v>106.33</v>
      </c>
      <c r="H33"/>
      <c r="I33"/>
      <c r="J33"/>
      <c r="K33"/>
      <c r="L33"/>
      <c r="M33"/>
      <c r="N33"/>
      <c r="O33"/>
      <c r="P33" s="151">
        <v>4.6352636366566724E-2</v>
      </c>
      <c r="Q33" s="53"/>
      <c r="R33" s="53">
        <v>106.28364736363343</v>
      </c>
      <c r="S33" s="151">
        <v>4.6352636366566724E-2</v>
      </c>
      <c r="T33" s="15"/>
      <c r="U33" s="15"/>
      <c r="V33" s="15"/>
      <c r="W33" s="15"/>
      <c r="X33" s="15"/>
      <c r="Y33" s="15"/>
      <c r="Z33" s="15"/>
      <c r="AA33" s="15"/>
    </row>
    <row r="34" spans="1:27" s="21" customFormat="1" x14ac:dyDescent="0.55000000000000004">
      <c r="A34" s="17"/>
      <c r="B34"/>
      <c r="C34"/>
      <c r="D34"/>
      <c r="E34"/>
      <c r="F34" s="49">
        <v>38139</v>
      </c>
      <c r="G34" s="92">
        <v>107.19</v>
      </c>
      <c r="H34"/>
      <c r="I34"/>
      <c r="J34"/>
      <c r="K34"/>
      <c r="L34"/>
      <c r="M34"/>
      <c r="N34"/>
      <c r="O34"/>
      <c r="P34" s="151">
        <v>0.42195296442933339</v>
      </c>
      <c r="Q34" s="53"/>
      <c r="R34" s="53">
        <v>106.76804703557066</v>
      </c>
      <c r="S34" s="151">
        <v>0.42195296442933339</v>
      </c>
      <c r="T34" s="15"/>
      <c r="U34" s="15"/>
      <c r="V34" s="15"/>
      <c r="W34" s="15"/>
      <c r="X34" s="15"/>
      <c r="Y34" s="15"/>
      <c r="Z34" s="15"/>
      <c r="AA34" s="15"/>
    </row>
    <row r="35" spans="1:27" s="21" customFormat="1" x14ac:dyDescent="0.55000000000000004">
      <c r="A35" s="17"/>
      <c r="B35"/>
      <c r="C35"/>
      <c r="D35"/>
      <c r="E35"/>
      <c r="F35" s="49">
        <v>38169</v>
      </c>
      <c r="G35" s="92">
        <v>107.67</v>
      </c>
      <c r="H35"/>
      <c r="I35"/>
      <c r="J35"/>
      <c r="K35"/>
      <c r="L35"/>
      <c r="M35"/>
      <c r="N35"/>
      <c r="O35"/>
      <c r="P35" s="151">
        <v>0.75289022262424199</v>
      </c>
      <c r="Q35" s="53"/>
      <c r="R35" s="53">
        <v>106.91710977737576</v>
      </c>
      <c r="S35" s="151">
        <v>0.75289022262424199</v>
      </c>
      <c r="T35" s="15"/>
      <c r="U35" s="15"/>
      <c r="V35" s="15"/>
      <c r="W35" s="15"/>
      <c r="X35" s="15"/>
      <c r="Y35" s="15"/>
      <c r="Z35" s="15"/>
      <c r="AA35" s="15"/>
    </row>
    <row r="36" spans="1:27" s="21" customFormat="1" x14ac:dyDescent="0.55000000000000004">
      <c r="A36" s="17"/>
      <c r="B36"/>
      <c r="C36"/>
      <c r="D36"/>
      <c r="E36"/>
      <c r="F36" s="49">
        <v>38200</v>
      </c>
      <c r="G36" s="92">
        <v>108.18</v>
      </c>
      <c r="H36"/>
      <c r="I36"/>
      <c r="J36"/>
      <c r="K36"/>
      <c r="L36"/>
      <c r="M36"/>
      <c r="N36"/>
      <c r="O36"/>
      <c r="P36" s="151">
        <v>1.0223613839001557</v>
      </c>
      <c r="Q36" s="53"/>
      <c r="R36" s="53">
        <v>107.15763861609985</v>
      </c>
      <c r="S36" s="151">
        <v>1.0223613839001557</v>
      </c>
      <c r="T36" s="15"/>
      <c r="U36" s="15"/>
      <c r="V36" s="15"/>
      <c r="W36" s="15"/>
      <c r="X36" s="15"/>
      <c r="Y36" s="15"/>
      <c r="Z36" s="15"/>
      <c r="AA36" s="15"/>
    </row>
    <row r="37" spans="1:27" s="21" customFormat="1" x14ac:dyDescent="0.55000000000000004">
      <c r="A37" s="17"/>
      <c r="B37"/>
      <c r="C37"/>
      <c r="D37"/>
      <c r="E37"/>
      <c r="F37" s="49">
        <v>38231</v>
      </c>
      <c r="G37" s="92">
        <v>109.16</v>
      </c>
      <c r="H37"/>
      <c r="I37"/>
      <c r="J37"/>
      <c r="K37"/>
      <c r="L37"/>
      <c r="M37"/>
      <c r="N37"/>
      <c r="O37"/>
      <c r="P37" s="151">
        <v>1.2169367928729802</v>
      </c>
      <c r="Q37" s="53"/>
      <c r="R37" s="53">
        <v>107.94306320712701</v>
      </c>
      <c r="S37" s="151">
        <v>1.2169367928729802</v>
      </c>
      <c r="T37" s="15"/>
      <c r="U37" s="15"/>
      <c r="V37" s="15"/>
      <c r="W37" s="15"/>
      <c r="X37" s="15"/>
      <c r="Y37" s="15"/>
      <c r="Z37" s="15"/>
      <c r="AA37" s="15"/>
    </row>
    <row r="38" spans="1:27" s="21" customFormat="1" x14ac:dyDescent="0.55000000000000004">
      <c r="A38" s="17"/>
      <c r="B38"/>
      <c r="C38"/>
      <c r="D38"/>
      <c r="E38"/>
      <c r="F38" s="49">
        <v>38261</v>
      </c>
      <c r="G38" s="92">
        <v>108.73</v>
      </c>
      <c r="H38"/>
      <c r="I38"/>
      <c r="J38"/>
      <c r="K38"/>
      <c r="L38"/>
      <c r="M38"/>
      <c r="N38"/>
      <c r="O38"/>
      <c r="P38" s="151">
        <v>1.3274660268399638</v>
      </c>
      <c r="Q38" s="53"/>
      <c r="R38" s="53">
        <v>107.40253397316005</v>
      </c>
      <c r="S38" s="151">
        <v>1.3274660268399638</v>
      </c>
      <c r="T38" s="15"/>
      <c r="U38" s="15"/>
      <c r="V38" s="15"/>
      <c r="W38" s="15"/>
      <c r="X38" s="15"/>
      <c r="Y38" s="15"/>
      <c r="Z38" s="15"/>
      <c r="AA38" s="15"/>
    </row>
    <row r="39" spans="1:27" s="21" customFormat="1" x14ac:dyDescent="0.55000000000000004">
      <c r="A39" s="17"/>
      <c r="B39"/>
      <c r="C39"/>
      <c r="D39"/>
      <c r="E39"/>
      <c r="F39" s="49">
        <v>38292</v>
      </c>
      <c r="G39" s="92">
        <v>109.67</v>
      </c>
      <c r="H39"/>
      <c r="I39"/>
      <c r="J39"/>
      <c r="K39"/>
      <c r="L39"/>
      <c r="M39"/>
      <c r="N39"/>
      <c r="O39"/>
      <c r="P39" s="151">
        <v>1.3497413366930449</v>
      </c>
      <c r="Q39" s="53"/>
      <c r="R39" s="53">
        <v>108.32025866330696</v>
      </c>
      <c r="S39" s="151">
        <v>1.3497413366930449</v>
      </c>
      <c r="T39" s="15"/>
      <c r="U39" s="15"/>
      <c r="V39" s="15"/>
      <c r="W39" s="15"/>
      <c r="X39" s="15"/>
      <c r="Y39" s="15"/>
      <c r="Z39" s="15"/>
      <c r="AA39" s="15"/>
    </row>
    <row r="40" spans="1:27" s="21" customFormat="1" x14ac:dyDescent="0.55000000000000004">
      <c r="A40" s="17"/>
      <c r="B40"/>
      <c r="C40"/>
      <c r="D40"/>
      <c r="E40"/>
      <c r="F40" s="49">
        <v>38322</v>
      </c>
      <c r="G40" s="92">
        <v>109.08</v>
      </c>
      <c r="H40"/>
      <c r="I40"/>
      <c r="J40"/>
      <c r="K40"/>
      <c r="L40"/>
      <c r="M40"/>
      <c r="N40"/>
      <c r="O40"/>
      <c r="P40" s="151">
        <v>1.2848646276499933</v>
      </c>
      <c r="Q40" s="53"/>
      <c r="R40" s="53">
        <v>107.79513537235</v>
      </c>
      <c r="S40" s="151">
        <v>1.2848646276499933</v>
      </c>
      <c r="T40" s="15"/>
      <c r="U40" s="15"/>
      <c r="V40" s="15"/>
      <c r="W40" s="15"/>
      <c r="X40" s="15"/>
      <c r="Y40" s="15"/>
      <c r="Z40" s="15"/>
      <c r="AA40" s="15"/>
    </row>
    <row r="41" spans="1:27" s="21" customFormat="1" x14ac:dyDescent="0.55000000000000004">
      <c r="A41" s="17"/>
      <c r="B41"/>
      <c r="C41"/>
      <c r="D41"/>
      <c r="E41"/>
      <c r="F41" s="49">
        <v>38353</v>
      </c>
      <c r="G41" s="92">
        <v>109.54</v>
      </c>
      <c r="H41"/>
      <c r="I41"/>
      <c r="J41"/>
      <c r="K41"/>
      <c r="L41"/>
      <c r="M41"/>
      <c r="N41"/>
      <c r="O41"/>
      <c r="P41" s="151">
        <v>1.1392798075481536</v>
      </c>
      <c r="Q41" s="53"/>
      <c r="R41" s="53">
        <v>108.40072019245186</v>
      </c>
      <c r="S41" s="151">
        <v>1.1392798075481536</v>
      </c>
      <c r="T41" s="15"/>
      <c r="U41" s="15"/>
      <c r="V41" s="15"/>
      <c r="W41" s="15"/>
      <c r="X41" s="15"/>
      <c r="Y41" s="15"/>
      <c r="Z41" s="15"/>
      <c r="AA41" s="15"/>
    </row>
    <row r="42" spans="1:27" s="21" customFormat="1" x14ac:dyDescent="0.55000000000000004">
      <c r="A42" s="17"/>
      <c r="B42"/>
      <c r="C42"/>
      <c r="D42"/>
      <c r="E42"/>
      <c r="F42" s="49">
        <v>38384</v>
      </c>
      <c r="G42" s="92">
        <v>110.2</v>
      </c>
      <c r="H42"/>
      <c r="I42"/>
      <c r="J42"/>
      <c r="K42"/>
      <c r="L42"/>
      <c r="M42"/>
      <c r="N42"/>
      <c r="O42"/>
      <c r="P42" s="151">
        <v>0.92445213811214177</v>
      </c>
      <c r="Q42" s="53"/>
      <c r="R42" s="53">
        <v>109.27554786188786</v>
      </c>
      <c r="S42" s="151">
        <v>0.92445213811214177</v>
      </c>
      <c r="T42" s="15"/>
      <c r="U42" s="15"/>
      <c r="V42" s="15"/>
      <c r="W42" s="15"/>
      <c r="X42" s="15"/>
      <c r="Y42" s="15"/>
      <c r="Z42" s="15"/>
      <c r="AA42" s="15"/>
    </row>
    <row r="43" spans="1:27" s="21" customFormat="1" x14ac:dyDescent="0.55000000000000004">
      <c r="A43" s="17"/>
      <c r="B43"/>
      <c r="C43"/>
      <c r="D43"/>
      <c r="E43"/>
      <c r="F43" s="49">
        <v>38412</v>
      </c>
      <c r="G43" s="92">
        <v>110.38</v>
      </c>
      <c r="H43"/>
      <c r="I43"/>
      <c r="J43"/>
      <c r="K43"/>
      <c r="L43"/>
      <c r="M43"/>
      <c r="N43"/>
      <c r="O43"/>
      <c r="P43" s="151">
        <v>0.65619915850790966</v>
      </c>
      <c r="Q43" s="53"/>
      <c r="R43" s="53">
        <v>109.72380084149209</v>
      </c>
      <c r="S43" s="151">
        <v>0.65619915850790966</v>
      </c>
      <c r="T43" s="15"/>
      <c r="U43" s="15"/>
      <c r="V43" s="15"/>
      <c r="W43" s="15"/>
      <c r="X43" s="15"/>
      <c r="Y43" s="15"/>
      <c r="Z43" s="15"/>
      <c r="AA43" s="15"/>
    </row>
    <row r="44" spans="1:27" s="21" customFormat="1" x14ac:dyDescent="0.55000000000000004">
      <c r="A44" s="17"/>
      <c r="B44"/>
      <c r="C44"/>
      <c r="D44"/>
      <c r="E44"/>
      <c r="F44" s="49">
        <v>38443</v>
      </c>
      <c r="G44" s="92">
        <v>111.11</v>
      </c>
      <c r="H44"/>
      <c r="I44"/>
      <c r="J44"/>
      <c r="K44"/>
      <c r="L44"/>
      <c r="M44"/>
      <c r="N44"/>
      <c r="O44"/>
      <c r="P44" s="151">
        <v>0.3537025912413716</v>
      </c>
      <c r="Q44" s="53"/>
      <c r="R44" s="53">
        <v>110.75629740875863</v>
      </c>
      <c r="S44" s="151">
        <v>0.3537025912413716</v>
      </c>
      <c r="T44" s="15"/>
      <c r="U44" s="15"/>
      <c r="V44" s="15"/>
      <c r="W44" s="15"/>
      <c r="X44" s="15"/>
      <c r="Y44" s="15"/>
      <c r="Z44" s="15"/>
      <c r="AA44" s="15"/>
    </row>
    <row r="45" spans="1:27" s="21" customFormat="1" x14ac:dyDescent="0.55000000000000004">
      <c r="A45" s="17"/>
      <c r="B45"/>
      <c r="C45"/>
      <c r="D45"/>
      <c r="E45"/>
      <c r="F45" s="49">
        <v>38473</v>
      </c>
      <c r="G45" s="92">
        <v>111</v>
      </c>
      <c r="H45"/>
      <c r="I45"/>
      <c r="J45"/>
      <c r="K45"/>
      <c r="L45"/>
      <c r="M45"/>
      <c r="N45"/>
      <c r="O45"/>
      <c r="P45" s="151">
        <v>3.8255779194515616E-2</v>
      </c>
      <c r="Q45" s="53"/>
      <c r="R45" s="53">
        <v>110.96174422080549</v>
      </c>
      <c r="S45" s="151">
        <v>3.8255779194515616E-2</v>
      </c>
      <c r="T45" s="15"/>
      <c r="U45" s="15"/>
      <c r="V45" s="15"/>
      <c r="W45" s="15"/>
      <c r="X45" s="15"/>
      <c r="Y45" s="15"/>
      <c r="Z45" s="15"/>
      <c r="AA45" s="15"/>
    </row>
    <row r="46" spans="1:27" s="21" customFormat="1" x14ac:dyDescent="0.55000000000000004">
      <c r="A46" s="17"/>
      <c r="B46"/>
      <c r="C46"/>
      <c r="D46"/>
      <c r="E46"/>
      <c r="F46" s="49">
        <v>38504</v>
      </c>
      <c r="G46" s="92">
        <v>110.33</v>
      </c>
      <c r="H46"/>
      <c r="I46"/>
      <c r="J46"/>
      <c r="K46"/>
      <c r="L46"/>
      <c r="M46"/>
      <c r="N46"/>
      <c r="O46"/>
      <c r="P46" s="151">
        <v>-0.26817528752856401</v>
      </c>
      <c r="Q46" s="53"/>
      <c r="R46" s="53">
        <v>110.59817528752856</v>
      </c>
      <c r="S46" s="151">
        <v>-0.26817528752856401</v>
      </c>
      <c r="T46" s="15"/>
      <c r="U46" s="15"/>
      <c r="V46" s="15"/>
      <c r="W46" s="15"/>
      <c r="X46" s="15"/>
      <c r="Y46" s="15"/>
      <c r="Z46" s="15"/>
      <c r="AA46" s="15"/>
    </row>
    <row r="47" spans="1:27" s="21" customFormat="1" x14ac:dyDescent="0.55000000000000004">
      <c r="A47" s="17"/>
      <c r="B47"/>
      <c r="C47"/>
      <c r="D47"/>
      <c r="E47"/>
      <c r="F47" s="49">
        <v>38534</v>
      </c>
      <c r="G47" s="92">
        <v>110.43</v>
      </c>
      <c r="H47"/>
      <c r="I47"/>
      <c r="J47"/>
      <c r="K47"/>
      <c r="L47"/>
      <c r="M47"/>
      <c r="N47"/>
      <c r="O47"/>
      <c r="P47" s="151">
        <v>-0.54447953086914314</v>
      </c>
      <c r="Q47" s="53"/>
      <c r="R47" s="53">
        <v>110.97447953086915</v>
      </c>
      <c r="S47" s="151">
        <v>-0.54447953086914314</v>
      </c>
      <c r="T47" s="15"/>
      <c r="U47" s="15"/>
      <c r="V47" s="15"/>
      <c r="W47" s="15"/>
      <c r="X47" s="15"/>
      <c r="Y47" s="15"/>
      <c r="Z47" s="15"/>
      <c r="AA47" s="15"/>
    </row>
    <row r="48" spans="1:27" s="21" customFormat="1" x14ac:dyDescent="0.55000000000000004">
      <c r="A48" s="17"/>
      <c r="B48"/>
      <c r="C48"/>
      <c r="D48"/>
      <c r="E48"/>
      <c r="F48" s="49">
        <v>38565</v>
      </c>
      <c r="G48" s="92">
        <v>111.22</v>
      </c>
      <c r="H48"/>
      <c r="I48"/>
      <c r="J48"/>
      <c r="K48"/>
      <c r="L48"/>
      <c r="M48"/>
      <c r="N48"/>
      <c r="O48"/>
      <c r="P48" s="151">
        <v>-0.77190520825779463</v>
      </c>
      <c r="Q48" s="53"/>
      <c r="R48" s="53">
        <v>111.99190520825779</v>
      </c>
      <c r="S48" s="151">
        <v>-0.77190520825779463</v>
      </c>
      <c r="T48" s="15"/>
      <c r="U48" s="15"/>
      <c r="V48" s="15"/>
      <c r="W48" s="15"/>
      <c r="X48" s="15"/>
      <c r="Y48" s="15"/>
      <c r="Z48" s="15"/>
      <c r="AA48" s="15"/>
    </row>
    <row r="49" spans="1:27" s="21" customFormat="1" x14ac:dyDescent="0.55000000000000004">
      <c r="A49" s="17"/>
      <c r="B49"/>
      <c r="C49"/>
      <c r="D49"/>
      <c r="E49"/>
      <c r="F49" s="49">
        <v>38596</v>
      </c>
      <c r="G49" s="92">
        <v>110.72</v>
      </c>
      <c r="H49"/>
      <c r="I49"/>
      <c r="J49"/>
      <c r="K49"/>
      <c r="L49"/>
      <c r="M49"/>
      <c r="N49"/>
      <c r="O49"/>
      <c r="P49" s="151">
        <v>-0.93542335912921326</v>
      </c>
      <c r="Q49" s="53"/>
      <c r="R49" s="53">
        <v>111.65542335912922</v>
      </c>
      <c r="S49" s="151">
        <v>-0.93542335912921326</v>
      </c>
      <c r="T49" s="15"/>
      <c r="U49" s="15"/>
      <c r="V49" s="15"/>
      <c r="W49" s="15"/>
      <c r="X49" s="15"/>
      <c r="Y49" s="15"/>
      <c r="Z49" s="15"/>
      <c r="AA49" s="15"/>
    </row>
    <row r="50" spans="1:27" s="21" customFormat="1" x14ac:dyDescent="0.55000000000000004">
      <c r="A50" s="17"/>
      <c r="B50"/>
      <c r="C50"/>
      <c r="D50"/>
      <c r="E50"/>
      <c r="F50" s="49">
        <v>38626</v>
      </c>
      <c r="G50" s="92">
        <v>111.1</v>
      </c>
      <c r="H50"/>
      <c r="I50"/>
      <c r="J50"/>
      <c r="K50"/>
      <c r="L50"/>
      <c r="M50"/>
      <c r="N50"/>
      <c r="O50"/>
      <c r="P50" s="151">
        <v>-1.0248355562479912</v>
      </c>
      <c r="Q50" s="53"/>
      <c r="R50" s="53">
        <v>112.12483555624799</v>
      </c>
      <c r="S50" s="151">
        <v>-1.0248355562479912</v>
      </c>
      <c r="T50" s="15"/>
      <c r="U50" s="15"/>
      <c r="V50" s="15"/>
      <c r="W50" s="15"/>
      <c r="X50" s="15"/>
      <c r="Y50" s="15"/>
      <c r="Z50" s="15"/>
      <c r="AA50" s="15"/>
    </row>
    <row r="51" spans="1:27" s="21" customFormat="1" x14ac:dyDescent="0.55000000000000004">
      <c r="A51" s="17"/>
      <c r="B51"/>
      <c r="C51"/>
      <c r="D51"/>
      <c r="E51"/>
      <c r="F51" s="49">
        <v>38657</v>
      </c>
      <c r="G51" s="92">
        <v>111.85</v>
      </c>
      <c r="H51"/>
      <c r="I51"/>
      <c r="J51"/>
      <c r="K51"/>
      <c r="L51"/>
      <c r="M51"/>
      <c r="N51"/>
      <c r="O51"/>
      <c r="P51" s="151">
        <v>-1.0355243987264435</v>
      </c>
      <c r="Q51" s="53"/>
      <c r="R51" s="53">
        <v>112.88552439872643</v>
      </c>
      <c r="S51" s="151">
        <v>-1.0355243987264435</v>
      </c>
      <c r="T51" s="15"/>
      <c r="U51" s="15"/>
      <c r="V51" s="15"/>
      <c r="W51" s="15"/>
      <c r="X51" s="15"/>
      <c r="Y51" s="15"/>
      <c r="Z51" s="15"/>
      <c r="AA51" s="15"/>
    </row>
    <row r="52" spans="1:27" s="21" customFormat="1" x14ac:dyDescent="0.55000000000000004">
      <c r="A52" s="17"/>
      <c r="B52"/>
      <c r="C52"/>
      <c r="D52"/>
      <c r="E52"/>
      <c r="F52" s="49">
        <v>38687</v>
      </c>
      <c r="G52" s="92">
        <v>112.92</v>
      </c>
      <c r="H52"/>
      <c r="I52"/>
      <c r="J52"/>
      <c r="K52"/>
      <c r="L52"/>
      <c r="M52"/>
      <c r="N52"/>
      <c r="O52"/>
      <c r="P52" s="151">
        <v>-0.96876830340497644</v>
      </c>
      <c r="Q52" s="53"/>
      <c r="R52" s="53">
        <v>113.88876830340497</v>
      </c>
      <c r="S52" s="151">
        <v>-0.96876830340497644</v>
      </c>
      <c r="T52" s="15"/>
      <c r="U52" s="15"/>
      <c r="V52" s="15"/>
      <c r="W52" s="15"/>
      <c r="X52" s="15"/>
      <c r="Y52" s="15"/>
      <c r="Z52" s="15"/>
      <c r="AA52" s="15"/>
    </row>
    <row r="53" spans="1:27" s="21" customFormat="1" x14ac:dyDescent="0.55000000000000004">
      <c r="A53" s="17"/>
      <c r="B53"/>
      <c r="C53"/>
      <c r="D53"/>
      <c r="E53"/>
      <c r="F53" s="49">
        <v>38718</v>
      </c>
      <c r="G53" s="92">
        <v>113.5</v>
      </c>
      <c r="H53"/>
      <c r="I53"/>
      <c r="J53"/>
      <c r="K53"/>
      <c r="L53"/>
      <c r="M53"/>
      <c r="N53"/>
      <c r="O53"/>
      <c r="P53" s="151">
        <v>-0.83157419425202372</v>
      </c>
      <c r="Q53" s="53"/>
      <c r="R53" s="53">
        <v>114.33157419425203</v>
      </c>
      <c r="S53" s="151">
        <v>-0.83157419425202372</v>
      </c>
      <c r="T53" s="15"/>
      <c r="U53" s="15"/>
      <c r="V53" s="15"/>
      <c r="W53" s="15"/>
      <c r="X53" s="15"/>
      <c r="Y53" s="15"/>
      <c r="Z53" s="15"/>
      <c r="AA53" s="15"/>
    </row>
    <row r="54" spans="1:27" s="21" customFormat="1" x14ac:dyDescent="0.55000000000000004">
      <c r="A54" s="17"/>
      <c r="B54"/>
      <c r="C54"/>
      <c r="D54"/>
      <c r="E54"/>
      <c r="F54" s="49">
        <v>38749</v>
      </c>
      <c r="G54" s="92">
        <v>113.72</v>
      </c>
      <c r="H54"/>
      <c r="I54"/>
      <c r="J54"/>
      <c r="K54"/>
      <c r="L54"/>
      <c r="M54"/>
      <c r="N54"/>
      <c r="O54"/>
      <c r="P54" s="151">
        <v>-0.63602061722307468</v>
      </c>
      <c r="Q54" s="53"/>
      <c r="R54" s="53">
        <v>114.35602061722307</v>
      </c>
      <c r="S54" s="151">
        <v>-0.63602061722307468</v>
      </c>
      <c r="T54" s="15"/>
      <c r="U54" s="15"/>
      <c r="V54" s="15"/>
      <c r="W54" s="15"/>
      <c r="X54" s="15"/>
      <c r="Y54" s="15"/>
      <c r="Z54" s="15"/>
      <c r="AA54" s="15"/>
    </row>
    <row r="55" spans="1:27" s="21" customFormat="1" x14ac:dyDescent="0.55000000000000004">
      <c r="A55" s="17"/>
      <c r="B55"/>
      <c r="C55"/>
      <c r="D55"/>
      <c r="E55"/>
      <c r="F55" s="49">
        <v>38777</v>
      </c>
      <c r="G55" s="92">
        <v>113.48</v>
      </c>
      <c r="H55"/>
      <c r="I55"/>
      <c r="J55"/>
      <c r="K55"/>
      <c r="L55"/>
      <c r="M55"/>
      <c r="N55"/>
      <c r="O55"/>
      <c r="P55" s="151">
        <v>-0.3981466700465679</v>
      </c>
      <c r="Q55" s="53"/>
      <c r="R55" s="53">
        <v>113.87814667004658</v>
      </c>
      <c r="S55" s="151">
        <v>-0.3981466700465679</v>
      </c>
      <c r="T55" s="15"/>
      <c r="U55" s="15"/>
      <c r="V55" s="15"/>
      <c r="W55" s="15"/>
      <c r="X55" s="15"/>
      <c r="Y55" s="15"/>
      <c r="Z55" s="15"/>
      <c r="AA55" s="15"/>
    </row>
    <row r="56" spans="1:27" s="21" customFormat="1" x14ac:dyDescent="0.55000000000000004">
      <c r="A56" s="17"/>
      <c r="B56"/>
      <c r="C56"/>
      <c r="D56"/>
      <c r="E56"/>
      <c r="F56" s="49">
        <v>38808</v>
      </c>
      <c r="G56" s="92">
        <v>114.36</v>
      </c>
      <c r="H56"/>
      <c r="I56"/>
      <c r="J56"/>
      <c r="K56"/>
      <c r="L56"/>
      <c r="M56"/>
      <c r="N56"/>
      <c r="O56"/>
      <c r="P56" s="151">
        <v>-0.13646526656416602</v>
      </c>
      <c r="Q56" s="53"/>
      <c r="R56" s="53">
        <v>114.49646526656417</v>
      </c>
      <c r="S56" s="151">
        <v>-0.13646526656416602</v>
      </c>
      <c r="T56" s="15"/>
      <c r="U56" s="15"/>
      <c r="V56" s="15"/>
      <c r="W56" s="15"/>
      <c r="X56" s="15"/>
      <c r="Y56" s="15"/>
      <c r="Z56" s="15"/>
      <c r="AA56" s="15"/>
    </row>
    <row r="57" spans="1:27" s="21" customFormat="1" x14ac:dyDescent="0.55000000000000004">
      <c r="A57" s="17"/>
      <c r="B57"/>
      <c r="C57"/>
      <c r="D57"/>
      <c r="E57"/>
      <c r="F57" s="49">
        <v>38838</v>
      </c>
      <c r="G57" s="92">
        <v>115.67</v>
      </c>
      <c r="H57"/>
      <c r="I57"/>
      <c r="J57"/>
      <c r="K57"/>
      <c r="L57"/>
      <c r="M57"/>
      <c r="N57"/>
      <c r="O57"/>
      <c r="P57" s="151">
        <v>0.12978142896969591</v>
      </c>
      <c r="Q57" s="53"/>
      <c r="R57" s="53">
        <v>115.54021857103031</v>
      </c>
      <c r="S57" s="151">
        <v>0.12978142896969591</v>
      </c>
      <c r="T57" s="15"/>
      <c r="U57" s="15"/>
      <c r="V57" s="15"/>
      <c r="W57" s="15"/>
      <c r="X57" s="15"/>
      <c r="Y57" s="15"/>
      <c r="Z57" s="15"/>
      <c r="AA57" s="15"/>
    </row>
    <row r="58" spans="1:27" s="21" customFormat="1" x14ac:dyDescent="0.55000000000000004">
      <c r="A58" s="17"/>
      <c r="B58"/>
      <c r="C58"/>
      <c r="D58"/>
      <c r="E58"/>
      <c r="F58" s="49">
        <v>38869</v>
      </c>
      <c r="G58" s="92">
        <v>114.35</v>
      </c>
      <c r="H58"/>
      <c r="I58"/>
      <c r="J58"/>
      <c r="K58"/>
      <c r="L58"/>
      <c r="M58"/>
      <c r="N58"/>
      <c r="O58"/>
      <c r="P58" s="151">
        <v>0.38247518050582086</v>
      </c>
      <c r="Q58" s="53"/>
      <c r="R58" s="53">
        <v>113.96752481949417</v>
      </c>
      <c r="S58" s="151">
        <v>0.38247518050582086</v>
      </c>
      <c r="T58" s="15"/>
      <c r="U58" s="15"/>
      <c r="V58" s="15"/>
      <c r="W58" s="15"/>
      <c r="X58" s="15"/>
      <c r="Y58" s="15"/>
      <c r="Z58" s="15"/>
      <c r="AA58" s="15"/>
    </row>
    <row r="59" spans="1:27" s="21" customFormat="1" x14ac:dyDescent="0.55000000000000004">
      <c r="A59" s="17"/>
      <c r="B59"/>
      <c r="C59"/>
      <c r="D59"/>
      <c r="E59"/>
      <c r="F59" s="49">
        <v>38899</v>
      </c>
      <c r="G59" s="92">
        <v>116.57</v>
      </c>
      <c r="H59"/>
      <c r="I59"/>
      <c r="J59"/>
      <c r="K59"/>
      <c r="L59"/>
      <c r="M59"/>
      <c r="N59"/>
      <c r="O59"/>
      <c r="P59" s="151">
        <v>0.60641453876453832</v>
      </c>
      <c r="Q59" s="53"/>
      <c r="R59" s="53">
        <v>115.96358546123545</v>
      </c>
      <c r="S59" s="151">
        <v>0.60641453876453832</v>
      </c>
      <c r="T59" s="15"/>
      <c r="U59" s="15"/>
      <c r="V59" s="15"/>
      <c r="W59" s="15"/>
      <c r="X59" s="15"/>
      <c r="Y59" s="15"/>
      <c r="Z59" s="15"/>
      <c r="AA59" s="15"/>
    </row>
    <row r="60" spans="1:27" s="21" customFormat="1" x14ac:dyDescent="0.55000000000000004">
      <c r="A60" s="17"/>
      <c r="B60"/>
      <c r="C60"/>
      <c r="D60"/>
      <c r="E60"/>
      <c r="F60" s="49">
        <v>38930</v>
      </c>
      <c r="G60" s="92">
        <v>116.62</v>
      </c>
      <c r="H60"/>
      <c r="I60"/>
      <c r="J60"/>
      <c r="K60"/>
      <c r="L60"/>
      <c r="M60"/>
      <c r="N60"/>
      <c r="O60"/>
      <c r="P60" s="151">
        <v>0.79087331316315734</v>
      </c>
      <c r="Q60" s="53"/>
      <c r="R60" s="53">
        <v>115.82912668683684</v>
      </c>
      <c r="S60" s="151">
        <v>0.79087331316315734</v>
      </c>
      <c r="T60" s="15"/>
      <c r="U60" s="15"/>
      <c r="V60" s="15"/>
      <c r="W60" s="15"/>
      <c r="X60" s="15"/>
      <c r="Y60" s="15"/>
      <c r="Z60" s="15"/>
      <c r="AA60" s="15"/>
    </row>
    <row r="61" spans="1:27" s="21" customFormat="1" x14ac:dyDescent="0.55000000000000004">
      <c r="A61" s="17"/>
      <c r="B61"/>
      <c r="C61"/>
      <c r="D61"/>
      <c r="E61"/>
      <c r="F61" s="49">
        <v>38961</v>
      </c>
      <c r="G61" s="92">
        <v>116.69</v>
      </c>
      <c r="H61"/>
      <c r="I61"/>
      <c r="J61"/>
      <c r="K61"/>
      <c r="L61"/>
      <c r="M61"/>
      <c r="N61"/>
      <c r="O61"/>
      <c r="P61" s="151">
        <v>0.93076175756650303</v>
      </c>
      <c r="Q61" s="53"/>
      <c r="R61" s="53">
        <v>115.7592382424335</v>
      </c>
      <c r="S61" s="151">
        <v>0.93076175756650303</v>
      </c>
      <c r="T61" s="15"/>
      <c r="U61" s="15"/>
      <c r="V61" s="15"/>
      <c r="W61" s="15"/>
      <c r="X61" s="15"/>
      <c r="Y61" s="15"/>
      <c r="Z61" s="15"/>
      <c r="AA61" s="15"/>
    </row>
    <row r="62" spans="1:27" s="21" customFormat="1" x14ac:dyDescent="0.55000000000000004">
      <c r="A62" s="17"/>
      <c r="B62"/>
      <c r="C62"/>
      <c r="D62"/>
      <c r="E62"/>
      <c r="F62" s="49">
        <v>38991</v>
      </c>
      <c r="G62" s="92">
        <v>118.11</v>
      </c>
      <c r="H62"/>
      <c r="I62"/>
      <c r="J62"/>
      <c r="K62"/>
      <c r="L62"/>
      <c r="M62"/>
      <c r="N62"/>
      <c r="O62"/>
      <c r="P62" s="151">
        <v>1.0272552681269909</v>
      </c>
      <c r="Q62" s="53"/>
      <c r="R62" s="53">
        <v>117.08274473187301</v>
      </c>
      <c r="S62" s="151">
        <v>1.0272552681269909</v>
      </c>
      <c r="T62" s="15"/>
      <c r="U62" s="15"/>
      <c r="V62" s="15"/>
      <c r="W62" s="15"/>
      <c r="X62" s="15"/>
      <c r="Y62" s="15"/>
      <c r="Z62" s="15"/>
      <c r="AA62" s="15"/>
    </row>
    <row r="63" spans="1:27" s="21" customFormat="1" x14ac:dyDescent="0.55000000000000004">
      <c r="A63" s="17"/>
      <c r="B63"/>
      <c r="C63"/>
      <c r="D63"/>
      <c r="E63"/>
      <c r="F63" s="49">
        <v>39022</v>
      </c>
      <c r="G63" s="92">
        <v>118.91</v>
      </c>
      <c r="H63"/>
      <c r="I63"/>
      <c r="J63"/>
      <c r="K63"/>
      <c r="L63"/>
      <c r="M63"/>
      <c r="N63"/>
      <c r="O63"/>
      <c r="P63" s="151">
        <v>1.0877982043232897</v>
      </c>
      <c r="Q63" s="53"/>
      <c r="R63" s="53">
        <v>117.8222017956767</v>
      </c>
      <c r="S63" s="151">
        <v>1.0877982043232897</v>
      </c>
      <c r="T63" s="15"/>
      <c r="U63" s="15"/>
      <c r="V63" s="15"/>
      <c r="W63" s="15"/>
      <c r="X63" s="15"/>
      <c r="Y63" s="15"/>
      <c r="Z63" s="15"/>
      <c r="AA63" s="15"/>
    </row>
    <row r="64" spans="1:27" s="21" customFormat="1" x14ac:dyDescent="0.55000000000000004">
      <c r="A64" s="17"/>
      <c r="B64"/>
      <c r="C64"/>
      <c r="D64"/>
      <c r="E64"/>
      <c r="F64" s="49">
        <v>39052</v>
      </c>
      <c r="G64" s="92">
        <v>120.7</v>
      </c>
      <c r="H64"/>
      <c r="I64"/>
      <c r="J64"/>
      <c r="K64"/>
      <c r="L64"/>
      <c r="M64"/>
      <c r="N64"/>
      <c r="O64"/>
      <c r="P64" s="151">
        <v>1.1254453151428359</v>
      </c>
      <c r="Q64" s="53"/>
      <c r="R64" s="53">
        <v>119.57455468485716</v>
      </c>
      <c r="S64" s="151">
        <v>1.1254453151428359</v>
      </c>
      <c r="T64" s="15"/>
      <c r="U64" s="15"/>
      <c r="V64" s="15"/>
      <c r="W64" s="15"/>
      <c r="X64" s="15"/>
      <c r="Y64" s="15"/>
      <c r="Z64" s="15"/>
      <c r="AA64" s="15"/>
    </row>
    <row r="65" spans="1:27" s="21" customFormat="1" x14ac:dyDescent="0.55000000000000004">
      <c r="A65" s="17"/>
      <c r="B65"/>
      <c r="C65"/>
      <c r="D65"/>
      <c r="E65"/>
      <c r="F65" s="49">
        <v>39083</v>
      </c>
      <c r="G65" s="92">
        <v>119.93</v>
      </c>
      <c r="H65"/>
      <c r="I65"/>
      <c r="J65"/>
      <c r="K65"/>
      <c r="L65"/>
      <c r="M65"/>
      <c r="N65"/>
      <c r="O65"/>
      <c r="P65" s="151">
        <v>1.1575656628034618</v>
      </c>
      <c r="Q65" s="53"/>
      <c r="R65" s="53">
        <v>118.77243433719654</v>
      </c>
      <c r="S65" s="151">
        <v>1.1575656628034618</v>
      </c>
      <c r="T65" s="15"/>
      <c r="U65" s="15"/>
      <c r="V65" s="15"/>
      <c r="W65" s="15"/>
      <c r="X65" s="15"/>
      <c r="Y65" s="15"/>
      <c r="Z65" s="15"/>
      <c r="AA65" s="15"/>
    </row>
    <row r="66" spans="1:27" s="21" customFormat="1" x14ac:dyDescent="0.55000000000000004">
      <c r="A66" s="17"/>
      <c r="B66"/>
      <c r="C66"/>
      <c r="D66"/>
      <c r="E66"/>
      <c r="F66" s="49">
        <v>39114</v>
      </c>
      <c r="G66" s="92">
        <v>120.36</v>
      </c>
      <c r="H66"/>
      <c r="I66"/>
      <c r="J66"/>
      <c r="K66"/>
      <c r="L66"/>
      <c r="M66"/>
      <c r="N66"/>
      <c r="O66"/>
      <c r="P66" s="151">
        <v>1.2039982569519367</v>
      </c>
      <c r="Q66" s="53"/>
      <c r="R66" s="53">
        <v>119.15600174304807</v>
      </c>
      <c r="S66" s="151">
        <v>1.2039982569519367</v>
      </c>
      <c r="T66" s="15"/>
      <c r="U66" s="15"/>
      <c r="V66" s="15"/>
      <c r="W66" s="15"/>
      <c r="X66" s="15"/>
      <c r="Y66" s="15"/>
      <c r="Z66" s="15"/>
      <c r="AA66" s="15"/>
    </row>
    <row r="67" spans="1:27" s="21" customFormat="1" x14ac:dyDescent="0.55000000000000004">
      <c r="A67" s="17"/>
      <c r="B67"/>
      <c r="C67"/>
      <c r="D67"/>
      <c r="E67"/>
      <c r="F67" s="49">
        <v>39142</v>
      </c>
      <c r="G67" s="92">
        <v>119.48</v>
      </c>
      <c r="H67"/>
      <c r="I67"/>
      <c r="J67"/>
      <c r="K67"/>
      <c r="L67"/>
      <c r="M67"/>
      <c r="N67"/>
      <c r="O67"/>
      <c r="P67" s="151">
        <v>1.2848085980651738</v>
      </c>
      <c r="Q67" s="53"/>
      <c r="R67" s="53">
        <v>118.19519140193484</v>
      </c>
      <c r="S67" s="151">
        <v>1.2848085980651738</v>
      </c>
      <c r="T67" s="15"/>
      <c r="U67" s="15"/>
      <c r="V67" s="15"/>
      <c r="W67" s="15"/>
      <c r="X67" s="15"/>
      <c r="Y67" s="15"/>
      <c r="Z67" s="15"/>
      <c r="AA67" s="15"/>
    </row>
    <row r="68" spans="1:27" s="21" customFormat="1" x14ac:dyDescent="0.55000000000000004">
      <c r="A68" s="17"/>
      <c r="B68"/>
      <c r="C68"/>
      <c r="D68"/>
      <c r="E68"/>
      <c r="F68" s="49">
        <v>39173</v>
      </c>
      <c r="G68" s="92">
        <v>121.1</v>
      </c>
      <c r="H68"/>
      <c r="I68"/>
      <c r="J68"/>
      <c r="K68"/>
      <c r="L68"/>
      <c r="M68"/>
      <c r="N68"/>
      <c r="O68"/>
      <c r="P68" s="151">
        <v>1.4178447184545813</v>
      </c>
      <c r="Q68" s="53"/>
      <c r="R68" s="53">
        <v>119.68215528154542</v>
      </c>
      <c r="S68" s="151">
        <v>1.4178447184545813</v>
      </c>
      <c r="T68" s="15"/>
      <c r="U68" s="15"/>
      <c r="V68" s="15"/>
      <c r="W68" s="15"/>
      <c r="X68" s="15"/>
      <c r="Y68" s="15"/>
      <c r="Z68" s="15"/>
      <c r="AA68" s="15"/>
    </row>
    <row r="69" spans="1:27" s="21" customFormat="1" x14ac:dyDescent="0.55000000000000004">
      <c r="A69" s="17"/>
      <c r="B69"/>
      <c r="C69"/>
      <c r="D69"/>
      <c r="E69"/>
      <c r="F69" s="49">
        <v>39203</v>
      </c>
      <c r="G69" s="92">
        <v>122.21</v>
      </c>
      <c r="H69"/>
      <c r="I69"/>
      <c r="J69"/>
      <c r="K69"/>
      <c r="L69"/>
      <c r="M69"/>
      <c r="N69"/>
      <c r="O69"/>
      <c r="P69" s="151">
        <v>1.616324469596627</v>
      </c>
      <c r="Q69" s="53"/>
      <c r="R69" s="53">
        <v>120.59367553040337</v>
      </c>
      <c r="S69" s="151">
        <v>1.616324469596627</v>
      </c>
      <c r="T69" s="15"/>
      <c r="U69" s="15"/>
      <c r="V69" s="15"/>
      <c r="W69" s="15"/>
      <c r="X69" s="15"/>
      <c r="Y69" s="15"/>
      <c r="Z69" s="15"/>
      <c r="AA69" s="15"/>
    </row>
    <row r="70" spans="1:27" s="21" customFormat="1" x14ac:dyDescent="0.55000000000000004">
      <c r="A70" s="17"/>
      <c r="B70"/>
      <c r="C70"/>
      <c r="D70"/>
      <c r="E70"/>
      <c r="F70" s="49">
        <v>39234</v>
      </c>
      <c r="G70" s="92">
        <v>122.99</v>
      </c>
      <c r="H70"/>
      <c r="I70"/>
      <c r="J70"/>
      <c r="K70"/>
      <c r="L70"/>
      <c r="M70"/>
      <c r="N70"/>
      <c r="O70"/>
      <c r="P70" s="151">
        <v>1.8866983546963429</v>
      </c>
      <c r="Q70" s="53"/>
      <c r="R70" s="53">
        <v>121.10330164530365</v>
      </c>
      <c r="S70" s="151">
        <v>1.8866983546963429</v>
      </c>
      <c r="T70" s="15"/>
      <c r="U70" s="15"/>
      <c r="V70" s="15"/>
      <c r="W70" s="15"/>
      <c r="X70" s="15"/>
      <c r="Y70" s="15"/>
      <c r="Z70" s="15"/>
      <c r="AA70" s="15"/>
    </row>
    <row r="71" spans="1:27" s="21" customFormat="1" x14ac:dyDescent="0.55000000000000004">
      <c r="A71" s="17"/>
      <c r="B71"/>
      <c r="C71"/>
      <c r="D71"/>
      <c r="E71"/>
      <c r="F71" s="49">
        <v>39264</v>
      </c>
      <c r="G71" s="92">
        <v>123.81</v>
      </c>
      <c r="H71"/>
      <c r="I71"/>
      <c r="J71"/>
      <c r="K71"/>
      <c r="L71"/>
      <c r="M71"/>
      <c r="N71"/>
      <c r="O71"/>
      <c r="P71" s="151">
        <v>2.2270215525828672</v>
      </c>
      <c r="Q71" s="53"/>
      <c r="R71" s="53">
        <v>121.58297844741713</v>
      </c>
      <c r="S71" s="151">
        <v>2.2270215525828672</v>
      </c>
      <c r="T71" s="15"/>
      <c r="U71" s="15"/>
      <c r="V71" s="15"/>
      <c r="W71" s="15"/>
      <c r="X71" s="15"/>
      <c r="Y71" s="15"/>
      <c r="Z71" s="15"/>
      <c r="AA71" s="15"/>
    </row>
    <row r="72" spans="1:27" s="21" customFormat="1" x14ac:dyDescent="0.55000000000000004">
      <c r="A72" s="17"/>
      <c r="B72"/>
      <c r="C72"/>
      <c r="D72"/>
      <c r="E72"/>
      <c r="F72" s="49">
        <v>39295</v>
      </c>
      <c r="G72" s="92">
        <v>124.24</v>
      </c>
      <c r="H72"/>
      <c r="I72"/>
      <c r="J72"/>
      <c r="K72"/>
      <c r="L72"/>
      <c r="M72"/>
      <c r="N72"/>
      <c r="O72"/>
      <c r="P72" s="151">
        <v>2.6260345017933906</v>
      </c>
      <c r="Q72" s="53"/>
      <c r="R72" s="53">
        <v>121.61396549820661</v>
      </c>
      <c r="S72" s="151">
        <v>2.6260345017933906</v>
      </c>
      <c r="T72" s="15"/>
      <c r="U72" s="15"/>
      <c r="V72" s="15"/>
      <c r="W72" s="15"/>
      <c r="X72" s="15"/>
      <c r="Y72" s="15"/>
      <c r="Z72" s="15"/>
      <c r="AA72" s="15"/>
    </row>
    <row r="73" spans="1:27" s="21" customFormat="1" x14ac:dyDescent="0.55000000000000004">
      <c r="A73" s="17"/>
      <c r="B73"/>
      <c r="C73"/>
      <c r="D73"/>
      <c r="E73"/>
      <c r="F73" s="49">
        <v>39326</v>
      </c>
      <c r="G73" s="92">
        <v>125.04</v>
      </c>
      <c r="H73"/>
      <c r="I73"/>
      <c r="J73"/>
      <c r="K73"/>
      <c r="L73"/>
      <c r="M73"/>
      <c r="N73"/>
      <c r="O73"/>
      <c r="P73" s="151">
        <v>3.0630954426925507</v>
      </c>
      <c r="Q73" s="53"/>
      <c r="R73" s="53">
        <v>121.97690455730745</v>
      </c>
      <c r="S73" s="151">
        <v>3.0630954426925507</v>
      </c>
      <c r="T73" s="15"/>
      <c r="U73" s="15"/>
      <c r="V73" s="15"/>
      <c r="W73" s="15"/>
      <c r="X73" s="15"/>
      <c r="Y73" s="15"/>
      <c r="Z73" s="15"/>
      <c r="AA73" s="15"/>
    </row>
    <row r="74" spans="1:27" s="21" customFormat="1" x14ac:dyDescent="0.55000000000000004">
      <c r="A74" s="17"/>
      <c r="B74"/>
      <c r="C74"/>
      <c r="D74"/>
      <c r="E74"/>
      <c r="F74" s="49">
        <v>39356</v>
      </c>
      <c r="G74" s="92">
        <v>126.27</v>
      </c>
      <c r="H74"/>
      <c r="I74"/>
      <c r="J74"/>
      <c r="K74"/>
      <c r="L74"/>
      <c r="M74"/>
      <c r="N74"/>
      <c r="O74"/>
      <c r="P74" s="151">
        <v>3.5090348796744006</v>
      </c>
      <c r="Q74" s="53"/>
      <c r="R74" s="53">
        <v>122.76096512032559</v>
      </c>
      <c r="S74" s="151">
        <v>3.5090348796744006</v>
      </c>
      <c r="T74" s="15"/>
      <c r="U74" s="15"/>
      <c r="V74" s="15"/>
      <c r="W74" s="15"/>
      <c r="X74" s="15"/>
      <c r="Y74" s="15"/>
      <c r="Z74" s="15"/>
      <c r="AA74" s="15"/>
    </row>
    <row r="75" spans="1:27" s="21" customFormat="1" x14ac:dyDescent="0.55000000000000004">
      <c r="A75" s="17"/>
      <c r="B75"/>
      <c r="C75"/>
      <c r="D75"/>
      <c r="E75"/>
      <c r="F75" s="49">
        <v>39387</v>
      </c>
      <c r="G75" s="92">
        <v>126.23</v>
      </c>
      <c r="H75"/>
      <c r="I75"/>
      <c r="J75"/>
      <c r="K75"/>
      <c r="L75"/>
      <c r="M75"/>
      <c r="N75"/>
      <c r="O75"/>
      <c r="P75" s="151">
        <v>3.927917255577726</v>
      </c>
      <c r="Q75" s="53"/>
      <c r="R75" s="53">
        <v>122.30208274442228</v>
      </c>
      <c r="S75" s="151">
        <v>3.927917255577726</v>
      </c>
      <c r="T75" s="15"/>
      <c r="U75" s="15"/>
      <c r="V75" s="15"/>
      <c r="W75" s="15"/>
      <c r="X75" s="15"/>
      <c r="Y75" s="15"/>
      <c r="Z75" s="15"/>
      <c r="AA75" s="15"/>
    </row>
    <row r="76" spans="1:27" s="21" customFormat="1" x14ac:dyDescent="0.55000000000000004">
      <c r="A76" s="17"/>
      <c r="B76"/>
      <c r="C76"/>
      <c r="D76"/>
      <c r="E76"/>
      <c r="F76" s="49">
        <v>39417</v>
      </c>
      <c r="G76" s="92">
        <v>127.6</v>
      </c>
      <c r="H76"/>
      <c r="I76"/>
      <c r="J76"/>
      <c r="K76"/>
      <c r="L76"/>
      <c r="M76"/>
      <c r="N76"/>
      <c r="O76"/>
      <c r="P76" s="151">
        <v>4.2796069368480243</v>
      </c>
      <c r="Q76" s="53"/>
      <c r="R76" s="53">
        <v>123.32039306315197</v>
      </c>
      <c r="S76" s="151">
        <v>4.2796069368480243</v>
      </c>
      <c r="T76" s="15"/>
      <c r="U76" s="15"/>
      <c r="V76" s="15"/>
      <c r="W76" s="15"/>
      <c r="X76" s="15"/>
      <c r="Y76" s="15"/>
      <c r="Z76" s="15"/>
      <c r="AA76" s="15"/>
    </row>
    <row r="77" spans="1:27" s="21" customFormat="1" x14ac:dyDescent="0.55000000000000004">
      <c r="A77" s="17"/>
      <c r="B77"/>
      <c r="C77"/>
      <c r="D77"/>
      <c r="E77"/>
      <c r="F77" s="49">
        <v>39448</v>
      </c>
      <c r="G77" s="92">
        <v>127.44</v>
      </c>
      <c r="H77"/>
      <c r="I77"/>
      <c r="J77"/>
      <c r="K77"/>
      <c r="L77"/>
      <c r="M77"/>
      <c r="N77"/>
      <c r="O77"/>
      <c r="P77" s="151">
        <v>4.5229523763262653</v>
      </c>
      <c r="Q77" s="53"/>
      <c r="R77" s="53">
        <v>122.91704762367374</v>
      </c>
      <c r="S77" s="151">
        <v>4.5229523763262653</v>
      </c>
      <c r="T77" s="15"/>
      <c r="U77" s="15"/>
      <c r="V77" s="15"/>
      <c r="W77" s="15"/>
      <c r="X77" s="15"/>
      <c r="Y77" s="15"/>
      <c r="Z77" s="15"/>
      <c r="AA77" s="15"/>
    </row>
    <row r="78" spans="1:27" s="21" customFormat="1" x14ac:dyDescent="0.55000000000000004">
      <c r="A78" s="17"/>
      <c r="B78"/>
      <c r="C78"/>
      <c r="D78"/>
      <c r="E78"/>
      <c r="F78" s="49">
        <v>39479</v>
      </c>
      <c r="G78" s="92">
        <v>127.11</v>
      </c>
      <c r="H78"/>
      <c r="I78"/>
      <c r="J78"/>
      <c r="K78"/>
      <c r="L78"/>
      <c r="M78"/>
      <c r="N78"/>
      <c r="O78"/>
      <c r="P78" s="151">
        <v>4.6193324890658287</v>
      </c>
      <c r="Q78" s="53"/>
      <c r="R78" s="53">
        <v>122.49066751093417</v>
      </c>
      <c r="S78" s="151">
        <v>4.6193324890658287</v>
      </c>
      <c r="T78" s="15"/>
      <c r="U78" s="15"/>
      <c r="V78" s="15"/>
      <c r="W78" s="15"/>
      <c r="X78" s="15"/>
      <c r="Y78" s="15"/>
      <c r="Z78" s="15"/>
      <c r="AA78" s="15"/>
    </row>
    <row r="79" spans="1:27" s="21" customFormat="1" x14ac:dyDescent="0.55000000000000004">
      <c r="A79" s="17"/>
      <c r="B79"/>
      <c r="C79"/>
      <c r="D79"/>
      <c r="E79"/>
      <c r="F79" s="49">
        <v>39508</v>
      </c>
      <c r="G79" s="92">
        <v>126.39</v>
      </c>
      <c r="H79"/>
      <c r="I79"/>
      <c r="J79"/>
      <c r="K79"/>
      <c r="L79"/>
      <c r="M79"/>
      <c r="N79"/>
      <c r="O79"/>
      <c r="P79" s="151">
        <v>4.5362603760412181</v>
      </c>
      <c r="Q79" s="53"/>
      <c r="R79" s="53">
        <v>121.85373962395879</v>
      </c>
      <c r="S79" s="151">
        <v>4.5362603760412181</v>
      </c>
      <c r="T79" s="15"/>
      <c r="U79" s="15"/>
      <c r="V79" s="15"/>
      <c r="W79" s="15"/>
      <c r="X79" s="15"/>
      <c r="Y79" s="15"/>
      <c r="Z79" s="15"/>
      <c r="AA79" s="15"/>
    </row>
    <row r="80" spans="1:27" s="21" customFormat="1" x14ac:dyDescent="0.55000000000000004">
      <c r="A80" s="17"/>
      <c r="B80"/>
      <c r="C80"/>
      <c r="D80"/>
      <c r="E80"/>
      <c r="F80" s="49">
        <v>39539</v>
      </c>
      <c r="G80" s="92">
        <v>128.02000000000001</v>
      </c>
      <c r="H80"/>
      <c r="I80"/>
      <c r="J80"/>
      <c r="K80"/>
      <c r="L80"/>
      <c r="M80"/>
      <c r="N80"/>
      <c r="O80"/>
      <c r="P80" s="151">
        <v>4.2507173754397289</v>
      </c>
      <c r="Q80" s="53"/>
      <c r="R80" s="53">
        <v>123.76928262456028</v>
      </c>
      <c r="S80" s="151">
        <v>4.2507173754397289</v>
      </c>
      <c r="T80" s="15"/>
      <c r="U80" s="15"/>
      <c r="V80" s="15"/>
      <c r="W80" s="15"/>
      <c r="X80" s="15"/>
      <c r="Y80" s="15"/>
      <c r="Z80" s="15"/>
      <c r="AA80" s="15"/>
    </row>
    <row r="81" spans="1:27" s="21" customFormat="1" x14ac:dyDescent="0.55000000000000004">
      <c r="A81" s="17"/>
      <c r="B81"/>
      <c r="C81"/>
      <c r="D81"/>
      <c r="E81"/>
      <c r="F81" s="49">
        <v>39569</v>
      </c>
      <c r="G81" s="92">
        <v>129.38999999999999</v>
      </c>
      <c r="H81"/>
      <c r="I81"/>
      <c r="J81"/>
      <c r="K81"/>
      <c r="L81"/>
      <c r="M81"/>
      <c r="N81"/>
      <c r="O81"/>
      <c r="P81" s="151">
        <v>3.7518984391005699</v>
      </c>
      <c r="Q81" s="53"/>
      <c r="R81" s="53">
        <v>125.63810156089941</v>
      </c>
      <c r="S81" s="151">
        <v>3.7518984391005699</v>
      </c>
      <c r="T81" s="15"/>
      <c r="U81" s="15"/>
      <c r="V81" s="15"/>
      <c r="W81" s="15"/>
      <c r="X81" s="15"/>
      <c r="Y81" s="15"/>
      <c r="Z81" s="15"/>
      <c r="AA81" s="15"/>
    </row>
    <row r="82" spans="1:27" s="21" customFormat="1" x14ac:dyDescent="0.55000000000000004">
      <c r="A82" s="17"/>
      <c r="B82"/>
      <c r="C82"/>
      <c r="D82"/>
      <c r="E82"/>
      <c r="F82" s="49">
        <v>39600</v>
      </c>
      <c r="G82" s="92">
        <v>130.47999999999999</v>
      </c>
      <c r="H82"/>
      <c r="I82"/>
      <c r="J82"/>
      <c r="K82"/>
      <c r="L82"/>
      <c r="M82"/>
      <c r="N82"/>
      <c r="O82"/>
      <c r="P82" s="151">
        <v>3.0430886083852187</v>
      </c>
      <c r="Q82" s="53"/>
      <c r="R82" s="53">
        <v>127.43691139161477</v>
      </c>
      <c r="S82" s="151">
        <v>3.0430886083852187</v>
      </c>
      <c r="T82" s="15"/>
      <c r="U82" s="15"/>
      <c r="V82" s="15"/>
      <c r="W82" s="15"/>
      <c r="X82" s="15"/>
      <c r="Y82" s="15"/>
      <c r="Z82" s="15"/>
      <c r="AA82" s="15"/>
    </row>
    <row r="83" spans="1:27" s="21" customFormat="1" x14ac:dyDescent="0.55000000000000004">
      <c r="A83" s="17"/>
      <c r="B83"/>
      <c r="C83"/>
      <c r="D83"/>
      <c r="E83"/>
      <c r="F83" s="49">
        <v>39630</v>
      </c>
      <c r="G83" s="92">
        <v>130.53</v>
      </c>
      <c r="H83"/>
      <c r="I83"/>
      <c r="J83"/>
      <c r="K83"/>
      <c r="L83"/>
      <c r="M83"/>
      <c r="N83"/>
      <c r="O83"/>
      <c r="P83" s="151">
        <v>2.1424574604704114</v>
      </c>
      <c r="Q83" s="53"/>
      <c r="R83" s="53">
        <v>128.38754253952959</v>
      </c>
      <c r="S83" s="151">
        <v>2.1424574604704114</v>
      </c>
      <c r="T83" s="15"/>
      <c r="U83" s="15"/>
      <c r="V83" s="15"/>
      <c r="W83" s="15"/>
      <c r="X83" s="15"/>
      <c r="Y83" s="15"/>
      <c r="Z83" s="15"/>
      <c r="AA83" s="15"/>
    </row>
    <row r="84" spans="1:27" s="21" customFormat="1" x14ac:dyDescent="0.55000000000000004">
      <c r="A84" s="17"/>
      <c r="B84"/>
      <c r="C84"/>
      <c r="D84"/>
      <c r="E84"/>
      <c r="F84" s="49">
        <v>39661</v>
      </c>
      <c r="G84" s="92">
        <v>131.08000000000001</v>
      </c>
      <c r="H84"/>
      <c r="I84"/>
      <c r="J84"/>
      <c r="K84"/>
      <c r="L84"/>
      <c r="M84"/>
      <c r="N84"/>
      <c r="O84"/>
      <c r="P84" s="151">
        <v>1.0826484696624923</v>
      </c>
      <c r="Q84" s="53"/>
      <c r="R84" s="53">
        <v>129.99735153033751</v>
      </c>
      <c r="S84" s="151">
        <v>1.0826484696624923</v>
      </c>
      <c r="T84" s="15"/>
      <c r="U84" s="15"/>
      <c r="V84" s="15"/>
      <c r="W84" s="15"/>
      <c r="X84" s="15"/>
      <c r="Y84" s="15"/>
      <c r="Z84" s="15"/>
      <c r="AA84" s="15"/>
    </row>
    <row r="85" spans="1:27" s="21" customFormat="1" x14ac:dyDescent="0.55000000000000004">
      <c r="A85" s="17"/>
      <c r="B85"/>
      <c r="C85"/>
      <c r="D85"/>
      <c r="E85"/>
      <c r="F85" s="49">
        <v>39692</v>
      </c>
      <c r="G85" s="92">
        <v>130.53</v>
      </c>
      <c r="H85"/>
      <c r="I85"/>
      <c r="J85"/>
      <c r="K85"/>
      <c r="L85"/>
      <c r="M85"/>
      <c r="N85"/>
      <c r="O85"/>
      <c r="P85" s="151">
        <v>-9.0854545067860615E-2</v>
      </c>
      <c r="Q85" s="53"/>
      <c r="R85" s="53">
        <v>130.62085454506786</v>
      </c>
      <c r="S85" s="151">
        <v>-9.0854545067860615E-2</v>
      </c>
      <c r="T85" s="15"/>
      <c r="U85" s="15"/>
      <c r="V85" s="15"/>
      <c r="W85" s="15"/>
      <c r="X85" s="15"/>
      <c r="Y85" s="15"/>
      <c r="Z85" s="15"/>
      <c r="AA85" s="15"/>
    </row>
    <row r="86" spans="1:27" s="21" customFormat="1" x14ac:dyDescent="0.55000000000000004">
      <c r="A86" s="17"/>
      <c r="B86"/>
      <c r="C86"/>
      <c r="D86"/>
      <c r="E86"/>
      <c r="F86" s="49">
        <v>39722</v>
      </c>
      <c r="G86" s="92">
        <v>128.13</v>
      </c>
      <c r="H86"/>
      <c r="I86"/>
      <c r="J86"/>
      <c r="K86"/>
      <c r="L86"/>
      <c r="M86"/>
      <c r="N86"/>
      <c r="O86"/>
      <c r="P86" s="151">
        <v>-1.3224909460233252</v>
      </c>
      <c r="Q86" s="53"/>
      <c r="R86" s="53">
        <v>129.45249094602332</v>
      </c>
      <c r="S86" s="151">
        <v>-1.3224909460233252</v>
      </c>
      <c r="T86" s="15"/>
      <c r="U86" s="15"/>
      <c r="V86" s="15"/>
      <c r="W86" s="15"/>
      <c r="X86" s="15"/>
      <c r="Y86" s="15"/>
      <c r="Z86" s="15"/>
      <c r="AA86" s="15"/>
    </row>
    <row r="87" spans="1:27" s="21" customFormat="1" x14ac:dyDescent="0.55000000000000004">
      <c r="A87" s="17"/>
      <c r="B87"/>
      <c r="C87"/>
      <c r="D87"/>
      <c r="E87"/>
      <c r="F87" s="49">
        <v>39753</v>
      </c>
      <c r="G87" s="92">
        <v>125.02</v>
      </c>
      <c r="H87"/>
      <c r="I87"/>
      <c r="J87"/>
      <c r="K87"/>
      <c r="L87"/>
      <c r="M87"/>
      <c r="N87"/>
      <c r="O87"/>
      <c r="P87" s="151">
        <v>-2.5503180184053793</v>
      </c>
      <c r="Q87" s="53"/>
      <c r="R87" s="53">
        <v>127.57031801840537</v>
      </c>
      <c r="S87" s="151">
        <v>-2.5503180184053793</v>
      </c>
      <c r="T87" s="15"/>
      <c r="U87" s="15"/>
      <c r="V87" s="15"/>
      <c r="W87" s="15"/>
      <c r="X87" s="15"/>
      <c r="Y87" s="15"/>
      <c r="Z87" s="15"/>
      <c r="AA87" s="15"/>
    </row>
    <row r="88" spans="1:27" s="21" customFormat="1" x14ac:dyDescent="0.55000000000000004">
      <c r="A88" s="17"/>
      <c r="B88"/>
      <c r="C88"/>
      <c r="D88"/>
      <c r="E88"/>
      <c r="F88" s="49">
        <v>39783</v>
      </c>
      <c r="G88" s="92">
        <v>121.66</v>
      </c>
      <c r="H88"/>
      <c r="I88"/>
      <c r="J88"/>
      <c r="K88"/>
      <c r="L88"/>
      <c r="M88"/>
      <c r="N88"/>
      <c r="O88"/>
      <c r="P88" s="151">
        <v>-3.7103476565788873</v>
      </c>
      <c r="Q88" s="53"/>
      <c r="R88" s="53">
        <v>125.37034765657889</v>
      </c>
      <c r="S88" s="151">
        <v>-3.7103476565788873</v>
      </c>
      <c r="T88" s="15"/>
      <c r="U88" s="15"/>
      <c r="V88" s="15"/>
      <c r="W88" s="15"/>
      <c r="X88" s="15"/>
      <c r="Y88" s="15"/>
      <c r="Z88" s="15"/>
      <c r="AA88" s="15"/>
    </row>
    <row r="89" spans="1:27" s="21" customFormat="1" x14ac:dyDescent="0.55000000000000004">
      <c r="A89" s="17"/>
      <c r="B89"/>
      <c r="C89"/>
      <c r="D89"/>
      <c r="E89"/>
      <c r="F89" s="49">
        <v>39814</v>
      </c>
      <c r="G89" s="92">
        <v>121.23</v>
      </c>
      <c r="H89"/>
      <c r="I89"/>
      <c r="J89"/>
      <c r="K89"/>
      <c r="L89"/>
      <c r="M89"/>
      <c r="N89"/>
      <c r="O89"/>
      <c r="P89" s="151">
        <v>-4.7411696808171184</v>
      </c>
      <c r="Q89" s="53"/>
      <c r="R89" s="53">
        <v>125.97116968081713</v>
      </c>
      <c r="S89" s="151">
        <v>-4.7411696808171184</v>
      </c>
      <c r="T89" s="15"/>
      <c r="U89" s="15"/>
      <c r="V89" s="15"/>
      <c r="W89" s="15"/>
      <c r="X89" s="15"/>
      <c r="Y89" s="15"/>
      <c r="Z89" s="15"/>
      <c r="AA89" s="15"/>
    </row>
    <row r="90" spans="1:27" s="21" customFormat="1" x14ac:dyDescent="0.55000000000000004">
      <c r="A90" s="17"/>
      <c r="B90"/>
      <c r="C90"/>
      <c r="D90"/>
      <c r="E90"/>
      <c r="F90" s="49">
        <v>39845</v>
      </c>
      <c r="G90" s="92">
        <v>122.4</v>
      </c>
      <c r="H90"/>
      <c r="I90"/>
      <c r="J90"/>
      <c r="K90"/>
      <c r="L90"/>
      <c r="M90"/>
      <c r="N90"/>
      <c r="O90"/>
      <c r="P90" s="151">
        <v>-5.5884719196719512</v>
      </c>
      <c r="Q90" s="53"/>
      <c r="R90" s="53">
        <v>127.98847191967195</v>
      </c>
      <c r="S90" s="151">
        <v>-5.5884719196719512</v>
      </c>
      <c r="T90" s="15"/>
      <c r="U90" s="15"/>
      <c r="V90" s="15"/>
      <c r="W90" s="15"/>
      <c r="X90" s="15"/>
      <c r="Y90" s="15"/>
      <c r="Z90" s="15"/>
      <c r="AA90" s="15"/>
    </row>
    <row r="91" spans="1:27" s="21" customFormat="1" x14ac:dyDescent="0.55000000000000004">
      <c r="A91" s="17"/>
      <c r="B91"/>
      <c r="C91"/>
      <c r="D91"/>
      <c r="E91"/>
      <c r="F91" s="49">
        <v>39873</v>
      </c>
      <c r="G91" s="92">
        <v>122.96</v>
      </c>
      <c r="H91"/>
      <c r="I91"/>
      <c r="J91"/>
      <c r="K91"/>
      <c r="L91"/>
      <c r="M91"/>
      <c r="N91"/>
      <c r="O91"/>
      <c r="P91" s="151">
        <v>-6.2090682466266589</v>
      </c>
      <c r="Q91" s="53"/>
      <c r="R91" s="53">
        <v>129.16906824662667</v>
      </c>
      <c r="S91" s="151">
        <v>-6.2090682466266589</v>
      </c>
      <c r="T91" s="15"/>
      <c r="U91" s="15"/>
      <c r="V91" s="15"/>
      <c r="W91" s="15"/>
      <c r="X91" s="15"/>
      <c r="Y91" s="15"/>
      <c r="Z91" s="15"/>
      <c r="AA91" s="15"/>
    </row>
    <row r="92" spans="1:27" s="21" customFormat="1" x14ac:dyDescent="0.55000000000000004">
      <c r="A92" s="17"/>
      <c r="B92"/>
      <c r="C92"/>
      <c r="D92"/>
      <c r="E92"/>
      <c r="F92" s="49">
        <v>39904</v>
      </c>
      <c r="G92" s="92">
        <v>123.53</v>
      </c>
      <c r="H92"/>
      <c r="I92"/>
      <c r="J92"/>
      <c r="K92"/>
      <c r="L92"/>
      <c r="M92"/>
      <c r="N92"/>
      <c r="O92"/>
      <c r="P92" s="151">
        <v>-6.574083127462762</v>
      </c>
      <c r="Q92" s="53"/>
      <c r="R92" s="53">
        <v>130.10408312746276</v>
      </c>
      <c r="S92" s="151">
        <v>-6.574083127462762</v>
      </c>
      <c r="T92" s="15"/>
      <c r="U92" s="15"/>
      <c r="V92" s="15"/>
      <c r="W92" s="15"/>
      <c r="X92" s="15"/>
      <c r="Y92" s="15"/>
      <c r="Z92" s="15"/>
      <c r="AA92" s="15"/>
    </row>
    <row r="93" spans="1:27" s="21" customFormat="1" x14ac:dyDescent="0.55000000000000004">
      <c r="A93" s="17"/>
      <c r="B93"/>
      <c r="C93"/>
      <c r="D93"/>
      <c r="E93"/>
      <c r="F93" s="49">
        <v>39934</v>
      </c>
      <c r="G93" s="92">
        <v>124.81</v>
      </c>
      <c r="H93"/>
      <c r="I93"/>
      <c r="J93"/>
      <c r="K93"/>
      <c r="L93"/>
      <c r="M93"/>
      <c r="N93"/>
      <c r="O93"/>
      <c r="P93" s="151">
        <v>-6.6710120682553882</v>
      </c>
      <c r="Q93" s="53"/>
      <c r="R93" s="53">
        <v>131.48101206825538</v>
      </c>
      <c r="S93" s="151">
        <v>-6.6710120682553882</v>
      </c>
      <c r="T93" s="15"/>
      <c r="U93" s="15"/>
      <c r="V93" s="15"/>
      <c r="W93" s="15"/>
      <c r="X93" s="15"/>
      <c r="Y93" s="15"/>
      <c r="Z93" s="15"/>
      <c r="AA93" s="15"/>
    </row>
    <row r="94" spans="1:27" s="21" customFormat="1" x14ac:dyDescent="0.55000000000000004">
      <c r="A94" s="17"/>
      <c r="B94"/>
      <c r="C94"/>
      <c r="D94"/>
      <c r="E94"/>
      <c r="F94" s="49">
        <v>39965</v>
      </c>
      <c r="G94" s="92">
        <v>125.44</v>
      </c>
      <c r="H94"/>
      <c r="I94"/>
      <c r="J94"/>
      <c r="K94"/>
      <c r="L94"/>
      <c r="M94"/>
      <c r="N94"/>
      <c r="O94"/>
      <c r="P94" s="151">
        <v>-6.5044754487422924</v>
      </c>
      <c r="Q94" s="53"/>
      <c r="R94" s="53">
        <v>131.94447544874228</v>
      </c>
      <c r="S94" s="151">
        <v>-6.5044754487422924</v>
      </c>
      <c r="T94" s="15"/>
      <c r="U94" s="15"/>
      <c r="V94" s="15"/>
      <c r="W94" s="15"/>
      <c r="X94" s="15"/>
      <c r="Y94" s="15"/>
      <c r="Z94" s="15"/>
      <c r="AA94" s="15"/>
    </row>
    <row r="95" spans="1:27" s="21" customFormat="1" x14ac:dyDescent="0.55000000000000004">
      <c r="A95" s="17"/>
      <c r="B95"/>
      <c r="C95"/>
      <c r="D95"/>
      <c r="E95"/>
      <c r="F95" s="49">
        <v>39995</v>
      </c>
      <c r="G95" s="92">
        <v>125.84</v>
      </c>
      <c r="H95"/>
      <c r="I95"/>
      <c r="J95"/>
      <c r="K95"/>
      <c r="L95"/>
      <c r="M95"/>
      <c r="N95"/>
      <c r="O95"/>
      <c r="P95" s="151">
        <v>-6.0955995725228549</v>
      </c>
      <c r="Q95" s="53"/>
      <c r="R95" s="53">
        <v>131.93559957252285</v>
      </c>
      <c r="S95" s="151">
        <v>-6.0955995725228549</v>
      </c>
      <c r="T95" s="15"/>
      <c r="U95" s="15"/>
      <c r="V95" s="15"/>
      <c r="W95" s="15"/>
      <c r="X95" s="15"/>
      <c r="Y95" s="15"/>
      <c r="Z95" s="15"/>
      <c r="AA95" s="15"/>
    </row>
    <row r="96" spans="1:27" s="21" customFormat="1" x14ac:dyDescent="0.55000000000000004">
      <c r="A96" s="17"/>
      <c r="B96"/>
      <c r="C96"/>
      <c r="D96"/>
      <c r="E96"/>
      <c r="F96" s="49">
        <v>40026</v>
      </c>
      <c r="G96" s="92">
        <v>128.07</v>
      </c>
      <c r="H96"/>
      <c r="I96"/>
      <c r="J96"/>
      <c r="K96"/>
      <c r="L96"/>
      <c r="M96"/>
      <c r="N96"/>
      <c r="O96"/>
      <c r="P96" s="151">
        <v>-5.4800823993846297</v>
      </c>
      <c r="Q96" s="53"/>
      <c r="R96" s="53">
        <v>133.55008239938462</v>
      </c>
      <c r="S96" s="151">
        <v>-5.4800823993846297</v>
      </c>
      <c r="T96" s="15"/>
      <c r="U96" s="15"/>
      <c r="V96" s="15"/>
      <c r="W96" s="15"/>
      <c r="X96" s="15"/>
      <c r="Y96" s="15"/>
      <c r="Z96" s="15"/>
      <c r="AA96" s="15"/>
    </row>
    <row r="97" spans="1:27" s="21" customFormat="1" x14ac:dyDescent="0.55000000000000004">
      <c r="A97" s="17"/>
      <c r="B97"/>
      <c r="C97"/>
      <c r="D97"/>
      <c r="E97"/>
      <c r="F97" s="49">
        <v>40057</v>
      </c>
      <c r="G97" s="92">
        <v>128.88999999999999</v>
      </c>
      <c r="H97"/>
      <c r="I97"/>
      <c r="J97"/>
      <c r="K97"/>
      <c r="L97"/>
      <c r="M97"/>
      <c r="N97"/>
      <c r="O97"/>
      <c r="P97" s="151">
        <v>-4.7051204936234567</v>
      </c>
      <c r="Q97" s="53"/>
      <c r="R97" s="53">
        <v>133.59512049362345</v>
      </c>
      <c r="S97" s="151">
        <v>-4.7051204936234567</v>
      </c>
      <c r="T97" s="15"/>
      <c r="U97" s="15"/>
      <c r="V97" s="15"/>
      <c r="W97" s="15"/>
      <c r="X97" s="15"/>
      <c r="Y97" s="15"/>
      <c r="Z97" s="15"/>
      <c r="AA97" s="15"/>
    </row>
    <row r="98" spans="1:27" s="21" customFormat="1" x14ac:dyDescent="0.55000000000000004">
      <c r="A98" s="17"/>
      <c r="B98"/>
      <c r="C98"/>
      <c r="D98"/>
      <c r="E98"/>
      <c r="F98" s="49">
        <v>40087</v>
      </c>
      <c r="G98" s="92">
        <v>129.97</v>
      </c>
      <c r="H98"/>
      <c r="I98"/>
      <c r="J98"/>
      <c r="K98"/>
      <c r="L98"/>
      <c r="M98"/>
      <c r="N98"/>
      <c r="O98"/>
      <c r="P98" s="151">
        <v>-3.8254766647037055</v>
      </c>
      <c r="Q98" s="53"/>
      <c r="R98" s="53">
        <v>133.7954766647037</v>
      </c>
      <c r="S98" s="151">
        <v>-3.8254766647037055</v>
      </c>
      <c r="T98" s="15"/>
      <c r="U98" s="15"/>
      <c r="V98" s="15"/>
      <c r="W98" s="15"/>
      <c r="X98" s="15"/>
      <c r="Y98" s="15"/>
      <c r="Z98" s="15"/>
      <c r="AA98" s="15"/>
    </row>
    <row r="99" spans="1:27" s="21" customFormat="1" x14ac:dyDescent="0.55000000000000004">
      <c r="A99" s="17"/>
      <c r="B99"/>
      <c r="C99"/>
      <c r="D99"/>
      <c r="E99"/>
      <c r="F99" s="49">
        <v>40118</v>
      </c>
      <c r="G99" s="92">
        <v>130.07</v>
      </c>
      <c r="H99"/>
      <c r="I99"/>
      <c r="J99"/>
      <c r="K99"/>
      <c r="L99"/>
      <c r="M99"/>
      <c r="N99"/>
      <c r="O99"/>
      <c r="P99" s="151">
        <v>-2.8990444943668887</v>
      </c>
      <c r="Q99" s="53"/>
      <c r="R99" s="53">
        <v>132.96904449436687</v>
      </c>
      <c r="S99" s="151">
        <v>-2.8990444943668887</v>
      </c>
      <c r="T99" s="15"/>
      <c r="U99" s="15"/>
      <c r="V99" s="15"/>
      <c r="W99" s="15"/>
      <c r="X99" s="15"/>
      <c r="Y99" s="15"/>
      <c r="Z99" s="15"/>
      <c r="AA99" s="15"/>
    </row>
    <row r="100" spans="1:27" s="21" customFormat="1" x14ac:dyDescent="0.55000000000000004">
      <c r="A100" s="17"/>
      <c r="B100"/>
      <c r="C100"/>
      <c r="D100"/>
      <c r="E100"/>
      <c r="F100" s="49">
        <v>40148</v>
      </c>
      <c r="G100" s="92">
        <v>132.08000000000001</v>
      </c>
      <c r="H100"/>
      <c r="I100"/>
      <c r="J100"/>
      <c r="K100"/>
      <c r="L100"/>
      <c r="M100"/>
      <c r="N100"/>
      <c r="O100"/>
      <c r="P100" s="151">
        <v>-1.9823088410503316</v>
      </c>
      <c r="Q100" s="53"/>
      <c r="R100" s="53">
        <v>134.06230884105034</v>
      </c>
      <c r="S100" s="151">
        <v>-1.9823088410503316</v>
      </c>
      <c r="T100" s="15"/>
      <c r="U100" s="15"/>
      <c r="V100" s="15"/>
      <c r="W100" s="15"/>
      <c r="X100" s="15"/>
      <c r="Y100" s="15"/>
      <c r="Z100" s="15"/>
      <c r="AA100" s="15"/>
    </row>
    <row r="101" spans="1:27" s="21" customFormat="1" x14ac:dyDescent="0.55000000000000004">
      <c r="A101" s="17"/>
      <c r="B101"/>
      <c r="C101"/>
      <c r="D101"/>
      <c r="E101"/>
      <c r="F101" s="49">
        <v>40179</v>
      </c>
      <c r="G101" s="92">
        <v>133.88</v>
      </c>
      <c r="H101"/>
      <c r="I101"/>
      <c r="J101"/>
      <c r="K101"/>
      <c r="L101"/>
      <c r="M101"/>
      <c r="N101"/>
      <c r="O101"/>
      <c r="P101" s="151">
        <v>-1.1261061933898495</v>
      </c>
      <c r="Q101" s="53"/>
      <c r="R101" s="53">
        <v>135.00610619338985</v>
      </c>
      <c r="S101" s="151">
        <v>-1.1261061933898495</v>
      </c>
      <c r="T101" s="15"/>
      <c r="U101" s="15"/>
      <c r="V101" s="15"/>
      <c r="W101" s="15"/>
      <c r="X101" s="15"/>
      <c r="Y101" s="15"/>
      <c r="Z101" s="15"/>
      <c r="AA101" s="15"/>
    </row>
    <row r="102" spans="1:27" s="21" customFormat="1" x14ac:dyDescent="0.55000000000000004">
      <c r="A102" s="17"/>
      <c r="B102"/>
      <c r="C102"/>
      <c r="D102"/>
      <c r="E102"/>
      <c r="F102" s="49">
        <v>40210</v>
      </c>
      <c r="G102" s="92">
        <v>135.35</v>
      </c>
      <c r="H102"/>
      <c r="I102"/>
      <c r="J102"/>
      <c r="K102"/>
      <c r="L102"/>
      <c r="M102"/>
      <c r="N102"/>
      <c r="O102"/>
      <c r="P102" s="151">
        <v>-0.37205488723376512</v>
      </c>
      <c r="Q102" s="53"/>
      <c r="R102" s="53">
        <v>135.72205488723375</v>
      </c>
      <c r="S102" s="151">
        <v>-0.37205488723376512</v>
      </c>
      <c r="T102" s="15"/>
      <c r="U102" s="15"/>
      <c r="V102" s="15"/>
      <c r="W102" s="15"/>
      <c r="X102" s="15"/>
      <c r="Y102" s="15"/>
      <c r="Z102" s="15"/>
      <c r="AA102" s="15"/>
    </row>
    <row r="103" spans="1:27" s="21" customFormat="1" x14ac:dyDescent="0.55000000000000004">
      <c r="A103" s="17"/>
      <c r="B103"/>
      <c r="C103"/>
      <c r="D103"/>
      <c r="E103"/>
      <c r="F103" s="49">
        <v>40238</v>
      </c>
      <c r="G103" s="92">
        <v>136.52000000000001</v>
      </c>
      <c r="H103"/>
      <c r="I103"/>
      <c r="J103"/>
      <c r="K103"/>
      <c r="L103"/>
      <c r="M103"/>
      <c r="N103"/>
      <c r="O103"/>
      <c r="P103" s="151">
        <v>0.25004395640744392</v>
      </c>
      <c r="Q103" s="53"/>
      <c r="R103" s="53">
        <v>136.26995604359257</v>
      </c>
      <c r="S103" s="151">
        <v>0.25004395640744392</v>
      </c>
      <c r="T103" s="15"/>
      <c r="U103" s="15"/>
      <c r="V103" s="15"/>
      <c r="W103" s="15"/>
      <c r="X103" s="15"/>
      <c r="Y103" s="15"/>
      <c r="Z103" s="15"/>
      <c r="AA103" s="15"/>
    </row>
    <row r="104" spans="1:27" s="21" customFormat="1" x14ac:dyDescent="0.55000000000000004">
      <c r="A104" s="17"/>
      <c r="B104"/>
      <c r="C104"/>
      <c r="D104"/>
      <c r="E104"/>
      <c r="F104" s="49">
        <v>40269</v>
      </c>
      <c r="G104" s="92">
        <v>137.13</v>
      </c>
      <c r="H104"/>
      <c r="I104"/>
      <c r="J104"/>
      <c r="K104"/>
      <c r="L104"/>
      <c r="M104"/>
      <c r="N104"/>
      <c r="O104"/>
      <c r="P104" s="151">
        <v>0.72363148055511961</v>
      </c>
      <c r="Q104" s="53"/>
      <c r="R104" s="53">
        <v>136.40636851944487</v>
      </c>
      <c r="S104" s="151">
        <v>0.72363148055511961</v>
      </c>
      <c r="T104" s="15"/>
      <c r="U104" s="15"/>
      <c r="V104" s="15"/>
      <c r="W104" s="15"/>
      <c r="X104" s="15"/>
      <c r="Y104" s="15"/>
      <c r="Z104" s="15"/>
      <c r="AA104" s="15"/>
    </row>
    <row r="105" spans="1:27" s="21" customFormat="1" x14ac:dyDescent="0.55000000000000004">
      <c r="A105" s="17"/>
      <c r="B105"/>
      <c r="C105"/>
      <c r="D105"/>
      <c r="E105"/>
      <c r="F105" s="49">
        <v>40299</v>
      </c>
      <c r="G105" s="92">
        <v>136.21</v>
      </c>
      <c r="H105"/>
      <c r="I105"/>
      <c r="J105"/>
      <c r="K105"/>
      <c r="L105"/>
      <c r="M105"/>
      <c r="N105"/>
      <c r="O105"/>
      <c r="P105" s="151">
        <v>1.0455550455089968</v>
      </c>
      <c r="Q105" s="53"/>
      <c r="R105" s="53">
        <v>135.16444495449102</v>
      </c>
      <c r="S105" s="151">
        <v>1.0455550455089968</v>
      </c>
      <c r="T105" s="15"/>
      <c r="U105" s="15"/>
      <c r="V105" s="15"/>
      <c r="W105" s="15"/>
      <c r="X105" s="15"/>
      <c r="Y105" s="15"/>
      <c r="Z105" s="15"/>
      <c r="AA105" s="15"/>
    </row>
    <row r="106" spans="1:27" s="21" customFormat="1" x14ac:dyDescent="0.55000000000000004">
      <c r="A106" s="17"/>
      <c r="B106"/>
      <c r="C106"/>
      <c r="D106"/>
      <c r="E106"/>
      <c r="F106" s="49">
        <v>40330</v>
      </c>
      <c r="G106" s="92">
        <v>135.88999999999999</v>
      </c>
      <c r="H106"/>
      <c r="I106"/>
      <c r="J106"/>
      <c r="K106"/>
      <c r="L106"/>
      <c r="M106"/>
      <c r="N106"/>
      <c r="O106"/>
      <c r="P106" s="151">
        <v>1.2250071982694433</v>
      </c>
      <c r="Q106" s="53"/>
      <c r="R106" s="53">
        <v>134.66499280173053</v>
      </c>
      <c r="S106" s="151">
        <v>1.2250071982694433</v>
      </c>
      <c r="T106" s="15"/>
      <c r="U106" s="15"/>
      <c r="V106" s="15"/>
      <c r="W106" s="15"/>
      <c r="X106" s="15"/>
      <c r="Y106" s="15"/>
      <c r="Z106" s="15"/>
      <c r="AA106" s="15"/>
    </row>
    <row r="107" spans="1:27" s="21" customFormat="1" x14ac:dyDescent="0.55000000000000004">
      <c r="A107" s="17"/>
      <c r="B107"/>
      <c r="C107"/>
      <c r="D107"/>
      <c r="E107"/>
      <c r="F107" s="49">
        <v>40360</v>
      </c>
      <c r="G107" s="92">
        <v>136.72</v>
      </c>
      <c r="H107"/>
      <c r="I107"/>
      <c r="J107"/>
      <c r="K107"/>
      <c r="L107"/>
      <c r="M107"/>
      <c r="N107"/>
      <c r="O107"/>
      <c r="P107" s="151">
        <v>1.2813935895581423</v>
      </c>
      <c r="Q107" s="53"/>
      <c r="R107" s="53">
        <v>135.43860641044185</v>
      </c>
      <c r="S107" s="151">
        <v>1.2813935895581423</v>
      </c>
      <c r="T107" s="15"/>
      <c r="U107" s="15"/>
      <c r="V107" s="15"/>
      <c r="W107" s="15"/>
      <c r="X107" s="15"/>
      <c r="Y107" s="15"/>
      <c r="Z107" s="15"/>
      <c r="AA107" s="15"/>
    </row>
    <row r="108" spans="1:27" s="21" customFormat="1" x14ac:dyDescent="0.55000000000000004">
      <c r="A108" s="17"/>
      <c r="B108"/>
      <c r="C108"/>
      <c r="D108"/>
      <c r="E108"/>
      <c r="F108" s="49">
        <v>40391</v>
      </c>
      <c r="G108" s="92">
        <v>137.71</v>
      </c>
      <c r="H108"/>
      <c r="I108"/>
      <c r="J108"/>
      <c r="K108"/>
      <c r="L108"/>
      <c r="M108"/>
      <c r="N108"/>
      <c r="O108"/>
      <c r="P108" s="151">
        <v>1.2413844139291315</v>
      </c>
      <c r="Q108" s="53"/>
      <c r="R108" s="53">
        <v>136.46861558607088</v>
      </c>
      <c r="S108" s="151">
        <v>1.2413844139291315</v>
      </c>
      <c r="T108" s="15"/>
      <c r="U108" s="15"/>
      <c r="V108" s="15"/>
      <c r="W108" s="15"/>
      <c r="X108" s="15"/>
      <c r="Y108" s="15"/>
      <c r="Z108" s="15"/>
      <c r="AA108" s="15"/>
    </row>
    <row r="109" spans="1:27" s="21" customFormat="1" x14ac:dyDescent="0.55000000000000004">
      <c r="A109" s="17"/>
      <c r="B109"/>
      <c r="C109"/>
      <c r="D109"/>
      <c r="E109"/>
      <c r="F109" s="49">
        <v>40422</v>
      </c>
      <c r="G109" s="92">
        <v>138.85</v>
      </c>
      <c r="H109"/>
      <c r="I109"/>
      <c r="J109"/>
      <c r="K109"/>
      <c r="L109"/>
      <c r="M109"/>
      <c r="N109"/>
      <c r="O109"/>
      <c r="P109" s="151">
        <v>1.135477398701128</v>
      </c>
      <c r="Q109" s="53"/>
      <c r="R109" s="53">
        <v>137.71452260129885</v>
      </c>
      <c r="S109" s="151">
        <v>1.135477398701128</v>
      </c>
      <c r="T109" s="15"/>
      <c r="U109" s="15"/>
      <c r="V109" s="15"/>
      <c r="W109" s="15"/>
      <c r="X109" s="15"/>
      <c r="Y109" s="15"/>
      <c r="Z109" s="15"/>
      <c r="AA109" s="15"/>
    </row>
    <row r="110" spans="1:27" s="21" customFormat="1" x14ac:dyDescent="0.55000000000000004">
      <c r="A110" s="17"/>
      <c r="B110"/>
      <c r="C110"/>
      <c r="D110"/>
      <c r="E110"/>
      <c r="F110" s="49">
        <v>40452</v>
      </c>
      <c r="G110" s="92">
        <v>138.68</v>
      </c>
      <c r="H110"/>
      <c r="I110"/>
      <c r="J110"/>
      <c r="K110"/>
      <c r="L110"/>
      <c r="M110"/>
      <c r="N110"/>
      <c r="O110"/>
      <c r="P110" s="151">
        <v>0.99443942460157708</v>
      </c>
      <c r="Q110" s="53"/>
      <c r="R110" s="53">
        <v>137.68556057539843</v>
      </c>
      <c r="S110" s="151">
        <v>0.99443942460157708</v>
      </c>
      <c r="T110" s="15"/>
      <c r="U110" s="15"/>
      <c r="V110" s="15"/>
      <c r="W110" s="15"/>
      <c r="X110" s="15"/>
      <c r="Y110" s="15"/>
      <c r="Z110" s="15"/>
      <c r="AA110" s="15"/>
    </row>
    <row r="111" spans="1:27" s="21" customFormat="1" x14ac:dyDescent="0.55000000000000004">
      <c r="A111" s="17"/>
      <c r="B111"/>
      <c r="C111"/>
      <c r="D111"/>
      <c r="E111"/>
      <c r="F111" s="49">
        <v>40483</v>
      </c>
      <c r="G111" s="92">
        <v>140.13999999999999</v>
      </c>
      <c r="H111"/>
      <c r="I111"/>
      <c r="J111"/>
      <c r="K111"/>
      <c r="L111"/>
      <c r="M111"/>
      <c r="N111"/>
      <c r="O111"/>
      <c r="P111" s="151">
        <v>0.84599489385679294</v>
      </c>
      <c r="Q111" s="53"/>
      <c r="R111" s="53">
        <v>139.2940051061432</v>
      </c>
      <c r="S111" s="151">
        <v>0.84599489385679294</v>
      </c>
      <c r="T111" s="15"/>
      <c r="U111" s="15"/>
      <c r="V111" s="15"/>
      <c r="W111" s="15"/>
      <c r="X111" s="15"/>
      <c r="Y111" s="15"/>
      <c r="Z111" s="15"/>
      <c r="AA111" s="15"/>
    </row>
    <row r="112" spans="1:27" s="21" customFormat="1" x14ac:dyDescent="0.55000000000000004">
      <c r="A112" s="17"/>
      <c r="B112"/>
      <c r="C112"/>
      <c r="D112"/>
      <c r="E112"/>
      <c r="F112" s="49">
        <v>40513</v>
      </c>
      <c r="G112" s="92">
        <v>138.66999999999999</v>
      </c>
      <c r="H112"/>
      <c r="I112"/>
      <c r="J112"/>
      <c r="K112"/>
      <c r="L112"/>
      <c r="M112"/>
      <c r="N112"/>
      <c r="O112"/>
      <c r="P112" s="151">
        <v>0.71209228441232941</v>
      </c>
      <c r="Q112" s="53"/>
      <c r="R112" s="53">
        <v>137.95790771558765</v>
      </c>
      <c r="S112" s="151">
        <v>0.71209228441232941</v>
      </c>
      <c r="T112" s="15"/>
      <c r="U112" s="15"/>
      <c r="V112" s="15"/>
      <c r="W112" s="15"/>
      <c r="X112" s="15"/>
      <c r="Y112" s="15"/>
      <c r="Z112" s="15"/>
      <c r="AA112" s="15"/>
    </row>
    <row r="113" spans="1:27" s="21" customFormat="1" x14ac:dyDescent="0.55000000000000004">
      <c r="A113" s="17"/>
      <c r="B113"/>
      <c r="C113"/>
      <c r="D113"/>
      <c r="E113"/>
      <c r="F113" s="49">
        <v>40544</v>
      </c>
      <c r="G113" s="92">
        <v>140.26</v>
      </c>
      <c r="H113"/>
      <c r="I113"/>
      <c r="J113"/>
      <c r="K113"/>
      <c r="L113"/>
      <c r="M113"/>
      <c r="N113"/>
      <c r="O113"/>
      <c r="P113" s="151">
        <v>0.60701016650932238</v>
      </c>
      <c r="Q113" s="53"/>
      <c r="R113" s="53">
        <v>139.65298983349066</v>
      </c>
      <c r="S113" s="151">
        <v>0.60701016650932238</v>
      </c>
      <c r="T113" s="15"/>
      <c r="U113" s="15"/>
      <c r="V113" s="15"/>
      <c r="W113" s="15"/>
      <c r="X113" s="15"/>
      <c r="Y113" s="15"/>
      <c r="Z113" s="15"/>
      <c r="AA113" s="15"/>
    </row>
    <row r="114" spans="1:27" s="21" customFormat="1" x14ac:dyDescent="0.55000000000000004">
      <c r="A114" s="17"/>
      <c r="B114"/>
      <c r="C114"/>
      <c r="D114"/>
      <c r="E114"/>
      <c r="F114" s="49">
        <v>40575</v>
      </c>
      <c r="G114" s="92">
        <v>140.93</v>
      </c>
      <c r="H114"/>
      <c r="I114"/>
      <c r="J114"/>
      <c r="K114"/>
      <c r="L114"/>
      <c r="M114"/>
      <c r="N114"/>
      <c r="O114"/>
      <c r="P114" s="151">
        <v>0.53646799712847315</v>
      </c>
      <c r="Q114" s="53"/>
      <c r="R114" s="53">
        <v>140.39353200287152</v>
      </c>
      <c r="S114" s="151">
        <v>0.53646799712847315</v>
      </c>
      <c r="T114" s="15"/>
      <c r="U114" s="15"/>
      <c r="V114" s="15"/>
      <c r="W114" s="15"/>
      <c r="X114" s="15"/>
      <c r="Y114" s="15"/>
      <c r="Z114" s="15"/>
      <c r="AA114" s="15"/>
    </row>
    <row r="115" spans="1:27" s="21" customFormat="1" x14ac:dyDescent="0.55000000000000004">
      <c r="A115" s="17"/>
      <c r="B115"/>
      <c r="C115"/>
      <c r="D115"/>
      <c r="E115"/>
      <c r="F115" s="49">
        <v>40603</v>
      </c>
      <c r="G115" s="92">
        <v>141.06</v>
      </c>
      <c r="H115"/>
      <c r="I115"/>
      <c r="J115"/>
      <c r="K115"/>
      <c r="L115"/>
      <c r="M115"/>
      <c r="N115"/>
      <c r="O115"/>
      <c r="P115" s="151">
        <v>0.49779558501526799</v>
      </c>
      <c r="Q115" s="53"/>
      <c r="R115" s="53">
        <v>140.56220441498473</v>
      </c>
      <c r="S115" s="151">
        <v>0.49779558501526799</v>
      </c>
      <c r="T115" s="15"/>
      <c r="U115" s="15"/>
      <c r="V115" s="15"/>
      <c r="W115" s="15"/>
      <c r="X115" s="15"/>
      <c r="Y115" s="15"/>
      <c r="Z115" s="15"/>
      <c r="AA115" s="15"/>
    </row>
    <row r="116" spans="1:27" s="21" customFormat="1" x14ac:dyDescent="0.55000000000000004">
      <c r="A116" s="17"/>
      <c r="B116"/>
      <c r="C116"/>
      <c r="D116"/>
      <c r="E116"/>
      <c r="F116" s="49">
        <v>40634</v>
      </c>
      <c r="G116" s="92">
        <v>140.97</v>
      </c>
      <c r="H116"/>
      <c r="I116"/>
      <c r="J116"/>
      <c r="K116"/>
      <c r="L116"/>
      <c r="M116"/>
      <c r="N116"/>
      <c r="O116"/>
      <c r="P116" s="151">
        <v>0.48110012429478743</v>
      </c>
      <c r="Q116" s="53"/>
      <c r="R116" s="53">
        <v>140.48889987570521</v>
      </c>
      <c r="S116" s="151">
        <v>0.48110012429478743</v>
      </c>
      <c r="T116" s="15"/>
      <c r="U116" s="15"/>
      <c r="V116" s="15"/>
      <c r="W116" s="15"/>
      <c r="X116" s="15"/>
      <c r="Y116" s="15"/>
      <c r="Z116" s="15"/>
      <c r="AA116" s="15"/>
    </row>
    <row r="117" spans="1:27" s="21" customFormat="1" x14ac:dyDescent="0.55000000000000004">
      <c r="A117" s="17"/>
      <c r="B117"/>
      <c r="C117"/>
      <c r="D117"/>
      <c r="E117"/>
      <c r="F117" s="49">
        <v>40664</v>
      </c>
      <c r="G117" s="92">
        <v>141.18</v>
      </c>
      <c r="H117"/>
      <c r="I117"/>
      <c r="J117"/>
      <c r="K117"/>
      <c r="L117"/>
      <c r="M117"/>
      <c r="N117"/>
      <c r="O117"/>
      <c r="P117" s="151">
        <v>0.47126331158796742</v>
      </c>
      <c r="Q117" s="53"/>
      <c r="R117" s="53">
        <v>140.70873668841205</v>
      </c>
      <c r="S117" s="151">
        <v>0.47126331158796742</v>
      </c>
      <c r="T117" s="15"/>
      <c r="U117" s="15"/>
      <c r="V117" s="15"/>
      <c r="W117" s="15"/>
      <c r="X117" s="15"/>
      <c r="Y117" s="15"/>
      <c r="Z117" s="15"/>
      <c r="AA117" s="15"/>
    </row>
    <row r="118" spans="1:27" s="21" customFormat="1" x14ac:dyDescent="0.55000000000000004">
      <c r="A118" s="17"/>
      <c r="B118"/>
      <c r="C118"/>
      <c r="D118"/>
      <c r="E118"/>
      <c r="F118" s="49">
        <v>40695</v>
      </c>
      <c r="G118" s="92">
        <v>141.85</v>
      </c>
      <c r="H118"/>
      <c r="I118"/>
      <c r="J118"/>
      <c r="K118"/>
      <c r="L118"/>
      <c r="M118"/>
      <c r="N118"/>
      <c r="O118"/>
      <c r="P118" s="151">
        <v>0.45051447462881899</v>
      </c>
      <c r="Q118" s="53"/>
      <c r="R118" s="53">
        <v>141.39948552537118</v>
      </c>
      <c r="S118" s="151">
        <v>0.45051447462881899</v>
      </c>
      <c r="T118" s="15"/>
      <c r="U118" s="15"/>
      <c r="V118" s="15"/>
      <c r="W118" s="15"/>
      <c r="X118" s="15"/>
      <c r="Y118" s="15"/>
      <c r="Z118" s="15"/>
      <c r="AA118" s="15"/>
    </row>
    <row r="119" spans="1:27" s="21" customFormat="1" x14ac:dyDescent="0.55000000000000004">
      <c r="A119" s="17"/>
      <c r="B119"/>
      <c r="C119"/>
      <c r="D119"/>
      <c r="E119"/>
      <c r="F119" s="49">
        <v>40725</v>
      </c>
      <c r="G119" s="92">
        <v>142.1</v>
      </c>
      <c r="H119"/>
      <c r="I119"/>
      <c r="J119"/>
      <c r="K119"/>
      <c r="L119"/>
      <c r="M119"/>
      <c r="N119"/>
      <c r="O119"/>
      <c r="P119" s="151">
        <v>0.40126784955909089</v>
      </c>
      <c r="Q119" s="53"/>
      <c r="R119" s="53">
        <v>141.69873215044089</v>
      </c>
      <c r="S119" s="151">
        <v>0.40126784955909089</v>
      </c>
      <c r="T119" s="15"/>
      <c r="U119" s="15"/>
      <c r="V119" s="15"/>
      <c r="W119" s="15"/>
      <c r="X119" s="15"/>
      <c r="Y119" s="15"/>
      <c r="Z119" s="15"/>
      <c r="AA119" s="15"/>
    </row>
    <row r="120" spans="1:27" s="21" customFormat="1" x14ac:dyDescent="0.55000000000000004">
      <c r="A120" s="17"/>
      <c r="B120"/>
      <c r="C120"/>
      <c r="D120"/>
      <c r="E120"/>
      <c r="F120" s="49">
        <v>40756</v>
      </c>
      <c r="G120" s="92">
        <v>141.94</v>
      </c>
      <c r="H120"/>
      <c r="I120"/>
      <c r="J120"/>
      <c r="K120"/>
      <c r="L120"/>
      <c r="M120"/>
      <c r="N120"/>
      <c r="O120"/>
      <c r="P120" s="151">
        <v>0.3088890127892796</v>
      </c>
      <c r="Q120" s="53"/>
      <c r="R120" s="53">
        <v>141.63111098721072</v>
      </c>
      <c r="S120" s="151">
        <v>0.3088890127892796</v>
      </c>
      <c r="T120" s="15"/>
      <c r="U120" s="15"/>
      <c r="V120" s="15"/>
      <c r="W120" s="15"/>
      <c r="X120" s="15"/>
      <c r="Y120" s="15"/>
      <c r="Z120" s="15"/>
      <c r="AA120" s="15"/>
    </row>
    <row r="121" spans="1:27" s="21" customFormat="1" x14ac:dyDescent="0.55000000000000004">
      <c r="A121" s="17"/>
      <c r="B121"/>
      <c r="C121"/>
      <c r="D121"/>
      <c r="E121"/>
      <c r="F121" s="49">
        <v>40787</v>
      </c>
      <c r="G121" s="92">
        <v>141.58000000000001</v>
      </c>
      <c r="H121"/>
      <c r="I121"/>
      <c r="J121"/>
      <c r="K121"/>
      <c r="L121"/>
      <c r="M121"/>
      <c r="N121"/>
      <c r="O121"/>
      <c r="P121" s="151">
        <v>0.16406911335691898</v>
      </c>
      <c r="Q121" s="53"/>
      <c r="R121" s="53">
        <v>141.41593088664308</v>
      </c>
      <c r="S121" s="151">
        <v>0.16406911335691898</v>
      </c>
      <c r="T121" s="15"/>
      <c r="U121" s="15"/>
      <c r="V121" s="15"/>
      <c r="W121" s="15"/>
      <c r="X121" s="15"/>
      <c r="Y121" s="15"/>
      <c r="Z121" s="15"/>
      <c r="AA121" s="15"/>
    </row>
    <row r="122" spans="1:27" s="21" customFormat="1" x14ac:dyDescent="0.55000000000000004">
      <c r="A122" s="17"/>
      <c r="B122"/>
      <c r="C122"/>
      <c r="D122"/>
      <c r="E122"/>
      <c r="F122" s="49">
        <v>40817</v>
      </c>
      <c r="G122" s="92">
        <v>141.61000000000001</v>
      </c>
      <c r="H122"/>
      <c r="I122"/>
      <c r="J122"/>
      <c r="K122"/>
      <c r="L122"/>
      <c r="M122"/>
      <c r="N122"/>
      <c r="O122"/>
      <c r="P122" s="151">
        <v>-3.5465888623438246E-2</v>
      </c>
      <c r="Q122" s="53"/>
      <c r="R122" s="53">
        <v>141.64546588862345</v>
      </c>
      <c r="S122" s="151">
        <v>-3.5465888623438246E-2</v>
      </c>
      <c r="T122" s="15"/>
      <c r="U122" s="15"/>
      <c r="V122" s="15"/>
      <c r="W122" s="15"/>
      <c r="X122" s="15"/>
      <c r="Y122" s="15"/>
      <c r="Z122" s="15"/>
      <c r="AA122" s="15"/>
    </row>
    <row r="123" spans="1:27" s="21" customFormat="1" x14ac:dyDescent="0.55000000000000004">
      <c r="A123" s="17"/>
      <c r="B123"/>
      <c r="C123"/>
      <c r="D123"/>
      <c r="E123"/>
      <c r="F123" s="49">
        <v>40848</v>
      </c>
      <c r="G123" s="92">
        <v>142.31</v>
      </c>
      <c r="H123"/>
      <c r="I123"/>
      <c r="J123"/>
      <c r="K123"/>
      <c r="L123"/>
      <c r="M123"/>
      <c r="N123"/>
      <c r="O123"/>
      <c r="P123" s="151">
        <v>-0.28410589286850518</v>
      </c>
      <c r="Q123" s="53"/>
      <c r="R123" s="53">
        <v>142.5941058928685</v>
      </c>
      <c r="S123" s="151">
        <v>-0.28410589286850518</v>
      </c>
      <c r="T123" s="15"/>
      <c r="U123" s="15"/>
      <c r="V123" s="15"/>
      <c r="W123" s="15"/>
      <c r="X123" s="15"/>
      <c r="Y123" s="15"/>
      <c r="Z123" s="15"/>
      <c r="AA123" s="15"/>
    </row>
    <row r="124" spans="1:27" s="21" customFormat="1" x14ac:dyDescent="0.55000000000000004">
      <c r="A124" s="17"/>
      <c r="B124"/>
      <c r="C124"/>
      <c r="D124"/>
      <c r="E124"/>
      <c r="F124" s="49">
        <v>40878</v>
      </c>
      <c r="G124" s="92">
        <v>140.91999999999999</v>
      </c>
      <c r="H124"/>
      <c r="I124"/>
      <c r="J124"/>
      <c r="K124"/>
      <c r="L124"/>
      <c r="M124"/>
      <c r="N124"/>
      <c r="O124"/>
      <c r="P124" s="151">
        <v>-0.56846368657552082</v>
      </c>
      <c r="Q124" s="53"/>
      <c r="R124" s="53">
        <v>141.4884636865755</v>
      </c>
      <c r="S124" s="151">
        <v>-0.56846368657552082</v>
      </c>
      <c r="T124" s="15"/>
      <c r="U124" s="15"/>
      <c r="V124" s="15"/>
      <c r="W124" s="15"/>
      <c r="X124" s="15"/>
      <c r="Y124" s="15"/>
      <c r="Z124" s="15"/>
      <c r="AA124" s="15"/>
    </row>
    <row r="125" spans="1:27" s="21" customFormat="1" x14ac:dyDescent="0.55000000000000004">
      <c r="A125" s="17"/>
      <c r="B125"/>
      <c r="C125"/>
      <c r="D125"/>
      <c r="E125"/>
      <c r="F125" s="49">
        <v>40909</v>
      </c>
      <c r="G125" s="92">
        <v>139.04</v>
      </c>
      <c r="H125"/>
      <c r="I125"/>
      <c r="J125"/>
      <c r="K125"/>
      <c r="L125"/>
      <c r="M125"/>
      <c r="N125"/>
      <c r="O125"/>
      <c r="P125" s="151">
        <v>-0.86842662299359352</v>
      </c>
      <c r="Q125" s="53"/>
      <c r="R125" s="53">
        <v>139.90842662299357</v>
      </c>
      <c r="S125" s="151">
        <v>-0.86842662299359352</v>
      </c>
      <c r="T125" s="15"/>
      <c r="U125" s="15"/>
      <c r="V125" s="15"/>
      <c r="W125" s="15"/>
      <c r="X125" s="15"/>
      <c r="Y125" s="15"/>
      <c r="Z125" s="15"/>
      <c r="AA125" s="15"/>
    </row>
    <row r="126" spans="1:27" s="21" customFormat="1" x14ac:dyDescent="0.55000000000000004">
      <c r="A126" s="17"/>
      <c r="B126"/>
      <c r="C126"/>
      <c r="D126"/>
      <c r="E126"/>
      <c r="F126" s="49">
        <v>40940</v>
      </c>
      <c r="G126" s="92">
        <v>140.55000000000001</v>
      </c>
      <c r="H126"/>
      <c r="I126"/>
      <c r="J126"/>
      <c r="K126"/>
      <c r="L126"/>
      <c r="M126"/>
      <c r="N126"/>
      <c r="O126"/>
      <c r="P126" s="151">
        <v>-1.1590352947231035</v>
      </c>
      <c r="Q126" s="53"/>
      <c r="R126" s="53">
        <v>141.70903529472312</v>
      </c>
      <c r="S126" s="151">
        <v>-1.1590352947231035</v>
      </c>
      <c r="T126" s="15"/>
      <c r="U126" s="15"/>
      <c r="V126" s="15"/>
      <c r="W126" s="15"/>
      <c r="X126" s="15"/>
      <c r="Y126" s="15"/>
      <c r="Z126" s="15"/>
      <c r="AA126" s="15"/>
    </row>
    <row r="127" spans="1:27" s="21" customFormat="1" x14ac:dyDescent="0.55000000000000004">
      <c r="A127" s="17"/>
      <c r="B127"/>
      <c r="C127"/>
      <c r="D127"/>
      <c r="E127"/>
      <c r="F127" s="49">
        <v>40969</v>
      </c>
      <c r="G127" s="92">
        <v>140.13999999999999</v>
      </c>
      <c r="H127"/>
      <c r="I127"/>
      <c r="J127"/>
      <c r="K127"/>
      <c r="L127"/>
      <c r="M127"/>
      <c r="N127"/>
      <c r="O127"/>
      <c r="P127" s="151">
        <v>-1.4129793755131046</v>
      </c>
      <c r="Q127" s="53"/>
      <c r="R127" s="53">
        <v>141.5529793755131</v>
      </c>
      <c r="S127" s="151">
        <v>-1.4129793755131046</v>
      </c>
      <c r="T127" s="15"/>
      <c r="U127" s="15"/>
      <c r="V127" s="15"/>
      <c r="W127" s="15"/>
      <c r="X127" s="15"/>
      <c r="Y127" s="15"/>
      <c r="Z127" s="15"/>
      <c r="AA127" s="15"/>
    </row>
    <row r="128" spans="1:27" s="21" customFormat="1" x14ac:dyDescent="0.55000000000000004">
      <c r="A128" s="17"/>
      <c r="B128"/>
      <c r="C128"/>
      <c r="D128"/>
      <c r="E128"/>
      <c r="F128" s="49">
        <v>41000</v>
      </c>
      <c r="G128" s="92">
        <v>140.76</v>
      </c>
      <c r="H128"/>
      <c r="I128"/>
      <c r="J128"/>
      <c r="K128"/>
      <c r="L128"/>
      <c r="M128"/>
      <c r="N128"/>
      <c r="O128"/>
      <c r="P128" s="151">
        <v>-1.6034324234403665</v>
      </c>
      <c r="Q128" s="53"/>
      <c r="R128" s="53">
        <v>142.36343242344034</v>
      </c>
      <c r="S128" s="151">
        <v>-1.6034324234403665</v>
      </c>
      <c r="T128" s="15"/>
      <c r="U128" s="15"/>
      <c r="V128" s="15"/>
      <c r="W128" s="15"/>
      <c r="X128" s="15"/>
      <c r="Y128" s="15"/>
      <c r="Z128" s="15"/>
      <c r="AA128" s="15"/>
    </row>
    <row r="129" spans="1:27" s="21" customFormat="1" x14ac:dyDescent="0.55000000000000004">
      <c r="A129" s="17"/>
      <c r="B129"/>
      <c r="C129"/>
      <c r="D129"/>
      <c r="E129"/>
      <c r="F129" s="49">
        <v>41030</v>
      </c>
      <c r="G129" s="92">
        <v>142.5</v>
      </c>
      <c r="H129"/>
      <c r="I129"/>
      <c r="J129"/>
      <c r="K129"/>
      <c r="L129"/>
      <c r="M129"/>
      <c r="N129"/>
      <c r="O129"/>
      <c r="P129" s="151">
        <v>-1.7069102018193103</v>
      </c>
      <c r="Q129" s="53"/>
      <c r="R129" s="53">
        <v>144.20691020181931</v>
      </c>
      <c r="S129" s="151">
        <v>-1.7069102018193103</v>
      </c>
      <c r="T129" s="15"/>
      <c r="U129" s="15"/>
      <c r="V129" s="15"/>
      <c r="W129" s="15"/>
      <c r="X129" s="15"/>
      <c r="Y129" s="15"/>
      <c r="Z129" s="15"/>
      <c r="AA129" s="15"/>
    </row>
    <row r="130" spans="1:27" s="21" customFormat="1" x14ac:dyDescent="0.55000000000000004">
      <c r="A130" s="17"/>
      <c r="B130"/>
      <c r="C130"/>
      <c r="D130"/>
      <c r="E130"/>
      <c r="F130" s="49">
        <v>41061</v>
      </c>
      <c r="G130" s="92">
        <v>143.55000000000001</v>
      </c>
      <c r="H130"/>
      <c r="I130"/>
      <c r="J130"/>
      <c r="K130"/>
      <c r="L130"/>
      <c r="M130"/>
      <c r="N130"/>
      <c r="O130"/>
      <c r="P130" s="151">
        <v>-1.7058348903815412</v>
      </c>
      <c r="Q130" s="53"/>
      <c r="R130" s="53">
        <v>145.25583489038155</v>
      </c>
      <c r="S130" s="151">
        <v>-1.7058348903815412</v>
      </c>
      <c r="T130" s="15"/>
      <c r="U130" s="15"/>
      <c r="V130" s="15"/>
      <c r="W130" s="15"/>
      <c r="X130" s="15"/>
      <c r="Y130" s="15"/>
      <c r="Z130" s="15"/>
      <c r="AA130" s="15"/>
    </row>
    <row r="131" spans="1:27" s="21" customFormat="1" x14ac:dyDescent="0.55000000000000004">
      <c r="A131" s="17"/>
      <c r="B131"/>
      <c r="C131"/>
      <c r="D131"/>
      <c r="E131"/>
      <c r="F131" s="49">
        <v>41091</v>
      </c>
      <c r="G131" s="92">
        <v>143.82</v>
      </c>
      <c r="H131"/>
      <c r="I131"/>
      <c r="J131"/>
      <c r="K131"/>
      <c r="L131"/>
      <c r="M131"/>
      <c r="N131"/>
      <c r="O131"/>
      <c r="P131" s="151">
        <v>-1.590520474877259</v>
      </c>
      <c r="Q131" s="53"/>
      <c r="R131" s="53">
        <v>145.41052047487725</v>
      </c>
      <c r="S131" s="151">
        <v>-1.590520474877259</v>
      </c>
      <c r="T131" s="15"/>
      <c r="U131" s="15"/>
      <c r="V131" s="15"/>
      <c r="W131" s="15"/>
      <c r="X131" s="15"/>
      <c r="Y131" s="15"/>
      <c r="Z131" s="15"/>
      <c r="AA131" s="15"/>
    </row>
    <row r="132" spans="1:27" s="21" customFormat="1" x14ac:dyDescent="0.55000000000000004">
      <c r="A132" s="17"/>
      <c r="B132"/>
      <c r="C132"/>
      <c r="D132"/>
      <c r="E132"/>
      <c r="F132" s="49">
        <v>41122</v>
      </c>
      <c r="G132" s="92">
        <v>144.26</v>
      </c>
      <c r="H132"/>
      <c r="I132"/>
      <c r="J132"/>
      <c r="K132"/>
      <c r="L132"/>
      <c r="M132"/>
      <c r="N132"/>
      <c r="O132"/>
      <c r="P132" s="151">
        <v>-1.3603588120865888</v>
      </c>
      <c r="Q132" s="53"/>
      <c r="R132" s="53">
        <v>145.62035881208658</v>
      </c>
      <c r="S132" s="151">
        <v>-1.3603588120865888</v>
      </c>
      <c r="T132" s="15"/>
      <c r="U132" s="15"/>
      <c r="V132" s="15"/>
      <c r="W132" s="15"/>
      <c r="X132" s="15"/>
      <c r="Y132" s="15"/>
      <c r="Z132" s="15"/>
      <c r="AA132" s="15"/>
    </row>
    <row r="133" spans="1:27" s="21" customFormat="1" x14ac:dyDescent="0.55000000000000004">
      <c r="A133" s="17"/>
      <c r="B133"/>
      <c r="C133"/>
      <c r="D133"/>
      <c r="E133"/>
      <c r="F133" s="49">
        <v>41153</v>
      </c>
      <c r="G133" s="92">
        <v>143.66</v>
      </c>
      <c r="H133"/>
      <c r="I133"/>
      <c r="J133"/>
      <c r="K133"/>
      <c r="L133"/>
      <c r="M133"/>
      <c r="N133"/>
      <c r="O133"/>
      <c r="P133" s="151">
        <v>-1.0240741414038874</v>
      </c>
      <c r="Q133" s="53"/>
      <c r="R133" s="53">
        <v>144.6840741414039</v>
      </c>
      <c r="S133" s="151">
        <v>-1.0240741414038874</v>
      </c>
      <c r="T133" s="15"/>
      <c r="U133" s="15"/>
      <c r="V133" s="15"/>
      <c r="W133" s="15"/>
      <c r="X133" s="15"/>
      <c r="Y133" s="15"/>
      <c r="Z133" s="15"/>
      <c r="AA133" s="15"/>
    </row>
    <row r="134" spans="1:27" s="21" customFormat="1" x14ac:dyDescent="0.55000000000000004">
      <c r="A134" s="17"/>
      <c r="B134"/>
      <c r="C134"/>
      <c r="D134"/>
      <c r="E134"/>
      <c r="F134" s="49">
        <v>41183</v>
      </c>
      <c r="G134" s="92">
        <v>144.84</v>
      </c>
      <c r="H134"/>
      <c r="I134"/>
      <c r="J134"/>
      <c r="K134"/>
      <c r="L134"/>
      <c r="M134"/>
      <c r="N134"/>
      <c r="O134"/>
      <c r="P134" s="151">
        <v>-0.59901631019179247</v>
      </c>
      <c r="Q134" s="53"/>
      <c r="R134" s="53">
        <v>145.43901631019179</v>
      </c>
      <c r="S134" s="151">
        <v>-0.59901631019179247</v>
      </c>
      <c r="T134" s="15"/>
      <c r="U134" s="15"/>
      <c r="V134" s="15"/>
      <c r="W134" s="15"/>
      <c r="X134" s="15"/>
      <c r="Y134" s="15"/>
      <c r="Z134" s="15"/>
      <c r="AA134" s="15"/>
    </row>
    <row r="135" spans="1:27" s="21" customFormat="1" x14ac:dyDescent="0.55000000000000004">
      <c r="A135" s="17"/>
      <c r="B135"/>
      <c r="C135"/>
      <c r="D135"/>
      <c r="E135"/>
      <c r="F135" s="49">
        <v>41214</v>
      </c>
      <c r="G135" s="92">
        <v>144.63999999999999</v>
      </c>
      <c r="H135"/>
      <c r="I135"/>
      <c r="J135"/>
      <c r="K135"/>
      <c r="L135"/>
      <c r="M135"/>
      <c r="N135"/>
      <c r="O135"/>
      <c r="P135" s="151">
        <v>-0.10956833092122054</v>
      </c>
      <c r="Q135" s="53"/>
      <c r="R135" s="53">
        <v>144.74956833092119</v>
      </c>
      <c r="S135" s="151">
        <v>-0.10956833092122054</v>
      </c>
      <c r="T135" s="15"/>
      <c r="U135" s="15"/>
      <c r="V135" s="15"/>
      <c r="W135" s="15"/>
      <c r="X135" s="15"/>
      <c r="Y135" s="15"/>
      <c r="Z135" s="15"/>
      <c r="AA135" s="15"/>
    </row>
    <row r="136" spans="1:27" s="21" customFormat="1" x14ac:dyDescent="0.55000000000000004">
      <c r="A136" s="17"/>
      <c r="B136"/>
      <c r="C136"/>
      <c r="D136"/>
      <c r="E136"/>
      <c r="F136" s="49">
        <v>41244</v>
      </c>
      <c r="G136" s="92">
        <v>144.15</v>
      </c>
      <c r="H136"/>
      <c r="I136"/>
      <c r="J136"/>
      <c r="K136"/>
      <c r="L136"/>
      <c r="M136"/>
      <c r="N136"/>
      <c r="O136"/>
      <c r="P136" s="151">
        <v>0.41515953944488881</v>
      </c>
      <c r="Q136" s="53"/>
      <c r="R136" s="53">
        <v>143.73484046055512</v>
      </c>
      <c r="S136" s="151">
        <v>0.41515953944488881</v>
      </c>
      <c r="T136" s="15"/>
      <c r="U136" s="15"/>
      <c r="V136" s="15"/>
      <c r="W136" s="15"/>
      <c r="X136" s="15"/>
      <c r="Y136" s="15"/>
      <c r="Z136" s="15"/>
      <c r="AA136" s="15"/>
    </row>
    <row r="137" spans="1:27" s="21" customFormat="1" x14ac:dyDescent="0.55000000000000004">
      <c r="A137" s="17"/>
      <c r="B137"/>
      <c r="C137"/>
      <c r="D137"/>
      <c r="E137"/>
      <c r="F137" s="49">
        <v>41275</v>
      </c>
      <c r="G137" s="92">
        <v>144.97999999999999</v>
      </c>
      <c r="H137"/>
      <c r="I137"/>
      <c r="J137"/>
      <c r="K137"/>
      <c r="L137"/>
      <c r="M137"/>
      <c r="N137"/>
      <c r="O137"/>
      <c r="P137" s="151">
        <v>0.94409982840338791</v>
      </c>
      <c r="Q137" s="53"/>
      <c r="R137" s="53">
        <v>144.03590017159661</v>
      </c>
      <c r="S137" s="151">
        <v>0.94409982840338791</v>
      </c>
      <c r="T137" s="15"/>
      <c r="U137" s="15"/>
      <c r="V137" s="15"/>
      <c r="W137" s="15"/>
      <c r="X137" s="15"/>
      <c r="Y137" s="15"/>
      <c r="Z137" s="15"/>
      <c r="AA137" s="15"/>
    </row>
    <row r="138" spans="1:27" s="21" customFormat="1" x14ac:dyDescent="0.55000000000000004">
      <c r="A138" s="17"/>
      <c r="B138"/>
      <c r="C138"/>
      <c r="D138"/>
      <c r="E138"/>
      <c r="F138" s="49">
        <v>41306</v>
      </c>
      <c r="G138" s="92">
        <v>143.82</v>
      </c>
      <c r="H138"/>
      <c r="I138"/>
      <c r="J138"/>
      <c r="K138"/>
      <c r="L138"/>
      <c r="M138"/>
      <c r="N138"/>
      <c r="O138"/>
      <c r="P138" s="151">
        <v>1.4471632583430698</v>
      </c>
      <c r="Q138" s="53"/>
      <c r="R138" s="53">
        <v>142.37283674165693</v>
      </c>
      <c r="S138" s="151">
        <v>1.4471632583430698</v>
      </c>
      <c r="T138" s="15"/>
      <c r="U138" s="15"/>
      <c r="V138" s="15"/>
      <c r="W138" s="15"/>
      <c r="X138" s="15"/>
      <c r="Y138" s="15"/>
      <c r="Z138" s="15"/>
      <c r="AA138" s="15"/>
    </row>
    <row r="139" spans="1:27" s="21" customFormat="1" x14ac:dyDescent="0.55000000000000004">
      <c r="A139" s="17"/>
      <c r="B139"/>
      <c r="C139"/>
      <c r="D139"/>
      <c r="E139"/>
      <c r="F139" s="49">
        <v>41334</v>
      </c>
      <c r="G139" s="92">
        <v>145.04</v>
      </c>
      <c r="H139"/>
      <c r="I139"/>
      <c r="J139"/>
      <c r="K139"/>
      <c r="L139"/>
      <c r="M139"/>
      <c r="N139"/>
      <c r="O139"/>
      <c r="P139" s="151">
        <v>1.8980245920063434</v>
      </c>
      <c r="Q139" s="53"/>
      <c r="R139" s="53">
        <v>143.14197540799364</v>
      </c>
      <c r="S139" s="151">
        <v>1.8980245920063434</v>
      </c>
      <c r="T139" s="15"/>
      <c r="U139" s="15"/>
      <c r="V139" s="15"/>
      <c r="W139" s="15"/>
      <c r="X139" s="15"/>
      <c r="Y139" s="15"/>
      <c r="Z139" s="15"/>
      <c r="AA139" s="15"/>
    </row>
    <row r="140" spans="1:27" s="21" customFormat="1" x14ac:dyDescent="0.55000000000000004">
      <c r="A140" s="17"/>
      <c r="B140"/>
      <c r="C140"/>
      <c r="D140"/>
      <c r="E140"/>
      <c r="F140" s="49">
        <v>41365</v>
      </c>
      <c r="G140" s="92">
        <v>146.28</v>
      </c>
      <c r="H140"/>
      <c r="I140"/>
      <c r="J140"/>
      <c r="K140"/>
      <c r="L140"/>
      <c r="M140"/>
      <c r="N140"/>
      <c r="O140"/>
      <c r="P140" s="151">
        <v>2.2764625111505019</v>
      </c>
      <c r="Q140" s="53"/>
      <c r="R140" s="53">
        <v>144.0035374888495</v>
      </c>
      <c r="S140" s="151">
        <v>2.2764625111505019</v>
      </c>
      <c r="T140" s="15"/>
      <c r="U140" s="15"/>
      <c r="V140" s="15"/>
      <c r="W140" s="15"/>
      <c r="X140" s="15"/>
      <c r="Y140" s="15"/>
      <c r="Z140" s="15"/>
      <c r="AA140" s="15"/>
    </row>
    <row r="141" spans="1:27" s="21" customFormat="1" x14ac:dyDescent="0.55000000000000004">
      <c r="A141" s="17"/>
      <c r="B141"/>
      <c r="C141"/>
      <c r="D141"/>
      <c r="E141"/>
      <c r="F141" s="49">
        <v>41395</v>
      </c>
      <c r="G141" s="92">
        <v>146.79</v>
      </c>
      <c r="H141"/>
      <c r="I141"/>
      <c r="J141"/>
      <c r="K141"/>
      <c r="L141"/>
      <c r="M141"/>
      <c r="N141"/>
      <c r="O141"/>
      <c r="P141" s="151">
        <v>2.5700082038668799</v>
      </c>
      <c r="Q141" s="53"/>
      <c r="R141" s="53">
        <v>144.21999179613312</v>
      </c>
      <c r="S141" s="151">
        <v>2.5700082038668799</v>
      </c>
      <c r="T141" s="15"/>
      <c r="U141" s="15"/>
      <c r="V141" s="15"/>
      <c r="W141" s="15"/>
      <c r="X141" s="15"/>
      <c r="Y141" s="15"/>
      <c r="Z141" s="15"/>
      <c r="AA141" s="15"/>
    </row>
    <row r="142" spans="1:27" s="21" customFormat="1" x14ac:dyDescent="0.55000000000000004">
      <c r="A142" s="17"/>
      <c r="B142"/>
      <c r="C142"/>
      <c r="D142"/>
      <c r="E142"/>
      <c r="F142" s="49">
        <v>41426</v>
      </c>
      <c r="G142" s="92">
        <v>146.35</v>
      </c>
      <c r="H142"/>
      <c r="I142"/>
      <c r="J142"/>
      <c r="K142"/>
      <c r="L142"/>
      <c r="M142"/>
      <c r="N142"/>
      <c r="O142"/>
      <c r="P142" s="151">
        <v>2.7747351170214669</v>
      </c>
      <c r="Q142" s="53"/>
      <c r="R142" s="53">
        <v>143.57526488297853</v>
      </c>
      <c r="S142" s="151">
        <v>2.7747351170214669</v>
      </c>
      <c r="T142" s="15"/>
      <c r="U142" s="15"/>
      <c r="V142" s="15"/>
      <c r="W142" s="15"/>
      <c r="X142" s="15"/>
      <c r="Y142" s="15"/>
      <c r="Z142" s="15"/>
      <c r="AA142" s="15"/>
    </row>
    <row r="143" spans="1:27" s="21" customFormat="1" x14ac:dyDescent="0.55000000000000004">
      <c r="A143" s="17"/>
      <c r="B143"/>
      <c r="C143"/>
      <c r="D143"/>
      <c r="E143"/>
      <c r="F143" s="49">
        <v>41456</v>
      </c>
      <c r="G143" s="92">
        <v>146.93</v>
      </c>
      <c r="H143"/>
      <c r="I143"/>
      <c r="J143"/>
      <c r="K143"/>
      <c r="L143"/>
      <c r="M143"/>
      <c r="N143"/>
      <c r="O143"/>
      <c r="P143" s="151">
        <v>2.8951180482483028</v>
      </c>
      <c r="Q143" s="53"/>
      <c r="R143" s="53">
        <v>144.03488195175171</v>
      </c>
      <c r="S143" s="151">
        <v>2.8951180482483028</v>
      </c>
      <c r="T143" s="15"/>
      <c r="U143" s="15"/>
      <c r="V143" s="15"/>
      <c r="W143" s="15"/>
      <c r="X143" s="15"/>
      <c r="Y143" s="15"/>
      <c r="Z143" s="15"/>
      <c r="AA143" s="15"/>
    </row>
    <row r="144" spans="1:27" s="21" customFormat="1" x14ac:dyDescent="0.55000000000000004">
      <c r="A144" s="17"/>
      <c r="B144"/>
      <c r="C144"/>
      <c r="D144"/>
      <c r="E144"/>
      <c r="F144" s="49">
        <v>41487</v>
      </c>
      <c r="G144" s="92">
        <v>147.18</v>
      </c>
      <c r="H144"/>
      <c r="I144"/>
      <c r="J144"/>
      <c r="K144"/>
      <c r="L144"/>
      <c r="M144"/>
      <c r="N144"/>
      <c r="O144"/>
      <c r="P144" s="151">
        <v>2.9429926872756527</v>
      </c>
      <c r="Q144" s="53"/>
      <c r="R144" s="53">
        <v>144.23700731272436</v>
      </c>
      <c r="S144" s="151">
        <v>2.9429926872756527</v>
      </c>
      <c r="T144" s="15"/>
      <c r="U144" s="15"/>
      <c r="V144" s="15"/>
      <c r="W144" s="15"/>
      <c r="X144" s="15"/>
      <c r="Y144" s="15"/>
      <c r="Z144" s="15"/>
      <c r="AA144" s="15"/>
    </row>
    <row r="145" spans="1:27" s="21" customFormat="1" x14ac:dyDescent="0.55000000000000004">
      <c r="A145" s="17"/>
      <c r="B145"/>
      <c r="C145"/>
      <c r="D145"/>
      <c r="E145"/>
      <c r="F145" s="49">
        <v>41518</v>
      </c>
      <c r="G145" s="92">
        <v>147.83000000000001</v>
      </c>
      <c r="H145"/>
      <c r="I145"/>
      <c r="J145"/>
      <c r="K145"/>
      <c r="L145"/>
      <c r="M145"/>
      <c r="N145"/>
      <c r="O145"/>
      <c r="P145" s="151">
        <v>2.9357453969082226</v>
      </c>
      <c r="Q145" s="53"/>
      <c r="R145" s="53">
        <v>144.89425460309178</v>
      </c>
      <c r="S145" s="151">
        <v>2.9357453969082226</v>
      </c>
      <c r="T145" s="15"/>
      <c r="U145" s="15"/>
      <c r="V145" s="15"/>
      <c r="W145" s="15"/>
      <c r="X145" s="15"/>
      <c r="Y145" s="15"/>
      <c r="Z145" s="15"/>
      <c r="AA145" s="15"/>
    </row>
    <row r="146" spans="1:27" s="21" customFormat="1" x14ac:dyDescent="0.55000000000000004">
      <c r="A146" s="17"/>
      <c r="B146"/>
      <c r="C146"/>
      <c r="D146"/>
      <c r="E146"/>
      <c r="F146" s="49">
        <v>41548</v>
      </c>
      <c r="G146" s="92">
        <v>147.99</v>
      </c>
      <c r="H146"/>
      <c r="I146"/>
      <c r="J146"/>
      <c r="K146"/>
      <c r="L146"/>
      <c r="M146"/>
      <c r="N146"/>
      <c r="O146"/>
      <c r="P146" s="151">
        <v>2.8939465064474645</v>
      </c>
      <c r="Q146" s="53"/>
      <c r="R146" s="53">
        <v>145.09605349355255</v>
      </c>
      <c r="S146" s="151">
        <v>2.8939465064474645</v>
      </c>
      <c r="T146" s="15"/>
      <c r="U146" s="15"/>
      <c r="V146" s="15"/>
      <c r="W146" s="15"/>
      <c r="X146" s="15"/>
      <c r="Y146" s="15"/>
      <c r="Z146" s="15"/>
      <c r="AA146" s="15"/>
    </row>
    <row r="147" spans="1:27" s="21" customFormat="1" x14ac:dyDescent="0.55000000000000004">
      <c r="A147" s="17"/>
      <c r="B147"/>
      <c r="C147"/>
      <c r="D147"/>
      <c r="E147"/>
      <c r="F147" s="49">
        <v>41579</v>
      </c>
      <c r="G147" s="92">
        <v>148.36000000000001</v>
      </c>
      <c r="H147"/>
      <c r="I147"/>
      <c r="J147"/>
      <c r="K147"/>
      <c r="L147"/>
      <c r="M147"/>
      <c r="N147"/>
      <c r="O147"/>
      <c r="P147" s="151">
        <v>2.8386994798812535</v>
      </c>
      <c r="Q147" s="53"/>
      <c r="R147" s="53">
        <v>145.52130052011876</v>
      </c>
      <c r="S147" s="151">
        <v>2.8386994798812535</v>
      </c>
      <c r="T147" s="15"/>
      <c r="U147" s="15"/>
      <c r="V147" s="15"/>
      <c r="W147" s="15"/>
      <c r="X147" s="15"/>
      <c r="Y147" s="15"/>
      <c r="Z147" s="15"/>
      <c r="AA147" s="15"/>
    </row>
    <row r="148" spans="1:27" s="21" customFormat="1" x14ac:dyDescent="0.55000000000000004">
      <c r="A148" s="17"/>
      <c r="B148"/>
      <c r="C148"/>
      <c r="D148"/>
      <c r="E148"/>
      <c r="F148" s="49">
        <v>41609</v>
      </c>
      <c r="G148" s="92">
        <v>148.76</v>
      </c>
      <c r="H148"/>
      <c r="I148"/>
      <c r="J148"/>
      <c r="K148"/>
      <c r="L148"/>
      <c r="M148"/>
      <c r="N148"/>
      <c r="O148"/>
      <c r="P148" s="151">
        <v>2.7890065928321848</v>
      </c>
      <c r="Q148" s="53"/>
      <c r="R148" s="53">
        <v>145.97099340716781</v>
      </c>
      <c r="S148" s="151">
        <v>2.7890065928321848</v>
      </c>
      <c r="T148" s="15"/>
      <c r="U148" s="15"/>
      <c r="V148" s="15"/>
      <c r="W148" s="15"/>
      <c r="X148" s="15"/>
      <c r="Y148" s="15"/>
      <c r="Z148" s="15"/>
      <c r="AA148" s="15"/>
    </row>
    <row r="149" spans="1:27" s="21" customFormat="1" x14ac:dyDescent="0.55000000000000004">
      <c r="A149" s="17"/>
      <c r="B149"/>
      <c r="C149"/>
      <c r="D149"/>
      <c r="E149"/>
      <c r="F149" s="49">
        <v>41640</v>
      </c>
      <c r="G149" s="92">
        <v>148.31</v>
      </c>
      <c r="H149"/>
      <c r="I149"/>
      <c r="J149"/>
      <c r="K149"/>
      <c r="L149"/>
      <c r="M149"/>
      <c r="N149"/>
      <c r="O149"/>
      <c r="P149" s="151">
        <v>2.7594462599686791</v>
      </c>
      <c r="Q149" s="53"/>
      <c r="R149" s="53">
        <v>145.55055374003132</v>
      </c>
      <c r="S149" s="151">
        <v>2.7594462599686791</v>
      </c>
      <c r="T149" s="15"/>
      <c r="U149" s="15"/>
      <c r="V149" s="15"/>
      <c r="W149" s="15"/>
      <c r="X149" s="15"/>
      <c r="Y149" s="15"/>
      <c r="Z149" s="15"/>
      <c r="AA149" s="15"/>
    </row>
    <row r="150" spans="1:27" s="21" customFormat="1" x14ac:dyDescent="0.55000000000000004">
      <c r="A150" s="17"/>
      <c r="B150"/>
      <c r="C150"/>
      <c r="D150"/>
      <c r="E150"/>
      <c r="F150" s="49">
        <v>41671</v>
      </c>
      <c r="G150" s="92">
        <v>148</v>
      </c>
      <c r="H150"/>
      <c r="I150"/>
      <c r="J150"/>
      <c r="K150"/>
      <c r="L150"/>
      <c r="M150"/>
      <c r="N150"/>
      <c r="O150"/>
      <c r="P150" s="151">
        <v>2.7584187488452052</v>
      </c>
      <c r="Q150" s="53"/>
      <c r="R150" s="53">
        <v>145.2415812511548</v>
      </c>
      <c r="S150" s="151">
        <v>2.7584187488452052</v>
      </c>
      <c r="T150" s="15"/>
      <c r="U150" s="15"/>
      <c r="V150" s="15"/>
      <c r="W150" s="15"/>
      <c r="X150" s="15"/>
      <c r="Y150" s="15"/>
      <c r="Z150" s="15"/>
      <c r="AA150" s="15"/>
    </row>
    <row r="151" spans="1:27" s="21" customFormat="1" x14ac:dyDescent="0.55000000000000004">
      <c r="A151" s="17"/>
      <c r="B151"/>
      <c r="C151"/>
      <c r="D151"/>
      <c r="E151"/>
      <c r="F151" s="49">
        <v>41699</v>
      </c>
      <c r="G151" s="92">
        <v>147.78</v>
      </c>
      <c r="H151"/>
      <c r="I151"/>
      <c r="J151"/>
      <c r="K151"/>
      <c r="L151"/>
      <c r="M151"/>
      <c r="N151"/>
      <c r="O151"/>
      <c r="P151" s="151">
        <v>2.7871502348765542</v>
      </c>
      <c r="Q151" s="53"/>
      <c r="R151" s="53">
        <v>144.99284976512345</v>
      </c>
      <c r="S151" s="151">
        <v>2.7871502348765542</v>
      </c>
      <c r="T151" s="15"/>
      <c r="U151" s="15"/>
      <c r="V151" s="15"/>
      <c r="W151" s="15"/>
      <c r="X151" s="15"/>
      <c r="Y151" s="15"/>
      <c r="Z151" s="15"/>
      <c r="AA151" s="15"/>
    </row>
    <row r="152" spans="1:27" s="21" customFormat="1" x14ac:dyDescent="0.55000000000000004">
      <c r="A152" s="17"/>
      <c r="B152"/>
      <c r="C152"/>
      <c r="D152"/>
      <c r="E152"/>
      <c r="F152" s="49">
        <v>41730</v>
      </c>
      <c r="G152" s="92">
        <v>147.07</v>
      </c>
      <c r="H152"/>
      <c r="I152"/>
      <c r="J152"/>
      <c r="K152"/>
      <c r="L152"/>
      <c r="M152"/>
      <c r="N152"/>
      <c r="O152"/>
      <c r="P152" s="151">
        <v>2.8395576974581789</v>
      </c>
      <c r="Q152" s="53"/>
      <c r="R152" s="53">
        <v>144.2304423025418</v>
      </c>
      <c r="S152" s="151">
        <v>2.8395576974581789</v>
      </c>
      <c r="T152" s="15"/>
      <c r="U152" s="15"/>
      <c r="V152" s="15"/>
      <c r="W152" s="15"/>
      <c r="X152" s="15"/>
      <c r="Y152" s="15"/>
      <c r="Z152" s="15"/>
      <c r="AA152" s="15"/>
    </row>
    <row r="153" spans="1:27" s="21" customFormat="1" x14ac:dyDescent="0.55000000000000004">
      <c r="A153" s="17"/>
      <c r="B153"/>
      <c r="C153"/>
      <c r="D153"/>
      <c r="E153"/>
      <c r="F153" s="49">
        <v>41760</v>
      </c>
      <c r="G153" s="92">
        <v>146.37</v>
      </c>
      <c r="H153"/>
      <c r="I153"/>
      <c r="J153"/>
      <c r="K153"/>
      <c r="L153"/>
      <c r="M153"/>
      <c r="N153"/>
      <c r="O153"/>
      <c r="P153" s="151">
        <v>2.9029790171644674</v>
      </c>
      <c r="Q153" s="53"/>
      <c r="R153" s="53">
        <v>143.46702098283555</v>
      </c>
      <c r="S153" s="151">
        <v>2.9029790171644674</v>
      </c>
      <c r="T153" s="15"/>
      <c r="U153" s="15"/>
      <c r="V153" s="15"/>
      <c r="W153" s="15"/>
      <c r="X153" s="15"/>
      <c r="Y153" s="15"/>
      <c r="Z153" s="15"/>
      <c r="AA153" s="15"/>
    </row>
    <row r="154" spans="1:27" s="21" customFormat="1" x14ac:dyDescent="0.55000000000000004">
      <c r="A154" s="17"/>
      <c r="B154"/>
      <c r="C154"/>
      <c r="D154"/>
      <c r="E154"/>
      <c r="F154" s="49">
        <v>41791</v>
      </c>
      <c r="G154" s="92">
        <v>143.43</v>
      </c>
      <c r="H154"/>
      <c r="I154"/>
      <c r="J154"/>
      <c r="K154"/>
      <c r="L154"/>
      <c r="M154"/>
      <c r="N154"/>
      <c r="O154"/>
      <c r="P154" s="151">
        <v>2.9596749483963327</v>
      </c>
      <c r="Q154" s="53"/>
      <c r="R154" s="53">
        <v>140.47032505160368</v>
      </c>
      <c r="S154" s="151">
        <v>2.9596749483963327</v>
      </c>
      <c r="T154" s="15"/>
      <c r="U154" s="15"/>
      <c r="V154" s="15"/>
      <c r="W154" s="15"/>
      <c r="X154" s="15"/>
      <c r="Y154" s="15"/>
      <c r="Z154" s="15"/>
      <c r="AA154" s="15"/>
    </row>
    <row r="155" spans="1:27" s="21" customFormat="1" x14ac:dyDescent="0.55000000000000004">
      <c r="A155" s="17"/>
      <c r="B155"/>
      <c r="C155"/>
      <c r="D155"/>
      <c r="E155"/>
      <c r="F155" s="49">
        <v>41821</v>
      </c>
      <c r="G155" s="92">
        <v>144.66999999999999</v>
      </c>
      <c r="H155"/>
      <c r="I155"/>
      <c r="J155"/>
      <c r="K155"/>
      <c r="L155"/>
      <c r="M155"/>
      <c r="N155"/>
      <c r="O155"/>
      <c r="P155" s="151">
        <v>2.9889234406502423</v>
      </c>
      <c r="Q155" s="53"/>
      <c r="R155" s="53">
        <v>141.68107655934975</v>
      </c>
      <c r="S155" s="151">
        <v>2.9889234406502423</v>
      </c>
      <c r="T155" s="15"/>
      <c r="U155" s="15"/>
      <c r="V155" s="15"/>
      <c r="W155" s="15"/>
      <c r="X155" s="15"/>
      <c r="Y155" s="15"/>
      <c r="Z155" s="15"/>
      <c r="AA155" s="15"/>
    </row>
    <row r="156" spans="1:27" s="21" customFormat="1" x14ac:dyDescent="0.55000000000000004">
      <c r="A156" s="17"/>
      <c r="B156"/>
      <c r="C156"/>
      <c r="D156"/>
      <c r="E156"/>
      <c r="F156" s="49">
        <v>41852</v>
      </c>
      <c r="G156" s="92">
        <v>145.66</v>
      </c>
      <c r="H156"/>
      <c r="I156"/>
      <c r="J156"/>
      <c r="K156"/>
      <c r="L156"/>
      <c r="M156"/>
      <c r="N156"/>
      <c r="O156"/>
      <c r="P156" s="151">
        <v>2.9694617372630487</v>
      </c>
      <c r="Q156" s="53"/>
      <c r="R156" s="53">
        <v>142.69053826273694</v>
      </c>
      <c r="S156" s="151">
        <v>2.9694617372630487</v>
      </c>
      <c r="T156" s="15"/>
      <c r="U156" s="15"/>
      <c r="V156" s="15"/>
      <c r="W156" s="15"/>
      <c r="X156" s="15"/>
      <c r="Y156" s="15"/>
      <c r="Z156" s="15"/>
      <c r="AA156" s="15"/>
    </row>
    <row r="157" spans="1:27" s="21" customFormat="1" x14ac:dyDescent="0.55000000000000004">
      <c r="A157" s="17"/>
      <c r="B157"/>
      <c r="C157"/>
      <c r="D157"/>
      <c r="E157"/>
      <c r="F157" s="49">
        <v>41883</v>
      </c>
      <c r="G157" s="92">
        <v>146.22999999999999</v>
      </c>
      <c r="H157"/>
      <c r="I157"/>
      <c r="J157"/>
      <c r="K157"/>
      <c r="L157"/>
      <c r="M157"/>
      <c r="N157"/>
      <c r="O157"/>
      <c r="P157" s="151">
        <v>2.8819950166001065</v>
      </c>
      <c r="Q157" s="53"/>
      <c r="R157" s="53">
        <v>143.34800498339987</v>
      </c>
      <c r="S157" s="151">
        <v>2.8819950166001065</v>
      </c>
      <c r="T157" s="15"/>
      <c r="U157" s="15"/>
      <c r="V157" s="15"/>
      <c r="W157" s="15"/>
      <c r="X157" s="15"/>
      <c r="Y157" s="15"/>
      <c r="Z157" s="15"/>
      <c r="AA157" s="15"/>
    </row>
    <row r="158" spans="1:27" s="21" customFormat="1" x14ac:dyDescent="0.55000000000000004">
      <c r="A158" s="17"/>
      <c r="B158"/>
      <c r="C158"/>
      <c r="D158"/>
      <c r="E158"/>
      <c r="F158" s="49">
        <v>41913</v>
      </c>
      <c r="G158" s="92">
        <v>145.41</v>
      </c>
      <c r="H158"/>
      <c r="I158"/>
      <c r="J158"/>
      <c r="K158"/>
      <c r="L158"/>
      <c r="M158"/>
      <c r="N158"/>
      <c r="O158"/>
      <c r="P158" s="151">
        <v>2.7114860193037398</v>
      </c>
      <c r="Q158" s="53"/>
      <c r="R158" s="53">
        <v>142.69851398069625</v>
      </c>
      <c r="S158" s="151">
        <v>2.7114860193037398</v>
      </c>
      <c r="T158" s="15"/>
      <c r="U158" s="15"/>
      <c r="V158" s="15"/>
      <c r="W158" s="15"/>
      <c r="X158" s="15"/>
      <c r="Y158" s="15"/>
      <c r="Z158" s="15"/>
      <c r="AA158" s="15"/>
    </row>
    <row r="159" spans="1:27" s="21" customFormat="1" x14ac:dyDescent="0.55000000000000004">
      <c r="A159" s="17"/>
      <c r="B159"/>
      <c r="C159"/>
      <c r="D159"/>
      <c r="E159"/>
      <c r="F159" s="49">
        <v>41944</v>
      </c>
      <c r="G159" s="92">
        <v>145.62</v>
      </c>
      <c r="H159"/>
      <c r="I159"/>
      <c r="J159"/>
      <c r="K159"/>
      <c r="L159"/>
      <c r="M159"/>
      <c r="N159"/>
      <c r="O159"/>
      <c r="P159" s="151">
        <v>2.4489683858131785</v>
      </c>
      <c r="Q159" s="53"/>
      <c r="R159" s="53">
        <v>143.17103161418683</v>
      </c>
      <c r="S159" s="151">
        <v>2.4489683858131785</v>
      </c>
      <c r="T159" s="15"/>
      <c r="U159" s="15"/>
      <c r="V159" s="15"/>
      <c r="W159" s="15"/>
      <c r="X159" s="15"/>
      <c r="Y159" s="15"/>
      <c r="Z159" s="15"/>
      <c r="AA159" s="15"/>
    </row>
    <row r="160" spans="1:27" s="21" customFormat="1" x14ac:dyDescent="0.55000000000000004">
      <c r="A160" s="17"/>
      <c r="B160"/>
      <c r="C160"/>
      <c r="D160"/>
      <c r="E160"/>
      <c r="F160" s="49">
        <v>41974</v>
      </c>
      <c r="G160" s="92">
        <v>146.28</v>
      </c>
      <c r="H160"/>
      <c r="I160"/>
      <c r="J160"/>
      <c r="K160"/>
      <c r="L160"/>
      <c r="M160"/>
      <c r="N160"/>
      <c r="O160"/>
      <c r="P160" s="151">
        <v>2.0926838477967857</v>
      </c>
      <c r="Q160" s="53"/>
      <c r="R160" s="53">
        <v>144.18731615220321</v>
      </c>
      <c r="S160" s="151">
        <v>2.0926838477967857</v>
      </c>
      <c r="T160" s="15"/>
      <c r="U160" s="15"/>
      <c r="V160" s="15"/>
      <c r="W160" s="15"/>
      <c r="X160" s="15"/>
      <c r="Y160" s="15"/>
      <c r="Z160" s="15"/>
      <c r="AA160" s="15"/>
    </row>
    <row r="161" spans="1:27" s="21" customFormat="1" x14ac:dyDescent="0.55000000000000004">
      <c r="A161" s="17"/>
      <c r="B161"/>
      <c r="C161"/>
      <c r="D161"/>
      <c r="E161"/>
      <c r="F161" s="49">
        <v>42005</v>
      </c>
      <c r="G161" s="92">
        <v>145.11000000000001</v>
      </c>
      <c r="H161"/>
      <c r="I161"/>
      <c r="J161"/>
      <c r="K161"/>
      <c r="L161"/>
      <c r="M161"/>
      <c r="N161"/>
      <c r="O161"/>
      <c r="P161" s="151">
        <v>1.6484231938008889</v>
      </c>
      <c r="Q161" s="53"/>
      <c r="R161" s="53">
        <v>143.46157680619913</v>
      </c>
      <c r="S161" s="151">
        <v>1.6484231938008889</v>
      </c>
      <c r="T161" s="15"/>
      <c r="U161" s="15"/>
      <c r="V161" s="15"/>
      <c r="W161" s="15"/>
      <c r="X161" s="15"/>
      <c r="Y161" s="15"/>
      <c r="Z161" s="15"/>
      <c r="AA161" s="15"/>
    </row>
    <row r="162" spans="1:27" s="21" customFormat="1" x14ac:dyDescent="0.55000000000000004">
      <c r="A162" s="17"/>
      <c r="B162"/>
      <c r="C162"/>
      <c r="D162"/>
      <c r="E162"/>
      <c r="F162" s="49">
        <v>42036</v>
      </c>
      <c r="G162" s="92">
        <v>144.05000000000001</v>
      </c>
      <c r="H162"/>
      <c r="I162"/>
      <c r="J162"/>
      <c r="K162"/>
      <c r="L162"/>
      <c r="M162"/>
      <c r="N162"/>
      <c r="O162"/>
      <c r="P162" s="151">
        <v>1.1290437455555837</v>
      </c>
      <c r="Q162" s="53"/>
      <c r="R162" s="53">
        <v>142.92095625444443</v>
      </c>
      <c r="S162" s="151">
        <v>1.1290437455555837</v>
      </c>
      <c r="T162" s="15"/>
      <c r="U162" s="15"/>
      <c r="V162" s="15"/>
      <c r="W162" s="15"/>
      <c r="X162" s="15"/>
      <c r="Y162" s="15"/>
      <c r="Z162" s="15"/>
      <c r="AA162" s="15"/>
    </row>
    <row r="163" spans="1:27" s="21" customFormat="1" x14ac:dyDescent="0.55000000000000004">
      <c r="A163" s="17"/>
      <c r="B163"/>
      <c r="C163"/>
      <c r="D163"/>
      <c r="E163"/>
      <c r="F163" s="49">
        <v>42064</v>
      </c>
      <c r="G163" s="92">
        <v>143.72999999999999</v>
      </c>
      <c r="H163"/>
      <c r="I163"/>
      <c r="J163"/>
      <c r="K163"/>
      <c r="L163"/>
      <c r="M163"/>
      <c r="N163"/>
      <c r="O163"/>
      <c r="P163" s="151">
        <v>0.55323115494054997</v>
      </c>
      <c r="Q163" s="53"/>
      <c r="R163" s="53">
        <v>143.17676884505943</v>
      </c>
      <c r="S163" s="151">
        <v>0.55323115494054997</v>
      </c>
      <c r="T163" s="15"/>
      <c r="U163" s="15"/>
      <c r="V163" s="15"/>
      <c r="W163" s="15"/>
      <c r="X163" s="15"/>
      <c r="Y163" s="15"/>
      <c r="Z163" s="15"/>
      <c r="AA163" s="15"/>
    </row>
    <row r="164" spans="1:27" s="21" customFormat="1" x14ac:dyDescent="0.55000000000000004">
      <c r="A164" s="17"/>
      <c r="B164"/>
      <c r="C164"/>
      <c r="D164"/>
      <c r="E164"/>
      <c r="F164" s="49">
        <v>42095</v>
      </c>
      <c r="G164" s="92">
        <v>142.02000000000001</v>
      </c>
      <c r="H164"/>
      <c r="I164"/>
      <c r="J164"/>
      <c r="K164"/>
      <c r="L164"/>
      <c r="M164"/>
      <c r="N164"/>
      <c r="O164"/>
      <c r="P164" s="151">
        <v>-5.6340344074556459E-2</v>
      </c>
      <c r="Q164" s="53"/>
      <c r="R164" s="53">
        <v>142.07634034407457</v>
      </c>
      <c r="S164" s="151">
        <v>-5.6340344074556459E-2</v>
      </c>
      <c r="T164" s="15"/>
      <c r="U164" s="15"/>
      <c r="V164" s="15"/>
      <c r="W164" s="15"/>
      <c r="X164" s="15"/>
      <c r="Y164" s="15"/>
      <c r="Z164" s="15"/>
      <c r="AA164" s="15"/>
    </row>
    <row r="165" spans="1:27" s="21" customFormat="1" x14ac:dyDescent="0.55000000000000004">
      <c r="A165" s="17"/>
      <c r="B165"/>
      <c r="C165"/>
      <c r="D165"/>
      <c r="E165"/>
      <c r="F165" s="49">
        <v>42125</v>
      </c>
      <c r="G165" s="92">
        <v>141.07</v>
      </c>
      <c r="H165"/>
      <c r="I165"/>
      <c r="J165"/>
      <c r="K165"/>
      <c r="L165"/>
      <c r="M165"/>
      <c r="N165"/>
      <c r="O165"/>
      <c r="P165" s="151">
        <v>-0.6752274842313053</v>
      </c>
      <c r="Q165" s="53"/>
      <c r="R165" s="53">
        <v>141.74522748423129</v>
      </c>
      <c r="S165" s="151">
        <v>-0.6752274842313053</v>
      </c>
      <c r="T165" s="15"/>
      <c r="U165" s="15"/>
      <c r="V165" s="15"/>
      <c r="W165" s="15"/>
      <c r="X165" s="15"/>
      <c r="Y165" s="15"/>
      <c r="Z165" s="15"/>
      <c r="AA165" s="15"/>
    </row>
    <row r="166" spans="1:27" s="21" customFormat="1" x14ac:dyDescent="0.55000000000000004">
      <c r="A166" s="17"/>
      <c r="B166"/>
      <c r="C166"/>
      <c r="D166"/>
      <c r="E166"/>
      <c r="F166" s="49">
        <v>42156</v>
      </c>
      <c r="G166" s="92">
        <v>139.55000000000001</v>
      </c>
      <c r="H166"/>
      <c r="I166"/>
      <c r="J166"/>
      <c r="K166"/>
      <c r="L166"/>
      <c r="M166"/>
      <c r="N166"/>
      <c r="O166"/>
      <c r="P166" s="151">
        <v>-1.2795544500377893</v>
      </c>
      <c r="Q166" s="53"/>
      <c r="R166" s="53">
        <v>140.82955445003779</v>
      </c>
      <c r="S166" s="151">
        <v>-1.2795544500377893</v>
      </c>
      <c r="T166" s="15"/>
      <c r="U166" s="15"/>
      <c r="V166" s="15"/>
      <c r="W166" s="15"/>
      <c r="X166" s="15"/>
      <c r="Y166" s="15"/>
      <c r="Z166" s="15"/>
      <c r="AA166" s="15"/>
    </row>
    <row r="167" spans="1:27" s="21" customFormat="1" x14ac:dyDescent="0.55000000000000004">
      <c r="A167" s="17"/>
      <c r="B167"/>
      <c r="C167"/>
      <c r="D167"/>
      <c r="E167"/>
      <c r="F167" s="49">
        <v>42186</v>
      </c>
      <c r="G167" s="92">
        <v>138.41999999999999</v>
      </c>
      <c r="H167"/>
      <c r="I167"/>
      <c r="J167"/>
      <c r="K167"/>
      <c r="L167"/>
      <c r="M167"/>
      <c r="N167"/>
      <c r="O167"/>
      <c r="P167" s="151">
        <v>-1.8481934915650893</v>
      </c>
      <c r="Q167" s="53"/>
      <c r="R167" s="53">
        <v>140.26819349156509</v>
      </c>
      <c r="S167" s="151">
        <v>-1.8481934915650893</v>
      </c>
      <c r="T167" s="15"/>
      <c r="U167" s="15"/>
      <c r="V167" s="15"/>
      <c r="W167" s="15"/>
      <c r="X167" s="15"/>
      <c r="Y167" s="15"/>
      <c r="Z167" s="15"/>
      <c r="AA167" s="15"/>
    </row>
    <row r="168" spans="1:27" s="21" customFormat="1" x14ac:dyDescent="0.55000000000000004">
      <c r="A168" s="17"/>
      <c r="B168"/>
      <c r="C168"/>
      <c r="D168"/>
      <c r="E168"/>
      <c r="F168" s="49">
        <v>42217</v>
      </c>
      <c r="G168" s="92">
        <v>138.83000000000001</v>
      </c>
      <c r="H168"/>
      <c r="I168"/>
      <c r="J168"/>
      <c r="K168"/>
      <c r="L168"/>
      <c r="M168"/>
      <c r="N168"/>
      <c r="O168"/>
      <c r="P168" s="151">
        <v>-2.3645391480866595</v>
      </c>
      <c r="Q168" s="53"/>
      <c r="R168" s="53">
        <v>141.19453914808668</v>
      </c>
      <c r="S168" s="151">
        <v>-2.3645391480866595</v>
      </c>
      <c r="T168" s="15"/>
      <c r="U168" s="15"/>
      <c r="V168" s="15"/>
      <c r="W168" s="15"/>
      <c r="X168" s="15"/>
      <c r="Y168" s="15"/>
      <c r="Z168" s="15"/>
      <c r="AA168" s="15"/>
    </row>
    <row r="169" spans="1:27" s="21" customFormat="1" x14ac:dyDescent="0.55000000000000004">
      <c r="A169" s="17"/>
      <c r="B169"/>
      <c r="C169"/>
      <c r="D169"/>
      <c r="E169"/>
      <c r="F169" s="49">
        <v>42248</v>
      </c>
      <c r="G169" s="92">
        <v>137.71</v>
      </c>
      <c r="H169"/>
      <c r="I169"/>
      <c r="J169"/>
      <c r="K169"/>
      <c r="L169"/>
      <c r="M169"/>
      <c r="N169"/>
      <c r="O169"/>
      <c r="P169" s="151">
        <v>-2.8176773765788812</v>
      </c>
      <c r="Q169" s="53"/>
      <c r="R169" s="53">
        <v>140.52767737657888</v>
      </c>
      <c r="S169" s="151">
        <v>-2.8176773765788812</v>
      </c>
      <c r="T169" s="15"/>
      <c r="U169" s="15"/>
      <c r="V169" s="15"/>
      <c r="W169" s="15"/>
      <c r="X169" s="15"/>
      <c r="Y169" s="15"/>
      <c r="Z169" s="15"/>
      <c r="AA169" s="15"/>
    </row>
    <row r="170" spans="1:27" s="21" customFormat="1" x14ac:dyDescent="0.55000000000000004">
      <c r="A170" s="17"/>
      <c r="B170"/>
      <c r="C170"/>
      <c r="D170"/>
      <c r="E170"/>
      <c r="F170" s="49">
        <v>42278</v>
      </c>
      <c r="G170" s="92">
        <v>138.78</v>
      </c>
      <c r="H170"/>
      <c r="I170"/>
      <c r="J170"/>
      <c r="K170"/>
      <c r="L170"/>
      <c r="M170"/>
      <c r="N170"/>
      <c r="O170"/>
      <c r="P170" s="151">
        <v>-3.2028260577104457</v>
      </c>
      <c r="Q170" s="53"/>
      <c r="R170" s="53">
        <v>141.98282605771044</v>
      </c>
      <c r="S170" s="151">
        <v>-3.2028260577104457</v>
      </c>
      <c r="T170" s="15"/>
      <c r="U170" s="15"/>
      <c r="V170" s="15"/>
      <c r="W170" s="15"/>
      <c r="X170" s="15"/>
      <c r="Y170" s="15"/>
      <c r="Z170" s="15"/>
      <c r="AA170" s="15"/>
    </row>
    <row r="171" spans="1:27" s="21" customFormat="1" x14ac:dyDescent="0.55000000000000004">
      <c r="A171" s="17"/>
      <c r="B171"/>
      <c r="C171"/>
      <c r="D171"/>
      <c r="E171"/>
      <c r="F171" s="49">
        <v>42309</v>
      </c>
      <c r="G171" s="92">
        <v>136.81</v>
      </c>
      <c r="H171"/>
      <c r="I171"/>
      <c r="J171"/>
      <c r="K171"/>
      <c r="L171"/>
      <c r="M171"/>
      <c r="N171"/>
      <c r="O171"/>
      <c r="P171" s="151">
        <v>-3.5210129821367628</v>
      </c>
      <c r="Q171" s="53"/>
      <c r="R171" s="53">
        <v>140.33101298213677</v>
      </c>
      <c r="S171" s="151">
        <v>-3.5210129821367628</v>
      </c>
      <c r="T171" s="15"/>
      <c r="U171" s="15"/>
      <c r="V171" s="15"/>
      <c r="W171" s="15"/>
      <c r="X171" s="15"/>
      <c r="Y171" s="15"/>
      <c r="Z171" s="15"/>
      <c r="AA171" s="15"/>
    </row>
    <row r="172" spans="1:27" s="21" customFormat="1" x14ac:dyDescent="0.55000000000000004">
      <c r="A172" s="17"/>
      <c r="B172"/>
      <c r="C172"/>
      <c r="D172"/>
      <c r="E172"/>
      <c r="F172" s="49">
        <v>42339</v>
      </c>
      <c r="G172" s="92">
        <v>136.47999999999999</v>
      </c>
      <c r="H172"/>
      <c r="I172"/>
      <c r="J172"/>
      <c r="K172"/>
      <c r="L172"/>
      <c r="M172"/>
      <c r="N172"/>
      <c r="O172"/>
      <c r="P172" s="151">
        <v>-3.7780508689347427</v>
      </c>
      <c r="Q172" s="53"/>
      <c r="R172" s="53">
        <v>140.25805086893473</v>
      </c>
      <c r="S172" s="151">
        <v>-3.7780508689347427</v>
      </c>
      <c r="T172" s="15"/>
      <c r="U172" s="15"/>
      <c r="V172" s="15"/>
      <c r="W172" s="15"/>
      <c r="X172" s="15"/>
      <c r="Y172" s="15"/>
      <c r="Z172" s="15"/>
      <c r="AA172" s="15"/>
    </row>
    <row r="173" spans="1:27" s="21" customFormat="1" x14ac:dyDescent="0.55000000000000004">
      <c r="A173" s="17"/>
      <c r="B173"/>
      <c r="C173"/>
      <c r="D173"/>
      <c r="E173"/>
      <c r="F173" s="49">
        <v>42370</v>
      </c>
      <c r="G173" s="92">
        <v>135.58000000000001</v>
      </c>
      <c r="H173"/>
      <c r="I173"/>
      <c r="J173"/>
      <c r="K173"/>
      <c r="L173"/>
      <c r="M173"/>
      <c r="N173"/>
      <c r="O173"/>
      <c r="P173" s="151">
        <v>-3.9829551111090873</v>
      </c>
      <c r="Q173" s="53"/>
      <c r="R173" s="53">
        <v>139.56295511110909</v>
      </c>
      <c r="S173" s="151">
        <v>-3.9829551111090873</v>
      </c>
      <c r="T173" s="15"/>
      <c r="U173" s="15"/>
      <c r="V173" s="15"/>
      <c r="W173" s="15"/>
      <c r="X173" s="15"/>
      <c r="Y173" s="15"/>
      <c r="Z173" s="15"/>
      <c r="AA173" s="15"/>
    </row>
    <row r="174" spans="1:27" s="21" customFormat="1" x14ac:dyDescent="0.55000000000000004">
      <c r="A174" s="17"/>
      <c r="B174"/>
      <c r="C174"/>
      <c r="D174"/>
      <c r="E174"/>
      <c r="F174" s="49">
        <v>42401</v>
      </c>
      <c r="G174" s="92">
        <v>135.41999999999999</v>
      </c>
      <c r="H174"/>
      <c r="I174"/>
      <c r="J174"/>
      <c r="K174"/>
      <c r="L174"/>
      <c r="M174"/>
      <c r="N174"/>
      <c r="O174"/>
      <c r="P174" s="151">
        <v>-4.1460184604909243</v>
      </c>
      <c r="Q174" s="53"/>
      <c r="R174" s="53">
        <v>139.56601846049091</v>
      </c>
      <c r="S174" s="151">
        <v>-4.1460184604909243</v>
      </c>
      <c r="T174" s="15"/>
      <c r="U174" s="15"/>
      <c r="V174" s="15"/>
      <c r="W174" s="15"/>
      <c r="X174" s="15"/>
      <c r="Y174" s="15"/>
      <c r="Z174" s="15"/>
      <c r="AA174" s="15"/>
    </row>
    <row r="175" spans="1:27" s="21" customFormat="1" x14ac:dyDescent="0.55000000000000004">
      <c r="A175" s="17"/>
      <c r="B175"/>
      <c r="C175"/>
      <c r="D175"/>
      <c r="E175"/>
      <c r="F175" s="49">
        <v>42430</v>
      </c>
      <c r="G175" s="92">
        <v>134.47</v>
      </c>
      <c r="H175"/>
      <c r="I175"/>
      <c r="J175"/>
      <c r="K175"/>
      <c r="L175"/>
      <c r="M175"/>
      <c r="N175"/>
      <c r="O175"/>
      <c r="P175" s="151">
        <v>-4.2767994526640036</v>
      </c>
      <c r="Q175" s="53"/>
      <c r="R175" s="53">
        <v>138.74679945266399</v>
      </c>
      <c r="S175" s="151">
        <v>-4.2767994526640036</v>
      </c>
      <c r="T175" s="15"/>
      <c r="U175" s="15"/>
      <c r="V175" s="15"/>
      <c r="W175" s="15"/>
      <c r="X175" s="15"/>
      <c r="Y175" s="15"/>
      <c r="Z175" s="15"/>
      <c r="AA175" s="15"/>
    </row>
    <row r="176" spans="1:27" s="21" customFormat="1" x14ac:dyDescent="0.55000000000000004">
      <c r="A176" s="17"/>
      <c r="B176"/>
      <c r="C176"/>
      <c r="D176"/>
      <c r="E176"/>
      <c r="F176" s="49">
        <v>42461</v>
      </c>
      <c r="G176" s="92">
        <v>134.49</v>
      </c>
      <c r="H176"/>
      <c r="I176"/>
      <c r="J176"/>
      <c r="K176"/>
      <c r="L176"/>
      <c r="M176"/>
      <c r="N176"/>
      <c r="O176"/>
      <c r="P176" s="151">
        <v>-4.3822927317623668</v>
      </c>
      <c r="Q176" s="53"/>
      <c r="R176" s="53">
        <v>138.87229273176237</v>
      </c>
      <c r="S176" s="151">
        <v>-4.3822927317623668</v>
      </c>
      <c r="T176" s="15"/>
      <c r="U176" s="15"/>
      <c r="V176" s="15"/>
      <c r="W176" s="15"/>
      <c r="X176" s="15"/>
      <c r="Y176" s="15"/>
      <c r="Z176" s="15"/>
      <c r="AA176" s="15"/>
    </row>
    <row r="177" spans="1:27" s="21" customFormat="1" x14ac:dyDescent="0.55000000000000004">
      <c r="A177" s="17"/>
      <c r="B177"/>
      <c r="C177"/>
      <c r="D177"/>
      <c r="E177"/>
      <c r="F177" s="49">
        <v>42491</v>
      </c>
      <c r="G177" s="92">
        <v>134.07</v>
      </c>
      <c r="H177"/>
      <c r="I177"/>
      <c r="J177"/>
      <c r="K177"/>
      <c r="L177"/>
      <c r="M177"/>
      <c r="N177"/>
      <c r="O177"/>
      <c r="P177" s="151">
        <v>-4.4655279151619807</v>
      </c>
      <c r="Q177" s="53"/>
      <c r="R177" s="53">
        <v>138.53552791516196</v>
      </c>
      <c r="S177" s="151">
        <v>-4.4655279151619807</v>
      </c>
      <c r="T177" s="15"/>
      <c r="U177" s="15"/>
      <c r="V177" s="15"/>
      <c r="W177" s="15"/>
      <c r="X177" s="15"/>
      <c r="Y177" s="15"/>
      <c r="Z177" s="15"/>
      <c r="AA177" s="15"/>
    </row>
    <row r="178" spans="1:27" s="21" customFormat="1" x14ac:dyDescent="0.55000000000000004">
      <c r="A178" s="17"/>
      <c r="B178"/>
      <c r="C178"/>
      <c r="D178"/>
      <c r="E178"/>
      <c r="F178" s="49">
        <v>42522</v>
      </c>
      <c r="G178" s="92">
        <v>134.57</v>
      </c>
      <c r="H178"/>
      <c r="I178"/>
      <c r="J178"/>
      <c r="K178"/>
      <c r="L178"/>
      <c r="M178"/>
      <c r="N178"/>
      <c r="O178"/>
      <c r="P178" s="151">
        <v>-4.5247914687557076</v>
      </c>
      <c r="Q178" s="53"/>
      <c r="R178" s="53">
        <v>139.09479146875569</v>
      </c>
      <c r="S178" s="151">
        <v>-4.5247914687557076</v>
      </c>
      <c r="T178" s="15"/>
      <c r="U178" s="15"/>
      <c r="V178" s="15"/>
      <c r="W178" s="15"/>
      <c r="X178" s="15"/>
      <c r="Y178" s="15"/>
      <c r="Z178" s="15"/>
      <c r="AA178" s="15"/>
    </row>
    <row r="179" spans="1:27" s="21" customFormat="1" x14ac:dyDescent="0.55000000000000004">
      <c r="A179" s="17"/>
      <c r="B179"/>
      <c r="C179"/>
      <c r="D179"/>
      <c r="E179"/>
      <c r="F179" s="49">
        <v>42552</v>
      </c>
      <c r="G179" s="92">
        <v>134.43</v>
      </c>
      <c r="H179"/>
      <c r="I179"/>
      <c r="J179"/>
      <c r="K179"/>
      <c r="L179"/>
      <c r="M179"/>
      <c r="N179"/>
      <c r="O179"/>
      <c r="P179" s="151">
        <v>-4.5535891351224063</v>
      </c>
      <c r="Q179" s="53"/>
      <c r="R179" s="53">
        <v>138.9835891351224</v>
      </c>
      <c r="S179" s="151">
        <v>-4.5535891351224063</v>
      </c>
      <c r="T179" s="15"/>
      <c r="U179" s="15"/>
      <c r="V179" s="15"/>
      <c r="W179" s="15"/>
      <c r="X179" s="15"/>
      <c r="Y179" s="15"/>
      <c r="Z179" s="15"/>
      <c r="AA179" s="15"/>
    </row>
    <row r="180" spans="1:27" s="21" customFormat="1" x14ac:dyDescent="0.55000000000000004">
      <c r="A180" s="17"/>
      <c r="B180"/>
      <c r="C180"/>
      <c r="D180"/>
      <c r="E180"/>
      <c r="F180" s="49">
        <v>42583</v>
      </c>
      <c r="G180" s="92">
        <v>133.72</v>
      </c>
      <c r="H180"/>
      <c r="I180"/>
      <c r="J180"/>
      <c r="K180"/>
      <c r="L180"/>
      <c r="M180"/>
      <c r="N180"/>
      <c r="O180"/>
      <c r="P180" s="151">
        <v>-4.54137367539197</v>
      </c>
      <c r="Q180" s="53"/>
      <c r="R180" s="53">
        <v>138.26137367539198</v>
      </c>
      <c r="S180" s="151">
        <v>-4.54137367539197</v>
      </c>
      <c r="T180" s="15"/>
      <c r="U180" s="15"/>
      <c r="V180" s="15"/>
      <c r="W180" s="15"/>
      <c r="X180" s="15"/>
      <c r="Y180" s="15"/>
      <c r="Z180" s="15"/>
      <c r="AA180" s="15"/>
    </row>
    <row r="181" spans="1:27" s="21" customFormat="1" x14ac:dyDescent="0.55000000000000004">
      <c r="A181" s="17"/>
      <c r="B181"/>
      <c r="C181"/>
      <c r="D181"/>
      <c r="E181"/>
      <c r="F181" s="49">
        <v>42614</v>
      </c>
      <c r="G181" s="92">
        <v>133.63999999999999</v>
      </c>
      <c r="H181"/>
      <c r="I181"/>
      <c r="J181"/>
      <c r="K181"/>
      <c r="L181"/>
      <c r="M181"/>
      <c r="N181"/>
      <c r="O181"/>
      <c r="P181" s="151">
        <v>-4.4749649695696707</v>
      </c>
      <c r="Q181" s="53"/>
      <c r="R181" s="53">
        <v>138.11496496956966</v>
      </c>
      <c r="S181" s="151">
        <v>-4.4749649695696707</v>
      </c>
      <c r="T181" s="15"/>
      <c r="U181" s="15"/>
      <c r="V181" s="15"/>
      <c r="W181" s="15"/>
      <c r="X181" s="15"/>
      <c r="Y181" s="15"/>
      <c r="Z181" s="15"/>
      <c r="AA181" s="15"/>
    </row>
    <row r="182" spans="1:27" s="21" customFormat="1" x14ac:dyDescent="0.55000000000000004">
      <c r="A182" s="17"/>
      <c r="B182"/>
      <c r="C182"/>
      <c r="D182"/>
      <c r="E182"/>
      <c r="F182" s="49">
        <v>42644</v>
      </c>
      <c r="G182" s="92">
        <v>133.34</v>
      </c>
      <c r="H182"/>
      <c r="I182"/>
      <c r="J182"/>
      <c r="K182"/>
      <c r="L182"/>
      <c r="M182"/>
      <c r="N182"/>
      <c r="O182"/>
      <c r="P182" s="151">
        <v>-4.3404985522262756</v>
      </c>
      <c r="Q182" s="53"/>
      <c r="R182" s="53">
        <v>137.68049855222628</v>
      </c>
      <c r="S182" s="151">
        <v>-4.3404985522262756</v>
      </c>
      <c r="T182" s="15"/>
      <c r="U182" s="15"/>
      <c r="V182" s="15"/>
      <c r="W182" s="15"/>
      <c r="X182" s="15"/>
      <c r="Y182" s="15"/>
      <c r="Z182" s="15"/>
      <c r="AA182" s="15"/>
    </row>
    <row r="183" spans="1:27" s="21" customFormat="1" x14ac:dyDescent="0.55000000000000004">
      <c r="A183" s="17"/>
      <c r="B183"/>
      <c r="C183"/>
      <c r="D183"/>
      <c r="E183"/>
      <c r="F183" s="49">
        <v>42675</v>
      </c>
      <c r="G183" s="92">
        <v>133.13999999999999</v>
      </c>
      <c r="H183"/>
      <c r="I183"/>
      <c r="J183"/>
      <c r="K183"/>
      <c r="L183"/>
      <c r="M183"/>
      <c r="N183"/>
      <c r="O183"/>
      <c r="P183" s="151">
        <v>-4.1256655338175801</v>
      </c>
      <c r="Q183" s="53"/>
      <c r="R183" s="53">
        <v>137.26566553381755</v>
      </c>
      <c r="S183" s="151">
        <v>-4.1256655338175801</v>
      </c>
      <c r="T183" s="15"/>
      <c r="U183" s="15"/>
      <c r="V183" s="15"/>
      <c r="W183" s="15"/>
      <c r="X183" s="15"/>
      <c r="Y183" s="15"/>
      <c r="Z183" s="15"/>
      <c r="AA183" s="15"/>
    </row>
    <row r="184" spans="1:27" s="21" customFormat="1" x14ac:dyDescent="0.55000000000000004">
      <c r="A184" s="17"/>
      <c r="B184"/>
      <c r="C184"/>
      <c r="D184"/>
      <c r="E184"/>
      <c r="F184" s="49">
        <v>42705</v>
      </c>
      <c r="G184" s="92">
        <v>132.54</v>
      </c>
      <c r="H184"/>
      <c r="I184"/>
      <c r="J184"/>
      <c r="K184"/>
      <c r="L184"/>
      <c r="M184"/>
      <c r="N184"/>
      <c r="O184"/>
      <c r="P184" s="151">
        <v>-3.8219607710956405</v>
      </c>
      <c r="Q184" s="53"/>
      <c r="R184" s="53">
        <v>136.36196077109562</v>
      </c>
      <c r="S184" s="151">
        <v>-3.8219607710956405</v>
      </c>
      <c r="T184" s="15"/>
      <c r="U184" s="15"/>
      <c r="V184" s="15"/>
      <c r="W184" s="15"/>
      <c r="X184" s="15"/>
      <c r="Y184" s="15"/>
      <c r="Z184" s="15"/>
      <c r="AA184" s="15"/>
    </row>
    <row r="185" spans="1:27" s="21" customFormat="1" x14ac:dyDescent="0.55000000000000004">
      <c r="A185" s="17"/>
      <c r="B185"/>
      <c r="C185"/>
      <c r="D185"/>
      <c r="E185"/>
      <c r="F185" s="49">
        <v>42736</v>
      </c>
      <c r="G185" s="92">
        <v>133.61000000000001</v>
      </c>
      <c r="H185"/>
      <c r="I185"/>
      <c r="J185"/>
      <c r="K185"/>
      <c r="L185"/>
      <c r="M185"/>
      <c r="N185"/>
      <c r="O185"/>
      <c r="P185" s="151">
        <v>-3.4266433019885598</v>
      </c>
      <c r="Q185" s="53"/>
      <c r="R185" s="53">
        <v>137.03664330198856</v>
      </c>
      <c r="S185" s="151">
        <v>-3.4266433019885598</v>
      </c>
      <c r="T185" s="15"/>
      <c r="U185" s="15"/>
      <c r="V185" s="15"/>
      <c r="W185" s="15"/>
      <c r="X185" s="15"/>
      <c r="Y185" s="15"/>
      <c r="Z185" s="15"/>
      <c r="AA185" s="15"/>
    </row>
    <row r="186" spans="1:27" s="21" customFormat="1" x14ac:dyDescent="0.55000000000000004">
      <c r="A186" s="17"/>
      <c r="B186"/>
      <c r="C186"/>
      <c r="D186"/>
      <c r="E186"/>
      <c r="F186" s="49">
        <v>42767</v>
      </c>
      <c r="G186" s="92">
        <v>135.55000000000001</v>
      </c>
      <c r="H186"/>
      <c r="I186"/>
      <c r="J186"/>
      <c r="K186"/>
      <c r="L186"/>
      <c r="M186"/>
      <c r="N186"/>
      <c r="O186"/>
      <c r="P186" s="151">
        <v>-2.9441358735472667</v>
      </c>
      <c r="Q186" s="53"/>
      <c r="R186" s="53">
        <v>138.49413587354726</v>
      </c>
      <c r="S186" s="151">
        <v>-2.9441358735472667</v>
      </c>
      <c r="T186" s="15"/>
      <c r="U186" s="15"/>
      <c r="V186" s="15"/>
      <c r="W186" s="15"/>
      <c r="X186" s="15"/>
      <c r="Y186" s="15"/>
      <c r="Z186" s="15"/>
      <c r="AA186" s="15"/>
    </row>
    <row r="187" spans="1:27" s="21" customFormat="1" x14ac:dyDescent="0.55000000000000004">
      <c r="A187" s="17"/>
      <c r="B187"/>
      <c r="C187"/>
      <c r="D187"/>
      <c r="E187"/>
      <c r="F187" s="49">
        <v>42795</v>
      </c>
      <c r="G187" s="92">
        <v>135.34</v>
      </c>
      <c r="H187"/>
      <c r="I187"/>
      <c r="J187"/>
      <c r="K187"/>
      <c r="L187"/>
      <c r="M187"/>
      <c r="N187"/>
      <c r="O187"/>
      <c r="P187" s="151">
        <v>-2.3866471581633188</v>
      </c>
      <c r="Q187" s="53"/>
      <c r="R187" s="53">
        <v>137.72664715816333</v>
      </c>
      <c r="S187" s="151">
        <v>-2.3866471581633188</v>
      </c>
      <c r="T187" s="15"/>
      <c r="U187" s="15"/>
      <c r="V187" s="15"/>
      <c r="W187" s="15"/>
      <c r="X187" s="15"/>
      <c r="Y187" s="15"/>
      <c r="Z187" s="15"/>
      <c r="AA187" s="15"/>
    </row>
    <row r="188" spans="1:27" s="21" customFormat="1" x14ac:dyDescent="0.55000000000000004">
      <c r="A188" s="17"/>
      <c r="B188"/>
      <c r="C188"/>
      <c r="D188"/>
      <c r="E188"/>
      <c r="F188" s="49">
        <v>42826</v>
      </c>
      <c r="G188" s="92">
        <v>135.29</v>
      </c>
      <c r="H188"/>
      <c r="I188"/>
      <c r="J188"/>
      <c r="K188"/>
      <c r="L188"/>
      <c r="M188"/>
      <c r="N188"/>
      <c r="O188"/>
      <c r="P188" s="151">
        <v>-1.7738852495359141</v>
      </c>
      <c r="Q188" s="53"/>
      <c r="R188" s="53">
        <v>137.0638852495359</v>
      </c>
      <c r="S188" s="151">
        <v>-1.7738852495359141</v>
      </c>
      <c r="T188" s="15"/>
      <c r="U188" s="15"/>
      <c r="V188" s="15"/>
      <c r="W188" s="15"/>
      <c r="X188" s="15"/>
      <c r="Y188" s="15"/>
      <c r="Z188" s="15"/>
      <c r="AA188" s="15"/>
    </row>
    <row r="189" spans="1:27" s="21" customFormat="1" x14ac:dyDescent="0.55000000000000004">
      <c r="A189" s="17"/>
      <c r="B189"/>
      <c r="C189"/>
      <c r="D189"/>
      <c r="E189"/>
      <c r="F189" s="49">
        <v>42856</v>
      </c>
      <c r="G189" s="92">
        <v>135.06</v>
      </c>
      <c r="H189"/>
      <c r="I189"/>
      <c r="J189"/>
      <c r="K189"/>
      <c r="L189"/>
      <c r="M189"/>
      <c r="N189"/>
      <c r="O189"/>
      <c r="P189" s="151">
        <v>-1.131835093897656</v>
      </c>
      <c r="Q189" s="53"/>
      <c r="R189" s="53">
        <v>136.19183509389765</v>
      </c>
      <c r="S189" s="151">
        <v>-1.131835093897656</v>
      </c>
      <c r="T189" s="15"/>
      <c r="U189" s="15"/>
      <c r="V189" s="15"/>
      <c r="W189" s="15"/>
      <c r="X189" s="15"/>
      <c r="Y189" s="15"/>
      <c r="Z189" s="15"/>
      <c r="AA189" s="15"/>
    </row>
    <row r="190" spans="1:27" s="21" customFormat="1" x14ac:dyDescent="0.55000000000000004">
      <c r="A190" s="17"/>
      <c r="B190"/>
      <c r="C190"/>
      <c r="D190"/>
      <c r="E190"/>
      <c r="F190" s="49">
        <v>42887</v>
      </c>
      <c r="G190" s="92">
        <v>135.94999999999999</v>
      </c>
      <c r="H190"/>
      <c r="I190"/>
      <c r="J190"/>
      <c r="K190"/>
      <c r="L190"/>
      <c r="M190"/>
      <c r="N190"/>
      <c r="O190"/>
      <c r="P190" s="151">
        <v>-0.49068402548718071</v>
      </c>
      <c r="Q190" s="53"/>
      <c r="R190" s="53">
        <v>136.44068402548717</v>
      </c>
      <c r="S190" s="151">
        <v>-0.49068402548718071</v>
      </c>
      <c r="T190" s="15"/>
      <c r="U190" s="15"/>
      <c r="V190" s="15"/>
      <c r="W190" s="15"/>
      <c r="X190" s="15"/>
      <c r="Y190" s="15"/>
      <c r="Z190" s="15"/>
      <c r="AA190" s="15"/>
    </row>
    <row r="191" spans="1:27" s="21" customFormat="1" x14ac:dyDescent="0.55000000000000004">
      <c r="A191" s="17"/>
      <c r="B191"/>
      <c r="C191"/>
      <c r="D191"/>
      <c r="E191"/>
      <c r="F191" s="49">
        <v>42917</v>
      </c>
      <c r="G191" s="92">
        <v>136.34</v>
      </c>
      <c r="H191"/>
      <c r="I191"/>
      <c r="J191"/>
      <c r="K191"/>
      <c r="L191"/>
      <c r="M191"/>
      <c r="N191"/>
      <c r="O191"/>
      <c r="P191" s="151">
        <v>0.1179142557457209</v>
      </c>
      <c r="Q191" s="53"/>
      <c r="R191" s="53">
        <v>136.22208574425429</v>
      </c>
      <c r="S191" s="151">
        <v>0.1179142557457209</v>
      </c>
      <c r="T191" s="15"/>
      <c r="U191" s="15"/>
      <c r="V191" s="15"/>
      <c r="W191" s="15"/>
      <c r="X191" s="15"/>
      <c r="Y191" s="15"/>
      <c r="Z191" s="15"/>
      <c r="AA191" s="15"/>
    </row>
    <row r="192" spans="1:27" s="21" customFormat="1" x14ac:dyDescent="0.55000000000000004">
      <c r="A192" s="17"/>
      <c r="B192"/>
      <c r="C192"/>
      <c r="D192"/>
      <c r="E192"/>
      <c r="F192" s="49">
        <v>42948</v>
      </c>
      <c r="G192" s="92">
        <v>135.63999999999999</v>
      </c>
      <c r="H192"/>
      <c r="I192"/>
      <c r="J192"/>
      <c r="K192"/>
      <c r="L192"/>
      <c r="M192"/>
      <c r="N192"/>
      <c r="O192"/>
      <c r="P192" s="151">
        <v>0.66395863209519945</v>
      </c>
      <c r="Q192" s="53"/>
      <c r="R192" s="53">
        <v>134.9760413679048</v>
      </c>
      <c r="S192" s="151">
        <v>0.66395863209519945</v>
      </c>
      <c r="T192" s="15"/>
      <c r="U192" s="15"/>
      <c r="V192" s="15"/>
      <c r="W192" s="15"/>
      <c r="X192" s="15"/>
      <c r="Y192" s="15"/>
      <c r="Z192" s="15"/>
      <c r="AA192" s="15"/>
    </row>
    <row r="193" spans="1:27" s="21" customFormat="1" x14ac:dyDescent="0.55000000000000004">
      <c r="A193" s="17"/>
      <c r="B193"/>
      <c r="C193"/>
      <c r="D193"/>
      <c r="E193"/>
      <c r="F193" s="49">
        <v>42979</v>
      </c>
      <c r="G193" s="92">
        <v>135.63999999999999</v>
      </c>
      <c r="H193"/>
      <c r="I193"/>
      <c r="J193"/>
      <c r="K193"/>
      <c r="L193"/>
      <c r="M193"/>
      <c r="N193"/>
      <c r="O193"/>
      <c r="P193" s="151">
        <v>1.1222642199843216</v>
      </c>
      <c r="Q193" s="53"/>
      <c r="R193" s="53">
        <v>134.51773578001567</v>
      </c>
      <c r="S193" s="151">
        <v>1.1222642199843216</v>
      </c>
      <c r="T193" s="15"/>
      <c r="U193" s="15"/>
      <c r="V193" s="15"/>
      <c r="W193" s="15"/>
      <c r="X193" s="15"/>
      <c r="Y193" s="15"/>
      <c r="Z193" s="15"/>
      <c r="AA193" s="15"/>
    </row>
    <row r="194" spans="1:27" s="21" customFormat="1" x14ac:dyDescent="0.55000000000000004">
      <c r="A194" s="17"/>
      <c r="B194"/>
      <c r="C194"/>
      <c r="D194"/>
      <c r="E194"/>
      <c r="F194" s="49">
        <v>43009</v>
      </c>
      <c r="G194" s="92">
        <v>136.04</v>
      </c>
      <c r="H194"/>
      <c r="I194"/>
      <c r="J194"/>
      <c r="K194"/>
      <c r="L194"/>
      <c r="M194"/>
      <c r="N194"/>
      <c r="O194"/>
      <c r="P194" s="151">
        <v>1.47530947496187</v>
      </c>
      <c r="Q194" s="53"/>
      <c r="R194" s="53">
        <v>134.56469052503812</v>
      </c>
      <c r="S194" s="151">
        <v>1.47530947496187</v>
      </c>
      <c r="T194" s="15"/>
      <c r="U194" s="15"/>
      <c r="V194" s="15"/>
      <c r="W194" s="15"/>
      <c r="X194" s="15"/>
      <c r="Y194" s="15"/>
      <c r="Z194" s="15"/>
      <c r="AA194" s="15"/>
    </row>
    <row r="195" spans="1:27" s="21" customFormat="1" x14ac:dyDescent="0.55000000000000004">
      <c r="A195" s="17"/>
      <c r="B195"/>
      <c r="C195"/>
      <c r="D195"/>
      <c r="E195"/>
      <c r="F195" s="49">
        <v>43040</v>
      </c>
      <c r="G195" s="92">
        <v>135.99</v>
      </c>
      <c r="H195"/>
      <c r="I195"/>
      <c r="J195"/>
      <c r="K195"/>
      <c r="L195"/>
      <c r="M195"/>
      <c r="N195"/>
      <c r="O195"/>
      <c r="P195" s="151">
        <v>1.7154229507101051</v>
      </c>
      <c r="Q195" s="53"/>
      <c r="R195" s="53">
        <v>134.27457704928992</v>
      </c>
      <c r="S195" s="151">
        <v>1.7154229507101051</v>
      </c>
      <c r="T195" s="15"/>
      <c r="U195" s="15"/>
      <c r="V195" s="15"/>
      <c r="W195" s="15"/>
      <c r="X195" s="15"/>
      <c r="Y195" s="15"/>
      <c r="Z195" s="15"/>
      <c r="AA195" s="15"/>
    </row>
    <row r="196" spans="1:27" s="21" customFormat="1" x14ac:dyDescent="0.55000000000000004">
      <c r="A196" s="17"/>
      <c r="B196"/>
      <c r="C196"/>
      <c r="D196"/>
      <c r="E196"/>
      <c r="F196" s="49">
        <v>43070</v>
      </c>
      <c r="G196" s="92">
        <v>138.11000000000001</v>
      </c>
      <c r="H196"/>
      <c r="I196"/>
      <c r="J196"/>
      <c r="K196"/>
      <c r="L196"/>
      <c r="M196"/>
      <c r="N196"/>
      <c r="O196"/>
      <c r="P196" s="151">
        <v>1.8460232919550374</v>
      </c>
      <c r="Q196" s="53"/>
      <c r="R196" s="53">
        <v>136.26397670804496</v>
      </c>
      <c r="S196" s="151">
        <v>1.8460232919550374</v>
      </c>
      <c r="T196" s="15"/>
      <c r="U196" s="15"/>
      <c r="V196" s="15"/>
      <c r="W196" s="15"/>
      <c r="X196" s="15"/>
      <c r="Y196" s="15"/>
      <c r="Z196" s="15"/>
      <c r="AA196" s="15"/>
    </row>
    <row r="197" spans="1:27" s="21" customFormat="1" x14ac:dyDescent="0.55000000000000004">
      <c r="A197" s="17"/>
      <c r="B197"/>
      <c r="C197"/>
      <c r="D197"/>
      <c r="E197"/>
      <c r="F197" s="49">
        <v>43101</v>
      </c>
      <c r="G197" s="92">
        <v>137.41999999999999</v>
      </c>
      <c r="H197"/>
      <c r="I197"/>
      <c r="J197"/>
      <c r="K197"/>
      <c r="L197"/>
      <c r="M197"/>
      <c r="N197"/>
      <c r="O197"/>
      <c r="P197" s="151">
        <v>1.8817182737905875</v>
      </c>
      <c r="Q197" s="53"/>
      <c r="R197" s="53">
        <v>135.53828172620939</v>
      </c>
      <c r="S197" s="151">
        <v>1.8817182737905875</v>
      </c>
      <c r="T197" s="15"/>
      <c r="U197" s="15"/>
      <c r="V197" s="15"/>
      <c r="W197" s="15"/>
      <c r="X197" s="15"/>
      <c r="Y197" s="15"/>
      <c r="Z197" s="15"/>
      <c r="AA197" s="15"/>
    </row>
    <row r="198" spans="1:27" s="21" customFormat="1" x14ac:dyDescent="0.55000000000000004">
      <c r="A198" s="17"/>
      <c r="B198"/>
      <c r="C198"/>
      <c r="D198"/>
      <c r="E198"/>
      <c r="F198" s="49">
        <v>43132</v>
      </c>
      <c r="G198" s="92">
        <v>136.83000000000001</v>
      </c>
      <c r="H198"/>
      <c r="I198"/>
      <c r="J198"/>
      <c r="K198"/>
      <c r="L198"/>
      <c r="M198"/>
      <c r="N198"/>
      <c r="O198"/>
      <c r="P198" s="151">
        <v>1.8471866514353885</v>
      </c>
      <c r="Q198" s="53"/>
      <c r="R198" s="53">
        <v>134.98281334856463</v>
      </c>
      <c r="S198" s="151">
        <v>1.8471866514353885</v>
      </c>
      <c r="T198" s="15"/>
      <c r="U198" s="15"/>
      <c r="V198" s="15"/>
      <c r="W198" s="15"/>
      <c r="X198" s="15"/>
      <c r="Y198" s="15"/>
      <c r="Z198" s="15"/>
      <c r="AA198" s="15"/>
    </row>
    <row r="199" spans="1:27" s="21" customFormat="1" x14ac:dyDescent="0.55000000000000004">
      <c r="A199" s="17"/>
      <c r="B199"/>
      <c r="C199"/>
      <c r="D199"/>
      <c r="E199"/>
      <c r="F199" s="49">
        <v>43160</v>
      </c>
      <c r="G199" s="92">
        <v>136.59</v>
      </c>
      <c r="H199"/>
      <c r="I199"/>
      <c r="J199"/>
      <c r="K199"/>
      <c r="L199"/>
      <c r="M199"/>
      <c r="N199"/>
      <c r="O199"/>
      <c r="P199" s="151">
        <v>1.7748979807294325</v>
      </c>
      <c r="Q199" s="53"/>
      <c r="R199" s="53">
        <v>134.81510201927057</v>
      </c>
      <c r="S199" s="151">
        <v>1.7748979807294325</v>
      </c>
      <c r="T199" s="15"/>
      <c r="U199" s="15"/>
      <c r="V199" s="15"/>
      <c r="W199" s="15"/>
      <c r="X199" s="15"/>
      <c r="Y199" s="15"/>
      <c r="Z199" s="15"/>
      <c r="AA199" s="15"/>
    </row>
    <row r="200" spans="1:27" s="21" customFormat="1" x14ac:dyDescent="0.55000000000000004">
      <c r="A200" s="17"/>
      <c r="B200"/>
      <c r="C200"/>
      <c r="D200"/>
      <c r="E200"/>
      <c r="F200" s="49">
        <v>43191</v>
      </c>
      <c r="G200" s="92">
        <v>137.28</v>
      </c>
      <c r="H200"/>
      <c r="I200"/>
      <c r="J200"/>
      <c r="K200"/>
      <c r="L200"/>
      <c r="M200"/>
      <c r="N200"/>
      <c r="O200"/>
      <c r="P200" s="151">
        <v>1.7018562870230931</v>
      </c>
      <c r="Q200" s="53"/>
      <c r="R200" s="53">
        <v>135.5781437129769</v>
      </c>
      <c r="S200" s="151">
        <v>1.7018562870230931</v>
      </c>
      <c r="T200" s="15"/>
      <c r="U200" s="15"/>
      <c r="V200" s="15"/>
      <c r="W200" s="15"/>
      <c r="X200" s="15"/>
      <c r="Y200" s="15"/>
      <c r="Z200" s="15"/>
      <c r="AA200" s="15"/>
    </row>
    <row r="201" spans="1:27" s="21" customFormat="1" x14ac:dyDescent="0.55000000000000004">
      <c r="A201" s="17"/>
      <c r="B201"/>
      <c r="C201"/>
      <c r="D201"/>
      <c r="E201"/>
      <c r="F201" s="49">
        <v>43221</v>
      </c>
      <c r="G201" s="92">
        <v>133.07</v>
      </c>
      <c r="H201"/>
      <c r="I201"/>
      <c r="J201"/>
      <c r="K201"/>
      <c r="L201"/>
      <c r="M201"/>
      <c r="N201"/>
      <c r="O201"/>
      <c r="P201" s="151">
        <v>1.6656690459319885</v>
      </c>
      <c r="Q201" s="53"/>
      <c r="R201" s="53">
        <v>131.404330954068</v>
      </c>
      <c r="S201" s="151">
        <v>1.6656690459319885</v>
      </c>
      <c r="T201" s="15"/>
      <c r="U201" s="15"/>
      <c r="V201" s="15"/>
      <c r="W201" s="15"/>
      <c r="X201" s="15"/>
      <c r="Y201" s="15"/>
      <c r="Z201" s="15"/>
      <c r="AA201" s="15"/>
    </row>
    <row r="202" spans="1:27" s="21" customFormat="1" x14ac:dyDescent="0.55000000000000004">
      <c r="A202" s="17"/>
      <c r="B202"/>
      <c r="C202"/>
      <c r="D202"/>
      <c r="E202"/>
      <c r="F202" s="49">
        <v>43252</v>
      </c>
      <c r="G202" s="92">
        <v>137.38999999999999</v>
      </c>
      <c r="H202"/>
      <c r="I202"/>
      <c r="J202"/>
      <c r="K202"/>
      <c r="L202"/>
      <c r="M202"/>
      <c r="N202"/>
      <c r="O202"/>
      <c r="P202" s="151">
        <v>1.7003301996092683</v>
      </c>
      <c r="Q202" s="53"/>
      <c r="R202" s="53">
        <v>135.68966980039073</v>
      </c>
      <c r="S202" s="151">
        <v>1.7003301996092683</v>
      </c>
      <c r="T202" s="15"/>
      <c r="U202" s="15"/>
      <c r="V202" s="15"/>
      <c r="W202" s="15"/>
      <c r="X202" s="15"/>
      <c r="Y202" s="15"/>
      <c r="Z202" s="15"/>
      <c r="AA202" s="15"/>
    </row>
    <row r="203" spans="1:27" s="21" customFormat="1" x14ac:dyDescent="0.55000000000000004">
      <c r="A203" s="17"/>
      <c r="B203"/>
      <c r="C203"/>
      <c r="D203"/>
      <c r="E203"/>
      <c r="F203" s="49">
        <v>43282</v>
      </c>
      <c r="G203" s="92">
        <v>137.91999999999999</v>
      </c>
      <c r="H203"/>
      <c r="I203"/>
      <c r="J203"/>
      <c r="K203"/>
      <c r="L203"/>
      <c r="M203"/>
      <c r="N203"/>
      <c r="O203"/>
      <c r="P203" s="151">
        <v>1.8321544107531862</v>
      </c>
      <c r="Q203" s="53"/>
      <c r="R203" s="53">
        <v>136.0878455892468</v>
      </c>
      <c r="S203" s="151">
        <v>1.8321544107531862</v>
      </c>
      <c r="T203" s="15"/>
      <c r="U203" s="15"/>
      <c r="V203" s="15"/>
      <c r="W203" s="15"/>
      <c r="X203" s="15"/>
      <c r="Y203" s="15"/>
      <c r="Z203" s="15"/>
      <c r="AA203" s="15"/>
    </row>
    <row r="204" spans="1:27" s="21" customFormat="1" x14ac:dyDescent="0.55000000000000004">
      <c r="A204" s="17"/>
      <c r="B204"/>
      <c r="C204"/>
      <c r="D204"/>
      <c r="E204"/>
      <c r="F204" s="49">
        <v>43313</v>
      </c>
      <c r="G204" s="92">
        <v>138.94999999999999</v>
      </c>
      <c r="H204"/>
      <c r="I204"/>
      <c r="J204"/>
      <c r="K204"/>
      <c r="L204"/>
      <c r="M204"/>
      <c r="N204"/>
      <c r="O204"/>
      <c r="P204" s="151">
        <v>2.0763029431263433</v>
      </c>
      <c r="Q204" s="53"/>
      <c r="R204" s="53">
        <v>136.87369705687365</v>
      </c>
      <c r="S204" s="151">
        <v>2.0763029431263433</v>
      </c>
      <c r="T204" s="15"/>
      <c r="U204" s="15"/>
      <c r="V204" s="15"/>
      <c r="W204" s="15"/>
      <c r="X204" s="15"/>
      <c r="Y204" s="15"/>
      <c r="Z204" s="15"/>
      <c r="AA204" s="15"/>
    </row>
    <row r="205" spans="1:27" s="21" customFormat="1" x14ac:dyDescent="0.55000000000000004">
      <c r="A205" s="17"/>
      <c r="B205"/>
      <c r="C205"/>
      <c r="D205"/>
      <c r="E205"/>
      <c r="F205" s="49">
        <v>43344</v>
      </c>
      <c r="G205" s="92">
        <v>138.22</v>
      </c>
      <c r="H205"/>
      <c r="I205"/>
      <c r="J205"/>
      <c r="K205"/>
      <c r="L205"/>
      <c r="M205"/>
      <c r="N205"/>
      <c r="O205"/>
      <c r="P205" s="151">
        <v>2.4342976853184872</v>
      </c>
      <c r="Q205" s="53"/>
      <c r="R205" s="53">
        <v>135.78570231468152</v>
      </c>
      <c r="S205" s="151">
        <v>2.4342976853184872</v>
      </c>
      <c r="T205" s="15"/>
      <c r="U205" s="15"/>
      <c r="V205" s="15"/>
      <c r="W205" s="15"/>
      <c r="X205" s="15"/>
      <c r="Y205" s="15"/>
      <c r="Z205" s="15"/>
      <c r="AA205" s="15"/>
    </row>
    <row r="206" spans="1:27" s="21" customFormat="1" x14ac:dyDescent="0.55000000000000004">
      <c r="A206" s="17"/>
      <c r="B206"/>
      <c r="C206"/>
      <c r="D206"/>
      <c r="E206"/>
      <c r="F206" s="49">
        <v>43374</v>
      </c>
      <c r="G206" s="92">
        <v>138.44</v>
      </c>
      <c r="H206"/>
      <c r="I206"/>
      <c r="J206"/>
      <c r="K206"/>
      <c r="L206"/>
      <c r="M206"/>
      <c r="N206"/>
      <c r="O206"/>
      <c r="P206" s="151">
        <v>2.8928321763520146</v>
      </c>
      <c r="Q206" s="53"/>
      <c r="R206" s="53">
        <v>135.54716782364798</v>
      </c>
      <c r="S206" s="151">
        <v>2.8928321763520146</v>
      </c>
      <c r="T206" s="15"/>
      <c r="U206" s="15"/>
      <c r="V206" s="15"/>
      <c r="W206" s="15"/>
      <c r="X206" s="15"/>
      <c r="Y206" s="15"/>
      <c r="Z206" s="15"/>
      <c r="AA206" s="15"/>
    </row>
    <row r="207" spans="1:27" s="21" customFormat="1" x14ac:dyDescent="0.55000000000000004">
      <c r="A207" s="17"/>
      <c r="B207"/>
      <c r="C207"/>
      <c r="D207"/>
      <c r="E207"/>
      <c r="F207" s="49">
        <v>43405</v>
      </c>
      <c r="G207" s="92">
        <v>138.61000000000001</v>
      </c>
      <c r="H207"/>
      <c r="I207"/>
      <c r="J207"/>
      <c r="K207"/>
      <c r="L207"/>
      <c r="M207"/>
      <c r="N207"/>
      <c r="O207"/>
      <c r="P207" s="151">
        <v>3.424065111640064</v>
      </c>
      <c r="Q207" s="53"/>
      <c r="R207" s="53">
        <v>135.18593488835995</v>
      </c>
      <c r="S207" s="151">
        <v>3.424065111640064</v>
      </c>
      <c r="T207" s="15"/>
      <c r="U207" s="15"/>
      <c r="V207" s="15"/>
      <c r="W207" s="15"/>
      <c r="X207" s="15"/>
      <c r="Y207" s="15"/>
      <c r="Z207" s="15"/>
      <c r="AA207" s="15"/>
    </row>
    <row r="208" spans="1:27" s="21" customFormat="1" x14ac:dyDescent="0.55000000000000004">
      <c r="A208" s="17"/>
      <c r="B208"/>
      <c r="C208"/>
      <c r="D208"/>
      <c r="E208"/>
      <c r="F208" s="49">
        <v>43435</v>
      </c>
      <c r="G208" s="92">
        <v>139.18</v>
      </c>
      <c r="H208"/>
      <c r="I208"/>
      <c r="J208"/>
      <c r="K208"/>
      <c r="L208"/>
      <c r="M208"/>
      <c r="N208"/>
      <c r="O208"/>
      <c r="P208" s="151">
        <v>3.9874347902643779</v>
      </c>
      <c r="Q208" s="53"/>
      <c r="R208" s="53">
        <v>135.19256520973562</v>
      </c>
      <c r="S208" s="151">
        <v>3.9874347902643779</v>
      </c>
      <c r="T208" s="15"/>
      <c r="U208" s="15"/>
      <c r="V208" s="15"/>
      <c r="W208" s="15"/>
      <c r="X208" s="15"/>
      <c r="Y208" s="15"/>
      <c r="Z208" s="15"/>
      <c r="AA208" s="15"/>
    </row>
    <row r="209" spans="1:27" s="21" customFormat="1" x14ac:dyDescent="0.55000000000000004">
      <c r="A209" s="17"/>
      <c r="B209"/>
      <c r="C209"/>
      <c r="D209"/>
      <c r="E209"/>
      <c r="F209" s="49">
        <v>43466</v>
      </c>
      <c r="G209" s="92">
        <v>139.28</v>
      </c>
      <c r="H209"/>
      <c r="I209"/>
      <c r="J209"/>
      <c r="K209"/>
      <c r="L209"/>
      <c r="M209"/>
      <c r="N209"/>
      <c r="O209"/>
      <c r="P209" s="151">
        <v>4.5328771957489273</v>
      </c>
      <c r="Q209" s="53"/>
      <c r="R209" s="53">
        <v>134.74712280425106</v>
      </c>
      <c r="S209" s="151">
        <v>4.5328771957489273</v>
      </c>
      <c r="T209" s="15"/>
      <c r="U209" s="15"/>
      <c r="V209" s="15"/>
      <c r="W209" s="15"/>
      <c r="X209" s="15"/>
      <c r="Y209" s="15"/>
      <c r="Z209" s="15"/>
      <c r="AA209" s="15"/>
    </row>
    <row r="210" spans="1:27" s="21" customFormat="1" x14ac:dyDescent="0.55000000000000004">
      <c r="A210" s="17"/>
      <c r="B210"/>
      <c r="C210"/>
      <c r="D210"/>
      <c r="E210"/>
      <c r="F210" s="49">
        <v>43497</v>
      </c>
      <c r="G210" s="92">
        <v>137.69</v>
      </c>
      <c r="H210"/>
      <c r="I210"/>
      <c r="J210"/>
      <c r="K210"/>
      <c r="L210"/>
      <c r="M210"/>
      <c r="N210"/>
      <c r="O210"/>
      <c r="P210" s="151">
        <v>5.0051820302644865</v>
      </c>
      <c r="Q210" s="53"/>
      <c r="R210" s="53">
        <v>132.68481796973552</v>
      </c>
      <c r="S210" s="151">
        <v>5.0051820302644865</v>
      </c>
      <c r="T210" s="15"/>
      <c r="U210" s="15"/>
      <c r="V210" s="15"/>
      <c r="W210" s="15"/>
      <c r="X210" s="15"/>
      <c r="Y210" s="15"/>
      <c r="Z210" s="15"/>
      <c r="AA210" s="15"/>
    </row>
    <row r="211" spans="1:27" s="21" customFormat="1" x14ac:dyDescent="0.55000000000000004">
      <c r="A211" s="17"/>
      <c r="B211"/>
      <c r="C211"/>
      <c r="D211"/>
      <c r="E211"/>
      <c r="F211" s="49">
        <v>43525</v>
      </c>
      <c r="G211" s="92">
        <v>137</v>
      </c>
      <c r="H211"/>
      <c r="I211"/>
      <c r="J211"/>
      <c r="K211"/>
      <c r="L211"/>
      <c r="M211"/>
      <c r="N211"/>
      <c r="O211"/>
      <c r="P211" s="151">
        <v>5.3490957565720727</v>
      </c>
      <c r="Q211" s="53"/>
      <c r="R211" s="53">
        <v>131.65090424342793</v>
      </c>
      <c r="S211" s="151">
        <v>5.3490957565720727</v>
      </c>
      <c r="T211" s="15"/>
      <c r="U211" s="15"/>
      <c r="V211" s="15"/>
      <c r="W211" s="15"/>
      <c r="X211" s="15"/>
      <c r="Y211" s="15"/>
      <c r="Z211" s="15"/>
      <c r="AA211" s="15"/>
    </row>
    <row r="212" spans="1:27" s="21" customFormat="1" x14ac:dyDescent="0.55000000000000004">
      <c r="A212" s="17"/>
      <c r="B212"/>
      <c r="C212"/>
      <c r="D212"/>
      <c r="E212"/>
      <c r="F212" s="49">
        <v>43556</v>
      </c>
      <c r="G212" s="92">
        <v>136.87</v>
      </c>
      <c r="H212"/>
      <c r="I212"/>
      <c r="J212"/>
      <c r="K212"/>
      <c r="L212"/>
      <c r="M212"/>
      <c r="N212"/>
      <c r="O212"/>
      <c r="P212" s="151">
        <v>5.5146921379970308</v>
      </c>
      <c r="Q212" s="53"/>
      <c r="R212" s="53">
        <v>131.35530786200297</v>
      </c>
      <c r="S212" s="151">
        <v>5.5146921379970308</v>
      </c>
      <c r="T212" s="15"/>
      <c r="U212" s="15"/>
      <c r="V212" s="15"/>
      <c r="W212" s="15"/>
      <c r="X212" s="15"/>
      <c r="Y212" s="15"/>
      <c r="Z212" s="15"/>
      <c r="AA212" s="15"/>
    </row>
    <row r="213" spans="1:27" s="21" customFormat="1" x14ac:dyDescent="0.55000000000000004">
      <c r="A213" s="17"/>
      <c r="B213"/>
      <c r="C213"/>
      <c r="D213"/>
      <c r="E213"/>
      <c r="F213" s="49">
        <v>43586</v>
      </c>
      <c r="G213" s="92">
        <v>138.63999999999999</v>
      </c>
      <c r="H213"/>
      <c r="I213"/>
      <c r="J213"/>
      <c r="K213"/>
      <c r="L213"/>
      <c r="M213"/>
      <c r="N213"/>
      <c r="O213"/>
      <c r="P213" s="151">
        <v>5.4624889095501565</v>
      </c>
      <c r="Q213" s="53"/>
      <c r="R213" s="53">
        <v>133.17751109044983</v>
      </c>
      <c r="S213" s="151">
        <v>5.4624889095501565</v>
      </c>
      <c r="T213" s="15"/>
      <c r="U213" s="15"/>
      <c r="V213" s="15"/>
      <c r="W213" s="15"/>
      <c r="X213" s="15"/>
      <c r="Y213" s="15"/>
      <c r="Z213" s="15"/>
      <c r="AA213" s="15"/>
    </row>
    <row r="214" spans="1:27" s="21" customFormat="1" x14ac:dyDescent="0.55000000000000004">
      <c r="A214" s="17"/>
      <c r="B214"/>
      <c r="C214"/>
      <c r="D214"/>
      <c r="E214"/>
      <c r="F214" s="49">
        <v>43617</v>
      </c>
      <c r="G214" s="92">
        <v>138.86000000000001</v>
      </c>
      <c r="H214"/>
      <c r="I214"/>
      <c r="J214"/>
      <c r="K214"/>
      <c r="L214"/>
      <c r="M214"/>
      <c r="N214"/>
      <c r="O214"/>
      <c r="P214" s="151">
        <v>5.1677993668060838</v>
      </c>
      <c r="Q214" s="53"/>
      <c r="R214" s="53">
        <v>133.69220063319392</v>
      </c>
      <c r="S214" s="151">
        <v>5.1677993668060838</v>
      </c>
      <c r="T214" s="15"/>
      <c r="U214" s="15"/>
      <c r="V214" s="15"/>
      <c r="W214" s="15"/>
      <c r="X214" s="15"/>
      <c r="Y214" s="15"/>
      <c r="Z214" s="15"/>
      <c r="AA214" s="15"/>
    </row>
    <row r="215" spans="1:27" s="21" customFormat="1" x14ac:dyDescent="0.55000000000000004">
      <c r="A215" s="17"/>
      <c r="B215"/>
      <c r="C215"/>
      <c r="D215"/>
      <c r="E215"/>
      <c r="F215" s="49">
        <v>43647</v>
      </c>
      <c r="G215" s="92">
        <v>138.29</v>
      </c>
      <c r="H215"/>
      <c r="I215"/>
      <c r="J215"/>
      <c r="K215"/>
      <c r="L215"/>
      <c r="M215"/>
      <c r="N215"/>
      <c r="O215"/>
      <c r="P215" s="151">
        <v>4.6238697999126348</v>
      </c>
      <c r="Q215" s="53"/>
      <c r="R215" s="53">
        <v>133.66613020008737</v>
      </c>
      <c r="S215" s="151">
        <v>4.6238697999126348</v>
      </c>
      <c r="T215" s="15"/>
      <c r="U215" s="15"/>
      <c r="V215" s="15"/>
      <c r="W215" s="15"/>
      <c r="X215" s="15"/>
      <c r="Y215" s="15"/>
      <c r="Z215" s="15"/>
      <c r="AA215" s="15"/>
    </row>
    <row r="216" spans="1:27" s="21" customFormat="1" x14ac:dyDescent="0.55000000000000004">
      <c r="A216" s="17"/>
      <c r="B216"/>
      <c r="C216"/>
      <c r="D216"/>
      <c r="E216"/>
      <c r="F216" s="49">
        <v>43678</v>
      </c>
      <c r="G216" s="92">
        <v>138.35</v>
      </c>
      <c r="H216"/>
      <c r="I216"/>
      <c r="J216"/>
      <c r="K216"/>
      <c r="L216"/>
      <c r="M216"/>
      <c r="N216"/>
      <c r="O216"/>
      <c r="P216" s="151">
        <v>3.8434624090375911</v>
      </c>
      <c r="Q216" s="53"/>
      <c r="R216" s="53">
        <v>134.50653759096241</v>
      </c>
      <c r="S216" s="151">
        <v>3.8434624090375911</v>
      </c>
      <c r="T216" s="15"/>
      <c r="U216" s="15"/>
      <c r="V216" s="15"/>
      <c r="W216" s="15"/>
      <c r="X216" s="15"/>
      <c r="Y216" s="15"/>
      <c r="Z216" s="15"/>
      <c r="AA216" s="15"/>
    </row>
    <row r="217" spans="1:27" s="21" customFormat="1" x14ac:dyDescent="0.55000000000000004">
      <c r="A217" s="17"/>
      <c r="B217"/>
      <c r="C217"/>
      <c r="D217"/>
      <c r="E217"/>
      <c r="F217" s="49">
        <v>43709</v>
      </c>
      <c r="G217" s="92">
        <v>139.16</v>
      </c>
      <c r="H217"/>
      <c r="I217"/>
      <c r="J217"/>
      <c r="K217"/>
      <c r="L217"/>
      <c r="M217"/>
      <c r="N217"/>
      <c r="O217"/>
      <c r="P217" s="151">
        <v>2.8586883009194937</v>
      </c>
      <c r="Q217" s="53"/>
      <c r="R217" s="53">
        <v>136.30131169908051</v>
      </c>
      <c r="S217" s="151">
        <v>2.8586883009194937</v>
      </c>
      <c r="T217" s="15"/>
      <c r="U217" s="15"/>
      <c r="V217" s="15"/>
      <c r="W217" s="15"/>
      <c r="X217" s="15"/>
      <c r="Y217" s="15"/>
      <c r="Z217" s="15"/>
      <c r="AA217" s="15"/>
    </row>
    <row r="218" spans="1:27" s="21" customFormat="1" x14ac:dyDescent="0.55000000000000004">
      <c r="A218" s="17"/>
      <c r="B218"/>
      <c r="C218"/>
      <c r="D218"/>
      <c r="E218"/>
      <c r="F218" s="49">
        <v>43739</v>
      </c>
      <c r="G218" s="92">
        <v>140.56</v>
      </c>
      <c r="H218"/>
      <c r="I218"/>
      <c r="J218"/>
      <c r="K218"/>
      <c r="L218"/>
      <c r="M218"/>
      <c r="N218"/>
      <c r="O218"/>
      <c r="P218" s="151">
        <v>1.7190621975436118</v>
      </c>
      <c r="Q218" s="53"/>
      <c r="R218" s="53">
        <v>138.84093780245638</v>
      </c>
      <c r="S218" s="151">
        <v>1.7190621975436118</v>
      </c>
      <c r="T218" s="15"/>
      <c r="U218" s="15"/>
      <c r="V218" s="15"/>
      <c r="W218" s="15"/>
      <c r="X218" s="15"/>
      <c r="Y218" s="15"/>
      <c r="Z218" s="15"/>
      <c r="AA218" s="15"/>
    </row>
    <row r="219" spans="1:27" s="21" customFormat="1" x14ac:dyDescent="0.55000000000000004">
      <c r="A219" s="17"/>
      <c r="B219"/>
      <c r="C219"/>
      <c r="D219"/>
      <c r="E219"/>
      <c r="F219" s="49">
        <v>43770</v>
      </c>
      <c r="G219" s="92">
        <v>139.88</v>
      </c>
      <c r="H219"/>
      <c r="I219"/>
      <c r="J219"/>
      <c r="K219"/>
      <c r="L219"/>
      <c r="M219"/>
      <c r="N219"/>
      <c r="O219"/>
      <c r="P219" s="151">
        <v>0.48792296632197285</v>
      </c>
      <c r="Q219" s="53"/>
      <c r="R219" s="53">
        <v>139.39207703367802</v>
      </c>
      <c r="S219" s="151">
        <v>0.48792296632197285</v>
      </c>
      <c r="T219" s="15"/>
      <c r="U219" s="15"/>
      <c r="V219" s="15"/>
      <c r="W219" s="15"/>
      <c r="X219" s="15"/>
      <c r="Y219" s="15"/>
      <c r="Z219" s="15"/>
      <c r="AA219" s="15"/>
    </row>
    <row r="220" spans="1:27" s="21" customFormat="1" x14ac:dyDescent="0.55000000000000004">
      <c r="A220" s="17"/>
      <c r="B220"/>
      <c r="C220"/>
      <c r="D220"/>
      <c r="E220"/>
      <c r="F220" s="49">
        <v>43800</v>
      </c>
      <c r="G220" s="92">
        <v>139.28</v>
      </c>
      <c r="H220"/>
      <c r="I220"/>
      <c r="J220"/>
      <c r="K220"/>
      <c r="L220"/>
      <c r="M220"/>
      <c r="N220"/>
      <c r="O220"/>
      <c r="P220" s="151">
        <v>-0.76247534441372977</v>
      </c>
      <c r="Q220" s="53"/>
      <c r="R220" s="53">
        <v>140.04247534441373</v>
      </c>
      <c r="S220" s="151">
        <v>-0.76247534441372977</v>
      </c>
      <c r="T220" s="15"/>
      <c r="U220" s="15"/>
      <c r="V220" s="15"/>
      <c r="W220" s="15"/>
      <c r="X220" s="15"/>
      <c r="Y220" s="15"/>
      <c r="Z220" s="15"/>
      <c r="AA220" s="15"/>
    </row>
    <row r="221" spans="1:27" s="21" customFormat="1" x14ac:dyDescent="0.55000000000000004">
      <c r="A221" s="17"/>
      <c r="B221"/>
      <c r="C221"/>
      <c r="D221"/>
      <c r="E221"/>
      <c r="F221" s="49">
        <v>43831</v>
      </c>
      <c r="G221" s="92">
        <v>140.05000000000001</v>
      </c>
      <c r="H221"/>
      <c r="I221"/>
      <c r="J221"/>
      <c r="K221"/>
      <c r="L221"/>
      <c r="M221"/>
      <c r="N221"/>
      <c r="O221"/>
      <c r="P221" s="151">
        <v>-1.956764898822831</v>
      </c>
      <c r="Q221" s="53"/>
      <c r="R221" s="53">
        <v>142.00676489882284</v>
      </c>
      <c r="S221" s="151">
        <v>-1.956764898822831</v>
      </c>
      <c r="T221" s="15"/>
      <c r="U221" s="15"/>
      <c r="V221" s="15"/>
      <c r="W221" s="15"/>
      <c r="X221" s="15"/>
      <c r="Y221" s="15"/>
      <c r="Z221" s="15"/>
      <c r="AA221" s="15"/>
    </row>
    <row r="222" spans="1:27" s="21" customFormat="1" x14ac:dyDescent="0.55000000000000004">
      <c r="A222" s="17"/>
      <c r="B222"/>
      <c r="C222"/>
      <c r="D222"/>
      <c r="E222"/>
      <c r="F222" s="49">
        <v>43862</v>
      </c>
      <c r="G222" s="92">
        <v>139.65</v>
      </c>
      <c r="H222"/>
      <c r="I222"/>
      <c r="J222"/>
      <c r="K222"/>
      <c r="L222"/>
      <c r="M222"/>
      <c r="N222"/>
      <c r="O222"/>
      <c r="P222" s="151">
        <v>-3.0226301754477189</v>
      </c>
      <c r="Q222" s="53"/>
      <c r="R222" s="53">
        <v>142.67263017544772</v>
      </c>
      <c r="S222" s="151">
        <v>-3.0226301754477189</v>
      </c>
      <c r="T222" s="15"/>
      <c r="U222" s="15"/>
      <c r="V222" s="15"/>
      <c r="W222" s="15"/>
      <c r="X222" s="15"/>
      <c r="Y222" s="15"/>
      <c r="Z222" s="15"/>
      <c r="AA222" s="15"/>
    </row>
    <row r="223" spans="1:27" s="21" customFormat="1" x14ac:dyDescent="0.55000000000000004">
      <c r="A223" s="17"/>
      <c r="B223"/>
      <c r="C223"/>
      <c r="D223"/>
      <c r="E223"/>
      <c r="F223" s="49">
        <v>43891</v>
      </c>
      <c r="G223" s="92">
        <v>129.71</v>
      </c>
      <c r="H223"/>
      <c r="I223"/>
      <c r="J223"/>
      <c r="K223"/>
      <c r="L223"/>
      <c r="M223"/>
      <c r="N223"/>
      <c r="O223"/>
      <c r="P223" s="151">
        <v>-3.8967714996305238</v>
      </c>
      <c r="Q223" s="53"/>
      <c r="R223" s="53">
        <v>133.60677149963053</v>
      </c>
      <c r="S223" s="151">
        <v>-3.8967714996305238</v>
      </c>
      <c r="T223" s="15"/>
      <c r="U223" s="15"/>
      <c r="V223" s="15"/>
      <c r="W223" s="15"/>
      <c r="X223" s="15"/>
      <c r="Y223" s="15"/>
      <c r="Z223" s="15"/>
      <c r="AA223" s="15"/>
    </row>
    <row r="224" spans="1:27" s="21" customFormat="1" x14ac:dyDescent="0.55000000000000004">
      <c r="A224" s="17"/>
      <c r="B224"/>
      <c r="C224"/>
      <c r="D224"/>
      <c r="E224"/>
      <c r="F224" s="49">
        <v>43922</v>
      </c>
      <c r="G224" s="92">
        <v>117.19</v>
      </c>
      <c r="H224"/>
      <c r="I224"/>
      <c r="J224"/>
      <c r="K224"/>
      <c r="L224"/>
      <c r="M224"/>
      <c r="N224"/>
      <c r="O224"/>
      <c r="P224" s="151">
        <v>-4.5301144903661994</v>
      </c>
      <c r="Q224" s="53"/>
      <c r="R224" s="53">
        <v>121.7201144903662</v>
      </c>
      <c r="S224" s="151">
        <v>-4.5301144903661994</v>
      </c>
      <c r="T224" s="15"/>
      <c r="U224" s="15"/>
      <c r="V224" s="15"/>
      <c r="W224" s="15"/>
      <c r="X224" s="15"/>
      <c r="Y224" s="15"/>
      <c r="Z224" s="15"/>
      <c r="AA224" s="15"/>
    </row>
    <row r="225" spans="1:27" s="21" customFormat="1" x14ac:dyDescent="0.55000000000000004">
      <c r="A225" s="17"/>
      <c r="B225"/>
      <c r="C225"/>
      <c r="D225"/>
      <c r="E225"/>
      <c r="F225" s="49">
        <v>43952</v>
      </c>
      <c r="G225" s="92">
        <v>121.03</v>
      </c>
      <c r="H225"/>
      <c r="I225"/>
      <c r="J225"/>
      <c r="K225"/>
      <c r="L225"/>
      <c r="M225"/>
      <c r="N225"/>
      <c r="O225"/>
      <c r="P225" s="151">
        <v>-4.8917836125296352</v>
      </c>
      <c r="Q225" s="53"/>
      <c r="R225" s="53">
        <v>125.92178361252964</v>
      </c>
      <c r="S225" s="151">
        <v>-4.8917836125296352</v>
      </c>
      <c r="T225" s="15"/>
      <c r="U225" s="15"/>
      <c r="V225" s="15"/>
      <c r="W225" s="15"/>
      <c r="X225" s="15"/>
      <c r="Y225" s="15"/>
      <c r="Z225" s="15"/>
      <c r="AA225" s="15"/>
    </row>
    <row r="226" spans="1:27" s="21" customFormat="1" x14ac:dyDescent="0.55000000000000004">
      <c r="A226" s="17"/>
      <c r="B226"/>
      <c r="C226"/>
      <c r="D226"/>
      <c r="E226"/>
      <c r="F226" s="49">
        <v>43983</v>
      </c>
      <c r="G226" s="92">
        <v>127.06</v>
      </c>
      <c r="H226"/>
      <c r="I226"/>
      <c r="J226"/>
      <c r="K226"/>
      <c r="L226"/>
      <c r="M226"/>
      <c r="N226"/>
      <c r="O226"/>
      <c r="P226" s="151">
        <v>-4.9714748386787715</v>
      </c>
      <c r="Q226" s="53"/>
      <c r="R226" s="53">
        <v>132.03147483867878</v>
      </c>
      <c r="S226" s="151">
        <v>-4.9714748386787715</v>
      </c>
      <c r="T226" s="15"/>
      <c r="U226" s="15"/>
      <c r="V226" s="15"/>
      <c r="W226" s="15"/>
      <c r="X226" s="15"/>
      <c r="Y226" s="15"/>
      <c r="Z226" s="15"/>
      <c r="AA226" s="15"/>
    </row>
    <row r="227" spans="1:27" s="21" customFormat="1" x14ac:dyDescent="0.55000000000000004">
      <c r="A227" s="17"/>
      <c r="B227"/>
      <c r="C227"/>
      <c r="D227"/>
      <c r="E227"/>
      <c r="F227" s="49">
        <v>44013</v>
      </c>
      <c r="G227" s="92">
        <v>130.99</v>
      </c>
      <c r="H227"/>
      <c r="I227"/>
      <c r="J227"/>
      <c r="K227"/>
      <c r="L227"/>
      <c r="M227"/>
      <c r="N227"/>
      <c r="O227"/>
      <c r="P227" s="151">
        <v>-4.7800147396689336</v>
      </c>
      <c r="Q227" s="53"/>
      <c r="R227" s="53">
        <v>135.77001473966894</v>
      </c>
      <c r="S227" s="151">
        <v>-4.7800147396689336</v>
      </c>
      <c r="T227" s="15"/>
      <c r="U227" s="15"/>
      <c r="V227" s="15"/>
      <c r="W227" s="15"/>
      <c r="X227" s="15"/>
      <c r="Y227" s="15"/>
      <c r="Z227" s="15"/>
      <c r="AA227" s="15"/>
    </row>
    <row r="228" spans="1:27" s="21" customFormat="1" x14ac:dyDescent="0.55000000000000004">
      <c r="A228" s="17"/>
      <c r="B228"/>
      <c r="C228"/>
      <c r="D228"/>
      <c r="E228"/>
      <c r="F228" s="49">
        <v>44044</v>
      </c>
      <c r="G228" s="92">
        <v>133.86000000000001</v>
      </c>
      <c r="H228"/>
      <c r="I228"/>
      <c r="J228"/>
      <c r="K228"/>
      <c r="L228"/>
      <c r="M228"/>
      <c r="N228"/>
      <c r="O228"/>
      <c r="P228" s="151">
        <v>-4.348065962745312</v>
      </c>
      <c r="Q228" s="53"/>
      <c r="R228" s="53">
        <v>138.20806596274534</v>
      </c>
      <c r="S228" s="151">
        <v>-4.348065962745312</v>
      </c>
      <c r="T228" s="15"/>
      <c r="U228" s="15"/>
      <c r="V228" s="15"/>
      <c r="W228" s="15"/>
      <c r="X228" s="15"/>
      <c r="Y228" s="15"/>
      <c r="Z228" s="15"/>
      <c r="AA228" s="15"/>
    </row>
    <row r="229" spans="1:27" s="21" customFormat="1" x14ac:dyDescent="0.55000000000000004">
      <c r="A229" s="17"/>
      <c r="B229"/>
      <c r="C229"/>
      <c r="D229"/>
      <c r="E229"/>
      <c r="F229" s="49">
        <v>44075</v>
      </c>
      <c r="G229" s="92">
        <v>136.84</v>
      </c>
      <c r="H229"/>
      <c r="I229"/>
      <c r="J229"/>
      <c r="K229"/>
      <c r="L229"/>
      <c r="M229"/>
      <c r="N229"/>
      <c r="O229"/>
      <c r="P229" s="151">
        <v>-3.7231148298945573</v>
      </c>
      <c r="Q229" s="53"/>
      <c r="R229" s="53">
        <v>140.56311482989457</v>
      </c>
      <c r="S229" s="151">
        <v>-3.7231148298945573</v>
      </c>
      <c r="T229" s="15"/>
      <c r="U229" s="15"/>
      <c r="V229" s="15"/>
      <c r="W229" s="15"/>
      <c r="X229" s="15"/>
      <c r="Y229" s="15"/>
      <c r="Z229" s="15"/>
      <c r="AA229" s="15"/>
    </row>
    <row r="230" spans="1:27" s="21" customFormat="1" x14ac:dyDescent="0.55000000000000004">
      <c r="A230" s="17"/>
      <c r="B230"/>
      <c r="C230"/>
      <c r="D230"/>
      <c r="E230"/>
      <c r="F230" s="49">
        <v>44105</v>
      </c>
      <c r="G230" s="92">
        <v>139.32</v>
      </c>
      <c r="H230"/>
      <c r="I230"/>
      <c r="J230"/>
      <c r="K230"/>
      <c r="L230"/>
      <c r="M230"/>
      <c r="N230"/>
      <c r="O230"/>
      <c r="P230" s="151">
        <v>-2.9650382602264553</v>
      </c>
      <c r="Q230" s="53"/>
      <c r="R230" s="53">
        <v>142.28503826022646</v>
      </c>
      <c r="S230" s="151">
        <v>-2.9650382602264553</v>
      </c>
      <c r="T230" s="15"/>
      <c r="U230" s="15"/>
      <c r="V230" s="15"/>
      <c r="W230" s="15"/>
      <c r="X230" s="15"/>
      <c r="Y230" s="15"/>
      <c r="Z230" s="15"/>
      <c r="AA230" s="15"/>
    </row>
    <row r="231" spans="1:27" s="21" customFormat="1" x14ac:dyDescent="0.55000000000000004">
      <c r="A231" s="17"/>
      <c r="B231"/>
      <c r="C231"/>
      <c r="D231"/>
      <c r="E231"/>
      <c r="F231" s="49">
        <v>44136</v>
      </c>
      <c r="G231" s="92">
        <v>139.24</v>
      </c>
      <c r="H231"/>
      <c r="I231"/>
      <c r="J231"/>
      <c r="K231"/>
      <c r="L231"/>
      <c r="M231"/>
      <c r="N231"/>
      <c r="O231"/>
      <c r="P231" s="151">
        <v>-2.1406784849961795</v>
      </c>
      <c r="Q231" s="53"/>
      <c r="R231" s="53">
        <v>141.3806784849962</v>
      </c>
      <c r="S231" s="151">
        <v>-2.1406784849961795</v>
      </c>
      <c r="T231" s="15"/>
      <c r="U231" s="15"/>
      <c r="V231" s="15"/>
      <c r="W231" s="15"/>
      <c r="X231" s="15"/>
      <c r="Y231" s="15"/>
      <c r="Z231" s="15"/>
      <c r="AA231" s="15"/>
    </row>
    <row r="232" spans="1:27" s="21" customFormat="1" x14ac:dyDescent="0.55000000000000004">
      <c r="A232" s="17"/>
      <c r="B232"/>
      <c r="C232"/>
      <c r="D232"/>
      <c r="E232"/>
      <c r="F232" s="49">
        <v>44166</v>
      </c>
      <c r="G232" s="92">
        <v>139.54</v>
      </c>
      <c r="H232"/>
      <c r="I232"/>
      <c r="J232"/>
      <c r="K232"/>
      <c r="L232"/>
      <c r="M232"/>
      <c r="N232"/>
      <c r="O232"/>
      <c r="P232" s="151">
        <v>-1.3179423295529542</v>
      </c>
      <c r="Q232" s="53"/>
      <c r="R232" s="53">
        <v>140.85794232955294</v>
      </c>
      <c r="S232" s="151">
        <v>-1.3179423295529542</v>
      </c>
      <c r="T232" s="15"/>
      <c r="U232" s="15"/>
      <c r="V232" s="15"/>
      <c r="W232" s="15"/>
      <c r="X232" s="15"/>
      <c r="Y232" s="15"/>
      <c r="Z232" s="15"/>
      <c r="AA232" s="15"/>
    </row>
    <row r="233" spans="1:27" s="21" customFormat="1" x14ac:dyDescent="0.55000000000000004">
      <c r="A233" s="17"/>
      <c r="B233"/>
      <c r="C233"/>
      <c r="D233"/>
      <c r="E233"/>
      <c r="F233" s="49">
        <v>44197</v>
      </c>
      <c r="G233" s="92">
        <v>140.13</v>
      </c>
      <c r="H233"/>
      <c r="I233"/>
      <c r="J233"/>
      <c r="K233"/>
      <c r="L233"/>
      <c r="M233"/>
      <c r="N233"/>
      <c r="O233"/>
      <c r="P233" s="151">
        <v>-0.55997885986115659</v>
      </c>
      <c r="Q233" s="53"/>
      <c r="R233" s="53">
        <v>140.68997885986116</v>
      </c>
      <c r="S233" s="151">
        <v>-0.55997885986115659</v>
      </c>
      <c r="T233" s="15"/>
      <c r="U233" s="15"/>
      <c r="V233" s="15"/>
      <c r="W233" s="15"/>
      <c r="X233" s="15"/>
      <c r="Y233" s="15"/>
      <c r="Z233" s="15"/>
      <c r="AA233" s="15"/>
    </row>
    <row r="234" spans="1:27" s="21" customFormat="1" x14ac:dyDescent="0.55000000000000004">
      <c r="A234" s="17"/>
      <c r="B234"/>
      <c r="C234"/>
      <c r="D234"/>
      <c r="E234"/>
      <c r="F234" s="49">
        <v>44228</v>
      </c>
      <c r="G234" s="92">
        <v>140.97999999999999</v>
      </c>
      <c r="H234"/>
      <c r="I234"/>
      <c r="J234"/>
      <c r="K234"/>
      <c r="L234"/>
      <c r="M234"/>
      <c r="N234"/>
      <c r="O234"/>
      <c r="P234" s="151">
        <v>8.0028147859521503E-2</v>
      </c>
      <c r="Q234" s="53"/>
      <c r="R234" s="53">
        <v>140.89997185214048</v>
      </c>
      <c r="S234" s="151">
        <v>8.0028147859521503E-2</v>
      </c>
      <c r="T234" s="15"/>
      <c r="U234" s="15"/>
      <c r="V234" s="15"/>
      <c r="W234" s="15"/>
      <c r="X234" s="15"/>
      <c r="Y234" s="15"/>
      <c r="Z234" s="15"/>
      <c r="AA234" s="15"/>
    </row>
    <row r="235" spans="1:27" s="21" customFormat="1" x14ac:dyDescent="0.55000000000000004">
      <c r="A235" s="17"/>
      <c r="B235"/>
      <c r="C235"/>
      <c r="D235"/>
      <c r="E235"/>
      <c r="F235" s="49">
        <v>44256</v>
      </c>
      <c r="G235" s="92">
        <v>135.72</v>
      </c>
      <c r="H235"/>
      <c r="I235"/>
      <c r="J235"/>
      <c r="K235"/>
      <c r="L235"/>
      <c r="M235"/>
      <c r="N235"/>
      <c r="O235"/>
      <c r="P235" s="151">
        <v>0.56298572953157766</v>
      </c>
      <c r="Q235" s="53"/>
      <c r="R235" s="53">
        <v>135.15701427046841</v>
      </c>
      <c r="S235" s="151">
        <v>0.56298572953157766</v>
      </c>
      <c r="T235" s="15"/>
      <c r="U235" s="15"/>
      <c r="V235" s="15"/>
      <c r="W235" s="15"/>
      <c r="X235" s="15"/>
      <c r="Y235" s="15"/>
      <c r="Z235" s="15"/>
      <c r="AA235" s="15"/>
    </row>
    <row r="236" spans="1:27" s="21" customFormat="1" x14ac:dyDescent="0.55000000000000004">
      <c r="A236" s="17"/>
      <c r="B236"/>
      <c r="C236"/>
      <c r="D236"/>
      <c r="E236"/>
      <c r="F236" s="49">
        <v>44287</v>
      </c>
      <c r="G236" s="92">
        <v>137.44</v>
      </c>
      <c r="H236"/>
      <c r="I236"/>
      <c r="J236"/>
      <c r="K236"/>
      <c r="L236"/>
      <c r="M236"/>
      <c r="N236"/>
      <c r="O236"/>
      <c r="P236" s="151">
        <v>0.86658164148987638</v>
      </c>
      <c r="Q236" s="53"/>
      <c r="R236" s="53">
        <v>136.57341835851011</v>
      </c>
      <c r="S236" s="151">
        <v>0.86658164148987638</v>
      </c>
      <c r="T236" s="15"/>
      <c r="U236" s="15"/>
      <c r="V236" s="15"/>
      <c r="W236" s="15"/>
      <c r="X236" s="15"/>
      <c r="Y236" s="15"/>
      <c r="Z236" s="15"/>
      <c r="AA236" s="15"/>
    </row>
    <row r="237" spans="1:27" s="21" customFormat="1" x14ac:dyDescent="0.55000000000000004">
      <c r="A237" s="17"/>
      <c r="B237"/>
      <c r="C237"/>
      <c r="D237"/>
      <c r="E237"/>
      <c r="F237" s="49">
        <v>44317</v>
      </c>
      <c r="G237" s="92">
        <v>138.74</v>
      </c>
      <c r="H237"/>
      <c r="I237"/>
      <c r="J237"/>
      <c r="K237"/>
      <c r="L237"/>
      <c r="M237"/>
      <c r="N237"/>
      <c r="O237"/>
      <c r="P237" s="151">
        <v>0.98633094094885254</v>
      </c>
      <c r="Q237" s="53"/>
      <c r="R237" s="53">
        <v>137.75366905905116</v>
      </c>
      <c r="S237" s="151">
        <v>0.98633094094885254</v>
      </c>
      <c r="T237" s="15"/>
      <c r="U237" s="15"/>
      <c r="V237" s="15"/>
      <c r="W237" s="15"/>
      <c r="X237" s="15"/>
      <c r="Y237" s="15"/>
      <c r="Z237" s="15"/>
      <c r="AA237" s="15"/>
    </row>
    <row r="238" spans="1:27" s="21" customFormat="1" x14ac:dyDescent="0.55000000000000004">
      <c r="A238" s="17"/>
      <c r="B238"/>
      <c r="C238"/>
      <c r="D238"/>
      <c r="E238"/>
      <c r="F238" s="49">
        <v>44348</v>
      </c>
      <c r="G238" s="92">
        <v>138.94999999999999</v>
      </c>
      <c r="H238"/>
      <c r="I238"/>
      <c r="J238"/>
      <c r="K238"/>
      <c r="L238"/>
      <c r="M238"/>
      <c r="N238"/>
      <c r="O238"/>
      <c r="P238" s="151">
        <v>0.9349346598076832</v>
      </c>
      <c r="Q238" s="53"/>
      <c r="R238" s="53">
        <v>138.01506534019231</v>
      </c>
      <c r="S238" s="151">
        <v>0.9349346598076832</v>
      </c>
      <c r="T238" s="15"/>
      <c r="U238" s="15"/>
      <c r="V238" s="15"/>
      <c r="W238" s="15"/>
      <c r="X238" s="15"/>
      <c r="Y238" s="15"/>
      <c r="Z238" s="15"/>
      <c r="AA238" s="15"/>
    </row>
    <row r="239" spans="1:27" s="21" customFormat="1" x14ac:dyDescent="0.55000000000000004">
      <c r="A239" s="17"/>
      <c r="B239"/>
      <c r="C239"/>
      <c r="D239"/>
      <c r="E239"/>
      <c r="F239" s="49">
        <v>44378</v>
      </c>
      <c r="G239" s="92">
        <v>138.49</v>
      </c>
      <c r="H239"/>
      <c r="I239"/>
      <c r="J239"/>
      <c r="K239"/>
      <c r="L239"/>
      <c r="M239"/>
      <c r="N239"/>
      <c r="O239"/>
      <c r="P239" s="151">
        <v>0.74006980191820526</v>
      </c>
      <c r="Q239" s="53"/>
      <c r="R239" s="53">
        <v>137.74993019808181</v>
      </c>
      <c r="S239" s="151">
        <v>0.74006980191820526</v>
      </c>
      <c r="T239" s="15"/>
      <c r="U239" s="15"/>
      <c r="V239" s="15"/>
      <c r="W239" s="15"/>
      <c r="X239" s="15"/>
      <c r="Y239" s="15"/>
      <c r="Z239" s="15"/>
      <c r="AA239" s="15"/>
    </row>
    <row r="240" spans="1:27" s="21" customFormat="1" x14ac:dyDescent="0.55000000000000004">
      <c r="A240" s="17"/>
      <c r="B240"/>
      <c r="C240"/>
      <c r="D240"/>
      <c r="E240"/>
      <c r="F240" s="49">
        <v>44409</v>
      </c>
      <c r="G240" s="92">
        <v>138.91999999999999</v>
      </c>
      <c r="H240"/>
      <c r="I240"/>
      <c r="J240"/>
      <c r="K240"/>
      <c r="L240"/>
      <c r="M240"/>
      <c r="N240"/>
      <c r="O240"/>
      <c r="P240" s="151">
        <v>0.44087802947385368</v>
      </c>
      <c r="Q240" s="53"/>
      <c r="R240" s="53">
        <v>138.47912197052614</v>
      </c>
      <c r="S240" s="151">
        <v>0.44087802947385368</v>
      </c>
      <c r="T240" s="15"/>
      <c r="U240" s="15"/>
      <c r="V240" s="15"/>
      <c r="W240" s="15"/>
      <c r="X240" s="15"/>
      <c r="Y240" s="15"/>
      <c r="Z240" s="15"/>
      <c r="AA240" s="15"/>
    </row>
    <row r="241" spans="1:27" s="21" customFormat="1" x14ac:dyDescent="0.55000000000000004">
      <c r="A241" s="17"/>
      <c r="B241"/>
      <c r="C241"/>
      <c r="D241"/>
      <c r="E241"/>
      <c r="F241" s="49">
        <v>44440</v>
      </c>
      <c r="G241" s="92">
        <v>138.86000000000001</v>
      </c>
      <c r="H241"/>
      <c r="I241"/>
      <c r="J241"/>
      <c r="K241"/>
      <c r="L241"/>
      <c r="M241"/>
      <c r="N241"/>
      <c r="O241"/>
      <c r="P241" s="151">
        <v>8.3538408973781841E-2</v>
      </c>
      <c r="Q241" s="53"/>
      <c r="R241" s="53">
        <v>138.77646159102622</v>
      </c>
      <c r="S241" s="151">
        <v>8.3538408973781841E-2</v>
      </c>
      <c r="T241" s="15"/>
      <c r="U241" s="15"/>
      <c r="V241" s="15"/>
      <c r="W241" s="15"/>
      <c r="X241" s="15"/>
      <c r="Y241" s="15"/>
      <c r="Z241" s="15"/>
      <c r="AA241" s="15"/>
    </row>
    <row r="242" spans="1:27" s="21" customFormat="1" x14ac:dyDescent="0.55000000000000004">
      <c r="A242" s="17"/>
      <c r="B242"/>
      <c r="C242"/>
      <c r="D242"/>
      <c r="E242"/>
      <c r="F242" s="49">
        <v>44470</v>
      </c>
      <c r="G242" s="92">
        <v>139.62</v>
      </c>
      <c r="H242"/>
      <c r="I242"/>
      <c r="J242"/>
      <c r="K242"/>
      <c r="L242"/>
      <c r="M242"/>
      <c r="N242"/>
      <c r="O242"/>
      <c r="P242" s="151">
        <v>-0.28361365704510266</v>
      </c>
      <c r="Q242" s="53"/>
      <c r="R242" s="53">
        <v>139.9036136570451</v>
      </c>
      <c r="S242" s="151">
        <v>-0.28361365704510266</v>
      </c>
      <c r="T242" s="15"/>
      <c r="U242" s="15"/>
      <c r="V242" s="15"/>
      <c r="W242" s="15"/>
      <c r="X242" s="15"/>
      <c r="Y242" s="15"/>
      <c r="Z242" s="15"/>
      <c r="AA242" s="15"/>
    </row>
    <row r="243" spans="1:27" s="21" customFormat="1" x14ac:dyDescent="0.55000000000000004">
      <c r="A243" s="17"/>
      <c r="B243"/>
      <c r="C243"/>
      <c r="D243"/>
      <c r="E243"/>
      <c r="F243" s="49">
        <v>44501</v>
      </c>
      <c r="G243" s="92">
        <v>141.05000000000001</v>
      </c>
      <c r="H243"/>
      <c r="I243"/>
      <c r="J243"/>
      <c r="K243"/>
      <c r="L243"/>
      <c r="M243"/>
      <c r="N243"/>
      <c r="O243"/>
      <c r="P243" s="151">
        <v>-0.61493037973788045</v>
      </c>
      <c r="Q243" s="53"/>
      <c r="R243" s="53">
        <v>141.66493037973788</v>
      </c>
      <c r="S243" s="151">
        <v>-0.61493037973788045</v>
      </c>
      <c r="T243" s="15"/>
      <c r="U243" s="15"/>
      <c r="V243" s="15"/>
      <c r="W243" s="15"/>
      <c r="X243" s="15"/>
      <c r="Y243" s="15"/>
      <c r="Z243" s="15"/>
      <c r="AA243" s="15"/>
    </row>
    <row r="244" spans="1:27" s="21" customFormat="1" x14ac:dyDescent="0.55000000000000004">
      <c r="A244" s="17"/>
      <c r="B244"/>
      <c r="C244"/>
      <c r="D244"/>
      <c r="E244"/>
      <c r="F244" s="49">
        <v>44531</v>
      </c>
      <c r="G244" s="92">
        <v>141.22</v>
      </c>
      <c r="H244"/>
      <c r="I244"/>
      <c r="J244"/>
      <c r="K244"/>
      <c r="L244"/>
      <c r="M244"/>
      <c r="N244"/>
      <c r="O244"/>
      <c r="P244" s="151">
        <v>-0.87178830412765507</v>
      </c>
      <c r="Q244" s="53"/>
      <c r="R244" s="53">
        <v>142.09178830412765</v>
      </c>
      <c r="S244" s="151">
        <v>-0.87178830412765507</v>
      </c>
      <c r="T244" s="15"/>
      <c r="U244" s="15"/>
      <c r="V244" s="15"/>
      <c r="W244" s="15"/>
      <c r="X244" s="15"/>
      <c r="Y244" s="15"/>
      <c r="Z244" s="15"/>
      <c r="AA244" s="15"/>
    </row>
    <row r="245" spans="1:27" s="21" customFormat="1" x14ac:dyDescent="0.55000000000000004">
      <c r="A245" s="17"/>
      <c r="B245"/>
      <c r="C245"/>
      <c r="D245"/>
      <c r="E245"/>
      <c r="F245" s="49">
        <v>44562</v>
      </c>
      <c r="G245" s="92">
        <v>140.26</v>
      </c>
      <c r="H245"/>
      <c r="I245"/>
      <c r="J245"/>
      <c r="K245"/>
      <c r="L245"/>
      <c r="M245"/>
      <c r="N245"/>
      <c r="O245"/>
      <c r="P245" s="151">
        <v>-1.0260147262864505</v>
      </c>
      <c r="Q245" s="53"/>
      <c r="R245" s="53">
        <v>141.28601472628645</v>
      </c>
      <c r="S245" s="151">
        <v>-1.0260147262864505</v>
      </c>
      <c r="T245" s="15"/>
      <c r="U245" s="15"/>
      <c r="V245" s="15"/>
      <c r="W245" s="15"/>
      <c r="X245" s="15"/>
      <c r="Y245" s="15"/>
      <c r="Z245" s="15"/>
      <c r="AA245" s="15"/>
    </row>
    <row r="246" spans="1:27" s="21" customFormat="1" x14ac:dyDescent="0.55000000000000004">
      <c r="A246" s="17"/>
      <c r="B246"/>
      <c r="C246"/>
      <c r="D246"/>
      <c r="E246"/>
      <c r="F246" s="49">
        <v>44593</v>
      </c>
      <c r="G246" s="92">
        <v>140.82</v>
      </c>
      <c r="H246"/>
      <c r="I246"/>
      <c r="J246"/>
      <c r="K246"/>
      <c r="L246"/>
      <c r="M246"/>
      <c r="N246"/>
      <c r="O246"/>
      <c r="P246" s="151">
        <v>-1.0621059428408257</v>
      </c>
      <c r="Q246" s="53"/>
      <c r="R246" s="53">
        <v>141.88210594284081</v>
      </c>
      <c r="S246" s="151">
        <v>-1.0621059428408257</v>
      </c>
      <c r="T246" s="15"/>
      <c r="U246" s="15"/>
      <c r="V246" s="15"/>
      <c r="W246" s="15"/>
      <c r="X246" s="15"/>
      <c r="Y246" s="15"/>
      <c r="Z246" s="15"/>
      <c r="AA246" s="15"/>
    </row>
    <row r="247" spans="1:27" x14ac:dyDescent="0.55000000000000004">
      <c r="F247" s="49">
        <v>44621</v>
      </c>
      <c r="G247" s="92">
        <v>141.94</v>
      </c>
      <c r="P247" s="151">
        <v>-0.97807110364522121</v>
      </c>
      <c r="R247" s="15">
        <v>142.91807110364522</v>
      </c>
      <c r="S247" s="151">
        <v>-0.97807110364522121</v>
      </c>
    </row>
    <row r="248" spans="1:27" x14ac:dyDescent="0.55000000000000004">
      <c r="F248" s="49">
        <v>44652</v>
      </c>
      <c r="G248" s="92">
        <v>142.19</v>
      </c>
      <c r="P248" s="151">
        <v>-0.78487935501047534</v>
      </c>
      <c r="R248" s="15">
        <v>142.97487935501047</v>
      </c>
      <c r="S248" s="151">
        <v>-0.78487935501047534</v>
      </c>
    </row>
    <row r="249" spans="1:27" x14ac:dyDescent="0.55000000000000004">
      <c r="F249" s="49">
        <v>44682</v>
      </c>
      <c r="G249" s="92">
        <v>142.15</v>
      </c>
      <c r="P249" s="151">
        <v>-0.50462913255875819</v>
      </c>
      <c r="R249" s="15">
        <v>142.65462913255877</v>
      </c>
      <c r="S249" s="151">
        <v>-0.50462913255875819</v>
      </c>
    </row>
    <row r="250" spans="1:27" x14ac:dyDescent="0.55000000000000004">
      <c r="F250" s="49">
        <v>44713</v>
      </c>
      <c r="G250" s="92">
        <v>142.88999999999999</v>
      </c>
      <c r="P250" s="151">
        <v>-0.16768256300652418</v>
      </c>
      <c r="R250" s="15">
        <v>143.05768256300652</v>
      </c>
      <c r="S250" s="151">
        <v>-0.16768256300652418</v>
      </c>
    </row>
    <row r="251" spans="1:27" x14ac:dyDescent="0.55000000000000004">
      <c r="F251" s="49">
        <v>44743</v>
      </c>
      <c r="G251" s="92">
        <v>145.41999999999999</v>
      </c>
      <c r="P251" s="151">
        <v>0.19089719424379581</v>
      </c>
      <c r="R251" s="15">
        <v>145.22910280575618</v>
      </c>
      <c r="S251" s="151">
        <v>0.19089719424379581</v>
      </c>
    </row>
    <row r="252" spans="1:27" x14ac:dyDescent="0.55000000000000004">
      <c r="F252" s="49">
        <v>44774</v>
      </c>
      <c r="G252" s="92">
        <v>144.47999999999999</v>
      </c>
      <c r="P252" s="151">
        <v>0.53521097152862751</v>
      </c>
      <c r="R252" s="15">
        <v>143.94478902847135</v>
      </c>
      <c r="S252" s="151">
        <v>0.53521097152862751</v>
      </c>
    </row>
    <row r="253" spans="1:27" x14ac:dyDescent="0.55000000000000004">
      <c r="F253" s="49">
        <v>44805</v>
      </c>
      <c r="G253" s="92">
        <v>144.49</v>
      </c>
      <c r="P253" s="151">
        <v>0.83228201194171803</v>
      </c>
      <c r="R253" s="15">
        <v>143.65771798805829</v>
      </c>
      <c r="S253" s="151">
        <v>0.83228201194171803</v>
      </c>
    </row>
    <row r="254" spans="1:27" x14ac:dyDescent="0.55000000000000004">
      <c r="F254" s="49">
        <v>44835</v>
      </c>
      <c r="G254" s="92">
        <v>144.68</v>
      </c>
      <c r="P254" s="151">
        <v>1.0553271341369133</v>
      </c>
      <c r="R254" s="15">
        <v>143.62467286586309</v>
      </c>
      <c r="S254" s="151">
        <v>1.0553271341369133</v>
      </c>
    </row>
    <row r="255" spans="1:27" x14ac:dyDescent="0.55000000000000004">
      <c r="F255" s="49">
        <v>44866</v>
      </c>
      <c r="G255" s="92">
        <v>142.74</v>
      </c>
      <c r="P255" s="151">
        <v>1.1862264942756227</v>
      </c>
      <c r="R255" s="15">
        <v>141.55377350572439</v>
      </c>
      <c r="S255" s="151">
        <v>1.1862264942756227</v>
      </c>
    </row>
    <row r="256" spans="1:27" x14ac:dyDescent="0.55000000000000004">
      <c r="F256" s="49">
        <v>44896</v>
      </c>
      <c r="G256" s="92">
        <v>142.30000000000001</v>
      </c>
      <c r="P256" s="151">
        <v>1.2169742082667732</v>
      </c>
      <c r="R256" s="15">
        <v>141.08302579173323</v>
      </c>
      <c r="S256" s="151">
        <v>1.2169742082667732</v>
      </c>
    </row>
    <row r="257" spans="1:19" x14ac:dyDescent="0.55000000000000004">
      <c r="F257" s="49">
        <v>44927</v>
      </c>
      <c r="G257" s="92">
        <v>143.47999999999999</v>
      </c>
      <c r="P257" s="151">
        <v>1.150007294090301</v>
      </c>
      <c r="R257" s="15">
        <v>142.32999270590969</v>
      </c>
      <c r="S257" s="151">
        <v>1.150007294090301</v>
      </c>
    </row>
    <row r="258" spans="1:19" x14ac:dyDescent="0.55000000000000004">
      <c r="F258" s="49">
        <v>44958</v>
      </c>
      <c r="G258" s="92">
        <v>147.52000000000001</v>
      </c>
      <c r="P258" s="151">
        <v>0.99743164681224528</v>
      </c>
      <c r="R258" s="15">
        <v>146.52256835318775</v>
      </c>
      <c r="S258" s="151">
        <v>0.99743164681224528</v>
      </c>
    </row>
    <row r="259" spans="1:19" x14ac:dyDescent="0.55000000000000004">
      <c r="F259" s="49">
        <v>44986</v>
      </c>
      <c r="G259" s="92">
        <v>147.02000000000001</v>
      </c>
      <c r="P259" s="151">
        <v>0.77927813098666832</v>
      </c>
      <c r="R259" s="15">
        <v>146.24072186901333</v>
      </c>
      <c r="S259" s="151">
        <v>0.77927813098666832</v>
      </c>
    </row>
    <row r="260" spans="1:19" s="15" customFormat="1" x14ac:dyDescent="0.55000000000000004">
      <c r="A260" s="17"/>
      <c r="B260"/>
      <c r="C260"/>
      <c r="D260"/>
      <c r="E260"/>
      <c r="F260" s="49">
        <v>45017</v>
      </c>
      <c r="G260" s="92">
        <v>148.88</v>
      </c>
      <c r="H260"/>
      <c r="I260"/>
      <c r="J260"/>
      <c r="K260"/>
      <c r="L260"/>
      <c r="M260"/>
      <c r="N260"/>
      <c r="O260"/>
      <c r="P260" s="151">
        <v>0.52101759762829403</v>
      </c>
      <c r="R260" s="15">
        <v>148.35898240237171</v>
      </c>
      <c r="S260" s="151">
        <v>0.52101759762829403</v>
      </c>
    </row>
    <row r="261" spans="1:19" s="15" customFormat="1" x14ac:dyDescent="0.55000000000000004">
      <c r="A261" s="17"/>
      <c r="B261"/>
      <c r="C261"/>
      <c r="D261"/>
      <c r="E261"/>
      <c r="F261" s="49">
        <v>45047</v>
      </c>
      <c r="G261" s="92">
        <v>146.16</v>
      </c>
      <c r="H261"/>
      <c r="I261"/>
      <c r="J261"/>
      <c r="K261"/>
      <c r="L261"/>
      <c r="M261"/>
      <c r="N261"/>
      <c r="O261"/>
      <c r="P261" s="151">
        <v>0.25063131703229402</v>
      </c>
      <c r="R261" s="15">
        <v>145.90936868296771</v>
      </c>
      <c r="S261" s="151">
        <v>0.25063131703229402</v>
      </c>
    </row>
    <row r="262" spans="1:19" s="15" customFormat="1" x14ac:dyDescent="0.55000000000000004">
      <c r="A262" s="17"/>
      <c r="B262"/>
      <c r="C262"/>
      <c r="D262"/>
      <c r="E262"/>
      <c r="F262" s="49">
        <v>45078</v>
      </c>
      <c r="G262" s="92">
        <v>146.55000000000001</v>
      </c>
      <c r="H262"/>
      <c r="I262"/>
      <c r="J262"/>
      <c r="K262"/>
      <c r="L262"/>
      <c r="M262"/>
      <c r="N262"/>
      <c r="O262"/>
      <c r="P262" s="151">
        <v>-4.4331219124700283E-3</v>
      </c>
      <c r="R262" s="15">
        <v>146.5544331219125</v>
      </c>
      <c r="S262" s="151">
        <v>-4.4331219124700283E-3</v>
      </c>
    </row>
    <row r="263" spans="1:19" s="15" customFormat="1" x14ac:dyDescent="0.55000000000000004">
      <c r="A263" s="17"/>
      <c r="B263"/>
      <c r="C263"/>
      <c r="D263"/>
      <c r="E263"/>
      <c r="F263" s="49">
        <v>45108</v>
      </c>
      <c r="G263" s="92">
        <v>146.97999999999999</v>
      </c>
      <c r="H263"/>
      <c r="I263"/>
      <c r="J263"/>
      <c r="K263"/>
      <c r="L263"/>
      <c r="M263"/>
      <c r="N263"/>
      <c r="O263"/>
      <c r="P263" s="151">
        <v>-0.22009320281777178</v>
      </c>
      <c r="R263" s="15">
        <v>147.20009320281775</v>
      </c>
      <c r="S263" s="151">
        <v>-0.22009320281777178</v>
      </c>
    </row>
    <row r="264" spans="1:19" s="15" customFormat="1" x14ac:dyDescent="0.55000000000000004">
      <c r="A264" s="17"/>
      <c r="B264"/>
      <c r="C264"/>
      <c r="D264"/>
      <c r="E264"/>
      <c r="F264" s="49">
        <v>45139</v>
      </c>
      <c r="G264" s="92">
        <v>146.13999999999999</v>
      </c>
      <c r="H264"/>
      <c r="I264"/>
      <c r="J264"/>
      <c r="K264"/>
      <c r="L264"/>
      <c r="M264"/>
      <c r="N264"/>
      <c r="O264"/>
      <c r="P264" s="151">
        <v>-0.37796037949547667</v>
      </c>
      <c r="R264" s="15">
        <v>146.51796037949546</v>
      </c>
      <c r="S264" s="151">
        <v>-0.37796037949547667</v>
      </c>
    </row>
    <row r="265" spans="1:19" s="15" customFormat="1" x14ac:dyDescent="0.55000000000000004">
      <c r="A265" s="17"/>
      <c r="B265"/>
      <c r="C265"/>
      <c r="D265"/>
      <c r="E265"/>
      <c r="F265" s="49">
        <v>45170</v>
      </c>
      <c r="G265" s="92">
        <v>146.19</v>
      </c>
      <c r="H265"/>
      <c r="I265"/>
      <c r="J265"/>
      <c r="K265"/>
      <c r="L265"/>
      <c r="M265"/>
      <c r="N265"/>
      <c r="O265"/>
      <c r="P265" s="151">
        <v>-0.46694345028992146</v>
      </c>
      <c r="R265" s="15">
        <v>146.65694345028993</v>
      </c>
      <c r="S265" s="151">
        <v>-0.46694345028992146</v>
      </c>
    </row>
    <row r="266" spans="1:19" s="15" customFormat="1" x14ac:dyDescent="0.55000000000000004">
      <c r="A266" s="17"/>
      <c r="B266"/>
      <c r="C266"/>
      <c r="D266"/>
      <c r="E266"/>
      <c r="F266" s="49">
        <v>45200</v>
      </c>
      <c r="G266" s="92">
        <v>146.26</v>
      </c>
      <c r="H266"/>
      <c r="I266"/>
      <c r="J266"/>
      <c r="K266"/>
      <c r="L266"/>
      <c r="M266"/>
      <c r="N266"/>
      <c r="O266"/>
      <c r="P266" s="151">
        <v>-0.48399112582510284</v>
      </c>
      <c r="R266" s="15">
        <v>146.74399112582509</v>
      </c>
      <c r="S266" s="151">
        <v>-0.48399112582510284</v>
      </c>
    </row>
    <row r="267" spans="1:19" s="15" customFormat="1" x14ac:dyDescent="0.55000000000000004">
      <c r="A267" s="17"/>
      <c r="B267"/>
      <c r="C267"/>
      <c r="D267"/>
      <c r="E267"/>
      <c r="F267" s="49">
        <v>45231</v>
      </c>
      <c r="G267" s="92">
        <v>146.41</v>
      </c>
      <c r="H267"/>
      <c r="I267"/>
      <c r="J267"/>
      <c r="K267"/>
      <c r="L267"/>
      <c r="M267"/>
      <c r="N267"/>
      <c r="O267"/>
      <c r="P267" s="151">
        <v>-0.43393699408983188</v>
      </c>
      <c r="R267" s="15">
        <v>146.84393699408983</v>
      </c>
      <c r="S267" s="151">
        <v>-0.43393699408983188</v>
      </c>
    </row>
    <row r="268" spans="1:19" s="15" customFormat="1" x14ac:dyDescent="0.55000000000000004">
      <c r="A268" s="17"/>
      <c r="B268"/>
      <c r="C268"/>
      <c r="D268"/>
      <c r="E268"/>
      <c r="F268" s="49">
        <v>45261</v>
      </c>
      <c r="G268" s="92">
        <v>147.61000000000001</v>
      </c>
      <c r="H268"/>
      <c r="I268"/>
      <c r="J268"/>
      <c r="K268"/>
      <c r="L268"/>
      <c r="M268"/>
      <c r="N268"/>
      <c r="O268"/>
      <c r="P268" s="151">
        <v>-0.32850828390122633</v>
      </c>
      <c r="R268" s="15">
        <v>147.93850828390123</v>
      </c>
      <c r="S268" s="151">
        <v>-0.32850828390122633</v>
      </c>
    </row>
    <row r="269" spans="1:19" s="15" customFormat="1" x14ac:dyDescent="0.55000000000000004">
      <c r="A269" s="17"/>
      <c r="B269"/>
      <c r="C269"/>
      <c r="D269"/>
      <c r="E269"/>
      <c r="F269" s="49">
        <v>45292</v>
      </c>
      <c r="G269" s="92">
        <v>148.5</v>
      </c>
      <c r="H269"/>
      <c r="I269"/>
      <c r="J269"/>
      <c r="K269"/>
      <c r="L269"/>
      <c r="M269"/>
      <c r="N269"/>
      <c r="O269"/>
      <c r="P269" s="151">
        <v>-0.18464714654578618</v>
      </c>
      <c r="R269" s="15">
        <v>148.68464714654579</v>
      </c>
      <c r="S269" s="151">
        <v>-0.18464714654578618</v>
      </c>
    </row>
  </sheetData>
  <mergeCells count="2">
    <mergeCell ref="A4:J4"/>
    <mergeCell ref="D20:D21"/>
  </mergeCells>
  <pageMargins left="0.511811024" right="0.511811024" top="0.78740157499999996" bottom="0.78740157499999996" header="0.31496062000000002" footer="0.31496062000000002"/>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E7AD1-2AE2-44CD-8E50-418C6AFF2D9D}">
  <sheetPr codeName="Planilha99">
    <tabColor theme="9" tint="0.59999389629810485"/>
  </sheetPr>
  <dimension ref="A1:Y267"/>
  <sheetViews>
    <sheetView showGridLines="0" zoomScaleNormal="100" workbookViewId="0">
      <selection activeCell="N15" sqref="N15"/>
    </sheetView>
  </sheetViews>
  <sheetFormatPr defaultColWidth="8.796875" defaultRowHeight="18" x14ac:dyDescent="0.55000000000000004"/>
  <cols>
    <col min="1" max="1" width="15.33203125" style="17" customWidth="1"/>
    <col min="2" max="2" width="61.1328125" customWidth="1"/>
    <col min="4" max="4" width="44.33203125" bestFit="1" customWidth="1"/>
    <col min="5" max="5" width="4.6640625" customWidth="1"/>
    <col min="6" max="7" width="7.1328125" bestFit="1" customWidth="1"/>
    <col min="8" max="8" width="10.6640625" bestFit="1" customWidth="1"/>
    <col min="9" max="10" width="13.33203125" bestFit="1" customWidth="1"/>
    <col min="11" max="12" width="13.33203125" customWidth="1"/>
    <col min="13" max="13" width="4.33203125" customWidth="1"/>
    <col min="14" max="14" width="12.1328125" style="15" customWidth="1"/>
    <col min="15" max="16" width="9" style="15" customWidth="1"/>
    <col min="17" max="25" width="8.796875" style="15"/>
  </cols>
  <sheetData>
    <row r="1" spans="1:25" x14ac:dyDescent="0.55000000000000004">
      <c r="A1" s="83" t="s">
        <v>1164</v>
      </c>
      <c r="N1" s="14"/>
      <c r="O1" s="14"/>
      <c r="P1" s="14"/>
      <c r="Q1" s="14"/>
      <c r="R1" s="14"/>
      <c r="S1" s="14"/>
      <c r="T1" s="14"/>
      <c r="U1" s="14"/>
      <c r="V1" s="14"/>
      <c r="W1" s="14"/>
      <c r="X1" s="14"/>
      <c r="Y1" s="14"/>
    </row>
    <row r="2" spans="1:25" x14ac:dyDescent="0.55000000000000004">
      <c r="A2" s="17" t="s">
        <v>1166</v>
      </c>
      <c r="N2" s="14"/>
      <c r="O2" s="14"/>
      <c r="P2" s="14"/>
      <c r="Q2" s="14"/>
      <c r="R2" s="14"/>
      <c r="S2" s="14"/>
      <c r="T2" s="14"/>
      <c r="U2" s="14"/>
      <c r="V2" s="14"/>
      <c r="W2" s="14"/>
      <c r="X2" s="14"/>
      <c r="Y2" s="14"/>
    </row>
    <row r="3" spans="1:25" x14ac:dyDescent="0.55000000000000004">
      <c r="N3" s="14"/>
      <c r="O3" s="14"/>
      <c r="P3" s="14"/>
      <c r="Q3" s="14"/>
      <c r="R3" s="14"/>
      <c r="S3" s="14"/>
      <c r="T3" s="14"/>
      <c r="U3" s="14"/>
      <c r="V3" s="14"/>
      <c r="W3" s="14"/>
      <c r="X3" s="14"/>
      <c r="Y3" s="14"/>
    </row>
    <row r="4" spans="1:25" x14ac:dyDescent="0.45">
      <c r="A4" s="172" t="s">
        <v>1165</v>
      </c>
      <c r="B4" s="172"/>
      <c r="C4" s="172"/>
      <c r="D4" s="172"/>
      <c r="E4" s="172"/>
      <c r="F4" s="172"/>
      <c r="G4" s="172"/>
      <c r="H4" s="172"/>
      <c r="I4" s="172"/>
      <c r="J4" s="172"/>
      <c r="K4" s="126"/>
      <c r="L4" s="126"/>
      <c r="N4" s="14"/>
      <c r="O4" s="14"/>
      <c r="P4" s="14"/>
      <c r="Q4" s="14"/>
      <c r="R4" s="14"/>
      <c r="S4" s="14"/>
      <c r="T4" s="14"/>
      <c r="U4" s="14"/>
      <c r="V4" s="14"/>
      <c r="W4" s="14"/>
      <c r="X4" s="14"/>
      <c r="Y4" s="14"/>
    </row>
    <row r="6" spans="1:25" ht="15.75" x14ac:dyDescent="0.5">
      <c r="A6" s="2" t="s">
        <v>15</v>
      </c>
      <c r="B6" s="2" t="s">
        <v>16</v>
      </c>
    </row>
    <row r="7" spans="1:25" ht="15.75" x14ac:dyDescent="0.45">
      <c r="A7" s="23" t="s">
        <v>165</v>
      </c>
      <c r="B7" s="26" t="s">
        <v>498</v>
      </c>
    </row>
    <row r="8" spans="1:25" ht="15.75" customHeight="1" x14ac:dyDescent="0.45">
      <c r="A8" s="23" t="s">
        <v>1132</v>
      </c>
      <c r="B8" s="26" t="s">
        <v>1105</v>
      </c>
    </row>
    <row r="9" spans="1:25" ht="47.25" x14ac:dyDescent="0.45">
      <c r="A9" s="23" t="s">
        <v>1109</v>
      </c>
      <c r="B9" s="26" t="s">
        <v>1113</v>
      </c>
    </row>
    <row r="10" spans="1:25" ht="47.25" x14ac:dyDescent="0.45">
      <c r="A10" s="23" t="s">
        <v>1110</v>
      </c>
      <c r="B10" s="26" t="s">
        <v>1111</v>
      </c>
    </row>
    <row r="11" spans="1:25" ht="31.5" x14ac:dyDescent="0.45">
      <c r="A11" s="23" t="s">
        <v>1161</v>
      </c>
      <c r="B11" s="26" t="s">
        <v>1162</v>
      </c>
    </row>
    <row r="12" spans="1:25" ht="67.5" customHeight="1" x14ac:dyDescent="0.45">
      <c r="A12" s="23" t="s">
        <v>1163</v>
      </c>
      <c r="B12" s="26" t="s">
        <v>1210</v>
      </c>
    </row>
    <row r="13" spans="1:25" ht="15.75" x14ac:dyDescent="0.5">
      <c r="A13" s="23"/>
      <c r="B13" s="24"/>
      <c r="N13" s="50"/>
    </row>
    <row r="14" spans="1:25" x14ac:dyDescent="0.55000000000000004">
      <c r="D14" s="1" t="s">
        <v>17</v>
      </c>
      <c r="F14" t="s">
        <v>1102</v>
      </c>
      <c r="G14" s="13" t="s">
        <v>165</v>
      </c>
      <c r="H14" s="13" t="s">
        <v>197</v>
      </c>
      <c r="I14" s="13" t="s">
        <v>1109</v>
      </c>
      <c r="J14" s="13" t="s">
        <v>1110</v>
      </c>
      <c r="K14" s="13" t="s">
        <v>1161</v>
      </c>
      <c r="L14" s="13" t="s">
        <v>1163</v>
      </c>
      <c r="N14" s="58" t="s">
        <v>192</v>
      </c>
      <c r="P14" s="15" t="s">
        <v>201</v>
      </c>
      <c r="Q14" s="15" t="s">
        <v>202</v>
      </c>
    </row>
    <row r="15" spans="1:25" x14ac:dyDescent="0.55000000000000004">
      <c r="D15" t="s">
        <v>195</v>
      </c>
      <c r="F15" s="49">
        <v>37622</v>
      </c>
      <c r="G15" s="92">
        <v>100.42</v>
      </c>
      <c r="H15" s="54" t="s">
        <v>199</v>
      </c>
      <c r="I15" s="54">
        <v>18</v>
      </c>
      <c r="J15" s="54">
        <v>96</v>
      </c>
      <c r="K15" s="140" t="b">
        <v>1</v>
      </c>
      <c r="L15" s="140" t="b">
        <v>1</v>
      </c>
      <c r="N15" s="58" cm="1">
        <f t="array" ref="N15:N267">_xlfn.LAMBDA(_xlpm.values,_xlop.trendCycle,_xlop.lowerCutoff,_xlop.upperCutoff,_xlop.root,_xlop.drift, _xlfn.LET(
_xlpm.trendCycle, IF(OR(_xlfn.ISOMITTED(_xlpm.trendCycle), ISBLANK(_xlpm.trendCycle)), "t", LOWER(_xlpm.trendCycle)),
_xlpm.root, IF(OR(_xlfn.ISOMITTED(_xlpm.root), ISBLANK(_xlpm.root)), TRUE, _xlpm.root),
_xlpm.drift, IF(OR(_xlfn.ISOMITTED(_xlpm.drift), ISBLANK(_xlpm.drift)), TRUE, _xlpm.drift),
CFFILTER(_xlpm.values, _xlpm.trendCycle, _xlpm.lowerCutoff, _xlpm.upperCutoff, -1, _xlpm.root, _xlpm.drift, "asymmetric")
))($G$15:$G$267, $H$15, $I$15, $J$15, $K$15, $L$15)</f>
        <v>-0.98864297484385344</v>
      </c>
      <c r="O15" s="58"/>
      <c r="P15" s="53" cm="1">
        <f t="array" ref="P15:P267">RWFILTER($G$15:$G$267,"T",$I$15,$J$15)</f>
        <v>101.40864297484386</v>
      </c>
      <c r="Q15" s="15" cm="1">
        <f t="array" ref="Q15:Q267">RWFILTER($G$15:$G$267,"C",$I$15,$J$15)</f>
        <v>-0.98864297484385344</v>
      </c>
    </row>
    <row r="16" spans="1:25" x14ac:dyDescent="0.55000000000000004">
      <c r="D16" t="s">
        <v>222</v>
      </c>
      <c r="F16" s="49">
        <v>37653</v>
      </c>
      <c r="G16" s="92">
        <v>101.99</v>
      </c>
      <c r="N16" s="58">
        <v>-1.250435588043793</v>
      </c>
      <c r="O16" s="58"/>
      <c r="P16" s="53">
        <v>103.24043558804379</v>
      </c>
      <c r="Q16" s="15">
        <v>-1.250435588043793</v>
      </c>
    </row>
    <row r="17" spans="1:25" x14ac:dyDescent="0.55000000000000004">
      <c r="F17" s="49">
        <v>37681</v>
      </c>
      <c r="G17" s="92">
        <v>101.8</v>
      </c>
      <c r="N17" s="58">
        <v>-1.5140580633628047</v>
      </c>
      <c r="O17" s="58"/>
      <c r="P17" s="53">
        <v>103.31405806336281</v>
      </c>
      <c r="Q17" s="15">
        <v>-1.5140580633628047</v>
      </c>
    </row>
    <row r="18" spans="1:25" ht="18.75" customHeight="1" x14ac:dyDescent="0.55000000000000004">
      <c r="D18" s="173"/>
      <c r="F18" s="49">
        <v>37712</v>
      </c>
      <c r="G18" s="92">
        <v>101.01</v>
      </c>
      <c r="N18" s="58">
        <v>-1.7649072261636904</v>
      </c>
      <c r="O18" s="58"/>
      <c r="P18" s="53">
        <v>102.77490722616369</v>
      </c>
      <c r="Q18" s="15">
        <v>-1.7649072261636904</v>
      </c>
    </row>
    <row r="19" spans="1:25" x14ac:dyDescent="0.55000000000000004">
      <c r="D19" s="173"/>
      <c r="F19" s="49">
        <v>37742</v>
      </c>
      <c r="G19" s="92">
        <v>99.97</v>
      </c>
      <c r="N19" s="58">
        <v>-1.9878066204678742</v>
      </c>
      <c r="O19" s="58"/>
      <c r="P19" s="53">
        <v>101.95780662046788</v>
      </c>
      <c r="Q19" s="15">
        <v>-1.9878066204678742</v>
      </c>
    </row>
    <row r="20" spans="1:25" x14ac:dyDescent="0.55000000000000004">
      <c r="D20" s="46"/>
      <c r="F20" s="49">
        <v>37773</v>
      </c>
      <c r="G20" s="92">
        <v>100.14</v>
      </c>
      <c r="N20" s="58">
        <v>-2.1680206288753059</v>
      </c>
      <c r="O20" s="58"/>
      <c r="P20" s="53">
        <v>102.30802062887531</v>
      </c>
      <c r="Q20" s="15">
        <v>-2.1680206288753059</v>
      </c>
    </row>
    <row r="21" spans="1:25" x14ac:dyDescent="0.55000000000000004">
      <c r="F21" s="49">
        <v>37803</v>
      </c>
      <c r="G21" s="92">
        <v>98.94</v>
      </c>
      <c r="N21" s="58">
        <v>-2.2922762606536455</v>
      </c>
      <c r="O21" s="58"/>
      <c r="P21" s="53">
        <v>101.23227626065365</v>
      </c>
      <c r="Q21" s="15">
        <v>-2.2922762606536455</v>
      </c>
    </row>
    <row r="22" spans="1:25" x14ac:dyDescent="0.55000000000000004">
      <c r="F22" s="49">
        <v>37834</v>
      </c>
      <c r="G22" s="92">
        <v>99.82</v>
      </c>
      <c r="N22" s="58">
        <v>-2.3497214368067953</v>
      </c>
      <c r="O22" s="58"/>
      <c r="P22" s="53">
        <v>102.16972143680678</v>
      </c>
      <c r="Q22" s="15">
        <v>-2.3497214368067953</v>
      </c>
    </row>
    <row r="23" spans="1:25" x14ac:dyDescent="0.55000000000000004">
      <c r="F23" s="49">
        <v>37865</v>
      </c>
      <c r="G23" s="92">
        <v>101.66</v>
      </c>
      <c r="N23" s="58">
        <v>-2.3327531753537483</v>
      </c>
      <c r="O23" s="58"/>
      <c r="P23" s="53">
        <v>103.99275317535374</v>
      </c>
      <c r="Q23" s="15">
        <v>-2.3327531753537483</v>
      </c>
    </row>
    <row r="24" spans="1:25" s="21" customFormat="1" x14ac:dyDescent="0.55000000000000004">
      <c r="A24" s="17"/>
      <c r="B24"/>
      <c r="C24"/>
      <c r="D24"/>
      <c r="E24"/>
      <c r="F24" s="49">
        <v>37895</v>
      </c>
      <c r="G24" s="92">
        <v>101.86</v>
      </c>
      <c r="H24"/>
      <c r="I24"/>
      <c r="J24"/>
      <c r="K24"/>
      <c r="L24"/>
      <c r="M24"/>
      <c r="N24" s="58">
        <v>-2.2376579562085741</v>
      </c>
      <c r="O24" s="58"/>
      <c r="P24" s="53">
        <v>104.09765795620858</v>
      </c>
      <c r="Q24" s="15">
        <v>-2.2376579562085741</v>
      </c>
      <c r="R24" s="15"/>
      <c r="S24" s="15"/>
      <c r="T24" s="15"/>
      <c r="U24" s="15"/>
      <c r="V24" s="15"/>
      <c r="W24" s="15"/>
      <c r="X24" s="15"/>
      <c r="Y24" s="15"/>
    </row>
    <row r="25" spans="1:25" s="21" customFormat="1" x14ac:dyDescent="0.55000000000000004">
      <c r="A25" s="17"/>
      <c r="B25"/>
      <c r="C25"/>
      <c r="D25"/>
      <c r="E25"/>
      <c r="F25" s="49">
        <v>37926</v>
      </c>
      <c r="G25" s="92">
        <v>102</v>
      </c>
      <c r="H25"/>
      <c r="I25"/>
      <c r="J25"/>
      <c r="K25"/>
      <c r="L25"/>
      <c r="M25"/>
      <c r="N25" s="58">
        <v>-2.0650188903501654</v>
      </c>
      <c r="O25" s="53"/>
      <c r="P25" s="53">
        <v>104.06501889035016</v>
      </c>
      <c r="Q25" s="15">
        <v>-2.0650188903501654</v>
      </c>
      <c r="R25" s="15"/>
      <c r="S25" s="15"/>
      <c r="T25" s="15"/>
      <c r="U25" s="15"/>
      <c r="V25" s="15"/>
      <c r="W25" s="15"/>
      <c r="X25" s="15"/>
      <c r="Y25" s="15"/>
    </row>
    <row r="26" spans="1:25" s="21" customFormat="1" x14ac:dyDescent="0.55000000000000004">
      <c r="A26" s="17"/>
      <c r="B26"/>
      <c r="C26"/>
      <c r="D26"/>
      <c r="E26"/>
      <c r="F26" s="49">
        <v>37956</v>
      </c>
      <c r="G26" s="92">
        <v>101.94</v>
      </c>
      <c r="H26"/>
      <c r="I26"/>
      <c r="J26"/>
      <c r="K26"/>
      <c r="L26"/>
      <c r="M26"/>
      <c r="N26" s="58">
        <v>-1.8198591688456185</v>
      </c>
      <c r="O26" s="53"/>
      <c r="P26" s="53">
        <v>103.75985916884562</v>
      </c>
      <c r="Q26" s="15">
        <v>-1.8198591688456185</v>
      </c>
      <c r="R26" s="15"/>
      <c r="S26" s="15"/>
      <c r="T26" s="15"/>
      <c r="U26" s="15"/>
      <c r="V26" s="15"/>
      <c r="W26" s="15"/>
      <c r="X26" s="15"/>
      <c r="Y26" s="15"/>
    </row>
    <row r="27" spans="1:25" s="21" customFormat="1" x14ac:dyDescent="0.55000000000000004">
      <c r="A27" s="17"/>
      <c r="B27"/>
      <c r="C27"/>
      <c r="D27"/>
      <c r="E27"/>
      <c r="F27" s="49">
        <v>37987</v>
      </c>
      <c r="G27" s="92">
        <v>103.64</v>
      </c>
      <c r="H27"/>
      <c r="I27"/>
      <c r="J27"/>
      <c r="K27"/>
      <c r="L27"/>
      <c r="M27"/>
      <c r="N27" s="58">
        <v>-1.5115076231861009</v>
      </c>
      <c r="O27" s="53"/>
      <c r="P27" s="53">
        <v>105.15150762318611</v>
      </c>
      <c r="Q27" s="15">
        <v>-1.5115076231861009</v>
      </c>
      <c r="R27" s="15"/>
      <c r="S27" s="15"/>
      <c r="T27" s="15"/>
      <c r="U27" s="15"/>
      <c r="V27" s="15"/>
      <c r="W27" s="15"/>
      <c r="X27" s="15"/>
      <c r="Y27" s="15"/>
    </row>
    <row r="28" spans="1:25" s="21" customFormat="1" x14ac:dyDescent="0.55000000000000004">
      <c r="A28" s="17"/>
      <c r="B28"/>
      <c r="C28"/>
      <c r="D28"/>
      <c r="E28"/>
      <c r="F28" s="49">
        <v>38018</v>
      </c>
      <c r="G28" s="92">
        <v>104.52</v>
      </c>
      <c r="H28"/>
      <c r="I28"/>
      <c r="J28"/>
      <c r="K28"/>
      <c r="L28"/>
      <c r="M28"/>
      <c r="N28" s="58">
        <v>-1.1531891267798526</v>
      </c>
      <c r="O28" s="53"/>
      <c r="P28" s="53">
        <v>105.67318912677985</v>
      </c>
      <c r="Q28" s="15">
        <v>-1.1531891267798526</v>
      </c>
      <c r="R28" s="15"/>
      <c r="S28" s="15"/>
      <c r="T28" s="15"/>
      <c r="U28" s="15"/>
      <c r="V28" s="15"/>
      <c r="W28" s="15"/>
      <c r="X28" s="15"/>
      <c r="Y28" s="15"/>
    </row>
    <row r="29" spans="1:25" s="21" customFormat="1" x14ac:dyDescent="0.55000000000000004">
      <c r="A29" s="17"/>
      <c r="B29"/>
      <c r="C29"/>
      <c r="D29"/>
      <c r="E29"/>
      <c r="F29" s="49">
        <v>38047</v>
      </c>
      <c r="G29" s="92">
        <v>105.83</v>
      </c>
      <c r="H29"/>
      <c r="I29"/>
      <c r="J29"/>
      <c r="K29"/>
      <c r="L29"/>
      <c r="M29"/>
      <c r="N29" s="58">
        <v>-0.76135913313979087</v>
      </c>
      <c r="O29" s="53"/>
      <c r="P29" s="53">
        <v>106.59135913313979</v>
      </c>
      <c r="Q29" s="15">
        <v>-0.76135913313979087</v>
      </c>
      <c r="R29" s="15"/>
      <c r="S29" s="15"/>
      <c r="T29" s="15"/>
      <c r="U29" s="15"/>
      <c r="V29" s="15"/>
      <c r="W29" s="15"/>
      <c r="X29" s="15"/>
      <c r="Y29" s="15"/>
    </row>
    <row r="30" spans="1:25" s="21" customFormat="1" x14ac:dyDescent="0.55000000000000004">
      <c r="A30" s="17"/>
      <c r="B30"/>
      <c r="C30"/>
      <c r="D30"/>
      <c r="E30"/>
      <c r="F30" s="49">
        <v>38078</v>
      </c>
      <c r="G30" s="92">
        <v>106.41</v>
      </c>
      <c r="H30"/>
      <c r="I30"/>
      <c r="J30"/>
      <c r="K30"/>
      <c r="L30"/>
      <c r="M30"/>
      <c r="N30" s="58">
        <v>-0.35481711326400189</v>
      </c>
      <c r="O30" s="53"/>
      <c r="P30" s="53">
        <v>106.764817113264</v>
      </c>
      <c r="Q30" s="15">
        <v>-0.35481711326400189</v>
      </c>
      <c r="R30" s="15"/>
      <c r="S30" s="15"/>
      <c r="T30" s="15"/>
      <c r="U30" s="15"/>
      <c r="V30" s="15"/>
      <c r="W30" s="15"/>
      <c r="X30" s="15"/>
      <c r="Y30" s="15"/>
    </row>
    <row r="31" spans="1:25" s="21" customFormat="1" x14ac:dyDescent="0.55000000000000004">
      <c r="A31" s="17"/>
      <c r="B31"/>
      <c r="C31"/>
      <c r="D31"/>
      <c r="E31"/>
      <c r="F31" s="49">
        <v>38108</v>
      </c>
      <c r="G31" s="92">
        <v>106.33</v>
      </c>
      <c r="H31"/>
      <c r="I31"/>
      <c r="J31"/>
      <c r="K31"/>
      <c r="L31"/>
      <c r="M31"/>
      <c r="N31" s="58">
        <v>4.6352636366566724E-2</v>
      </c>
      <c r="O31" s="53"/>
      <c r="P31" s="53">
        <v>106.28364736363343</v>
      </c>
      <c r="Q31" s="15">
        <v>4.6352636366566724E-2</v>
      </c>
      <c r="R31" s="15"/>
      <c r="S31" s="15"/>
      <c r="T31" s="15"/>
      <c r="U31" s="15"/>
      <c r="V31" s="15"/>
      <c r="W31" s="15"/>
      <c r="X31" s="15"/>
      <c r="Y31" s="15"/>
    </row>
    <row r="32" spans="1:25" s="21" customFormat="1" x14ac:dyDescent="0.55000000000000004">
      <c r="A32" s="17"/>
      <c r="B32"/>
      <c r="C32"/>
      <c r="D32"/>
      <c r="E32"/>
      <c r="F32" s="49">
        <v>38139</v>
      </c>
      <c r="G32" s="92">
        <v>107.19</v>
      </c>
      <c r="H32"/>
      <c r="I32"/>
      <c r="J32"/>
      <c r="K32"/>
      <c r="L32"/>
      <c r="M32"/>
      <c r="N32" s="58">
        <v>0.42195296442933339</v>
      </c>
      <c r="O32" s="53"/>
      <c r="P32" s="53">
        <v>106.76804703557066</v>
      </c>
      <c r="Q32" s="15">
        <v>0.42195296442933339</v>
      </c>
      <c r="R32" s="15"/>
      <c r="S32" s="15"/>
      <c r="T32" s="15"/>
      <c r="U32" s="15"/>
      <c r="V32" s="15"/>
      <c r="W32" s="15"/>
      <c r="X32" s="15"/>
      <c r="Y32" s="15"/>
    </row>
    <row r="33" spans="1:25" s="21" customFormat="1" x14ac:dyDescent="0.55000000000000004">
      <c r="A33" s="17"/>
      <c r="B33"/>
      <c r="C33"/>
      <c r="D33"/>
      <c r="E33"/>
      <c r="F33" s="49">
        <v>38169</v>
      </c>
      <c r="G33" s="92">
        <v>107.67</v>
      </c>
      <c r="H33"/>
      <c r="I33"/>
      <c r="J33"/>
      <c r="K33"/>
      <c r="L33"/>
      <c r="M33"/>
      <c r="N33" s="58">
        <v>0.75289022262424199</v>
      </c>
      <c r="O33" s="53"/>
      <c r="P33" s="53">
        <v>106.91710977737576</v>
      </c>
      <c r="Q33" s="15">
        <v>0.75289022262424199</v>
      </c>
      <c r="R33" s="15"/>
      <c r="S33" s="15"/>
      <c r="T33" s="15"/>
      <c r="U33" s="15"/>
      <c r="V33" s="15"/>
      <c r="W33" s="15"/>
      <c r="X33" s="15"/>
      <c r="Y33" s="15"/>
    </row>
    <row r="34" spans="1:25" s="21" customFormat="1" x14ac:dyDescent="0.55000000000000004">
      <c r="A34" s="17"/>
      <c r="B34"/>
      <c r="C34"/>
      <c r="D34"/>
      <c r="E34"/>
      <c r="F34" s="49">
        <v>38200</v>
      </c>
      <c r="G34" s="92">
        <v>108.18</v>
      </c>
      <c r="H34"/>
      <c r="I34"/>
      <c r="J34"/>
      <c r="K34"/>
      <c r="L34"/>
      <c r="M34"/>
      <c r="N34" s="58">
        <v>1.0223613839001557</v>
      </c>
      <c r="O34" s="53"/>
      <c r="P34" s="53">
        <v>107.15763861609985</v>
      </c>
      <c r="Q34" s="15">
        <v>1.0223613839001557</v>
      </c>
      <c r="R34" s="15"/>
      <c r="S34" s="15"/>
      <c r="T34" s="15"/>
      <c r="U34" s="15"/>
      <c r="V34" s="15"/>
      <c r="W34" s="15"/>
      <c r="X34" s="15"/>
      <c r="Y34" s="15"/>
    </row>
    <row r="35" spans="1:25" s="21" customFormat="1" x14ac:dyDescent="0.55000000000000004">
      <c r="A35" s="17"/>
      <c r="B35"/>
      <c r="C35"/>
      <c r="D35"/>
      <c r="E35"/>
      <c r="F35" s="49">
        <v>38231</v>
      </c>
      <c r="G35" s="92">
        <v>109.16</v>
      </c>
      <c r="H35"/>
      <c r="I35"/>
      <c r="J35"/>
      <c r="K35"/>
      <c r="L35"/>
      <c r="M35"/>
      <c r="N35" s="58">
        <v>1.2169367928729802</v>
      </c>
      <c r="O35" s="53"/>
      <c r="P35" s="53">
        <v>107.94306320712701</v>
      </c>
      <c r="Q35" s="15">
        <v>1.2169367928729802</v>
      </c>
      <c r="R35" s="15"/>
      <c r="S35" s="15"/>
      <c r="T35" s="15"/>
      <c r="U35" s="15"/>
      <c r="V35" s="15"/>
      <c r="W35" s="15"/>
      <c r="X35" s="15"/>
      <c r="Y35" s="15"/>
    </row>
    <row r="36" spans="1:25" s="21" customFormat="1" x14ac:dyDescent="0.55000000000000004">
      <c r="A36" s="17"/>
      <c r="B36"/>
      <c r="C36"/>
      <c r="D36"/>
      <c r="E36"/>
      <c r="F36" s="49">
        <v>38261</v>
      </c>
      <c r="G36" s="92">
        <v>108.73</v>
      </c>
      <c r="H36"/>
      <c r="I36"/>
      <c r="J36"/>
      <c r="K36"/>
      <c r="L36"/>
      <c r="M36"/>
      <c r="N36" s="58">
        <v>1.3274660268399638</v>
      </c>
      <c r="O36" s="53"/>
      <c r="P36" s="53">
        <v>107.40253397316005</v>
      </c>
      <c r="Q36" s="15">
        <v>1.3274660268399638</v>
      </c>
      <c r="R36" s="15"/>
      <c r="S36" s="15"/>
      <c r="T36" s="15"/>
      <c r="U36" s="15"/>
      <c r="V36" s="15"/>
      <c r="W36" s="15"/>
      <c r="X36" s="15"/>
      <c r="Y36" s="15"/>
    </row>
    <row r="37" spans="1:25" s="21" customFormat="1" x14ac:dyDescent="0.55000000000000004">
      <c r="A37" s="17"/>
      <c r="B37"/>
      <c r="C37"/>
      <c r="D37"/>
      <c r="E37"/>
      <c r="F37" s="49">
        <v>38292</v>
      </c>
      <c r="G37" s="92">
        <v>109.67</v>
      </c>
      <c r="H37"/>
      <c r="I37"/>
      <c r="J37"/>
      <c r="K37"/>
      <c r="L37"/>
      <c r="M37"/>
      <c r="N37" s="58">
        <v>1.3497413366930449</v>
      </c>
      <c r="O37" s="53"/>
      <c r="P37" s="53">
        <v>108.32025866330696</v>
      </c>
      <c r="Q37" s="15">
        <v>1.3497413366930449</v>
      </c>
      <c r="R37" s="15"/>
      <c r="S37" s="15"/>
      <c r="T37" s="15"/>
      <c r="U37" s="15"/>
      <c r="V37" s="15"/>
      <c r="W37" s="15"/>
      <c r="X37" s="15"/>
      <c r="Y37" s="15"/>
    </row>
    <row r="38" spans="1:25" s="21" customFormat="1" x14ac:dyDescent="0.55000000000000004">
      <c r="A38" s="17"/>
      <c r="B38"/>
      <c r="C38"/>
      <c r="D38"/>
      <c r="E38"/>
      <c r="F38" s="49">
        <v>38322</v>
      </c>
      <c r="G38" s="92">
        <v>109.08</v>
      </c>
      <c r="H38"/>
      <c r="I38"/>
      <c r="J38"/>
      <c r="K38"/>
      <c r="L38"/>
      <c r="M38"/>
      <c r="N38" s="58">
        <v>1.2848646276499933</v>
      </c>
      <c r="O38" s="53"/>
      <c r="P38" s="53">
        <v>107.79513537235</v>
      </c>
      <c r="Q38" s="15">
        <v>1.2848646276499933</v>
      </c>
      <c r="R38" s="15"/>
      <c r="S38" s="15"/>
      <c r="T38" s="15"/>
      <c r="U38" s="15"/>
      <c r="V38" s="15"/>
      <c r="W38" s="15"/>
      <c r="X38" s="15"/>
      <c r="Y38" s="15"/>
    </row>
    <row r="39" spans="1:25" s="21" customFormat="1" x14ac:dyDescent="0.55000000000000004">
      <c r="A39" s="17"/>
      <c r="B39"/>
      <c r="C39"/>
      <c r="D39"/>
      <c r="E39"/>
      <c r="F39" s="49">
        <v>38353</v>
      </c>
      <c r="G39" s="92">
        <v>109.54</v>
      </c>
      <c r="H39"/>
      <c r="I39"/>
      <c r="J39"/>
      <c r="K39"/>
      <c r="L39"/>
      <c r="M39"/>
      <c r="N39" s="58">
        <v>1.1392798075481536</v>
      </c>
      <c r="O39" s="53"/>
      <c r="P39" s="53">
        <v>108.40072019245186</v>
      </c>
      <c r="Q39" s="15">
        <v>1.1392798075481536</v>
      </c>
      <c r="R39" s="15"/>
      <c r="S39" s="15"/>
      <c r="T39" s="15"/>
      <c r="U39" s="15"/>
      <c r="V39" s="15"/>
      <c r="W39" s="15"/>
      <c r="X39" s="15"/>
      <c r="Y39" s="15"/>
    </row>
    <row r="40" spans="1:25" s="21" customFormat="1" x14ac:dyDescent="0.55000000000000004">
      <c r="A40" s="17"/>
      <c r="B40"/>
      <c r="C40"/>
      <c r="D40"/>
      <c r="E40"/>
      <c r="F40" s="49">
        <v>38384</v>
      </c>
      <c r="G40" s="92">
        <v>110.2</v>
      </c>
      <c r="H40"/>
      <c r="I40"/>
      <c r="J40"/>
      <c r="K40"/>
      <c r="L40"/>
      <c r="M40"/>
      <c r="N40" s="58">
        <v>0.92445213811214177</v>
      </c>
      <c r="O40" s="53"/>
      <c r="P40" s="53">
        <v>109.27554786188786</v>
      </c>
      <c r="Q40" s="15">
        <v>0.92445213811214177</v>
      </c>
      <c r="R40" s="15"/>
      <c r="S40" s="15"/>
      <c r="T40" s="15"/>
      <c r="U40" s="15"/>
      <c r="V40" s="15"/>
      <c r="W40" s="15"/>
      <c r="X40" s="15"/>
      <c r="Y40" s="15"/>
    </row>
    <row r="41" spans="1:25" s="21" customFormat="1" x14ac:dyDescent="0.55000000000000004">
      <c r="A41" s="17"/>
      <c r="B41"/>
      <c r="C41"/>
      <c r="D41"/>
      <c r="E41"/>
      <c r="F41" s="49">
        <v>38412</v>
      </c>
      <c r="G41" s="92">
        <v>110.38</v>
      </c>
      <c r="H41"/>
      <c r="I41"/>
      <c r="J41"/>
      <c r="K41"/>
      <c r="L41"/>
      <c r="M41"/>
      <c r="N41" s="58">
        <v>0.65619915850790966</v>
      </c>
      <c r="O41" s="53"/>
      <c r="P41" s="53">
        <v>109.72380084149209</v>
      </c>
      <c r="Q41" s="15">
        <v>0.65619915850790966</v>
      </c>
      <c r="R41" s="15"/>
      <c r="S41" s="15"/>
      <c r="T41" s="15"/>
      <c r="U41" s="15"/>
      <c r="V41" s="15"/>
      <c r="W41" s="15"/>
      <c r="X41" s="15"/>
      <c r="Y41" s="15"/>
    </row>
    <row r="42" spans="1:25" s="21" customFormat="1" x14ac:dyDescent="0.55000000000000004">
      <c r="A42" s="17"/>
      <c r="B42"/>
      <c r="C42"/>
      <c r="D42"/>
      <c r="E42"/>
      <c r="F42" s="49">
        <v>38443</v>
      </c>
      <c r="G42" s="92">
        <v>111.11</v>
      </c>
      <c r="H42"/>
      <c r="I42"/>
      <c r="J42"/>
      <c r="K42"/>
      <c r="L42"/>
      <c r="M42"/>
      <c r="N42" s="58">
        <v>0.3537025912413716</v>
      </c>
      <c r="O42" s="53"/>
      <c r="P42" s="53">
        <v>110.75629740875863</v>
      </c>
      <c r="Q42" s="15">
        <v>0.3537025912413716</v>
      </c>
      <c r="R42" s="15"/>
      <c r="S42" s="15"/>
      <c r="T42" s="15"/>
      <c r="U42" s="15"/>
      <c r="V42" s="15"/>
      <c r="W42" s="15"/>
      <c r="X42" s="15"/>
      <c r="Y42" s="15"/>
    </row>
    <row r="43" spans="1:25" s="21" customFormat="1" x14ac:dyDescent="0.55000000000000004">
      <c r="A43" s="17"/>
      <c r="B43"/>
      <c r="C43"/>
      <c r="D43"/>
      <c r="E43"/>
      <c r="F43" s="49">
        <v>38473</v>
      </c>
      <c r="G43" s="92">
        <v>111</v>
      </c>
      <c r="H43"/>
      <c r="I43"/>
      <c r="J43"/>
      <c r="K43"/>
      <c r="L43"/>
      <c r="M43"/>
      <c r="N43" s="58">
        <v>3.8255779194515616E-2</v>
      </c>
      <c r="O43" s="53"/>
      <c r="P43" s="53">
        <v>110.96174422080549</v>
      </c>
      <c r="Q43" s="15">
        <v>3.8255779194515616E-2</v>
      </c>
      <c r="R43" s="15"/>
      <c r="S43" s="15"/>
      <c r="T43" s="15"/>
      <c r="U43" s="15"/>
      <c r="V43" s="15"/>
      <c r="W43" s="15"/>
      <c r="X43" s="15"/>
      <c r="Y43" s="15"/>
    </row>
    <row r="44" spans="1:25" s="21" customFormat="1" x14ac:dyDescent="0.55000000000000004">
      <c r="A44" s="17"/>
      <c r="B44"/>
      <c r="C44"/>
      <c r="D44"/>
      <c r="E44"/>
      <c r="F44" s="49">
        <v>38504</v>
      </c>
      <c r="G44" s="92">
        <v>110.33</v>
      </c>
      <c r="H44"/>
      <c r="I44"/>
      <c r="J44"/>
      <c r="K44"/>
      <c r="L44"/>
      <c r="M44"/>
      <c r="N44" s="58">
        <v>-0.26817528752856401</v>
      </c>
      <c r="O44" s="53"/>
      <c r="P44" s="53">
        <v>110.59817528752856</v>
      </c>
      <c r="Q44" s="15">
        <v>-0.26817528752856401</v>
      </c>
      <c r="R44" s="15"/>
      <c r="S44" s="15"/>
      <c r="T44" s="15"/>
      <c r="U44" s="15"/>
      <c r="V44" s="15"/>
      <c r="W44" s="15"/>
      <c r="X44" s="15"/>
      <c r="Y44" s="15"/>
    </row>
    <row r="45" spans="1:25" s="21" customFormat="1" x14ac:dyDescent="0.55000000000000004">
      <c r="A45" s="17"/>
      <c r="B45"/>
      <c r="C45"/>
      <c r="D45"/>
      <c r="E45"/>
      <c r="F45" s="49">
        <v>38534</v>
      </c>
      <c r="G45" s="92">
        <v>110.43</v>
      </c>
      <c r="H45"/>
      <c r="I45"/>
      <c r="J45"/>
      <c r="K45"/>
      <c r="L45"/>
      <c r="M45"/>
      <c r="N45" s="58">
        <v>-0.54447953086914314</v>
      </c>
      <c r="O45" s="53"/>
      <c r="P45" s="53">
        <v>110.97447953086915</v>
      </c>
      <c r="Q45" s="15">
        <v>-0.54447953086914314</v>
      </c>
      <c r="R45" s="15"/>
      <c r="S45" s="15"/>
      <c r="T45" s="15"/>
      <c r="U45" s="15"/>
      <c r="V45" s="15"/>
      <c r="W45" s="15"/>
      <c r="X45" s="15"/>
      <c r="Y45" s="15"/>
    </row>
    <row r="46" spans="1:25" s="21" customFormat="1" x14ac:dyDescent="0.55000000000000004">
      <c r="A46" s="17"/>
      <c r="B46"/>
      <c r="C46"/>
      <c r="D46"/>
      <c r="E46"/>
      <c r="F46" s="49">
        <v>38565</v>
      </c>
      <c r="G46" s="92">
        <v>111.22</v>
      </c>
      <c r="H46"/>
      <c r="I46"/>
      <c r="J46"/>
      <c r="K46"/>
      <c r="L46"/>
      <c r="M46"/>
      <c r="N46" s="58">
        <v>-0.77190520825779463</v>
      </c>
      <c r="O46" s="53"/>
      <c r="P46" s="53">
        <v>111.99190520825779</v>
      </c>
      <c r="Q46" s="15">
        <v>-0.77190520825779463</v>
      </c>
      <c r="R46" s="15"/>
      <c r="S46" s="15"/>
      <c r="T46" s="15"/>
      <c r="U46" s="15"/>
      <c r="V46" s="15"/>
      <c r="W46" s="15"/>
      <c r="X46" s="15"/>
      <c r="Y46" s="15"/>
    </row>
    <row r="47" spans="1:25" s="21" customFormat="1" x14ac:dyDescent="0.55000000000000004">
      <c r="A47" s="17"/>
      <c r="B47"/>
      <c r="C47"/>
      <c r="D47"/>
      <c r="E47"/>
      <c r="F47" s="49">
        <v>38596</v>
      </c>
      <c r="G47" s="92">
        <v>110.72</v>
      </c>
      <c r="H47"/>
      <c r="I47"/>
      <c r="J47"/>
      <c r="K47"/>
      <c r="L47"/>
      <c r="M47"/>
      <c r="N47" s="58">
        <v>-0.93542335912921326</v>
      </c>
      <c r="O47" s="53"/>
      <c r="P47" s="53">
        <v>111.65542335912922</v>
      </c>
      <c r="Q47" s="15">
        <v>-0.93542335912921326</v>
      </c>
      <c r="R47" s="15"/>
      <c r="S47" s="15"/>
      <c r="T47" s="15"/>
      <c r="U47" s="15"/>
      <c r="V47" s="15"/>
      <c r="W47" s="15"/>
      <c r="X47" s="15"/>
      <c r="Y47" s="15"/>
    </row>
    <row r="48" spans="1:25" s="21" customFormat="1" x14ac:dyDescent="0.55000000000000004">
      <c r="A48" s="17"/>
      <c r="B48"/>
      <c r="C48"/>
      <c r="D48"/>
      <c r="E48"/>
      <c r="F48" s="49">
        <v>38626</v>
      </c>
      <c r="G48" s="92">
        <v>111.1</v>
      </c>
      <c r="H48"/>
      <c r="I48"/>
      <c r="J48"/>
      <c r="K48"/>
      <c r="L48"/>
      <c r="M48"/>
      <c r="N48" s="58">
        <v>-1.0248355562479912</v>
      </c>
      <c r="O48" s="53"/>
      <c r="P48" s="53">
        <v>112.12483555624799</v>
      </c>
      <c r="Q48" s="15">
        <v>-1.0248355562479912</v>
      </c>
      <c r="R48" s="15"/>
      <c r="S48" s="15"/>
      <c r="T48" s="15"/>
      <c r="U48" s="15"/>
      <c r="V48" s="15"/>
      <c r="W48" s="15"/>
      <c r="X48" s="15"/>
      <c r="Y48" s="15"/>
    </row>
    <row r="49" spans="1:25" s="21" customFormat="1" x14ac:dyDescent="0.55000000000000004">
      <c r="A49" s="17"/>
      <c r="B49"/>
      <c r="C49"/>
      <c r="D49"/>
      <c r="E49"/>
      <c r="F49" s="49">
        <v>38657</v>
      </c>
      <c r="G49" s="92">
        <v>111.85</v>
      </c>
      <c r="H49"/>
      <c r="I49"/>
      <c r="J49"/>
      <c r="K49"/>
      <c r="L49"/>
      <c r="M49"/>
      <c r="N49" s="58">
        <v>-1.0355243987264435</v>
      </c>
      <c r="O49" s="53"/>
      <c r="P49" s="53">
        <v>112.88552439872643</v>
      </c>
      <c r="Q49" s="15">
        <v>-1.0355243987264435</v>
      </c>
      <c r="R49" s="15"/>
      <c r="S49" s="15"/>
      <c r="T49" s="15"/>
      <c r="U49" s="15"/>
      <c r="V49" s="15"/>
      <c r="W49" s="15"/>
      <c r="X49" s="15"/>
      <c r="Y49" s="15"/>
    </row>
    <row r="50" spans="1:25" s="21" customFormat="1" x14ac:dyDescent="0.55000000000000004">
      <c r="A50" s="17"/>
      <c r="B50"/>
      <c r="C50"/>
      <c r="D50"/>
      <c r="E50"/>
      <c r="F50" s="49">
        <v>38687</v>
      </c>
      <c r="G50" s="92">
        <v>112.92</v>
      </c>
      <c r="H50"/>
      <c r="I50"/>
      <c r="J50"/>
      <c r="K50"/>
      <c r="L50"/>
      <c r="M50"/>
      <c r="N50" s="58">
        <v>-0.96876830340497644</v>
      </c>
      <c r="O50" s="53"/>
      <c r="P50" s="53">
        <v>113.88876830340497</v>
      </c>
      <c r="Q50" s="15">
        <v>-0.96876830340497644</v>
      </c>
      <c r="R50" s="15"/>
      <c r="S50" s="15"/>
      <c r="T50" s="15"/>
      <c r="U50" s="15"/>
      <c r="V50" s="15"/>
      <c r="W50" s="15"/>
      <c r="X50" s="15"/>
      <c r="Y50" s="15"/>
    </row>
    <row r="51" spans="1:25" s="21" customFormat="1" x14ac:dyDescent="0.55000000000000004">
      <c r="A51" s="17"/>
      <c r="B51"/>
      <c r="C51"/>
      <c r="D51"/>
      <c r="E51"/>
      <c r="F51" s="49">
        <v>38718</v>
      </c>
      <c r="G51" s="92">
        <v>113.5</v>
      </c>
      <c r="H51"/>
      <c r="I51"/>
      <c r="J51"/>
      <c r="K51"/>
      <c r="L51"/>
      <c r="M51"/>
      <c r="N51" s="58">
        <v>-0.83157419425202372</v>
      </c>
      <c r="O51" s="53"/>
      <c r="P51" s="53">
        <v>114.33157419425203</v>
      </c>
      <c r="Q51" s="15">
        <v>-0.83157419425202372</v>
      </c>
      <c r="R51" s="15"/>
      <c r="S51" s="15"/>
      <c r="T51" s="15"/>
      <c r="U51" s="15"/>
      <c r="V51" s="15"/>
      <c r="W51" s="15"/>
      <c r="X51" s="15"/>
      <c r="Y51" s="15"/>
    </row>
    <row r="52" spans="1:25" s="21" customFormat="1" x14ac:dyDescent="0.55000000000000004">
      <c r="A52" s="17"/>
      <c r="B52"/>
      <c r="C52"/>
      <c r="D52"/>
      <c r="E52"/>
      <c r="F52" s="49">
        <v>38749</v>
      </c>
      <c r="G52" s="92">
        <v>113.72</v>
      </c>
      <c r="H52"/>
      <c r="I52"/>
      <c r="J52"/>
      <c r="K52"/>
      <c r="L52"/>
      <c r="M52"/>
      <c r="N52" s="58">
        <v>-0.63602061722307468</v>
      </c>
      <c r="O52" s="53"/>
      <c r="P52" s="53">
        <v>114.35602061722307</v>
      </c>
      <c r="Q52" s="15">
        <v>-0.63602061722307468</v>
      </c>
      <c r="R52" s="15"/>
      <c r="S52" s="15"/>
      <c r="T52" s="15"/>
      <c r="U52" s="15"/>
      <c r="V52" s="15"/>
      <c r="W52" s="15"/>
      <c r="X52" s="15"/>
      <c r="Y52" s="15"/>
    </row>
    <row r="53" spans="1:25" s="21" customFormat="1" x14ac:dyDescent="0.55000000000000004">
      <c r="A53" s="17"/>
      <c r="B53"/>
      <c r="C53"/>
      <c r="D53"/>
      <c r="E53"/>
      <c r="F53" s="49">
        <v>38777</v>
      </c>
      <c r="G53" s="92">
        <v>113.48</v>
      </c>
      <c r="H53"/>
      <c r="I53"/>
      <c r="J53"/>
      <c r="K53"/>
      <c r="L53"/>
      <c r="M53"/>
      <c r="N53" s="58">
        <v>-0.3981466700465679</v>
      </c>
      <c r="O53" s="53"/>
      <c r="P53" s="53">
        <v>113.87814667004658</v>
      </c>
      <c r="Q53" s="15">
        <v>-0.3981466700465679</v>
      </c>
      <c r="R53" s="15"/>
      <c r="S53" s="15"/>
      <c r="T53" s="15"/>
      <c r="U53" s="15"/>
      <c r="V53" s="15"/>
      <c r="W53" s="15"/>
      <c r="X53" s="15"/>
      <c r="Y53" s="15"/>
    </row>
    <row r="54" spans="1:25" s="21" customFormat="1" x14ac:dyDescent="0.55000000000000004">
      <c r="A54" s="17"/>
      <c r="B54"/>
      <c r="C54"/>
      <c r="D54"/>
      <c r="E54"/>
      <c r="F54" s="49">
        <v>38808</v>
      </c>
      <c r="G54" s="92">
        <v>114.36</v>
      </c>
      <c r="H54"/>
      <c r="I54"/>
      <c r="J54"/>
      <c r="K54"/>
      <c r="L54"/>
      <c r="M54"/>
      <c r="N54" s="58">
        <v>-0.13646526656416602</v>
      </c>
      <c r="O54" s="53"/>
      <c r="P54" s="53">
        <v>114.49646526656417</v>
      </c>
      <c r="Q54" s="15">
        <v>-0.13646526656416602</v>
      </c>
      <c r="R54" s="15"/>
      <c r="S54" s="15"/>
      <c r="T54" s="15"/>
      <c r="U54" s="15"/>
      <c r="V54" s="15"/>
      <c r="W54" s="15"/>
      <c r="X54" s="15"/>
      <c r="Y54" s="15"/>
    </row>
    <row r="55" spans="1:25" s="21" customFormat="1" x14ac:dyDescent="0.55000000000000004">
      <c r="A55" s="17"/>
      <c r="B55"/>
      <c r="C55"/>
      <c r="D55"/>
      <c r="E55"/>
      <c r="F55" s="49">
        <v>38838</v>
      </c>
      <c r="G55" s="92">
        <v>115.67</v>
      </c>
      <c r="H55"/>
      <c r="I55"/>
      <c r="J55"/>
      <c r="K55"/>
      <c r="L55"/>
      <c r="M55"/>
      <c r="N55" s="58">
        <v>0.12978142896969591</v>
      </c>
      <c r="O55" s="53"/>
      <c r="P55" s="53">
        <v>115.54021857103031</v>
      </c>
      <c r="Q55" s="15">
        <v>0.12978142896969591</v>
      </c>
      <c r="R55" s="15"/>
      <c r="S55" s="15"/>
      <c r="T55" s="15"/>
      <c r="U55" s="15"/>
      <c r="V55" s="15"/>
      <c r="W55" s="15"/>
      <c r="X55" s="15"/>
      <c r="Y55" s="15"/>
    </row>
    <row r="56" spans="1:25" s="21" customFormat="1" x14ac:dyDescent="0.55000000000000004">
      <c r="A56" s="17"/>
      <c r="B56"/>
      <c r="C56"/>
      <c r="D56"/>
      <c r="E56"/>
      <c r="F56" s="49">
        <v>38869</v>
      </c>
      <c r="G56" s="92">
        <v>114.35</v>
      </c>
      <c r="H56"/>
      <c r="I56"/>
      <c r="J56"/>
      <c r="K56"/>
      <c r="L56"/>
      <c r="M56"/>
      <c r="N56" s="58">
        <v>0.38247518050582086</v>
      </c>
      <c r="O56" s="53"/>
      <c r="P56" s="53">
        <v>113.96752481949417</v>
      </c>
      <c r="Q56" s="15">
        <v>0.38247518050582086</v>
      </c>
      <c r="R56" s="15"/>
      <c r="S56" s="15"/>
      <c r="T56" s="15"/>
      <c r="U56" s="15"/>
      <c r="V56" s="15"/>
      <c r="W56" s="15"/>
      <c r="X56" s="15"/>
      <c r="Y56" s="15"/>
    </row>
    <row r="57" spans="1:25" s="21" customFormat="1" x14ac:dyDescent="0.55000000000000004">
      <c r="A57" s="17"/>
      <c r="B57"/>
      <c r="C57"/>
      <c r="D57"/>
      <c r="E57"/>
      <c r="F57" s="49">
        <v>38899</v>
      </c>
      <c r="G57" s="92">
        <v>116.57</v>
      </c>
      <c r="H57"/>
      <c r="I57"/>
      <c r="J57"/>
      <c r="K57"/>
      <c r="L57"/>
      <c r="M57"/>
      <c r="N57" s="58">
        <v>0.60641453876453832</v>
      </c>
      <c r="O57" s="53"/>
      <c r="P57" s="53">
        <v>115.96358546123545</v>
      </c>
      <c r="Q57" s="15">
        <v>0.60641453876453832</v>
      </c>
      <c r="R57" s="15"/>
      <c r="S57" s="15"/>
      <c r="T57" s="15"/>
      <c r="U57" s="15"/>
      <c r="V57" s="15"/>
      <c r="W57" s="15"/>
      <c r="X57" s="15"/>
      <c r="Y57" s="15"/>
    </row>
    <row r="58" spans="1:25" s="21" customFormat="1" x14ac:dyDescent="0.55000000000000004">
      <c r="A58" s="17"/>
      <c r="B58"/>
      <c r="C58"/>
      <c r="D58"/>
      <c r="E58"/>
      <c r="F58" s="49">
        <v>38930</v>
      </c>
      <c r="G58" s="92">
        <v>116.62</v>
      </c>
      <c r="H58"/>
      <c r="I58"/>
      <c r="J58"/>
      <c r="K58"/>
      <c r="L58"/>
      <c r="M58"/>
      <c r="N58" s="58">
        <v>0.79087331316315734</v>
      </c>
      <c r="O58" s="53"/>
      <c r="P58" s="53">
        <v>115.82912668683684</v>
      </c>
      <c r="Q58" s="15">
        <v>0.79087331316315734</v>
      </c>
      <c r="R58" s="15"/>
      <c r="S58" s="15"/>
      <c r="T58" s="15"/>
      <c r="U58" s="15"/>
      <c r="V58" s="15"/>
      <c r="W58" s="15"/>
      <c r="X58" s="15"/>
      <c r="Y58" s="15"/>
    </row>
    <row r="59" spans="1:25" s="21" customFormat="1" x14ac:dyDescent="0.55000000000000004">
      <c r="A59" s="17"/>
      <c r="B59"/>
      <c r="C59"/>
      <c r="D59"/>
      <c r="E59"/>
      <c r="F59" s="49">
        <v>38961</v>
      </c>
      <c r="G59" s="92">
        <v>116.69</v>
      </c>
      <c r="H59"/>
      <c r="I59"/>
      <c r="J59"/>
      <c r="K59"/>
      <c r="L59"/>
      <c r="M59"/>
      <c r="N59" s="58">
        <v>0.93076175756650303</v>
      </c>
      <c r="O59" s="53"/>
      <c r="P59" s="53">
        <v>115.7592382424335</v>
      </c>
      <c r="Q59" s="15">
        <v>0.93076175756650303</v>
      </c>
      <c r="R59" s="15"/>
      <c r="S59" s="15"/>
      <c r="T59" s="15"/>
      <c r="U59" s="15"/>
      <c r="V59" s="15"/>
      <c r="W59" s="15"/>
      <c r="X59" s="15"/>
      <c r="Y59" s="15"/>
    </row>
    <row r="60" spans="1:25" s="21" customFormat="1" x14ac:dyDescent="0.55000000000000004">
      <c r="A60" s="17"/>
      <c r="B60"/>
      <c r="C60"/>
      <c r="D60"/>
      <c r="E60"/>
      <c r="F60" s="49">
        <v>38991</v>
      </c>
      <c r="G60" s="92">
        <v>118.11</v>
      </c>
      <c r="H60"/>
      <c r="I60"/>
      <c r="J60"/>
      <c r="K60"/>
      <c r="L60"/>
      <c r="M60"/>
      <c r="N60" s="58">
        <v>1.0272552681269909</v>
      </c>
      <c r="O60" s="53"/>
      <c r="P60" s="53">
        <v>117.08274473187301</v>
      </c>
      <c r="Q60" s="15">
        <v>1.0272552681269909</v>
      </c>
      <c r="R60" s="15"/>
      <c r="S60" s="15"/>
      <c r="T60" s="15"/>
      <c r="U60" s="15"/>
      <c r="V60" s="15"/>
      <c r="W60" s="15"/>
      <c r="X60" s="15"/>
      <c r="Y60" s="15"/>
    </row>
    <row r="61" spans="1:25" s="21" customFormat="1" x14ac:dyDescent="0.55000000000000004">
      <c r="A61" s="17"/>
      <c r="B61"/>
      <c r="C61"/>
      <c r="D61"/>
      <c r="E61"/>
      <c r="F61" s="49">
        <v>39022</v>
      </c>
      <c r="G61" s="92">
        <v>118.91</v>
      </c>
      <c r="H61"/>
      <c r="I61"/>
      <c r="J61"/>
      <c r="K61"/>
      <c r="L61"/>
      <c r="M61"/>
      <c r="N61" s="58">
        <v>1.0877982043232897</v>
      </c>
      <c r="O61" s="53"/>
      <c r="P61" s="53">
        <v>117.8222017956767</v>
      </c>
      <c r="Q61" s="15">
        <v>1.0877982043232897</v>
      </c>
      <c r="R61" s="15"/>
      <c r="S61" s="15"/>
      <c r="T61" s="15"/>
      <c r="U61" s="15"/>
      <c r="V61" s="15"/>
      <c r="W61" s="15"/>
      <c r="X61" s="15"/>
      <c r="Y61" s="15"/>
    </row>
    <row r="62" spans="1:25" s="21" customFormat="1" x14ac:dyDescent="0.55000000000000004">
      <c r="A62" s="17"/>
      <c r="B62"/>
      <c r="C62"/>
      <c r="D62"/>
      <c r="E62"/>
      <c r="F62" s="49">
        <v>39052</v>
      </c>
      <c r="G62" s="92">
        <v>120.7</v>
      </c>
      <c r="H62"/>
      <c r="I62"/>
      <c r="J62"/>
      <c r="K62"/>
      <c r="L62"/>
      <c r="M62"/>
      <c r="N62" s="58">
        <v>1.1254453151428359</v>
      </c>
      <c r="O62" s="53"/>
      <c r="P62" s="53">
        <v>119.57455468485716</v>
      </c>
      <c r="Q62" s="15">
        <v>1.1254453151428359</v>
      </c>
      <c r="R62" s="15"/>
      <c r="S62" s="15"/>
      <c r="T62" s="15"/>
      <c r="U62" s="15"/>
      <c r="V62" s="15"/>
      <c r="W62" s="15"/>
      <c r="X62" s="15"/>
      <c r="Y62" s="15"/>
    </row>
    <row r="63" spans="1:25" s="21" customFormat="1" x14ac:dyDescent="0.55000000000000004">
      <c r="A63" s="17"/>
      <c r="B63"/>
      <c r="C63"/>
      <c r="D63"/>
      <c r="E63"/>
      <c r="F63" s="49">
        <v>39083</v>
      </c>
      <c r="G63" s="92">
        <v>119.93</v>
      </c>
      <c r="H63"/>
      <c r="I63"/>
      <c r="J63"/>
      <c r="K63"/>
      <c r="L63"/>
      <c r="M63"/>
      <c r="N63" s="58">
        <v>1.1575656628034618</v>
      </c>
      <c r="O63" s="53"/>
      <c r="P63" s="53">
        <v>118.77243433719654</v>
      </c>
      <c r="Q63" s="15">
        <v>1.1575656628034618</v>
      </c>
      <c r="R63" s="15"/>
      <c r="S63" s="15"/>
      <c r="T63" s="15"/>
      <c r="U63" s="15"/>
      <c r="V63" s="15"/>
      <c r="W63" s="15"/>
      <c r="X63" s="15"/>
      <c r="Y63" s="15"/>
    </row>
    <row r="64" spans="1:25" s="21" customFormat="1" x14ac:dyDescent="0.55000000000000004">
      <c r="A64" s="17"/>
      <c r="B64"/>
      <c r="C64"/>
      <c r="D64"/>
      <c r="E64"/>
      <c r="F64" s="49">
        <v>39114</v>
      </c>
      <c r="G64" s="92">
        <v>120.36</v>
      </c>
      <c r="H64"/>
      <c r="I64"/>
      <c r="J64"/>
      <c r="K64"/>
      <c r="L64"/>
      <c r="M64"/>
      <c r="N64" s="58">
        <v>1.2039982569519367</v>
      </c>
      <c r="O64" s="53"/>
      <c r="P64" s="53">
        <v>119.15600174304807</v>
      </c>
      <c r="Q64" s="15">
        <v>1.2039982569519367</v>
      </c>
      <c r="R64" s="15"/>
      <c r="S64" s="15"/>
      <c r="T64" s="15"/>
      <c r="U64" s="15"/>
      <c r="V64" s="15"/>
      <c r="W64" s="15"/>
      <c r="X64" s="15"/>
      <c r="Y64" s="15"/>
    </row>
    <row r="65" spans="1:25" s="21" customFormat="1" x14ac:dyDescent="0.55000000000000004">
      <c r="A65" s="17"/>
      <c r="B65"/>
      <c r="C65"/>
      <c r="D65"/>
      <c r="E65"/>
      <c r="F65" s="49">
        <v>39142</v>
      </c>
      <c r="G65" s="92">
        <v>119.48</v>
      </c>
      <c r="H65"/>
      <c r="I65"/>
      <c r="J65"/>
      <c r="K65"/>
      <c r="L65"/>
      <c r="M65"/>
      <c r="N65" s="58">
        <v>1.2848085980651738</v>
      </c>
      <c r="O65" s="53"/>
      <c r="P65" s="53">
        <v>118.19519140193484</v>
      </c>
      <c r="Q65" s="15">
        <v>1.2848085980651738</v>
      </c>
      <c r="R65" s="15"/>
      <c r="S65" s="15"/>
      <c r="T65" s="15"/>
      <c r="U65" s="15"/>
      <c r="V65" s="15"/>
      <c r="W65" s="15"/>
      <c r="X65" s="15"/>
      <c r="Y65" s="15"/>
    </row>
    <row r="66" spans="1:25" s="21" customFormat="1" x14ac:dyDescent="0.55000000000000004">
      <c r="A66" s="17"/>
      <c r="B66"/>
      <c r="C66"/>
      <c r="D66"/>
      <c r="E66"/>
      <c r="F66" s="49">
        <v>39173</v>
      </c>
      <c r="G66" s="92">
        <v>121.1</v>
      </c>
      <c r="H66"/>
      <c r="I66"/>
      <c r="J66"/>
      <c r="K66"/>
      <c r="L66"/>
      <c r="M66"/>
      <c r="N66" s="58">
        <v>1.4178447184545813</v>
      </c>
      <c r="O66" s="53"/>
      <c r="P66" s="53">
        <v>119.68215528154542</v>
      </c>
      <c r="Q66" s="15">
        <v>1.4178447184545813</v>
      </c>
      <c r="R66" s="15"/>
      <c r="S66" s="15"/>
      <c r="T66" s="15"/>
      <c r="U66" s="15"/>
      <c r="V66" s="15"/>
      <c r="W66" s="15"/>
      <c r="X66" s="15"/>
      <c r="Y66" s="15"/>
    </row>
    <row r="67" spans="1:25" s="21" customFormat="1" x14ac:dyDescent="0.55000000000000004">
      <c r="A67" s="17"/>
      <c r="B67"/>
      <c r="C67"/>
      <c r="D67"/>
      <c r="E67"/>
      <c r="F67" s="49">
        <v>39203</v>
      </c>
      <c r="G67" s="92">
        <v>122.21</v>
      </c>
      <c r="H67"/>
      <c r="I67"/>
      <c r="J67"/>
      <c r="K67"/>
      <c r="L67"/>
      <c r="M67"/>
      <c r="N67" s="58">
        <v>1.616324469596627</v>
      </c>
      <c r="O67" s="53"/>
      <c r="P67" s="53">
        <v>120.59367553040337</v>
      </c>
      <c r="Q67" s="15">
        <v>1.616324469596627</v>
      </c>
      <c r="R67" s="15"/>
      <c r="S67" s="15"/>
      <c r="T67" s="15"/>
      <c r="U67" s="15"/>
      <c r="V67" s="15"/>
      <c r="W67" s="15"/>
      <c r="X67" s="15"/>
      <c r="Y67" s="15"/>
    </row>
    <row r="68" spans="1:25" s="21" customFormat="1" x14ac:dyDescent="0.55000000000000004">
      <c r="A68" s="17"/>
      <c r="B68"/>
      <c r="C68"/>
      <c r="D68"/>
      <c r="E68"/>
      <c r="F68" s="49">
        <v>39234</v>
      </c>
      <c r="G68" s="92">
        <v>122.99</v>
      </c>
      <c r="H68"/>
      <c r="I68"/>
      <c r="J68"/>
      <c r="K68"/>
      <c r="L68"/>
      <c r="M68"/>
      <c r="N68" s="58">
        <v>1.8866983546963429</v>
      </c>
      <c r="O68" s="53"/>
      <c r="P68" s="53">
        <v>121.10330164530365</v>
      </c>
      <c r="Q68" s="15">
        <v>1.8866983546963429</v>
      </c>
      <c r="R68" s="15"/>
      <c r="S68" s="15"/>
      <c r="T68" s="15"/>
      <c r="U68" s="15"/>
      <c r="V68" s="15"/>
      <c r="W68" s="15"/>
      <c r="X68" s="15"/>
      <c r="Y68" s="15"/>
    </row>
    <row r="69" spans="1:25" s="21" customFormat="1" x14ac:dyDescent="0.55000000000000004">
      <c r="A69" s="17"/>
      <c r="B69"/>
      <c r="C69"/>
      <c r="D69"/>
      <c r="E69"/>
      <c r="F69" s="49">
        <v>39264</v>
      </c>
      <c r="G69" s="92">
        <v>123.81</v>
      </c>
      <c r="H69"/>
      <c r="I69"/>
      <c r="J69"/>
      <c r="K69"/>
      <c r="L69"/>
      <c r="M69"/>
      <c r="N69" s="58">
        <v>2.2270215525828672</v>
      </c>
      <c r="O69" s="53"/>
      <c r="P69" s="53">
        <v>121.58297844741713</v>
      </c>
      <c r="Q69" s="15">
        <v>2.2270215525828672</v>
      </c>
      <c r="R69" s="15"/>
      <c r="S69" s="15"/>
      <c r="T69" s="15"/>
      <c r="U69" s="15"/>
      <c r="V69" s="15"/>
      <c r="W69" s="15"/>
      <c r="X69" s="15"/>
      <c r="Y69" s="15"/>
    </row>
    <row r="70" spans="1:25" s="21" customFormat="1" x14ac:dyDescent="0.55000000000000004">
      <c r="A70" s="17"/>
      <c r="B70"/>
      <c r="C70"/>
      <c r="D70"/>
      <c r="E70"/>
      <c r="F70" s="49">
        <v>39295</v>
      </c>
      <c r="G70" s="92">
        <v>124.24</v>
      </c>
      <c r="H70"/>
      <c r="I70"/>
      <c r="J70"/>
      <c r="K70"/>
      <c r="L70"/>
      <c r="M70"/>
      <c r="N70" s="58">
        <v>2.6260345017933906</v>
      </c>
      <c r="O70" s="53"/>
      <c r="P70" s="53">
        <v>121.61396549820661</v>
      </c>
      <c r="Q70" s="15">
        <v>2.6260345017933906</v>
      </c>
      <c r="R70" s="15"/>
      <c r="S70" s="15"/>
      <c r="T70" s="15"/>
      <c r="U70" s="15"/>
      <c r="V70" s="15"/>
      <c r="W70" s="15"/>
      <c r="X70" s="15"/>
      <c r="Y70" s="15"/>
    </row>
    <row r="71" spans="1:25" s="21" customFormat="1" x14ac:dyDescent="0.55000000000000004">
      <c r="A71" s="17"/>
      <c r="B71"/>
      <c r="C71"/>
      <c r="D71"/>
      <c r="E71"/>
      <c r="F71" s="49">
        <v>39326</v>
      </c>
      <c r="G71" s="92">
        <v>125.04</v>
      </c>
      <c r="H71"/>
      <c r="I71"/>
      <c r="J71"/>
      <c r="K71"/>
      <c r="L71"/>
      <c r="M71"/>
      <c r="N71" s="58">
        <v>3.0630954426925507</v>
      </c>
      <c r="O71" s="53"/>
      <c r="P71" s="53">
        <v>121.97690455730745</v>
      </c>
      <c r="Q71" s="15">
        <v>3.0630954426925507</v>
      </c>
      <c r="R71" s="15"/>
      <c r="S71" s="15"/>
      <c r="T71" s="15"/>
      <c r="U71" s="15"/>
      <c r="V71" s="15"/>
      <c r="W71" s="15"/>
      <c r="X71" s="15"/>
      <c r="Y71" s="15"/>
    </row>
    <row r="72" spans="1:25" s="21" customFormat="1" x14ac:dyDescent="0.55000000000000004">
      <c r="A72" s="17"/>
      <c r="B72"/>
      <c r="C72"/>
      <c r="D72"/>
      <c r="E72"/>
      <c r="F72" s="49">
        <v>39356</v>
      </c>
      <c r="G72" s="92">
        <v>126.27</v>
      </c>
      <c r="H72"/>
      <c r="I72"/>
      <c r="J72"/>
      <c r="K72"/>
      <c r="L72"/>
      <c r="M72"/>
      <c r="N72" s="58">
        <v>3.5090348796744006</v>
      </c>
      <c r="O72" s="53"/>
      <c r="P72" s="53">
        <v>122.76096512032559</v>
      </c>
      <c r="Q72" s="15">
        <v>3.5090348796744006</v>
      </c>
      <c r="R72" s="15"/>
      <c r="S72" s="15"/>
      <c r="T72" s="15"/>
      <c r="U72" s="15"/>
      <c r="V72" s="15"/>
      <c r="W72" s="15"/>
      <c r="X72" s="15"/>
      <c r="Y72" s="15"/>
    </row>
    <row r="73" spans="1:25" s="21" customFormat="1" x14ac:dyDescent="0.55000000000000004">
      <c r="A73" s="17"/>
      <c r="B73"/>
      <c r="C73"/>
      <c r="D73"/>
      <c r="E73"/>
      <c r="F73" s="49">
        <v>39387</v>
      </c>
      <c r="G73" s="92">
        <v>126.23</v>
      </c>
      <c r="H73"/>
      <c r="I73"/>
      <c r="J73"/>
      <c r="K73"/>
      <c r="L73"/>
      <c r="M73"/>
      <c r="N73" s="58">
        <v>3.927917255577726</v>
      </c>
      <c r="O73" s="53"/>
      <c r="P73" s="53">
        <v>122.30208274442228</v>
      </c>
      <c r="Q73" s="15">
        <v>3.927917255577726</v>
      </c>
      <c r="R73" s="15"/>
      <c r="S73" s="15"/>
      <c r="T73" s="15"/>
      <c r="U73" s="15"/>
      <c r="V73" s="15"/>
      <c r="W73" s="15"/>
      <c r="X73" s="15"/>
      <c r="Y73" s="15"/>
    </row>
    <row r="74" spans="1:25" s="21" customFormat="1" x14ac:dyDescent="0.55000000000000004">
      <c r="A74" s="17"/>
      <c r="B74"/>
      <c r="C74"/>
      <c r="D74"/>
      <c r="E74"/>
      <c r="F74" s="49">
        <v>39417</v>
      </c>
      <c r="G74" s="92">
        <v>127.6</v>
      </c>
      <c r="H74"/>
      <c r="I74"/>
      <c r="J74"/>
      <c r="K74"/>
      <c r="L74"/>
      <c r="M74"/>
      <c r="N74" s="58">
        <v>4.2796069368480243</v>
      </c>
      <c r="O74" s="53"/>
      <c r="P74" s="53">
        <v>123.32039306315197</v>
      </c>
      <c r="Q74" s="15">
        <v>4.2796069368480243</v>
      </c>
      <c r="R74" s="15"/>
      <c r="S74" s="15"/>
      <c r="T74" s="15"/>
      <c r="U74" s="15"/>
      <c r="V74" s="15"/>
      <c r="W74" s="15"/>
      <c r="X74" s="15"/>
      <c r="Y74" s="15"/>
    </row>
    <row r="75" spans="1:25" s="21" customFormat="1" x14ac:dyDescent="0.55000000000000004">
      <c r="A75" s="17"/>
      <c r="B75"/>
      <c r="C75"/>
      <c r="D75"/>
      <c r="E75"/>
      <c r="F75" s="49">
        <v>39448</v>
      </c>
      <c r="G75" s="92">
        <v>127.44</v>
      </c>
      <c r="H75"/>
      <c r="I75"/>
      <c r="J75"/>
      <c r="K75"/>
      <c r="L75"/>
      <c r="M75"/>
      <c r="N75" s="58">
        <v>4.5229523763262653</v>
      </c>
      <c r="O75" s="53"/>
      <c r="P75" s="53">
        <v>122.91704762367374</v>
      </c>
      <c r="Q75" s="15">
        <v>4.5229523763262653</v>
      </c>
      <c r="R75" s="15"/>
      <c r="S75" s="15"/>
      <c r="T75" s="15"/>
      <c r="U75" s="15"/>
      <c r="V75" s="15"/>
      <c r="W75" s="15"/>
      <c r="X75" s="15"/>
      <c r="Y75" s="15"/>
    </row>
    <row r="76" spans="1:25" s="21" customFormat="1" x14ac:dyDescent="0.55000000000000004">
      <c r="A76" s="17"/>
      <c r="B76"/>
      <c r="C76"/>
      <c r="D76"/>
      <c r="E76"/>
      <c r="F76" s="49">
        <v>39479</v>
      </c>
      <c r="G76" s="92">
        <v>127.11</v>
      </c>
      <c r="H76"/>
      <c r="I76"/>
      <c r="J76"/>
      <c r="K76"/>
      <c r="L76"/>
      <c r="M76"/>
      <c r="N76" s="58">
        <v>4.6193324890658287</v>
      </c>
      <c r="O76" s="53"/>
      <c r="P76" s="53">
        <v>122.49066751093417</v>
      </c>
      <c r="Q76" s="15">
        <v>4.6193324890658287</v>
      </c>
      <c r="R76" s="15"/>
      <c r="S76" s="15"/>
      <c r="T76" s="15"/>
      <c r="U76" s="15"/>
      <c r="V76" s="15"/>
      <c r="W76" s="15"/>
      <c r="X76" s="15"/>
      <c r="Y76" s="15"/>
    </row>
    <row r="77" spans="1:25" s="21" customFormat="1" x14ac:dyDescent="0.55000000000000004">
      <c r="A77" s="17"/>
      <c r="B77"/>
      <c r="C77"/>
      <c r="D77"/>
      <c r="E77"/>
      <c r="F77" s="49">
        <v>39508</v>
      </c>
      <c r="G77" s="92">
        <v>126.39</v>
      </c>
      <c r="H77"/>
      <c r="I77"/>
      <c r="J77"/>
      <c r="K77"/>
      <c r="L77"/>
      <c r="M77"/>
      <c r="N77" s="58">
        <v>4.5362603760412181</v>
      </c>
      <c r="O77" s="53"/>
      <c r="P77" s="53">
        <v>121.85373962395879</v>
      </c>
      <c r="Q77" s="15">
        <v>4.5362603760412181</v>
      </c>
      <c r="R77" s="15"/>
      <c r="S77" s="15"/>
      <c r="T77" s="15"/>
      <c r="U77" s="15"/>
      <c r="V77" s="15"/>
      <c r="W77" s="15"/>
      <c r="X77" s="15"/>
      <c r="Y77" s="15"/>
    </row>
    <row r="78" spans="1:25" s="21" customFormat="1" x14ac:dyDescent="0.55000000000000004">
      <c r="A78" s="17"/>
      <c r="B78"/>
      <c r="C78"/>
      <c r="D78"/>
      <c r="E78"/>
      <c r="F78" s="49">
        <v>39539</v>
      </c>
      <c r="G78" s="92">
        <v>128.02000000000001</v>
      </c>
      <c r="H78"/>
      <c r="I78"/>
      <c r="J78"/>
      <c r="K78"/>
      <c r="L78"/>
      <c r="M78"/>
      <c r="N78" s="58">
        <v>4.2507173754397289</v>
      </c>
      <c r="O78" s="53"/>
      <c r="P78" s="53">
        <v>123.76928262456028</v>
      </c>
      <c r="Q78" s="15">
        <v>4.2507173754397289</v>
      </c>
      <c r="R78" s="15"/>
      <c r="S78" s="15"/>
      <c r="T78" s="15"/>
      <c r="U78" s="15"/>
      <c r="V78" s="15"/>
      <c r="W78" s="15"/>
      <c r="X78" s="15"/>
      <c r="Y78" s="15"/>
    </row>
    <row r="79" spans="1:25" s="21" customFormat="1" x14ac:dyDescent="0.55000000000000004">
      <c r="A79" s="17"/>
      <c r="B79"/>
      <c r="C79"/>
      <c r="D79"/>
      <c r="E79"/>
      <c r="F79" s="49">
        <v>39569</v>
      </c>
      <c r="G79" s="92">
        <v>129.38999999999999</v>
      </c>
      <c r="H79"/>
      <c r="I79"/>
      <c r="J79"/>
      <c r="K79"/>
      <c r="L79"/>
      <c r="M79"/>
      <c r="N79" s="58">
        <v>3.7518984391005699</v>
      </c>
      <c r="O79" s="53"/>
      <c r="P79" s="53">
        <v>125.63810156089941</v>
      </c>
      <c r="Q79" s="15">
        <v>3.7518984391005699</v>
      </c>
      <c r="R79" s="15"/>
      <c r="S79" s="15"/>
      <c r="T79" s="15"/>
      <c r="U79" s="15"/>
      <c r="V79" s="15"/>
      <c r="W79" s="15"/>
      <c r="X79" s="15"/>
      <c r="Y79" s="15"/>
    </row>
    <row r="80" spans="1:25" s="21" customFormat="1" x14ac:dyDescent="0.55000000000000004">
      <c r="A80" s="17"/>
      <c r="B80"/>
      <c r="C80"/>
      <c r="D80"/>
      <c r="E80"/>
      <c r="F80" s="49">
        <v>39600</v>
      </c>
      <c r="G80" s="92">
        <v>130.47999999999999</v>
      </c>
      <c r="H80"/>
      <c r="I80"/>
      <c r="J80"/>
      <c r="K80"/>
      <c r="L80"/>
      <c r="M80"/>
      <c r="N80" s="58">
        <v>3.0430886083852187</v>
      </c>
      <c r="O80" s="53"/>
      <c r="P80" s="53">
        <v>127.43691139161477</v>
      </c>
      <c r="Q80" s="15">
        <v>3.0430886083852187</v>
      </c>
      <c r="R80" s="15"/>
      <c r="S80" s="15"/>
      <c r="T80" s="15"/>
      <c r="U80" s="15"/>
      <c r="V80" s="15"/>
      <c r="W80" s="15"/>
      <c r="X80" s="15"/>
      <c r="Y80" s="15"/>
    </row>
    <row r="81" spans="1:25" s="21" customFormat="1" x14ac:dyDescent="0.55000000000000004">
      <c r="A81" s="17"/>
      <c r="B81"/>
      <c r="C81"/>
      <c r="D81"/>
      <c r="E81"/>
      <c r="F81" s="49">
        <v>39630</v>
      </c>
      <c r="G81" s="92">
        <v>130.53</v>
      </c>
      <c r="H81"/>
      <c r="I81"/>
      <c r="J81"/>
      <c r="K81"/>
      <c r="L81"/>
      <c r="M81"/>
      <c r="N81" s="58">
        <v>2.1424574604704114</v>
      </c>
      <c r="O81" s="53"/>
      <c r="P81" s="53">
        <v>128.38754253952959</v>
      </c>
      <c r="Q81" s="15">
        <v>2.1424574604704114</v>
      </c>
      <c r="R81" s="15"/>
      <c r="S81" s="15"/>
      <c r="T81" s="15"/>
      <c r="U81" s="15"/>
      <c r="V81" s="15"/>
      <c r="W81" s="15"/>
      <c r="X81" s="15"/>
      <c r="Y81" s="15"/>
    </row>
    <row r="82" spans="1:25" s="21" customFormat="1" x14ac:dyDescent="0.55000000000000004">
      <c r="A82" s="17"/>
      <c r="B82"/>
      <c r="C82"/>
      <c r="D82"/>
      <c r="E82"/>
      <c r="F82" s="49">
        <v>39661</v>
      </c>
      <c r="G82" s="92">
        <v>131.08000000000001</v>
      </c>
      <c r="H82"/>
      <c r="I82"/>
      <c r="J82"/>
      <c r="K82"/>
      <c r="L82"/>
      <c r="M82"/>
      <c r="N82" s="58">
        <v>1.0826484696624923</v>
      </c>
      <c r="O82" s="53"/>
      <c r="P82" s="53">
        <v>129.99735153033751</v>
      </c>
      <c r="Q82" s="15">
        <v>1.0826484696624923</v>
      </c>
      <c r="R82" s="15"/>
      <c r="S82" s="15"/>
      <c r="T82" s="15"/>
      <c r="U82" s="15"/>
      <c r="V82" s="15"/>
      <c r="W82" s="15"/>
      <c r="X82" s="15"/>
      <c r="Y82" s="15"/>
    </row>
    <row r="83" spans="1:25" s="21" customFormat="1" x14ac:dyDescent="0.55000000000000004">
      <c r="A83" s="17"/>
      <c r="B83"/>
      <c r="C83"/>
      <c r="D83"/>
      <c r="E83"/>
      <c r="F83" s="49">
        <v>39692</v>
      </c>
      <c r="G83" s="92">
        <v>130.53</v>
      </c>
      <c r="H83"/>
      <c r="I83"/>
      <c r="J83"/>
      <c r="K83"/>
      <c r="L83"/>
      <c r="M83"/>
      <c r="N83" s="58">
        <v>-9.0854545067860615E-2</v>
      </c>
      <c r="O83" s="53"/>
      <c r="P83" s="53">
        <v>130.62085454506786</v>
      </c>
      <c r="Q83" s="15">
        <v>-9.0854545067860615E-2</v>
      </c>
      <c r="R83" s="15"/>
      <c r="S83" s="15"/>
      <c r="T83" s="15"/>
      <c r="U83" s="15"/>
      <c r="V83" s="15"/>
      <c r="W83" s="15"/>
      <c r="X83" s="15"/>
      <c r="Y83" s="15"/>
    </row>
    <row r="84" spans="1:25" s="21" customFormat="1" x14ac:dyDescent="0.55000000000000004">
      <c r="A84" s="17"/>
      <c r="B84"/>
      <c r="C84"/>
      <c r="D84"/>
      <c r="E84"/>
      <c r="F84" s="49">
        <v>39722</v>
      </c>
      <c r="G84" s="92">
        <v>128.13</v>
      </c>
      <c r="H84"/>
      <c r="I84"/>
      <c r="J84"/>
      <c r="K84"/>
      <c r="L84"/>
      <c r="M84"/>
      <c r="N84" s="58">
        <v>-1.3224909460233252</v>
      </c>
      <c r="O84" s="53"/>
      <c r="P84" s="53">
        <v>129.45249094602332</v>
      </c>
      <c r="Q84" s="15">
        <v>-1.3224909460233252</v>
      </c>
      <c r="R84" s="15"/>
      <c r="S84" s="15"/>
      <c r="T84" s="15"/>
      <c r="U84" s="15"/>
      <c r="V84" s="15"/>
      <c r="W84" s="15"/>
      <c r="X84" s="15"/>
      <c r="Y84" s="15"/>
    </row>
    <row r="85" spans="1:25" s="21" customFormat="1" x14ac:dyDescent="0.55000000000000004">
      <c r="A85" s="17"/>
      <c r="B85"/>
      <c r="C85"/>
      <c r="D85"/>
      <c r="E85"/>
      <c r="F85" s="49">
        <v>39753</v>
      </c>
      <c r="G85" s="92">
        <v>125.02</v>
      </c>
      <c r="H85"/>
      <c r="I85"/>
      <c r="J85"/>
      <c r="K85"/>
      <c r="L85"/>
      <c r="M85"/>
      <c r="N85" s="58">
        <v>-2.5503180184053793</v>
      </c>
      <c r="O85" s="53"/>
      <c r="P85" s="53">
        <v>127.57031801840537</v>
      </c>
      <c r="Q85" s="15">
        <v>-2.5503180184053793</v>
      </c>
      <c r="R85" s="15"/>
      <c r="S85" s="15"/>
      <c r="T85" s="15"/>
      <c r="U85" s="15"/>
      <c r="V85" s="15"/>
      <c r="W85" s="15"/>
      <c r="X85" s="15"/>
      <c r="Y85" s="15"/>
    </row>
    <row r="86" spans="1:25" s="21" customFormat="1" x14ac:dyDescent="0.55000000000000004">
      <c r="A86" s="17"/>
      <c r="B86"/>
      <c r="C86"/>
      <c r="D86"/>
      <c r="E86"/>
      <c r="F86" s="49">
        <v>39783</v>
      </c>
      <c r="G86" s="92">
        <v>121.66</v>
      </c>
      <c r="H86"/>
      <c r="I86"/>
      <c r="J86"/>
      <c r="K86"/>
      <c r="L86"/>
      <c r="M86"/>
      <c r="N86" s="58">
        <v>-3.7103476565788873</v>
      </c>
      <c r="O86" s="53"/>
      <c r="P86" s="53">
        <v>125.37034765657889</v>
      </c>
      <c r="Q86" s="15">
        <v>-3.7103476565788873</v>
      </c>
      <c r="R86" s="15"/>
      <c r="S86" s="15"/>
      <c r="T86" s="15"/>
      <c r="U86" s="15"/>
      <c r="V86" s="15"/>
      <c r="W86" s="15"/>
      <c r="X86" s="15"/>
      <c r="Y86" s="15"/>
    </row>
    <row r="87" spans="1:25" s="21" customFormat="1" x14ac:dyDescent="0.55000000000000004">
      <c r="A87" s="17"/>
      <c r="B87"/>
      <c r="C87"/>
      <c r="D87"/>
      <c r="E87"/>
      <c r="F87" s="49">
        <v>39814</v>
      </c>
      <c r="G87" s="92">
        <v>121.23</v>
      </c>
      <c r="H87"/>
      <c r="I87"/>
      <c r="J87"/>
      <c r="K87"/>
      <c r="L87"/>
      <c r="M87"/>
      <c r="N87" s="58">
        <v>-4.7411696808171184</v>
      </c>
      <c r="O87" s="53"/>
      <c r="P87" s="53">
        <v>125.97116968081713</v>
      </c>
      <c r="Q87" s="15">
        <v>-4.7411696808171184</v>
      </c>
      <c r="R87" s="15"/>
      <c r="S87" s="15"/>
      <c r="T87" s="15"/>
      <c r="U87" s="15"/>
      <c r="V87" s="15"/>
      <c r="W87" s="15"/>
      <c r="X87" s="15"/>
      <c r="Y87" s="15"/>
    </row>
    <row r="88" spans="1:25" s="21" customFormat="1" x14ac:dyDescent="0.55000000000000004">
      <c r="A88" s="17"/>
      <c r="B88"/>
      <c r="C88"/>
      <c r="D88"/>
      <c r="E88"/>
      <c r="F88" s="49">
        <v>39845</v>
      </c>
      <c r="G88" s="92">
        <v>122.4</v>
      </c>
      <c r="H88"/>
      <c r="I88"/>
      <c r="J88"/>
      <c r="K88"/>
      <c r="L88"/>
      <c r="M88"/>
      <c r="N88" s="58">
        <v>-5.5884719196719512</v>
      </c>
      <c r="O88" s="53"/>
      <c r="P88" s="53">
        <v>127.98847191967195</v>
      </c>
      <c r="Q88" s="15">
        <v>-5.5884719196719512</v>
      </c>
      <c r="R88" s="15"/>
      <c r="S88" s="15"/>
      <c r="T88" s="15"/>
      <c r="U88" s="15"/>
      <c r="V88" s="15"/>
      <c r="W88" s="15"/>
      <c r="X88" s="15"/>
      <c r="Y88" s="15"/>
    </row>
    <row r="89" spans="1:25" s="21" customFormat="1" x14ac:dyDescent="0.55000000000000004">
      <c r="A89" s="17"/>
      <c r="B89"/>
      <c r="C89"/>
      <c r="D89"/>
      <c r="E89"/>
      <c r="F89" s="49">
        <v>39873</v>
      </c>
      <c r="G89" s="92">
        <v>122.96</v>
      </c>
      <c r="H89"/>
      <c r="I89"/>
      <c r="J89"/>
      <c r="K89"/>
      <c r="L89"/>
      <c r="M89"/>
      <c r="N89" s="58">
        <v>-6.2090682466266589</v>
      </c>
      <c r="O89" s="53"/>
      <c r="P89" s="53">
        <v>129.16906824662667</v>
      </c>
      <c r="Q89" s="15">
        <v>-6.2090682466266589</v>
      </c>
      <c r="R89" s="15"/>
      <c r="S89" s="15"/>
      <c r="T89" s="15"/>
      <c r="U89" s="15"/>
      <c r="V89" s="15"/>
      <c r="W89" s="15"/>
      <c r="X89" s="15"/>
      <c r="Y89" s="15"/>
    </row>
    <row r="90" spans="1:25" s="21" customFormat="1" x14ac:dyDescent="0.55000000000000004">
      <c r="A90" s="17"/>
      <c r="B90"/>
      <c r="C90"/>
      <c r="D90"/>
      <c r="E90"/>
      <c r="F90" s="49">
        <v>39904</v>
      </c>
      <c r="G90" s="92">
        <v>123.53</v>
      </c>
      <c r="H90"/>
      <c r="I90"/>
      <c r="J90"/>
      <c r="K90"/>
      <c r="L90"/>
      <c r="M90"/>
      <c r="N90" s="58">
        <v>-6.574083127462762</v>
      </c>
      <c r="O90" s="53"/>
      <c r="P90" s="53">
        <v>130.10408312746276</v>
      </c>
      <c r="Q90" s="15">
        <v>-6.574083127462762</v>
      </c>
      <c r="R90" s="15"/>
      <c r="S90" s="15"/>
      <c r="T90" s="15"/>
      <c r="U90" s="15"/>
      <c r="V90" s="15"/>
      <c r="W90" s="15"/>
      <c r="X90" s="15"/>
      <c r="Y90" s="15"/>
    </row>
    <row r="91" spans="1:25" s="21" customFormat="1" x14ac:dyDescent="0.55000000000000004">
      <c r="A91" s="17"/>
      <c r="B91"/>
      <c r="C91"/>
      <c r="D91"/>
      <c r="E91"/>
      <c r="F91" s="49">
        <v>39934</v>
      </c>
      <c r="G91" s="92">
        <v>124.81</v>
      </c>
      <c r="H91"/>
      <c r="I91"/>
      <c r="J91"/>
      <c r="K91"/>
      <c r="L91"/>
      <c r="M91"/>
      <c r="N91" s="58">
        <v>-6.6710120682553882</v>
      </c>
      <c r="O91" s="53"/>
      <c r="P91" s="53">
        <v>131.48101206825538</v>
      </c>
      <c r="Q91" s="15">
        <v>-6.6710120682553882</v>
      </c>
      <c r="R91" s="15"/>
      <c r="S91" s="15"/>
      <c r="T91" s="15"/>
      <c r="U91" s="15"/>
      <c r="V91" s="15"/>
      <c r="W91" s="15"/>
      <c r="X91" s="15"/>
      <c r="Y91" s="15"/>
    </row>
    <row r="92" spans="1:25" s="21" customFormat="1" x14ac:dyDescent="0.55000000000000004">
      <c r="A92" s="17"/>
      <c r="B92"/>
      <c r="C92"/>
      <c r="D92"/>
      <c r="E92"/>
      <c r="F92" s="49">
        <v>39965</v>
      </c>
      <c r="G92" s="92">
        <v>125.44</v>
      </c>
      <c r="H92"/>
      <c r="I92"/>
      <c r="J92"/>
      <c r="K92"/>
      <c r="L92"/>
      <c r="M92"/>
      <c r="N92" s="58">
        <v>-6.5044754487422924</v>
      </c>
      <c r="O92" s="53"/>
      <c r="P92" s="53">
        <v>131.94447544874228</v>
      </c>
      <c r="Q92" s="15">
        <v>-6.5044754487422924</v>
      </c>
      <c r="R92" s="15"/>
      <c r="S92" s="15"/>
      <c r="T92" s="15"/>
      <c r="U92" s="15"/>
      <c r="V92" s="15"/>
      <c r="W92" s="15"/>
      <c r="X92" s="15"/>
      <c r="Y92" s="15"/>
    </row>
    <row r="93" spans="1:25" s="21" customFormat="1" x14ac:dyDescent="0.55000000000000004">
      <c r="A93" s="17"/>
      <c r="B93"/>
      <c r="C93"/>
      <c r="D93"/>
      <c r="E93"/>
      <c r="F93" s="49">
        <v>39995</v>
      </c>
      <c r="G93" s="92">
        <v>125.84</v>
      </c>
      <c r="H93"/>
      <c r="I93"/>
      <c r="J93"/>
      <c r="K93"/>
      <c r="L93"/>
      <c r="M93"/>
      <c r="N93" s="58">
        <v>-6.0955995725228549</v>
      </c>
      <c r="O93" s="53"/>
      <c r="P93" s="53">
        <v>131.93559957252285</v>
      </c>
      <c r="Q93" s="15">
        <v>-6.0955995725228549</v>
      </c>
      <c r="R93" s="15"/>
      <c r="S93" s="15"/>
      <c r="T93" s="15"/>
      <c r="U93" s="15"/>
      <c r="V93" s="15"/>
      <c r="W93" s="15"/>
      <c r="X93" s="15"/>
      <c r="Y93" s="15"/>
    </row>
    <row r="94" spans="1:25" s="21" customFormat="1" x14ac:dyDescent="0.55000000000000004">
      <c r="A94" s="17"/>
      <c r="B94"/>
      <c r="C94"/>
      <c r="D94"/>
      <c r="E94"/>
      <c r="F94" s="49">
        <v>40026</v>
      </c>
      <c r="G94" s="92">
        <v>128.07</v>
      </c>
      <c r="H94"/>
      <c r="I94"/>
      <c r="J94"/>
      <c r="K94"/>
      <c r="L94"/>
      <c r="M94"/>
      <c r="N94" s="58">
        <v>-5.4800823993846297</v>
      </c>
      <c r="O94" s="53"/>
      <c r="P94" s="53">
        <v>133.55008239938462</v>
      </c>
      <c r="Q94" s="15">
        <v>-5.4800823993846297</v>
      </c>
      <c r="R94" s="15"/>
      <c r="S94" s="15"/>
      <c r="T94" s="15"/>
      <c r="U94" s="15"/>
      <c r="V94" s="15"/>
      <c r="W94" s="15"/>
      <c r="X94" s="15"/>
      <c r="Y94" s="15"/>
    </row>
    <row r="95" spans="1:25" s="21" customFormat="1" x14ac:dyDescent="0.55000000000000004">
      <c r="A95" s="17"/>
      <c r="B95"/>
      <c r="C95"/>
      <c r="D95"/>
      <c r="E95"/>
      <c r="F95" s="49">
        <v>40057</v>
      </c>
      <c r="G95" s="92">
        <v>128.88999999999999</v>
      </c>
      <c r="H95"/>
      <c r="I95"/>
      <c r="J95"/>
      <c r="K95"/>
      <c r="L95"/>
      <c r="M95"/>
      <c r="N95" s="58">
        <v>-4.7051204936234567</v>
      </c>
      <c r="O95" s="53"/>
      <c r="P95" s="53">
        <v>133.59512049362345</v>
      </c>
      <c r="Q95" s="15">
        <v>-4.7051204936234567</v>
      </c>
      <c r="R95" s="15"/>
      <c r="S95" s="15"/>
      <c r="T95" s="15"/>
      <c r="U95" s="15"/>
      <c r="V95" s="15"/>
      <c r="W95" s="15"/>
      <c r="X95" s="15"/>
      <c r="Y95" s="15"/>
    </row>
    <row r="96" spans="1:25" s="21" customFormat="1" x14ac:dyDescent="0.55000000000000004">
      <c r="A96" s="17"/>
      <c r="B96"/>
      <c r="C96"/>
      <c r="D96"/>
      <c r="E96"/>
      <c r="F96" s="49">
        <v>40087</v>
      </c>
      <c r="G96" s="92">
        <v>129.97</v>
      </c>
      <c r="H96"/>
      <c r="I96"/>
      <c r="J96"/>
      <c r="K96"/>
      <c r="L96"/>
      <c r="M96"/>
      <c r="N96" s="58">
        <v>-3.8254766647037055</v>
      </c>
      <c r="O96" s="53"/>
      <c r="P96" s="53">
        <v>133.7954766647037</v>
      </c>
      <c r="Q96" s="15">
        <v>-3.8254766647037055</v>
      </c>
      <c r="R96" s="15"/>
      <c r="S96" s="15"/>
      <c r="T96" s="15"/>
      <c r="U96" s="15"/>
      <c r="V96" s="15"/>
      <c r="W96" s="15"/>
      <c r="X96" s="15"/>
      <c r="Y96" s="15"/>
    </row>
    <row r="97" spans="1:25" s="21" customFormat="1" x14ac:dyDescent="0.55000000000000004">
      <c r="A97" s="17"/>
      <c r="B97"/>
      <c r="C97"/>
      <c r="D97"/>
      <c r="E97"/>
      <c r="F97" s="49">
        <v>40118</v>
      </c>
      <c r="G97" s="92">
        <v>130.07</v>
      </c>
      <c r="H97"/>
      <c r="I97"/>
      <c r="J97"/>
      <c r="K97"/>
      <c r="L97"/>
      <c r="M97"/>
      <c r="N97" s="58">
        <v>-2.8990444943668887</v>
      </c>
      <c r="O97" s="53"/>
      <c r="P97" s="53">
        <v>132.96904449436687</v>
      </c>
      <c r="Q97" s="15">
        <v>-2.8990444943668887</v>
      </c>
      <c r="R97" s="15"/>
      <c r="S97" s="15"/>
      <c r="T97" s="15"/>
      <c r="U97" s="15"/>
      <c r="V97" s="15"/>
      <c r="W97" s="15"/>
      <c r="X97" s="15"/>
      <c r="Y97" s="15"/>
    </row>
    <row r="98" spans="1:25" s="21" customFormat="1" x14ac:dyDescent="0.55000000000000004">
      <c r="A98" s="17"/>
      <c r="B98"/>
      <c r="C98"/>
      <c r="D98"/>
      <c r="E98"/>
      <c r="F98" s="49">
        <v>40148</v>
      </c>
      <c r="G98" s="92">
        <v>132.08000000000001</v>
      </c>
      <c r="H98"/>
      <c r="I98"/>
      <c r="J98"/>
      <c r="K98"/>
      <c r="L98"/>
      <c r="M98"/>
      <c r="N98" s="58">
        <v>-1.9823088410503316</v>
      </c>
      <c r="O98" s="53"/>
      <c r="P98" s="53">
        <v>134.06230884105034</v>
      </c>
      <c r="Q98" s="15">
        <v>-1.9823088410503316</v>
      </c>
      <c r="R98" s="15"/>
      <c r="S98" s="15"/>
      <c r="T98" s="15"/>
      <c r="U98" s="15"/>
      <c r="V98" s="15"/>
      <c r="W98" s="15"/>
      <c r="X98" s="15"/>
      <c r="Y98" s="15"/>
    </row>
    <row r="99" spans="1:25" s="21" customFormat="1" x14ac:dyDescent="0.55000000000000004">
      <c r="A99" s="17"/>
      <c r="B99"/>
      <c r="C99"/>
      <c r="D99"/>
      <c r="E99"/>
      <c r="F99" s="49">
        <v>40179</v>
      </c>
      <c r="G99" s="92">
        <v>133.88</v>
      </c>
      <c r="H99"/>
      <c r="I99"/>
      <c r="J99"/>
      <c r="K99"/>
      <c r="L99"/>
      <c r="M99"/>
      <c r="N99" s="58">
        <v>-1.1261061933898495</v>
      </c>
      <c r="O99" s="53"/>
      <c r="P99" s="53">
        <v>135.00610619338985</v>
      </c>
      <c r="Q99" s="15">
        <v>-1.1261061933898495</v>
      </c>
      <c r="R99" s="15"/>
      <c r="S99" s="15"/>
      <c r="T99" s="15"/>
      <c r="U99" s="15"/>
      <c r="V99" s="15"/>
      <c r="W99" s="15"/>
      <c r="X99" s="15"/>
      <c r="Y99" s="15"/>
    </row>
    <row r="100" spans="1:25" s="21" customFormat="1" x14ac:dyDescent="0.55000000000000004">
      <c r="A100" s="17"/>
      <c r="B100"/>
      <c r="C100"/>
      <c r="D100"/>
      <c r="E100"/>
      <c r="F100" s="49">
        <v>40210</v>
      </c>
      <c r="G100" s="92">
        <v>135.35</v>
      </c>
      <c r="H100"/>
      <c r="I100"/>
      <c r="J100"/>
      <c r="K100"/>
      <c r="L100"/>
      <c r="M100"/>
      <c r="N100" s="58">
        <v>-0.37205488723376512</v>
      </c>
      <c r="O100" s="53"/>
      <c r="P100" s="53">
        <v>135.72205488723375</v>
      </c>
      <c r="Q100" s="15">
        <v>-0.37205488723376512</v>
      </c>
      <c r="R100" s="15"/>
      <c r="S100" s="15"/>
      <c r="T100" s="15"/>
      <c r="U100" s="15"/>
      <c r="V100" s="15"/>
      <c r="W100" s="15"/>
      <c r="X100" s="15"/>
      <c r="Y100" s="15"/>
    </row>
    <row r="101" spans="1:25" s="21" customFormat="1" x14ac:dyDescent="0.55000000000000004">
      <c r="A101" s="17"/>
      <c r="B101"/>
      <c r="C101"/>
      <c r="D101"/>
      <c r="E101"/>
      <c r="F101" s="49">
        <v>40238</v>
      </c>
      <c r="G101" s="92">
        <v>136.52000000000001</v>
      </c>
      <c r="H101"/>
      <c r="I101"/>
      <c r="J101"/>
      <c r="K101"/>
      <c r="L101"/>
      <c r="M101"/>
      <c r="N101" s="58">
        <v>0.25004395640744392</v>
      </c>
      <c r="O101" s="53"/>
      <c r="P101" s="53">
        <v>136.26995604359257</v>
      </c>
      <c r="Q101" s="15">
        <v>0.25004395640744392</v>
      </c>
      <c r="R101" s="15"/>
      <c r="S101" s="15"/>
      <c r="T101" s="15"/>
      <c r="U101" s="15"/>
      <c r="V101" s="15"/>
      <c r="W101" s="15"/>
      <c r="X101" s="15"/>
      <c r="Y101" s="15"/>
    </row>
    <row r="102" spans="1:25" s="21" customFormat="1" x14ac:dyDescent="0.55000000000000004">
      <c r="A102" s="17"/>
      <c r="B102"/>
      <c r="C102"/>
      <c r="D102"/>
      <c r="E102"/>
      <c r="F102" s="49">
        <v>40269</v>
      </c>
      <c r="G102" s="92">
        <v>137.13</v>
      </c>
      <c r="H102"/>
      <c r="I102"/>
      <c r="J102"/>
      <c r="K102"/>
      <c r="L102"/>
      <c r="M102"/>
      <c r="N102" s="58">
        <v>0.72363148055511961</v>
      </c>
      <c r="O102" s="53"/>
      <c r="P102" s="53">
        <v>136.40636851944487</v>
      </c>
      <c r="Q102" s="15">
        <v>0.72363148055511961</v>
      </c>
      <c r="R102" s="15"/>
      <c r="S102" s="15"/>
      <c r="T102" s="15"/>
      <c r="U102" s="15"/>
      <c r="V102" s="15"/>
      <c r="W102" s="15"/>
      <c r="X102" s="15"/>
      <c r="Y102" s="15"/>
    </row>
    <row r="103" spans="1:25" s="21" customFormat="1" x14ac:dyDescent="0.55000000000000004">
      <c r="A103" s="17"/>
      <c r="B103"/>
      <c r="C103"/>
      <c r="D103"/>
      <c r="E103"/>
      <c r="F103" s="49">
        <v>40299</v>
      </c>
      <c r="G103" s="92">
        <v>136.21</v>
      </c>
      <c r="H103"/>
      <c r="I103"/>
      <c r="J103"/>
      <c r="K103"/>
      <c r="L103"/>
      <c r="M103"/>
      <c r="N103" s="58">
        <v>1.0455550455089968</v>
      </c>
      <c r="O103" s="53"/>
      <c r="P103" s="53">
        <v>135.16444495449102</v>
      </c>
      <c r="Q103" s="15">
        <v>1.0455550455089968</v>
      </c>
      <c r="R103" s="15"/>
      <c r="S103" s="15"/>
      <c r="T103" s="15"/>
      <c r="U103" s="15"/>
      <c r="V103" s="15"/>
      <c r="W103" s="15"/>
      <c r="X103" s="15"/>
      <c r="Y103" s="15"/>
    </row>
    <row r="104" spans="1:25" s="21" customFormat="1" x14ac:dyDescent="0.55000000000000004">
      <c r="A104" s="17"/>
      <c r="B104"/>
      <c r="C104"/>
      <c r="D104"/>
      <c r="E104"/>
      <c r="F104" s="49">
        <v>40330</v>
      </c>
      <c r="G104" s="92">
        <v>135.88999999999999</v>
      </c>
      <c r="H104"/>
      <c r="I104"/>
      <c r="J104"/>
      <c r="K104"/>
      <c r="L104"/>
      <c r="M104"/>
      <c r="N104" s="58">
        <v>1.2250071982694433</v>
      </c>
      <c r="O104" s="53"/>
      <c r="P104" s="53">
        <v>134.66499280173053</v>
      </c>
      <c r="Q104" s="15">
        <v>1.2250071982694433</v>
      </c>
      <c r="R104" s="15"/>
      <c r="S104" s="15"/>
      <c r="T104" s="15"/>
      <c r="U104" s="15"/>
      <c r="V104" s="15"/>
      <c r="W104" s="15"/>
      <c r="X104" s="15"/>
      <c r="Y104" s="15"/>
    </row>
    <row r="105" spans="1:25" s="21" customFormat="1" x14ac:dyDescent="0.55000000000000004">
      <c r="A105" s="17"/>
      <c r="B105"/>
      <c r="C105"/>
      <c r="D105"/>
      <c r="E105"/>
      <c r="F105" s="49">
        <v>40360</v>
      </c>
      <c r="G105" s="92">
        <v>136.72</v>
      </c>
      <c r="H105"/>
      <c r="I105"/>
      <c r="J105"/>
      <c r="K105"/>
      <c r="L105"/>
      <c r="M105"/>
      <c r="N105" s="58">
        <v>1.2813935895581423</v>
      </c>
      <c r="O105" s="53"/>
      <c r="P105" s="53">
        <v>135.43860641044185</v>
      </c>
      <c r="Q105" s="15">
        <v>1.2813935895581423</v>
      </c>
      <c r="R105" s="15"/>
      <c r="S105" s="15"/>
      <c r="T105" s="15"/>
      <c r="U105" s="15"/>
      <c r="V105" s="15"/>
      <c r="W105" s="15"/>
      <c r="X105" s="15"/>
      <c r="Y105" s="15"/>
    </row>
    <row r="106" spans="1:25" s="21" customFormat="1" x14ac:dyDescent="0.55000000000000004">
      <c r="A106" s="17"/>
      <c r="B106"/>
      <c r="C106"/>
      <c r="D106"/>
      <c r="E106"/>
      <c r="F106" s="49">
        <v>40391</v>
      </c>
      <c r="G106" s="92">
        <v>137.71</v>
      </c>
      <c r="H106"/>
      <c r="I106"/>
      <c r="J106"/>
      <c r="K106"/>
      <c r="L106"/>
      <c r="M106"/>
      <c r="N106" s="58">
        <v>1.2413844139291315</v>
      </c>
      <c r="O106" s="53"/>
      <c r="P106" s="53">
        <v>136.46861558607088</v>
      </c>
      <c r="Q106" s="15">
        <v>1.2413844139291315</v>
      </c>
      <c r="R106" s="15"/>
      <c r="S106" s="15"/>
      <c r="T106" s="15"/>
      <c r="U106" s="15"/>
      <c r="V106" s="15"/>
      <c r="W106" s="15"/>
      <c r="X106" s="15"/>
      <c r="Y106" s="15"/>
    </row>
    <row r="107" spans="1:25" s="21" customFormat="1" x14ac:dyDescent="0.55000000000000004">
      <c r="A107" s="17"/>
      <c r="B107"/>
      <c r="C107"/>
      <c r="D107"/>
      <c r="E107"/>
      <c r="F107" s="49">
        <v>40422</v>
      </c>
      <c r="G107" s="92">
        <v>138.85</v>
      </c>
      <c r="H107"/>
      <c r="I107"/>
      <c r="J107"/>
      <c r="K107"/>
      <c r="L107"/>
      <c r="M107"/>
      <c r="N107" s="58">
        <v>1.135477398701128</v>
      </c>
      <c r="O107" s="53"/>
      <c r="P107" s="53">
        <v>137.71452260129885</v>
      </c>
      <c r="Q107" s="15">
        <v>1.135477398701128</v>
      </c>
      <c r="R107" s="15"/>
      <c r="S107" s="15"/>
      <c r="T107" s="15"/>
      <c r="U107" s="15"/>
      <c r="V107" s="15"/>
      <c r="W107" s="15"/>
      <c r="X107" s="15"/>
      <c r="Y107" s="15"/>
    </row>
    <row r="108" spans="1:25" s="21" customFormat="1" x14ac:dyDescent="0.55000000000000004">
      <c r="A108" s="17"/>
      <c r="B108"/>
      <c r="C108"/>
      <c r="D108"/>
      <c r="E108"/>
      <c r="F108" s="49">
        <v>40452</v>
      </c>
      <c r="G108" s="92">
        <v>138.68</v>
      </c>
      <c r="H108"/>
      <c r="I108"/>
      <c r="J108"/>
      <c r="K108"/>
      <c r="L108"/>
      <c r="M108"/>
      <c r="N108" s="58">
        <v>0.99443942460157708</v>
      </c>
      <c r="O108" s="53"/>
      <c r="P108" s="53">
        <v>137.68556057539843</v>
      </c>
      <c r="Q108" s="15">
        <v>0.99443942460157708</v>
      </c>
      <c r="R108" s="15"/>
      <c r="S108" s="15"/>
      <c r="T108" s="15"/>
      <c r="U108" s="15"/>
      <c r="V108" s="15"/>
      <c r="W108" s="15"/>
      <c r="X108" s="15"/>
      <c r="Y108" s="15"/>
    </row>
    <row r="109" spans="1:25" s="21" customFormat="1" x14ac:dyDescent="0.55000000000000004">
      <c r="A109" s="17"/>
      <c r="B109"/>
      <c r="C109"/>
      <c r="D109"/>
      <c r="E109"/>
      <c r="F109" s="49">
        <v>40483</v>
      </c>
      <c r="G109" s="92">
        <v>140.13999999999999</v>
      </c>
      <c r="H109"/>
      <c r="I109"/>
      <c r="J109"/>
      <c r="K109"/>
      <c r="L109"/>
      <c r="M109"/>
      <c r="N109" s="58">
        <v>0.84599489385679294</v>
      </c>
      <c r="O109" s="53"/>
      <c r="P109" s="53">
        <v>139.2940051061432</v>
      </c>
      <c r="Q109" s="15">
        <v>0.84599489385679294</v>
      </c>
      <c r="R109" s="15"/>
      <c r="S109" s="15"/>
      <c r="T109" s="15"/>
      <c r="U109" s="15"/>
      <c r="V109" s="15"/>
      <c r="W109" s="15"/>
      <c r="X109" s="15"/>
      <c r="Y109" s="15"/>
    </row>
    <row r="110" spans="1:25" s="21" customFormat="1" x14ac:dyDescent="0.55000000000000004">
      <c r="A110" s="17"/>
      <c r="B110"/>
      <c r="C110"/>
      <c r="D110"/>
      <c r="E110"/>
      <c r="F110" s="49">
        <v>40513</v>
      </c>
      <c r="G110" s="92">
        <v>138.66999999999999</v>
      </c>
      <c r="H110"/>
      <c r="I110"/>
      <c r="J110"/>
      <c r="K110"/>
      <c r="L110"/>
      <c r="M110"/>
      <c r="N110" s="58">
        <v>0.71209228441232941</v>
      </c>
      <c r="O110" s="53"/>
      <c r="P110" s="53">
        <v>137.95790771558765</v>
      </c>
      <c r="Q110" s="15">
        <v>0.71209228441232941</v>
      </c>
      <c r="R110" s="15"/>
      <c r="S110" s="15"/>
      <c r="T110" s="15"/>
      <c r="U110" s="15"/>
      <c r="V110" s="15"/>
      <c r="W110" s="15"/>
      <c r="X110" s="15"/>
      <c r="Y110" s="15"/>
    </row>
    <row r="111" spans="1:25" s="21" customFormat="1" x14ac:dyDescent="0.55000000000000004">
      <c r="A111" s="17"/>
      <c r="B111"/>
      <c r="C111"/>
      <c r="D111"/>
      <c r="E111"/>
      <c r="F111" s="49">
        <v>40544</v>
      </c>
      <c r="G111" s="92">
        <v>140.26</v>
      </c>
      <c r="H111"/>
      <c r="I111"/>
      <c r="J111"/>
      <c r="K111"/>
      <c r="L111"/>
      <c r="M111"/>
      <c r="N111" s="58">
        <v>0.60701016650932238</v>
      </c>
      <c r="O111" s="53"/>
      <c r="P111" s="53">
        <v>139.65298983349066</v>
      </c>
      <c r="Q111" s="15">
        <v>0.60701016650932238</v>
      </c>
      <c r="R111" s="15"/>
      <c r="S111" s="15"/>
      <c r="T111" s="15"/>
      <c r="U111" s="15"/>
      <c r="V111" s="15"/>
      <c r="W111" s="15"/>
      <c r="X111" s="15"/>
      <c r="Y111" s="15"/>
    </row>
    <row r="112" spans="1:25" s="21" customFormat="1" x14ac:dyDescent="0.55000000000000004">
      <c r="A112" s="17"/>
      <c r="B112"/>
      <c r="C112"/>
      <c r="D112"/>
      <c r="E112"/>
      <c r="F112" s="49">
        <v>40575</v>
      </c>
      <c r="G112" s="92">
        <v>140.93</v>
      </c>
      <c r="H112"/>
      <c r="I112"/>
      <c r="J112"/>
      <c r="K112"/>
      <c r="L112"/>
      <c r="M112"/>
      <c r="N112" s="58">
        <v>0.53646799712847315</v>
      </c>
      <c r="O112" s="53"/>
      <c r="P112" s="53">
        <v>140.39353200287152</v>
      </c>
      <c r="Q112" s="15">
        <v>0.53646799712847315</v>
      </c>
      <c r="R112" s="15"/>
      <c r="S112" s="15"/>
      <c r="T112" s="15"/>
      <c r="U112" s="15"/>
      <c r="V112" s="15"/>
      <c r="W112" s="15"/>
      <c r="X112" s="15"/>
      <c r="Y112" s="15"/>
    </row>
    <row r="113" spans="1:25" s="21" customFormat="1" x14ac:dyDescent="0.55000000000000004">
      <c r="A113" s="17"/>
      <c r="B113"/>
      <c r="C113"/>
      <c r="D113"/>
      <c r="E113"/>
      <c r="F113" s="49">
        <v>40603</v>
      </c>
      <c r="G113" s="92">
        <v>141.06</v>
      </c>
      <c r="H113"/>
      <c r="I113"/>
      <c r="J113"/>
      <c r="K113"/>
      <c r="L113"/>
      <c r="M113"/>
      <c r="N113" s="58">
        <v>0.49779558501526799</v>
      </c>
      <c r="O113" s="53"/>
      <c r="P113" s="53">
        <v>140.56220441498473</v>
      </c>
      <c r="Q113" s="15">
        <v>0.49779558501526799</v>
      </c>
      <c r="R113" s="15"/>
      <c r="S113" s="15"/>
      <c r="T113" s="15"/>
      <c r="U113" s="15"/>
      <c r="V113" s="15"/>
      <c r="W113" s="15"/>
      <c r="X113" s="15"/>
      <c r="Y113" s="15"/>
    </row>
    <row r="114" spans="1:25" s="21" customFormat="1" x14ac:dyDescent="0.55000000000000004">
      <c r="A114" s="17"/>
      <c r="B114"/>
      <c r="C114"/>
      <c r="D114"/>
      <c r="E114"/>
      <c r="F114" s="49">
        <v>40634</v>
      </c>
      <c r="G114" s="92">
        <v>140.97</v>
      </c>
      <c r="H114"/>
      <c r="I114"/>
      <c r="J114"/>
      <c r="K114"/>
      <c r="L114"/>
      <c r="M114"/>
      <c r="N114" s="58">
        <v>0.48110012429478743</v>
      </c>
      <c r="O114" s="53"/>
      <c r="P114" s="53">
        <v>140.48889987570521</v>
      </c>
      <c r="Q114" s="15">
        <v>0.48110012429478743</v>
      </c>
      <c r="R114" s="15"/>
      <c r="S114" s="15"/>
      <c r="T114" s="15"/>
      <c r="U114" s="15"/>
      <c r="V114" s="15"/>
      <c r="W114" s="15"/>
      <c r="X114" s="15"/>
      <c r="Y114" s="15"/>
    </row>
    <row r="115" spans="1:25" s="21" customFormat="1" x14ac:dyDescent="0.55000000000000004">
      <c r="A115" s="17"/>
      <c r="B115"/>
      <c r="C115"/>
      <c r="D115"/>
      <c r="E115"/>
      <c r="F115" s="49">
        <v>40664</v>
      </c>
      <c r="G115" s="92">
        <v>141.18</v>
      </c>
      <c r="H115"/>
      <c r="I115"/>
      <c r="J115"/>
      <c r="K115"/>
      <c r="L115"/>
      <c r="M115"/>
      <c r="N115" s="58">
        <v>0.47126331158796742</v>
      </c>
      <c r="O115" s="53"/>
      <c r="P115" s="53">
        <v>140.70873668841205</v>
      </c>
      <c r="Q115" s="15">
        <v>0.47126331158796742</v>
      </c>
      <c r="R115" s="15"/>
      <c r="S115" s="15"/>
      <c r="T115" s="15"/>
      <c r="U115" s="15"/>
      <c r="V115" s="15"/>
      <c r="W115" s="15"/>
      <c r="X115" s="15"/>
      <c r="Y115" s="15"/>
    </row>
    <row r="116" spans="1:25" s="21" customFormat="1" x14ac:dyDescent="0.55000000000000004">
      <c r="A116" s="17"/>
      <c r="B116"/>
      <c r="C116"/>
      <c r="D116"/>
      <c r="E116"/>
      <c r="F116" s="49">
        <v>40695</v>
      </c>
      <c r="G116" s="92">
        <v>141.85</v>
      </c>
      <c r="H116"/>
      <c r="I116"/>
      <c r="J116"/>
      <c r="K116"/>
      <c r="L116"/>
      <c r="M116"/>
      <c r="N116" s="58">
        <v>0.45051447462881899</v>
      </c>
      <c r="O116" s="53"/>
      <c r="P116" s="53">
        <v>141.39948552537118</v>
      </c>
      <c r="Q116" s="15">
        <v>0.45051447462881899</v>
      </c>
      <c r="R116" s="15"/>
      <c r="S116" s="15"/>
      <c r="T116" s="15"/>
      <c r="U116" s="15"/>
      <c r="V116" s="15"/>
      <c r="W116" s="15"/>
      <c r="X116" s="15"/>
      <c r="Y116" s="15"/>
    </row>
    <row r="117" spans="1:25" s="21" customFormat="1" x14ac:dyDescent="0.55000000000000004">
      <c r="A117" s="17"/>
      <c r="B117"/>
      <c r="C117"/>
      <c r="D117"/>
      <c r="E117"/>
      <c r="F117" s="49">
        <v>40725</v>
      </c>
      <c r="G117" s="92">
        <v>142.1</v>
      </c>
      <c r="H117"/>
      <c r="I117"/>
      <c r="J117"/>
      <c r="K117"/>
      <c r="L117"/>
      <c r="M117"/>
      <c r="N117" s="58">
        <v>0.40126784955909089</v>
      </c>
      <c r="O117" s="53"/>
      <c r="P117" s="53">
        <v>141.69873215044089</v>
      </c>
      <c r="Q117" s="15">
        <v>0.40126784955909089</v>
      </c>
      <c r="R117" s="15"/>
      <c r="S117" s="15"/>
      <c r="T117" s="15"/>
      <c r="U117" s="15"/>
      <c r="V117" s="15"/>
      <c r="W117" s="15"/>
      <c r="X117" s="15"/>
      <c r="Y117" s="15"/>
    </row>
    <row r="118" spans="1:25" s="21" customFormat="1" x14ac:dyDescent="0.55000000000000004">
      <c r="A118" s="17"/>
      <c r="B118"/>
      <c r="C118"/>
      <c r="D118"/>
      <c r="E118"/>
      <c r="F118" s="49">
        <v>40756</v>
      </c>
      <c r="G118" s="92">
        <v>141.94</v>
      </c>
      <c r="H118"/>
      <c r="I118"/>
      <c r="J118"/>
      <c r="K118"/>
      <c r="L118"/>
      <c r="M118"/>
      <c r="N118" s="58">
        <v>0.3088890127892796</v>
      </c>
      <c r="O118" s="53"/>
      <c r="P118" s="53">
        <v>141.63111098721072</v>
      </c>
      <c r="Q118" s="15">
        <v>0.3088890127892796</v>
      </c>
      <c r="R118" s="15"/>
      <c r="S118" s="15"/>
      <c r="T118" s="15"/>
      <c r="U118" s="15"/>
      <c r="V118" s="15"/>
      <c r="W118" s="15"/>
      <c r="X118" s="15"/>
      <c r="Y118" s="15"/>
    </row>
    <row r="119" spans="1:25" s="21" customFormat="1" x14ac:dyDescent="0.55000000000000004">
      <c r="A119" s="17"/>
      <c r="B119"/>
      <c r="C119"/>
      <c r="D119"/>
      <c r="E119"/>
      <c r="F119" s="49">
        <v>40787</v>
      </c>
      <c r="G119" s="92">
        <v>141.58000000000001</v>
      </c>
      <c r="H119"/>
      <c r="I119"/>
      <c r="J119"/>
      <c r="K119"/>
      <c r="L119"/>
      <c r="M119"/>
      <c r="N119" s="58">
        <v>0.16406911335691898</v>
      </c>
      <c r="O119" s="53"/>
      <c r="P119" s="53">
        <v>141.41593088664308</v>
      </c>
      <c r="Q119" s="15">
        <v>0.16406911335691898</v>
      </c>
      <c r="R119" s="15"/>
      <c r="S119" s="15"/>
      <c r="T119" s="15"/>
      <c r="U119" s="15"/>
      <c r="V119" s="15"/>
      <c r="W119" s="15"/>
      <c r="X119" s="15"/>
      <c r="Y119" s="15"/>
    </row>
    <row r="120" spans="1:25" s="21" customFormat="1" x14ac:dyDescent="0.55000000000000004">
      <c r="A120" s="17"/>
      <c r="B120"/>
      <c r="C120"/>
      <c r="D120"/>
      <c r="E120"/>
      <c r="F120" s="49">
        <v>40817</v>
      </c>
      <c r="G120" s="92">
        <v>141.61000000000001</v>
      </c>
      <c r="H120"/>
      <c r="I120"/>
      <c r="J120"/>
      <c r="K120"/>
      <c r="L120"/>
      <c r="M120"/>
      <c r="N120" s="58">
        <v>-3.5465888623438246E-2</v>
      </c>
      <c r="O120" s="53"/>
      <c r="P120" s="53">
        <v>141.64546588862345</v>
      </c>
      <c r="Q120" s="15">
        <v>-3.5465888623438246E-2</v>
      </c>
      <c r="R120" s="15"/>
      <c r="S120" s="15"/>
      <c r="T120" s="15"/>
      <c r="U120" s="15"/>
      <c r="V120" s="15"/>
      <c r="W120" s="15"/>
      <c r="X120" s="15"/>
      <c r="Y120" s="15"/>
    </row>
    <row r="121" spans="1:25" s="21" customFormat="1" x14ac:dyDescent="0.55000000000000004">
      <c r="A121" s="17"/>
      <c r="B121"/>
      <c r="C121"/>
      <c r="D121"/>
      <c r="E121"/>
      <c r="F121" s="49">
        <v>40848</v>
      </c>
      <c r="G121" s="92">
        <v>142.31</v>
      </c>
      <c r="H121"/>
      <c r="I121"/>
      <c r="J121"/>
      <c r="K121"/>
      <c r="L121"/>
      <c r="M121"/>
      <c r="N121" s="58">
        <v>-0.28410589286850518</v>
      </c>
      <c r="O121" s="53"/>
      <c r="P121" s="53">
        <v>142.5941058928685</v>
      </c>
      <c r="Q121" s="15">
        <v>-0.28410589286850518</v>
      </c>
      <c r="R121" s="15"/>
      <c r="S121" s="15"/>
      <c r="T121" s="15"/>
      <c r="U121" s="15"/>
      <c r="V121" s="15"/>
      <c r="W121" s="15"/>
      <c r="X121" s="15"/>
      <c r="Y121" s="15"/>
    </row>
    <row r="122" spans="1:25" s="21" customFormat="1" x14ac:dyDescent="0.55000000000000004">
      <c r="A122" s="17"/>
      <c r="B122"/>
      <c r="C122"/>
      <c r="D122"/>
      <c r="E122"/>
      <c r="F122" s="49">
        <v>40878</v>
      </c>
      <c r="G122" s="92">
        <v>140.91999999999999</v>
      </c>
      <c r="H122"/>
      <c r="I122"/>
      <c r="J122"/>
      <c r="K122"/>
      <c r="L122"/>
      <c r="M122"/>
      <c r="N122" s="58">
        <v>-0.56846368657552082</v>
      </c>
      <c r="O122" s="53"/>
      <c r="P122" s="53">
        <v>141.4884636865755</v>
      </c>
      <c r="Q122" s="15">
        <v>-0.56846368657552082</v>
      </c>
      <c r="R122" s="15"/>
      <c r="S122" s="15"/>
      <c r="T122" s="15"/>
      <c r="U122" s="15"/>
      <c r="V122" s="15"/>
      <c r="W122" s="15"/>
      <c r="X122" s="15"/>
      <c r="Y122" s="15"/>
    </row>
    <row r="123" spans="1:25" s="21" customFormat="1" x14ac:dyDescent="0.55000000000000004">
      <c r="A123" s="17"/>
      <c r="B123"/>
      <c r="C123"/>
      <c r="D123"/>
      <c r="E123"/>
      <c r="F123" s="49">
        <v>40909</v>
      </c>
      <c r="G123" s="92">
        <v>139.04</v>
      </c>
      <c r="H123"/>
      <c r="I123"/>
      <c r="J123"/>
      <c r="K123"/>
      <c r="L123"/>
      <c r="M123"/>
      <c r="N123" s="58">
        <v>-0.86842662299359352</v>
      </c>
      <c r="O123" s="53"/>
      <c r="P123" s="53">
        <v>139.90842662299357</v>
      </c>
      <c r="Q123" s="15">
        <v>-0.86842662299359352</v>
      </c>
      <c r="R123" s="15"/>
      <c r="S123" s="15"/>
      <c r="T123" s="15"/>
      <c r="U123" s="15"/>
      <c r="V123" s="15"/>
      <c r="W123" s="15"/>
      <c r="X123" s="15"/>
      <c r="Y123" s="15"/>
    </row>
    <row r="124" spans="1:25" s="21" customFormat="1" x14ac:dyDescent="0.55000000000000004">
      <c r="A124" s="17"/>
      <c r="B124"/>
      <c r="C124"/>
      <c r="D124"/>
      <c r="E124"/>
      <c r="F124" s="49">
        <v>40940</v>
      </c>
      <c r="G124" s="92">
        <v>140.55000000000001</v>
      </c>
      <c r="H124"/>
      <c r="I124"/>
      <c r="J124"/>
      <c r="K124"/>
      <c r="L124"/>
      <c r="M124"/>
      <c r="N124" s="58">
        <v>-1.1590352947231035</v>
      </c>
      <c r="O124" s="53"/>
      <c r="P124" s="53">
        <v>141.70903529472312</v>
      </c>
      <c r="Q124" s="15">
        <v>-1.1590352947231035</v>
      </c>
      <c r="R124" s="15"/>
      <c r="S124" s="15"/>
      <c r="T124" s="15"/>
      <c r="U124" s="15"/>
      <c r="V124" s="15"/>
      <c r="W124" s="15"/>
      <c r="X124" s="15"/>
      <c r="Y124" s="15"/>
    </row>
    <row r="125" spans="1:25" s="21" customFormat="1" x14ac:dyDescent="0.55000000000000004">
      <c r="A125" s="17"/>
      <c r="B125"/>
      <c r="C125"/>
      <c r="D125"/>
      <c r="E125"/>
      <c r="F125" s="49">
        <v>40969</v>
      </c>
      <c r="G125" s="92">
        <v>140.13999999999999</v>
      </c>
      <c r="H125"/>
      <c r="I125"/>
      <c r="J125"/>
      <c r="K125"/>
      <c r="L125"/>
      <c r="M125"/>
      <c r="N125" s="58">
        <v>-1.4129793755131046</v>
      </c>
      <c r="O125" s="53"/>
      <c r="P125" s="53">
        <v>141.5529793755131</v>
      </c>
      <c r="Q125" s="15">
        <v>-1.4129793755131046</v>
      </c>
      <c r="R125" s="15"/>
      <c r="S125" s="15"/>
      <c r="T125" s="15"/>
      <c r="U125" s="15"/>
      <c r="V125" s="15"/>
      <c r="W125" s="15"/>
      <c r="X125" s="15"/>
      <c r="Y125" s="15"/>
    </row>
    <row r="126" spans="1:25" s="21" customFormat="1" x14ac:dyDescent="0.55000000000000004">
      <c r="A126" s="17"/>
      <c r="B126"/>
      <c r="C126"/>
      <c r="D126"/>
      <c r="E126"/>
      <c r="F126" s="49">
        <v>41000</v>
      </c>
      <c r="G126" s="92">
        <v>140.76</v>
      </c>
      <c r="H126"/>
      <c r="I126"/>
      <c r="J126"/>
      <c r="K126"/>
      <c r="L126"/>
      <c r="M126"/>
      <c r="N126" s="58">
        <v>-1.6034324234403665</v>
      </c>
      <c r="O126" s="53"/>
      <c r="P126" s="53">
        <v>142.36343242344034</v>
      </c>
      <c r="Q126" s="15">
        <v>-1.6034324234403665</v>
      </c>
      <c r="R126" s="15"/>
      <c r="S126" s="15"/>
      <c r="T126" s="15"/>
      <c r="U126" s="15"/>
      <c r="V126" s="15"/>
      <c r="W126" s="15"/>
      <c r="X126" s="15"/>
      <c r="Y126" s="15"/>
    </row>
    <row r="127" spans="1:25" s="21" customFormat="1" x14ac:dyDescent="0.55000000000000004">
      <c r="A127" s="17"/>
      <c r="B127"/>
      <c r="C127"/>
      <c r="D127"/>
      <c r="E127"/>
      <c r="F127" s="49">
        <v>41030</v>
      </c>
      <c r="G127" s="92">
        <v>142.5</v>
      </c>
      <c r="H127"/>
      <c r="I127"/>
      <c r="J127"/>
      <c r="K127"/>
      <c r="L127"/>
      <c r="M127"/>
      <c r="N127" s="58">
        <v>-1.7069102018193103</v>
      </c>
      <c r="O127" s="53"/>
      <c r="P127" s="53">
        <v>144.20691020181931</v>
      </c>
      <c r="Q127" s="15">
        <v>-1.7069102018193103</v>
      </c>
      <c r="R127" s="15"/>
      <c r="S127" s="15"/>
      <c r="T127" s="15"/>
      <c r="U127" s="15"/>
      <c r="V127" s="15"/>
      <c r="W127" s="15"/>
      <c r="X127" s="15"/>
      <c r="Y127" s="15"/>
    </row>
    <row r="128" spans="1:25" s="21" customFormat="1" x14ac:dyDescent="0.55000000000000004">
      <c r="A128" s="17"/>
      <c r="B128"/>
      <c r="C128"/>
      <c r="D128"/>
      <c r="E128"/>
      <c r="F128" s="49">
        <v>41061</v>
      </c>
      <c r="G128" s="92">
        <v>143.55000000000001</v>
      </c>
      <c r="H128"/>
      <c r="I128"/>
      <c r="J128"/>
      <c r="K128"/>
      <c r="L128"/>
      <c r="M128"/>
      <c r="N128" s="58">
        <v>-1.7058348903815412</v>
      </c>
      <c r="O128" s="53"/>
      <c r="P128" s="53">
        <v>145.25583489038155</v>
      </c>
      <c r="Q128" s="15">
        <v>-1.7058348903815412</v>
      </c>
      <c r="R128" s="15"/>
      <c r="S128" s="15"/>
      <c r="T128" s="15"/>
      <c r="U128" s="15"/>
      <c r="V128" s="15"/>
      <c r="W128" s="15"/>
      <c r="X128" s="15"/>
      <c r="Y128" s="15"/>
    </row>
    <row r="129" spans="1:25" s="21" customFormat="1" x14ac:dyDescent="0.55000000000000004">
      <c r="A129" s="17"/>
      <c r="B129"/>
      <c r="C129"/>
      <c r="D129"/>
      <c r="E129"/>
      <c r="F129" s="49">
        <v>41091</v>
      </c>
      <c r="G129" s="92">
        <v>143.82</v>
      </c>
      <c r="H129"/>
      <c r="I129"/>
      <c r="J129"/>
      <c r="K129"/>
      <c r="L129"/>
      <c r="M129"/>
      <c r="N129" s="58">
        <v>-1.590520474877259</v>
      </c>
      <c r="O129" s="53"/>
      <c r="P129" s="53">
        <v>145.41052047487725</v>
      </c>
      <c r="Q129" s="15">
        <v>-1.590520474877259</v>
      </c>
      <c r="R129" s="15"/>
      <c r="S129" s="15"/>
      <c r="T129" s="15"/>
      <c r="U129" s="15"/>
      <c r="V129" s="15"/>
      <c r="W129" s="15"/>
      <c r="X129" s="15"/>
      <c r="Y129" s="15"/>
    </row>
    <row r="130" spans="1:25" s="21" customFormat="1" x14ac:dyDescent="0.55000000000000004">
      <c r="A130" s="17"/>
      <c r="B130"/>
      <c r="C130"/>
      <c r="D130"/>
      <c r="E130"/>
      <c r="F130" s="49">
        <v>41122</v>
      </c>
      <c r="G130" s="92">
        <v>144.26</v>
      </c>
      <c r="H130"/>
      <c r="I130"/>
      <c r="J130"/>
      <c r="K130"/>
      <c r="L130"/>
      <c r="M130"/>
      <c r="N130" s="58">
        <v>-1.3603588120865888</v>
      </c>
      <c r="O130" s="53"/>
      <c r="P130" s="53">
        <v>145.62035881208658</v>
      </c>
      <c r="Q130" s="15">
        <v>-1.3603588120865888</v>
      </c>
      <c r="R130" s="15"/>
      <c r="S130" s="15"/>
      <c r="T130" s="15"/>
      <c r="U130" s="15"/>
      <c r="V130" s="15"/>
      <c r="W130" s="15"/>
      <c r="X130" s="15"/>
      <c r="Y130" s="15"/>
    </row>
    <row r="131" spans="1:25" s="21" customFormat="1" x14ac:dyDescent="0.55000000000000004">
      <c r="A131" s="17"/>
      <c r="B131"/>
      <c r="C131"/>
      <c r="D131"/>
      <c r="E131"/>
      <c r="F131" s="49">
        <v>41153</v>
      </c>
      <c r="G131" s="92">
        <v>143.66</v>
      </c>
      <c r="H131"/>
      <c r="I131"/>
      <c r="J131"/>
      <c r="K131"/>
      <c r="L131"/>
      <c r="M131"/>
      <c r="N131" s="58">
        <v>-1.0240741414038874</v>
      </c>
      <c r="O131" s="53"/>
      <c r="P131" s="53">
        <v>144.6840741414039</v>
      </c>
      <c r="Q131" s="15">
        <v>-1.0240741414038874</v>
      </c>
      <c r="R131" s="15"/>
      <c r="S131" s="15"/>
      <c r="T131" s="15"/>
      <c r="U131" s="15"/>
      <c r="V131" s="15"/>
      <c r="W131" s="15"/>
      <c r="X131" s="15"/>
      <c r="Y131" s="15"/>
    </row>
    <row r="132" spans="1:25" s="21" customFormat="1" x14ac:dyDescent="0.55000000000000004">
      <c r="A132" s="17"/>
      <c r="B132"/>
      <c r="C132"/>
      <c r="D132"/>
      <c r="E132"/>
      <c r="F132" s="49">
        <v>41183</v>
      </c>
      <c r="G132" s="92">
        <v>144.84</v>
      </c>
      <c r="H132"/>
      <c r="I132"/>
      <c r="J132"/>
      <c r="K132"/>
      <c r="L132"/>
      <c r="M132"/>
      <c r="N132" s="58">
        <v>-0.59901631019179247</v>
      </c>
      <c r="O132" s="53"/>
      <c r="P132" s="53">
        <v>145.43901631019179</v>
      </c>
      <c r="Q132" s="15">
        <v>-0.59901631019179247</v>
      </c>
      <c r="R132" s="15"/>
      <c r="S132" s="15"/>
      <c r="T132" s="15"/>
      <c r="U132" s="15"/>
      <c r="V132" s="15"/>
      <c r="W132" s="15"/>
      <c r="X132" s="15"/>
      <c r="Y132" s="15"/>
    </row>
    <row r="133" spans="1:25" s="21" customFormat="1" x14ac:dyDescent="0.55000000000000004">
      <c r="A133" s="17"/>
      <c r="B133"/>
      <c r="C133"/>
      <c r="D133"/>
      <c r="E133"/>
      <c r="F133" s="49">
        <v>41214</v>
      </c>
      <c r="G133" s="92">
        <v>144.63999999999999</v>
      </c>
      <c r="H133"/>
      <c r="I133"/>
      <c r="J133"/>
      <c r="K133"/>
      <c r="L133"/>
      <c r="M133"/>
      <c r="N133" s="58">
        <v>-0.10956833092122054</v>
      </c>
      <c r="O133" s="53"/>
      <c r="P133" s="53">
        <v>144.74956833092119</v>
      </c>
      <c r="Q133" s="15">
        <v>-0.10956833092122054</v>
      </c>
      <c r="R133" s="15"/>
      <c r="S133" s="15"/>
      <c r="T133" s="15"/>
      <c r="U133" s="15"/>
      <c r="V133" s="15"/>
      <c r="W133" s="15"/>
      <c r="X133" s="15"/>
      <c r="Y133" s="15"/>
    </row>
    <row r="134" spans="1:25" s="21" customFormat="1" x14ac:dyDescent="0.55000000000000004">
      <c r="A134" s="17"/>
      <c r="B134"/>
      <c r="C134"/>
      <c r="D134"/>
      <c r="E134"/>
      <c r="F134" s="49">
        <v>41244</v>
      </c>
      <c r="G134" s="92">
        <v>144.15</v>
      </c>
      <c r="H134"/>
      <c r="I134"/>
      <c r="J134"/>
      <c r="K134"/>
      <c r="L134"/>
      <c r="M134"/>
      <c r="N134" s="58">
        <v>0.41515953944488881</v>
      </c>
      <c r="O134" s="53"/>
      <c r="P134" s="53">
        <v>143.73484046055512</v>
      </c>
      <c r="Q134" s="15">
        <v>0.41515953944488881</v>
      </c>
      <c r="R134" s="15"/>
      <c r="S134" s="15"/>
      <c r="T134" s="15"/>
      <c r="U134" s="15"/>
      <c r="V134" s="15"/>
      <c r="W134" s="15"/>
      <c r="X134" s="15"/>
      <c r="Y134" s="15"/>
    </row>
    <row r="135" spans="1:25" s="21" customFormat="1" x14ac:dyDescent="0.55000000000000004">
      <c r="A135" s="17"/>
      <c r="B135"/>
      <c r="C135"/>
      <c r="D135"/>
      <c r="E135"/>
      <c r="F135" s="49">
        <v>41275</v>
      </c>
      <c r="G135" s="92">
        <v>144.97999999999999</v>
      </c>
      <c r="H135"/>
      <c r="I135"/>
      <c r="J135"/>
      <c r="K135"/>
      <c r="L135"/>
      <c r="M135"/>
      <c r="N135" s="58">
        <v>0.94409982840338791</v>
      </c>
      <c r="O135" s="53"/>
      <c r="P135" s="53">
        <v>144.03590017159661</v>
      </c>
      <c r="Q135" s="15">
        <v>0.94409982840338791</v>
      </c>
      <c r="R135" s="15"/>
      <c r="S135" s="15"/>
      <c r="T135" s="15"/>
      <c r="U135" s="15"/>
      <c r="V135" s="15"/>
      <c r="W135" s="15"/>
      <c r="X135" s="15"/>
      <c r="Y135" s="15"/>
    </row>
    <row r="136" spans="1:25" s="21" customFormat="1" x14ac:dyDescent="0.55000000000000004">
      <c r="A136" s="17"/>
      <c r="B136"/>
      <c r="C136"/>
      <c r="D136"/>
      <c r="E136"/>
      <c r="F136" s="49">
        <v>41306</v>
      </c>
      <c r="G136" s="92">
        <v>143.82</v>
      </c>
      <c r="H136"/>
      <c r="I136"/>
      <c r="J136"/>
      <c r="K136"/>
      <c r="L136"/>
      <c r="M136"/>
      <c r="N136" s="58">
        <v>1.4471632583430698</v>
      </c>
      <c r="O136" s="53"/>
      <c r="P136" s="53">
        <v>142.37283674165693</v>
      </c>
      <c r="Q136" s="15">
        <v>1.4471632583430698</v>
      </c>
      <c r="R136" s="15"/>
      <c r="S136" s="15"/>
      <c r="T136" s="15"/>
      <c r="U136" s="15"/>
      <c r="V136" s="15"/>
      <c r="W136" s="15"/>
      <c r="X136" s="15"/>
      <c r="Y136" s="15"/>
    </row>
    <row r="137" spans="1:25" s="21" customFormat="1" x14ac:dyDescent="0.55000000000000004">
      <c r="A137" s="17"/>
      <c r="B137"/>
      <c r="C137"/>
      <c r="D137"/>
      <c r="E137"/>
      <c r="F137" s="49">
        <v>41334</v>
      </c>
      <c r="G137" s="92">
        <v>145.04</v>
      </c>
      <c r="H137"/>
      <c r="I137"/>
      <c r="J137"/>
      <c r="K137"/>
      <c r="L137"/>
      <c r="M137"/>
      <c r="N137" s="58">
        <v>1.8980245920063434</v>
      </c>
      <c r="O137" s="53"/>
      <c r="P137" s="53">
        <v>143.14197540799364</v>
      </c>
      <c r="Q137" s="15">
        <v>1.8980245920063434</v>
      </c>
      <c r="R137" s="15"/>
      <c r="S137" s="15"/>
      <c r="T137" s="15"/>
      <c r="U137" s="15"/>
      <c r="V137" s="15"/>
      <c r="W137" s="15"/>
      <c r="X137" s="15"/>
      <c r="Y137" s="15"/>
    </row>
    <row r="138" spans="1:25" s="21" customFormat="1" x14ac:dyDescent="0.55000000000000004">
      <c r="A138" s="17"/>
      <c r="B138"/>
      <c r="C138"/>
      <c r="D138"/>
      <c r="E138"/>
      <c r="F138" s="49">
        <v>41365</v>
      </c>
      <c r="G138" s="92">
        <v>146.28</v>
      </c>
      <c r="H138"/>
      <c r="I138"/>
      <c r="J138"/>
      <c r="K138"/>
      <c r="L138"/>
      <c r="M138"/>
      <c r="N138" s="58">
        <v>2.2764625111505019</v>
      </c>
      <c r="O138" s="53"/>
      <c r="P138" s="53">
        <v>144.0035374888495</v>
      </c>
      <c r="Q138" s="15">
        <v>2.2764625111505019</v>
      </c>
      <c r="R138" s="15"/>
      <c r="S138" s="15"/>
      <c r="T138" s="15"/>
      <c r="U138" s="15"/>
      <c r="V138" s="15"/>
      <c r="W138" s="15"/>
      <c r="X138" s="15"/>
      <c r="Y138" s="15"/>
    </row>
    <row r="139" spans="1:25" s="21" customFormat="1" x14ac:dyDescent="0.55000000000000004">
      <c r="A139" s="17"/>
      <c r="B139"/>
      <c r="C139"/>
      <c r="D139"/>
      <c r="E139"/>
      <c r="F139" s="49">
        <v>41395</v>
      </c>
      <c r="G139" s="92">
        <v>146.79</v>
      </c>
      <c r="H139"/>
      <c r="I139"/>
      <c r="J139"/>
      <c r="K139"/>
      <c r="L139"/>
      <c r="M139"/>
      <c r="N139" s="58">
        <v>2.5700082038668799</v>
      </c>
      <c r="O139" s="53"/>
      <c r="P139" s="53">
        <v>144.21999179613312</v>
      </c>
      <c r="Q139" s="15">
        <v>2.5700082038668799</v>
      </c>
      <c r="R139" s="15"/>
      <c r="S139" s="15"/>
      <c r="T139" s="15"/>
      <c r="U139" s="15"/>
      <c r="V139" s="15"/>
      <c r="W139" s="15"/>
      <c r="X139" s="15"/>
      <c r="Y139" s="15"/>
    </row>
    <row r="140" spans="1:25" s="21" customFormat="1" x14ac:dyDescent="0.55000000000000004">
      <c r="A140" s="17"/>
      <c r="B140"/>
      <c r="C140"/>
      <c r="D140"/>
      <c r="E140"/>
      <c r="F140" s="49">
        <v>41426</v>
      </c>
      <c r="G140" s="92">
        <v>146.35</v>
      </c>
      <c r="H140"/>
      <c r="I140"/>
      <c r="J140"/>
      <c r="K140"/>
      <c r="L140"/>
      <c r="M140"/>
      <c r="N140" s="58">
        <v>2.7747351170214669</v>
      </c>
      <c r="O140" s="53"/>
      <c r="P140" s="53">
        <v>143.57526488297853</v>
      </c>
      <c r="Q140" s="15">
        <v>2.7747351170214669</v>
      </c>
      <c r="R140" s="15"/>
      <c r="S140" s="15"/>
      <c r="T140" s="15"/>
      <c r="U140" s="15"/>
      <c r="V140" s="15"/>
      <c r="W140" s="15"/>
      <c r="X140" s="15"/>
      <c r="Y140" s="15"/>
    </row>
    <row r="141" spans="1:25" s="21" customFormat="1" x14ac:dyDescent="0.55000000000000004">
      <c r="A141" s="17"/>
      <c r="B141"/>
      <c r="C141"/>
      <c r="D141"/>
      <c r="E141"/>
      <c r="F141" s="49">
        <v>41456</v>
      </c>
      <c r="G141" s="92">
        <v>146.93</v>
      </c>
      <c r="H141"/>
      <c r="I141"/>
      <c r="J141"/>
      <c r="K141"/>
      <c r="L141"/>
      <c r="M141"/>
      <c r="N141" s="58">
        <v>2.8951180482483028</v>
      </c>
      <c r="O141" s="53"/>
      <c r="P141" s="53">
        <v>144.03488195175171</v>
      </c>
      <c r="Q141" s="15">
        <v>2.8951180482483028</v>
      </c>
      <c r="R141" s="15"/>
      <c r="S141" s="15"/>
      <c r="T141" s="15"/>
      <c r="U141" s="15"/>
      <c r="V141" s="15"/>
      <c r="W141" s="15"/>
      <c r="X141" s="15"/>
      <c r="Y141" s="15"/>
    </row>
    <row r="142" spans="1:25" s="21" customFormat="1" x14ac:dyDescent="0.55000000000000004">
      <c r="A142" s="17"/>
      <c r="B142"/>
      <c r="C142"/>
      <c r="D142"/>
      <c r="E142"/>
      <c r="F142" s="49">
        <v>41487</v>
      </c>
      <c r="G142" s="92">
        <v>147.18</v>
      </c>
      <c r="H142"/>
      <c r="I142"/>
      <c r="J142"/>
      <c r="K142"/>
      <c r="L142"/>
      <c r="M142"/>
      <c r="N142" s="58">
        <v>2.9429926872756527</v>
      </c>
      <c r="O142" s="53"/>
      <c r="P142" s="53">
        <v>144.23700731272436</v>
      </c>
      <c r="Q142" s="15">
        <v>2.9429926872756527</v>
      </c>
      <c r="R142" s="15"/>
      <c r="S142" s="15"/>
      <c r="T142" s="15"/>
      <c r="U142" s="15"/>
      <c r="V142" s="15"/>
      <c r="W142" s="15"/>
      <c r="X142" s="15"/>
      <c r="Y142" s="15"/>
    </row>
    <row r="143" spans="1:25" s="21" customFormat="1" x14ac:dyDescent="0.55000000000000004">
      <c r="A143" s="17"/>
      <c r="B143"/>
      <c r="C143"/>
      <c r="D143"/>
      <c r="E143"/>
      <c r="F143" s="49">
        <v>41518</v>
      </c>
      <c r="G143" s="92">
        <v>147.83000000000001</v>
      </c>
      <c r="H143"/>
      <c r="I143"/>
      <c r="J143"/>
      <c r="K143"/>
      <c r="L143"/>
      <c r="M143"/>
      <c r="N143" s="58">
        <v>2.9357453969082226</v>
      </c>
      <c r="O143" s="53"/>
      <c r="P143" s="53">
        <v>144.89425460309178</v>
      </c>
      <c r="Q143" s="15">
        <v>2.9357453969082226</v>
      </c>
      <c r="R143" s="15"/>
      <c r="S143" s="15"/>
      <c r="T143" s="15"/>
      <c r="U143" s="15"/>
      <c r="V143" s="15"/>
      <c r="W143" s="15"/>
      <c r="X143" s="15"/>
      <c r="Y143" s="15"/>
    </row>
    <row r="144" spans="1:25" s="21" customFormat="1" x14ac:dyDescent="0.55000000000000004">
      <c r="A144" s="17"/>
      <c r="B144"/>
      <c r="C144"/>
      <c r="D144"/>
      <c r="E144"/>
      <c r="F144" s="49">
        <v>41548</v>
      </c>
      <c r="G144" s="92">
        <v>147.99</v>
      </c>
      <c r="H144"/>
      <c r="I144"/>
      <c r="J144"/>
      <c r="K144"/>
      <c r="L144"/>
      <c r="M144"/>
      <c r="N144" s="58">
        <v>2.8939465064474645</v>
      </c>
      <c r="O144" s="53"/>
      <c r="P144" s="53">
        <v>145.09605349355255</v>
      </c>
      <c r="Q144" s="15">
        <v>2.8939465064474645</v>
      </c>
      <c r="R144" s="15"/>
      <c r="S144" s="15"/>
      <c r="T144" s="15"/>
      <c r="U144" s="15"/>
      <c r="V144" s="15"/>
      <c r="W144" s="15"/>
      <c r="X144" s="15"/>
      <c r="Y144" s="15"/>
    </row>
    <row r="145" spans="1:25" s="21" customFormat="1" x14ac:dyDescent="0.55000000000000004">
      <c r="A145" s="17"/>
      <c r="B145"/>
      <c r="C145"/>
      <c r="D145"/>
      <c r="E145"/>
      <c r="F145" s="49">
        <v>41579</v>
      </c>
      <c r="G145" s="92">
        <v>148.36000000000001</v>
      </c>
      <c r="H145"/>
      <c r="I145"/>
      <c r="J145"/>
      <c r="K145"/>
      <c r="L145"/>
      <c r="M145"/>
      <c r="N145" s="58">
        <v>2.8386994798812535</v>
      </c>
      <c r="O145" s="53"/>
      <c r="P145" s="53">
        <v>145.52130052011876</v>
      </c>
      <c r="Q145" s="15">
        <v>2.8386994798812535</v>
      </c>
      <c r="R145" s="15"/>
      <c r="S145" s="15"/>
      <c r="T145" s="15"/>
      <c r="U145" s="15"/>
      <c r="V145" s="15"/>
      <c r="W145" s="15"/>
      <c r="X145" s="15"/>
      <c r="Y145" s="15"/>
    </row>
    <row r="146" spans="1:25" s="21" customFormat="1" x14ac:dyDescent="0.55000000000000004">
      <c r="A146" s="17"/>
      <c r="B146"/>
      <c r="C146"/>
      <c r="D146"/>
      <c r="E146"/>
      <c r="F146" s="49">
        <v>41609</v>
      </c>
      <c r="G146" s="92">
        <v>148.76</v>
      </c>
      <c r="H146"/>
      <c r="I146"/>
      <c r="J146"/>
      <c r="K146"/>
      <c r="L146"/>
      <c r="M146"/>
      <c r="N146" s="58">
        <v>2.7890065928321848</v>
      </c>
      <c r="O146" s="53"/>
      <c r="P146" s="53">
        <v>145.97099340716781</v>
      </c>
      <c r="Q146" s="15">
        <v>2.7890065928321848</v>
      </c>
      <c r="R146" s="15"/>
      <c r="S146" s="15"/>
      <c r="T146" s="15"/>
      <c r="U146" s="15"/>
      <c r="V146" s="15"/>
      <c r="W146" s="15"/>
      <c r="X146" s="15"/>
      <c r="Y146" s="15"/>
    </row>
    <row r="147" spans="1:25" s="21" customFormat="1" x14ac:dyDescent="0.55000000000000004">
      <c r="A147" s="17"/>
      <c r="B147"/>
      <c r="C147"/>
      <c r="D147"/>
      <c r="E147"/>
      <c r="F147" s="49">
        <v>41640</v>
      </c>
      <c r="G147" s="92">
        <v>148.31</v>
      </c>
      <c r="H147"/>
      <c r="I147"/>
      <c r="J147"/>
      <c r="K147"/>
      <c r="L147"/>
      <c r="M147"/>
      <c r="N147" s="58">
        <v>2.7594462599686791</v>
      </c>
      <c r="O147" s="53"/>
      <c r="P147" s="53">
        <v>145.55055374003132</v>
      </c>
      <c r="Q147" s="15">
        <v>2.7594462599686791</v>
      </c>
      <c r="R147" s="15"/>
      <c r="S147" s="15"/>
      <c r="T147" s="15"/>
      <c r="U147" s="15"/>
      <c r="V147" s="15"/>
      <c r="W147" s="15"/>
      <c r="X147" s="15"/>
      <c r="Y147" s="15"/>
    </row>
    <row r="148" spans="1:25" s="21" customFormat="1" x14ac:dyDescent="0.55000000000000004">
      <c r="A148" s="17"/>
      <c r="B148"/>
      <c r="C148"/>
      <c r="D148"/>
      <c r="E148"/>
      <c r="F148" s="49">
        <v>41671</v>
      </c>
      <c r="G148" s="92">
        <v>148</v>
      </c>
      <c r="H148"/>
      <c r="I148"/>
      <c r="J148"/>
      <c r="K148"/>
      <c r="L148"/>
      <c r="M148"/>
      <c r="N148" s="58">
        <v>2.7584187488452052</v>
      </c>
      <c r="O148" s="53"/>
      <c r="P148" s="53">
        <v>145.2415812511548</v>
      </c>
      <c r="Q148" s="15">
        <v>2.7584187488452052</v>
      </c>
      <c r="R148" s="15"/>
      <c r="S148" s="15"/>
      <c r="T148" s="15"/>
      <c r="U148" s="15"/>
      <c r="V148" s="15"/>
      <c r="W148" s="15"/>
      <c r="X148" s="15"/>
      <c r="Y148" s="15"/>
    </row>
    <row r="149" spans="1:25" s="21" customFormat="1" x14ac:dyDescent="0.55000000000000004">
      <c r="A149" s="17"/>
      <c r="B149"/>
      <c r="C149"/>
      <c r="D149"/>
      <c r="E149"/>
      <c r="F149" s="49">
        <v>41699</v>
      </c>
      <c r="G149" s="92">
        <v>147.78</v>
      </c>
      <c r="H149"/>
      <c r="I149"/>
      <c r="J149"/>
      <c r="K149"/>
      <c r="L149"/>
      <c r="M149"/>
      <c r="N149" s="58">
        <v>2.7871502348765542</v>
      </c>
      <c r="O149" s="53"/>
      <c r="P149" s="53">
        <v>144.99284976512345</v>
      </c>
      <c r="Q149" s="15">
        <v>2.7871502348765542</v>
      </c>
      <c r="R149" s="15"/>
      <c r="S149" s="15"/>
      <c r="T149" s="15"/>
      <c r="U149" s="15"/>
      <c r="V149" s="15"/>
      <c r="W149" s="15"/>
      <c r="X149" s="15"/>
      <c r="Y149" s="15"/>
    </row>
    <row r="150" spans="1:25" s="21" customFormat="1" x14ac:dyDescent="0.55000000000000004">
      <c r="A150" s="17"/>
      <c r="B150"/>
      <c r="C150"/>
      <c r="D150"/>
      <c r="E150"/>
      <c r="F150" s="49">
        <v>41730</v>
      </c>
      <c r="G150" s="92">
        <v>147.07</v>
      </c>
      <c r="H150"/>
      <c r="I150"/>
      <c r="J150"/>
      <c r="K150"/>
      <c r="L150"/>
      <c r="M150"/>
      <c r="N150" s="58">
        <v>2.8395576974581789</v>
      </c>
      <c r="O150" s="53"/>
      <c r="P150" s="53">
        <v>144.2304423025418</v>
      </c>
      <c r="Q150" s="15">
        <v>2.8395576974581789</v>
      </c>
      <c r="R150" s="15"/>
      <c r="S150" s="15"/>
      <c r="T150" s="15"/>
      <c r="U150" s="15"/>
      <c r="V150" s="15"/>
      <c r="W150" s="15"/>
      <c r="X150" s="15"/>
      <c r="Y150" s="15"/>
    </row>
    <row r="151" spans="1:25" s="21" customFormat="1" x14ac:dyDescent="0.55000000000000004">
      <c r="A151" s="17"/>
      <c r="B151"/>
      <c r="C151"/>
      <c r="D151"/>
      <c r="E151"/>
      <c r="F151" s="49">
        <v>41760</v>
      </c>
      <c r="G151" s="92">
        <v>146.37</v>
      </c>
      <c r="H151"/>
      <c r="I151"/>
      <c r="J151"/>
      <c r="K151"/>
      <c r="L151"/>
      <c r="M151"/>
      <c r="N151" s="58">
        <v>2.9029790171644674</v>
      </c>
      <c r="O151" s="53"/>
      <c r="P151" s="53">
        <v>143.46702098283555</v>
      </c>
      <c r="Q151" s="15">
        <v>2.9029790171644674</v>
      </c>
      <c r="R151" s="15"/>
      <c r="S151" s="15"/>
      <c r="T151" s="15"/>
      <c r="U151" s="15"/>
      <c r="V151" s="15"/>
      <c r="W151" s="15"/>
      <c r="X151" s="15"/>
      <c r="Y151" s="15"/>
    </row>
    <row r="152" spans="1:25" s="21" customFormat="1" x14ac:dyDescent="0.55000000000000004">
      <c r="A152" s="17"/>
      <c r="B152"/>
      <c r="C152"/>
      <c r="D152"/>
      <c r="E152"/>
      <c r="F152" s="49">
        <v>41791</v>
      </c>
      <c r="G152" s="92">
        <v>143.43</v>
      </c>
      <c r="H152"/>
      <c r="I152"/>
      <c r="J152"/>
      <c r="K152"/>
      <c r="L152"/>
      <c r="M152"/>
      <c r="N152" s="58">
        <v>2.9596749483963327</v>
      </c>
      <c r="O152" s="53"/>
      <c r="P152" s="53">
        <v>140.47032505160368</v>
      </c>
      <c r="Q152" s="15">
        <v>2.9596749483963327</v>
      </c>
      <c r="R152" s="15"/>
      <c r="S152" s="15"/>
      <c r="T152" s="15"/>
      <c r="U152" s="15"/>
      <c r="V152" s="15"/>
      <c r="W152" s="15"/>
      <c r="X152" s="15"/>
      <c r="Y152" s="15"/>
    </row>
    <row r="153" spans="1:25" s="21" customFormat="1" x14ac:dyDescent="0.55000000000000004">
      <c r="A153" s="17"/>
      <c r="B153"/>
      <c r="C153"/>
      <c r="D153"/>
      <c r="E153"/>
      <c r="F153" s="49">
        <v>41821</v>
      </c>
      <c r="G153" s="92">
        <v>144.66999999999999</v>
      </c>
      <c r="H153"/>
      <c r="I153"/>
      <c r="J153"/>
      <c r="K153"/>
      <c r="L153"/>
      <c r="M153"/>
      <c r="N153" s="58">
        <v>2.9889234406502423</v>
      </c>
      <c r="O153" s="53"/>
      <c r="P153" s="53">
        <v>141.68107655934975</v>
      </c>
      <c r="Q153" s="15">
        <v>2.9889234406502423</v>
      </c>
      <c r="R153" s="15"/>
      <c r="S153" s="15"/>
      <c r="T153" s="15"/>
      <c r="U153" s="15"/>
      <c r="V153" s="15"/>
      <c r="W153" s="15"/>
      <c r="X153" s="15"/>
      <c r="Y153" s="15"/>
    </row>
    <row r="154" spans="1:25" s="21" customFormat="1" x14ac:dyDescent="0.55000000000000004">
      <c r="A154" s="17"/>
      <c r="B154"/>
      <c r="C154"/>
      <c r="D154"/>
      <c r="E154"/>
      <c r="F154" s="49">
        <v>41852</v>
      </c>
      <c r="G154" s="92">
        <v>145.66</v>
      </c>
      <c r="H154"/>
      <c r="I154"/>
      <c r="J154"/>
      <c r="K154"/>
      <c r="L154"/>
      <c r="M154"/>
      <c r="N154" s="58">
        <v>2.9694617372630487</v>
      </c>
      <c r="O154" s="53"/>
      <c r="P154" s="53">
        <v>142.69053826273694</v>
      </c>
      <c r="Q154" s="15">
        <v>2.9694617372630487</v>
      </c>
      <c r="R154" s="15"/>
      <c r="S154" s="15"/>
      <c r="T154" s="15"/>
      <c r="U154" s="15"/>
      <c r="V154" s="15"/>
      <c r="W154" s="15"/>
      <c r="X154" s="15"/>
      <c r="Y154" s="15"/>
    </row>
    <row r="155" spans="1:25" s="21" customFormat="1" x14ac:dyDescent="0.55000000000000004">
      <c r="A155" s="17"/>
      <c r="B155"/>
      <c r="C155"/>
      <c r="D155"/>
      <c r="E155"/>
      <c r="F155" s="49">
        <v>41883</v>
      </c>
      <c r="G155" s="92">
        <v>146.22999999999999</v>
      </c>
      <c r="H155"/>
      <c r="I155"/>
      <c r="J155"/>
      <c r="K155"/>
      <c r="L155"/>
      <c r="M155"/>
      <c r="N155" s="58">
        <v>2.8819950166001065</v>
      </c>
      <c r="O155" s="53"/>
      <c r="P155" s="53">
        <v>143.34800498339987</v>
      </c>
      <c r="Q155" s="15">
        <v>2.8819950166001065</v>
      </c>
      <c r="R155" s="15"/>
      <c r="S155" s="15"/>
      <c r="T155" s="15"/>
      <c r="U155" s="15"/>
      <c r="V155" s="15"/>
      <c r="W155" s="15"/>
      <c r="X155" s="15"/>
      <c r="Y155" s="15"/>
    </row>
    <row r="156" spans="1:25" s="21" customFormat="1" x14ac:dyDescent="0.55000000000000004">
      <c r="A156" s="17"/>
      <c r="B156"/>
      <c r="C156"/>
      <c r="D156"/>
      <c r="E156"/>
      <c r="F156" s="49">
        <v>41913</v>
      </c>
      <c r="G156" s="92">
        <v>145.41</v>
      </c>
      <c r="H156"/>
      <c r="I156"/>
      <c r="J156"/>
      <c r="K156"/>
      <c r="L156"/>
      <c r="M156"/>
      <c r="N156" s="58">
        <v>2.7114860193037398</v>
      </c>
      <c r="O156" s="53"/>
      <c r="P156" s="53">
        <v>142.69851398069625</v>
      </c>
      <c r="Q156" s="15">
        <v>2.7114860193037398</v>
      </c>
      <c r="R156" s="15"/>
      <c r="S156" s="15"/>
      <c r="T156" s="15"/>
      <c r="U156" s="15"/>
      <c r="V156" s="15"/>
      <c r="W156" s="15"/>
      <c r="X156" s="15"/>
      <c r="Y156" s="15"/>
    </row>
    <row r="157" spans="1:25" s="21" customFormat="1" x14ac:dyDescent="0.55000000000000004">
      <c r="A157" s="17"/>
      <c r="B157"/>
      <c r="C157"/>
      <c r="D157"/>
      <c r="E157"/>
      <c r="F157" s="49">
        <v>41944</v>
      </c>
      <c r="G157" s="92">
        <v>145.62</v>
      </c>
      <c r="H157"/>
      <c r="I157"/>
      <c r="J157"/>
      <c r="K157"/>
      <c r="L157"/>
      <c r="M157"/>
      <c r="N157" s="58">
        <v>2.4489683858131785</v>
      </c>
      <c r="O157" s="53"/>
      <c r="P157" s="53">
        <v>143.17103161418683</v>
      </c>
      <c r="Q157" s="15">
        <v>2.4489683858131785</v>
      </c>
      <c r="R157" s="15"/>
      <c r="S157" s="15"/>
      <c r="T157" s="15"/>
      <c r="U157" s="15"/>
      <c r="V157" s="15"/>
      <c r="W157" s="15"/>
      <c r="X157" s="15"/>
      <c r="Y157" s="15"/>
    </row>
    <row r="158" spans="1:25" s="21" customFormat="1" x14ac:dyDescent="0.55000000000000004">
      <c r="A158" s="17"/>
      <c r="B158"/>
      <c r="C158"/>
      <c r="D158"/>
      <c r="E158"/>
      <c r="F158" s="49">
        <v>41974</v>
      </c>
      <c r="G158" s="92">
        <v>146.28</v>
      </c>
      <c r="H158"/>
      <c r="I158"/>
      <c r="J158"/>
      <c r="K158"/>
      <c r="L158"/>
      <c r="M158"/>
      <c r="N158" s="58">
        <v>2.0926838477967857</v>
      </c>
      <c r="O158" s="53"/>
      <c r="P158" s="53">
        <v>144.18731615220321</v>
      </c>
      <c r="Q158" s="15">
        <v>2.0926838477967857</v>
      </c>
      <c r="R158" s="15"/>
      <c r="S158" s="15"/>
      <c r="T158" s="15"/>
      <c r="U158" s="15"/>
      <c r="V158" s="15"/>
      <c r="W158" s="15"/>
      <c r="X158" s="15"/>
      <c r="Y158" s="15"/>
    </row>
    <row r="159" spans="1:25" s="21" customFormat="1" x14ac:dyDescent="0.55000000000000004">
      <c r="A159" s="17"/>
      <c r="B159"/>
      <c r="C159"/>
      <c r="D159"/>
      <c r="E159"/>
      <c r="F159" s="49">
        <v>42005</v>
      </c>
      <c r="G159" s="92">
        <v>145.11000000000001</v>
      </c>
      <c r="H159"/>
      <c r="I159"/>
      <c r="J159"/>
      <c r="K159"/>
      <c r="L159"/>
      <c r="M159"/>
      <c r="N159" s="58">
        <v>1.6484231938008889</v>
      </c>
      <c r="O159" s="53"/>
      <c r="P159" s="53">
        <v>143.46157680619913</v>
      </c>
      <c r="Q159" s="15">
        <v>1.6484231938008889</v>
      </c>
      <c r="R159" s="15"/>
      <c r="S159" s="15"/>
      <c r="T159" s="15"/>
      <c r="U159" s="15"/>
      <c r="V159" s="15"/>
      <c r="W159" s="15"/>
      <c r="X159" s="15"/>
      <c r="Y159" s="15"/>
    </row>
    <row r="160" spans="1:25" s="21" customFormat="1" x14ac:dyDescent="0.55000000000000004">
      <c r="A160" s="17"/>
      <c r="B160"/>
      <c r="C160"/>
      <c r="D160"/>
      <c r="E160"/>
      <c r="F160" s="49">
        <v>42036</v>
      </c>
      <c r="G160" s="92">
        <v>144.05000000000001</v>
      </c>
      <c r="H160"/>
      <c r="I160"/>
      <c r="J160"/>
      <c r="K160"/>
      <c r="L160"/>
      <c r="M160"/>
      <c r="N160" s="58">
        <v>1.1290437455555837</v>
      </c>
      <c r="O160" s="53"/>
      <c r="P160" s="53">
        <v>142.92095625444443</v>
      </c>
      <c r="Q160" s="15">
        <v>1.1290437455555837</v>
      </c>
      <c r="R160" s="15"/>
      <c r="S160" s="15"/>
      <c r="T160" s="15"/>
      <c r="U160" s="15"/>
      <c r="V160" s="15"/>
      <c r="W160" s="15"/>
      <c r="X160" s="15"/>
      <c r="Y160" s="15"/>
    </row>
    <row r="161" spans="1:25" s="21" customFormat="1" x14ac:dyDescent="0.55000000000000004">
      <c r="A161" s="17"/>
      <c r="B161"/>
      <c r="C161"/>
      <c r="D161"/>
      <c r="E161"/>
      <c r="F161" s="49">
        <v>42064</v>
      </c>
      <c r="G161" s="92">
        <v>143.72999999999999</v>
      </c>
      <c r="H161"/>
      <c r="I161"/>
      <c r="J161"/>
      <c r="K161"/>
      <c r="L161"/>
      <c r="M161"/>
      <c r="N161" s="58">
        <v>0.55323115494054997</v>
      </c>
      <c r="O161" s="53"/>
      <c r="P161" s="53">
        <v>143.17676884505943</v>
      </c>
      <c r="Q161" s="15">
        <v>0.55323115494054997</v>
      </c>
      <c r="R161" s="15"/>
      <c r="S161" s="15"/>
      <c r="T161" s="15"/>
      <c r="U161" s="15"/>
      <c r="V161" s="15"/>
      <c r="W161" s="15"/>
      <c r="X161" s="15"/>
      <c r="Y161" s="15"/>
    </row>
    <row r="162" spans="1:25" s="21" customFormat="1" x14ac:dyDescent="0.55000000000000004">
      <c r="A162" s="17"/>
      <c r="B162"/>
      <c r="C162"/>
      <c r="D162"/>
      <c r="E162"/>
      <c r="F162" s="49">
        <v>42095</v>
      </c>
      <c r="G162" s="92">
        <v>142.02000000000001</v>
      </c>
      <c r="H162"/>
      <c r="I162"/>
      <c r="J162"/>
      <c r="K162"/>
      <c r="L162"/>
      <c r="M162"/>
      <c r="N162" s="58">
        <v>-5.6340344074556459E-2</v>
      </c>
      <c r="O162" s="53"/>
      <c r="P162" s="53">
        <v>142.07634034407457</v>
      </c>
      <c r="Q162" s="15">
        <v>-5.6340344074556459E-2</v>
      </c>
      <c r="R162" s="15"/>
      <c r="S162" s="15"/>
      <c r="T162" s="15"/>
      <c r="U162" s="15"/>
      <c r="V162" s="15"/>
      <c r="W162" s="15"/>
      <c r="X162" s="15"/>
      <c r="Y162" s="15"/>
    </row>
    <row r="163" spans="1:25" s="21" customFormat="1" x14ac:dyDescent="0.55000000000000004">
      <c r="A163" s="17"/>
      <c r="B163"/>
      <c r="C163"/>
      <c r="D163"/>
      <c r="E163"/>
      <c r="F163" s="49">
        <v>42125</v>
      </c>
      <c r="G163" s="92">
        <v>141.07</v>
      </c>
      <c r="H163"/>
      <c r="I163"/>
      <c r="J163"/>
      <c r="K163"/>
      <c r="L163"/>
      <c r="M163"/>
      <c r="N163" s="58">
        <v>-0.6752274842313053</v>
      </c>
      <c r="O163" s="53"/>
      <c r="P163" s="53">
        <v>141.74522748423129</v>
      </c>
      <c r="Q163" s="15">
        <v>-0.6752274842313053</v>
      </c>
      <c r="R163" s="15"/>
      <c r="S163" s="15"/>
      <c r="T163" s="15"/>
      <c r="U163" s="15"/>
      <c r="V163" s="15"/>
      <c r="W163" s="15"/>
      <c r="X163" s="15"/>
      <c r="Y163" s="15"/>
    </row>
    <row r="164" spans="1:25" s="21" customFormat="1" x14ac:dyDescent="0.55000000000000004">
      <c r="A164" s="17"/>
      <c r="B164"/>
      <c r="C164"/>
      <c r="D164"/>
      <c r="E164"/>
      <c r="F164" s="49">
        <v>42156</v>
      </c>
      <c r="G164" s="92">
        <v>139.55000000000001</v>
      </c>
      <c r="H164"/>
      <c r="I164"/>
      <c r="J164"/>
      <c r="K164"/>
      <c r="L164"/>
      <c r="M164"/>
      <c r="N164" s="58">
        <v>-1.2795544500377893</v>
      </c>
      <c r="O164" s="53"/>
      <c r="P164" s="53">
        <v>140.82955445003779</v>
      </c>
      <c r="Q164" s="15">
        <v>-1.2795544500377893</v>
      </c>
      <c r="R164" s="15"/>
      <c r="S164" s="15"/>
      <c r="T164" s="15"/>
      <c r="U164" s="15"/>
      <c r="V164" s="15"/>
      <c r="W164" s="15"/>
      <c r="X164" s="15"/>
      <c r="Y164" s="15"/>
    </row>
    <row r="165" spans="1:25" s="21" customFormat="1" x14ac:dyDescent="0.55000000000000004">
      <c r="A165" s="17"/>
      <c r="B165"/>
      <c r="C165"/>
      <c r="D165"/>
      <c r="E165"/>
      <c r="F165" s="49">
        <v>42186</v>
      </c>
      <c r="G165" s="92">
        <v>138.41999999999999</v>
      </c>
      <c r="H165"/>
      <c r="I165"/>
      <c r="J165"/>
      <c r="K165"/>
      <c r="L165"/>
      <c r="M165"/>
      <c r="N165" s="58">
        <v>-1.8481934915650893</v>
      </c>
      <c r="O165" s="53"/>
      <c r="P165" s="53">
        <v>140.26819349156509</v>
      </c>
      <c r="Q165" s="15">
        <v>-1.8481934915650893</v>
      </c>
      <c r="R165" s="15"/>
      <c r="S165" s="15"/>
      <c r="T165" s="15"/>
      <c r="U165" s="15"/>
      <c r="V165" s="15"/>
      <c r="W165" s="15"/>
      <c r="X165" s="15"/>
      <c r="Y165" s="15"/>
    </row>
    <row r="166" spans="1:25" s="21" customFormat="1" x14ac:dyDescent="0.55000000000000004">
      <c r="A166" s="17"/>
      <c r="B166"/>
      <c r="C166"/>
      <c r="D166"/>
      <c r="E166"/>
      <c r="F166" s="49">
        <v>42217</v>
      </c>
      <c r="G166" s="92">
        <v>138.83000000000001</v>
      </c>
      <c r="H166"/>
      <c r="I166"/>
      <c r="J166"/>
      <c r="K166"/>
      <c r="L166"/>
      <c r="M166"/>
      <c r="N166" s="58">
        <v>-2.3645391480866595</v>
      </c>
      <c r="O166" s="53"/>
      <c r="P166" s="53">
        <v>141.19453914808668</v>
      </c>
      <c r="Q166" s="15">
        <v>-2.3645391480866595</v>
      </c>
      <c r="R166" s="15"/>
      <c r="S166" s="15"/>
      <c r="T166" s="15"/>
      <c r="U166" s="15"/>
      <c r="V166" s="15"/>
      <c r="W166" s="15"/>
      <c r="X166" s="15"/>
      <c r="Y166" s="15"/>
    </row>
    <row r="167" spans="1:25" s="21" customFormat="1" x14ac:dyDescent="0.55000000000000004">
      <c r="A167" s="17"/>
      <c r="B167"/>
      <c r="C167"/>
      <c r="D167"/>
      <c r="E167"/>
      <c r="F167" s="49">
        <v>42248</v>
      </c>
      <c r="G167" s="92">
        <v>137.71</v>
      </c>
      <c r="H167"/>
      <c r="I167"/>
      <c r="J167"/>
      <c r="K167"/>
      <c r="L167"/>
      <c r="M167"/>
      <c r="N167" s="58">
        <v>-2.8176773765788812</v>
      </c>
      <c r="O167" s="53"/>
      <c r="P167" s="53">
        <v>140.52767737657888</v>
      </c>
      <c r="Q167" s="15">
        <v>-2.8176773765788812</v>
      </c>
      <c r="R167" s="15"/>
      <c r="S167" s="15"/>
      <c r="T167" s="15"/>
      <c r="U167" s="15"/>
      <c r="V167" s="15"/>
      <c r="W167" s="15"/>
      <c r="X167" s="15"/>
      <c r="Y167" s="15"/>
    </row>
    <row r="168" spans="1:25" s="21" customFormat="1" x14ac:dyDescent="0.55000000000000004">
      <c r="A168" s="17"/>
      <c r="B168"/>
      <c r="C168"/>
      <c r="D168"/>
      <c r="E168"/>
      <c r="F168" s="49">
        <v>42278</v>
      </c>
      <c r="G168" s="92">
        <v>138.78</v>
      </c>
      <c r="H168"/>
      <c r="I168"/>
      <c r="J168"/>
      <c r="K168"/>
      <c r="L168"/>
      <c r="M168"/>
      <c r="N168" s="58">
        <v>-3.2028260577104457</v>
      </c>
      <c r="O168" s="53"/>
      <c r="P168" s="53">
        <v>141.98282605771044</v>
      </c>
      <c r="Q168" s="15">
        <v>-3.2028260577104457</v>
      </c>
      <c r="R168" s="15"/>
      <c r="S168" s="15"/>
      <c r="T168" s="15"/>
      <c r="U168" s="15"/>
      <c r="V168" s="15"/>
      <c r="W168" s="15"/>
      <c r="X168" s="15"/>
      <c r="Y168" s="15"/>
    </row>
    <row r="169" spans="1:25" s="21" customFormat="1" x14ac:dyDescent="0.55000000000000004">
      <c r="A169" s="17"/>
      <c r="B169"/>
      <c r="C169"/>
      <c r="D169"/>
      <c r="E169"/>
      <c r="F169" s="49">
        <v>42309</v>
      </c>
      <c r="G169" s="92">
        <v>136.81</v>
      </c>
      <c r="H169"/>
      <c r="I169"/>
      <c r="J169"/>
      <c r="K169"/>
      <c r="L169"/>
      <c r="M169"/>
      <c r="N169" s="58">
        <v>-3.5210129821367628</v>
      </c>
      <c r="O169" s="53"/>
      <c r="P169" s="53">
        <v>140.33101298213677</v>
      </c>
      <c r="Q169" s="15">
        <v>-3.5210129821367628</v>
      </c>
      <c r="R169" s="15"/>
      <c r="S169" s="15"/>
      <c r="T169" s="15"/>
      <c r="U169" s="15"/>
      <c r="V169" s="15"/>
      <c r="W169" s="15"/>
      <c r="X169" s="15"/>
      <c r="Y169" s="15"/>
    </row>
    <row r="170" spans="1:25" s="21" customFormat="1" x14ac:dyDescent="0.55000000000000004">
      <c r="A170" s="17"/>
      <c r="B170"/>
      <c r="C170"/>
      <c r="D170"/>
      <c r="E170"/>
      <c r="F170" s="49">
        <v>42339</v>
      </c>
      <c r="G170" s="92">
        <v>136.47999999999999</v>
      </c>
      <c r="H170"/>
      <c r="I170"/>
      <c r="J170"/>
      <c r="K170"/>
      <c r="L170"/>
      <c r="M170"/>
      <c r="N170" s="58">
        <v>-3.7780508689347427</v>
      </c>
      <c r="O170" s="53"/>
      <c r="P170" s="53">
        <v>140.25805086893473</v>
      </c>
      <c r="Q170" s="15">
        <v>-3.7780508689347427</v>
      </c>
      <c r="R170" s="15"/>
      <c r="S170" s="15"/>
      <c r="T170" s="15"/>
      <c r="U170" s="15"/>
      <c r="V170" s="15"/>
      <c r="W170" s="15"/>
      <c r="X170" s="15"/>
      <c r="Y170" s="15"/>
    </row>
    <row r="171" spans="1:25" s="21" customFormat="1" x14ac:dyDescent="0.55000000000000004">
      <c r="A171" s="17"/>
      <c r="B171"/>
      <c r="C171"/>
      <c r="D171"/>
      <c r="E171"/>
      <c r="F171" s="49">
        <v>42370</v>
      </c>
      <c r="G171" s="92">
        <v>135.58000000000001</v>
      </c>
      <c r="H171"/>
      <c r="I171"/>
      <c r="J171"/>
      <c r="K171"/>
      <c r="L171"/>
      <c r="M171"/>
      <c r="N171" s="58">
        <v>-3.9829551111090873</v>
      </c>
      <c r="O171" s="53"/>
      <c r="P171" s="53">
        <v>139.56295511110909</v>
      </c>
      <c r="Q171" s="15">
        <v>-3.9829551111090873</v>
      </c>
      <c r="R171" s="15"/>
      <c r="S171" s="15"/>
      <c r="T171" s="15"/>
      <c r="U171" s="15"/>
      <c r="V171" s="15"/>
      <c r="W171" s="15"/>
      <c r="X171" s="15"/>
      <c r="Y171" s="15"/>
    </row>
    <row r="172" spans="1:25" s="21" customFormat="1" x14ac:dyDescent="0.55000000000000004">
      <c r="A172" s="17"/>
      <c r="B172"/>
      <c r="C172"/>
      <c r="D172"/>
      <c r="E172"/>
      <c r="F172" s="49">
        <v>42401</v>
      </c>
      <c r="G172" s="92">
        <v>135.41999999999999</v>
      </c>
      <c r="H172"/>
      <c r="I172"/>
      <c r="J172"/>
      <c r="K172"/>
      <c r="L172"/>
      <c r="M172"/>
      <c r="N172" s="58">
        <v>-4.1460184604909243</v>
      </c>
      <c r="O172" s="53"/>
      <c r="P172" s="53">
        <v>139.56601846049091</v>
      </c>
      <c r="Q172" s="15">
        <v>-4.1460184604909243</v>
      </c>
      <c r="R172" s="15"/>
      <c r="S172" s="15"/>
      <c r="T172" s="15"/>
      <c r="U172" s="15"/>
      <c r="V172" s="15"/>
      <c r="W172" s="15"/>
      <c r="X172" s="15"/>
      <c r="Y172" s="15"/>
    </row>
    <row r="173" spans="1:25" s="21" customFormat="1" x14ac:dyDescent="0.55000000000000004">
      <c r="A173" s="17"/>
      <c r="B173"/>
      <c r="C173"/>
      <c r="D173"/>
      <c r="E173"/>
      <c r="F173" s="49">
        <v>42430</v>
      </c>
      <c r="G173" s="92">
        <v>134.47</v>
      </c>
      <c r="H173"/>
      <c r="I173"/>
      <c r="J173"/>
      <c r="K173"/>
      <c r="L173"/>
      <c r="M173"/>
      <c r="N173" s="58">
        <v>-4.2767994526640036</v>
      </c>
      <c r="O173" s="53"/>
      <c r="P173" s="53">
        <v>138.74679945266399</v>
      </c>
      <c r="Q173" s="15">
        <v>-4.2767994526640036</v>
      </c>
      <c r="R173" s="15"/>
      <c r="S173" s="15"/>
      <c r="T173" s="15"/>
      <c r="U173" s="15"/>
      <c r="V173" s="15"/>
      <c r="W173" s="15"/>
      <c r="X173" s="15"/>
      <c r="Y173" s="15"/>
    </row>
    <row r="174" spans="1:25" s="21" customFormat="1" x14ac:dyDescent="0.55000000000000004">
      <c r="A174" s="17"/>
      <c r="B174"/>
      <c r="C174"/>
      <c r="D174"/>
      <c r="E174"/>
      <c r="F174" s="49">
        <v>42461</v>
      </c>
      <c r="G174" s="92">
        <v>134.49</v>
      </c>
      <c r="H174"/>
      <c r="I174"/>
      <c r="J174"/>
      <c r="K174"/>
      <c r="L174"/>
      <c r="M174"/>
      <c r="N174" s="58">
        <v>-4.3822927317623668</v>
      </c>
      <c r="O174" s="53"/>
      <c r="P174" s="53">
        <v>138.87229273176237</v>
      </c>
      <c r="Q174" s="15">
        <v>-4.3822927317623668</v>
      </c>
      <c r="R174" s="15"/>
      <c r="S174" s="15"/>
      <c r="T174" s="15"/>
      <c r="U174" s="15"/>
      <c r="V174" s="15"/>
      <c r="W174" s="15"/>
      <c r="X174" s="15"/>
      <c r="Y174" s="15"/>
    </row>
    <row r="175" spans="1:25" s="21" customFormat="1" x14ac:dyDescent="0.55000000000000004">
      <c r="A175" s="17"/>
      <c r="B175"/>
      <c r="C175"/>
      <c r="D175"/>
      <c r="E175"/>
      <c r="F175" s="49">
        <v>42491</v>
      </c>
      <c r="G175" s="92">
        <v>134.07</v>
      </c>
      <c r="H175"/>
      <c r="I175"/>
      <c r="J175"/>
      <c r="K175"/>
      <c r="L175"/>
      <c r="M175"/>
      <c r="N175" s="58">
        <v>-4.4655279151619807</v>
      </c>
      <c r="O175" s="53"/>
      <c r="P175" s="53">
        <v>138.53552791516196</v>
      </c>
      <c r="Q175" s="15">
        <v>-4.4655279151619807</v>
      </c>
      <c r="R175" s="15"/>
      <c r="S175" s="15"/>
      <c r="T175" s="15"/>
      <c r="U175" s="15"/>
      <c r="V175" s="15"/>
      <c r="W175" s="15"/>
      <c r="X175" s="15"/>
      <c r="Y175" s="15"/>
    </row>
    <row r="176" spans="1:25" s="21" customFormat="1" x14ac:dyDescent="0.55000000000000004">
      <c r="A176" s="17"/>
      <c r="B176"/>
      <c r="C176"/>
      <c r="D176"/>
      <c r="E176"/>
      <c r="F176" s="49">
        <v>42522</v>
      </c>
      <c r="G176" s="92">
        <v>134.57</v>
      </c>
      <c r="H176"/>
      <c r="I176"/>
      <c r="J176"/>
      <c r="K176"/>
      <c r="L176"/>
      <c r="M176"/>
      <c r="N176" s="58">
        <v>-4.5247914687557076</v>
      </c>
      <c r="O176" s="53"/>
      <c r="P176" s="53">
        <v>139.09479146875569</v>
      </c>
      <c r="Q176" s="15">
        <v>-4.5247914687557076</v>
      </c>
      <c r="R176" s="15"/>
      <c r="S176" s="15"/>
      <c r="T176" s="15"/>
      <c r="U176" s="15"/>
      <c r="V176" s="15"/>
      <c r="W176" s="15"/>
      <c r="X176" s="15"/>
      <c r="Y176" s="15"/>
    </row>
    <row r="177" spans="1:25" s="21" customFormat="1" x14ac:dyDescent="0.55000000000000004">
      <c r="A177" s="17"/>
      <c r="B177"/>
      <c r="C177"/>
      <c r="D177"/>
      <c r="E177"/>
      <c r="F177" s="49">
        <v>42552</v>
      </c>
      <c r="G177" s="92">
        <v>134.43</v>
      </c>
      <c r="H177"/>
      <c r="I177"/>
      <c r="J177"/>
      <c r="K177"/>
      <c r="L177"/>
      <c r="M177"/>
      <c r="N177" s="58">
        <v>-4.5535891351224063</v>
      </c>
      <c r="O177" s="53"/>
      <c r="P177" s="53">
        <v>138.9835891351224</v>
      </c>
      <c r="Q177" s="15">
        <v>-4.5535891351224063</v>
      </c>
      <c r="R177" s="15"/>
      <c r="S177" s="15"/>
      <c r="T177" s="15"/>
      <c r="U177" s="15"/>
      <c r="V177" s="15"/>
      <c r="W177" s="15"/>
      <c r="X177" s="15"/>
      <c r="Y177" s="15"/>
    </row>
    <row r="178" spans="1:25" s="21" customFormat="1" x14ac:dyDescent="0.55000000000000004">
      <c r="A178" s="17"/>
      <c r="B178"/>
      <c r="C178"/>
      <c r="D178"/>
      <c r="E178"/>
      <c r="F178" s="49">
        <v>42583</v>
      </c>
      <c r="G178" s="92">
        <v>133.72</v>
      </c>
      <c r="H178"/>
      <c r="I178"/>
      <c r="J178"/>
      <c r="K178"/>
      <c r="L178"/>
      <c r="M178"/>
      <c r="N178" s="58">
        <v>-4.54137367539197</v>
      </c>
      <c r="O178" s="53"/>
      <c r="P178" s="53">
        <v>138.26137367539198</v>
      </c>
      <c r="Q178" s="15">
        <v>-4.54137367539197</v>
      </c>
      <c r="R178" s="15"/>
      <c r="S178" s="15"/>
      <c r="T178" s="15"/>
      <c r="U178" s="15"/>
      <c r="V178" s="15"/>
      <c r="W178" s="15"/>
      <c r="X178" s="15"/>
      <c r="Y178" s="15"/>
    </row>
    <row r="179" spans="1:25" s="21" customFormat="1" x14ac:dyDescent="0.55000000000000004">
      <c r="A179" s="17"/>
      <c r="B179"/>
      <c r="C179"/>
      <c r="D179"/>
      <c r="E179"/>
      <c r="F179" s="49">
        <v>42614</v>
      </c>
      <c r="G179" s="92">
        <v>133.63999999999999</v>
      </c>
      <c r="H179"/>
      <c r="I179"/>
      <c r="J179"/>
      <c r="K179"/>
      <c r="L179"/>
      <c r="M179"/>
      <c r="N179" s="58">
        <v>-4.4749649695696707</v>
      </c>
      <c r="O179" s="53"/>
      <c r="P179" s="53">
        <v>138.11496496956966</v>
      </c>
      <c r="Q179" s="15">
        <v>-4.4749649695696707</v>
      </c>
      <c r="R179" s="15"/>
      <c r="S179" s="15"/>
      <c r="T179" s="15"/>
      <c r="U179" s="15"/>
      <c r="V179" s="15"/>
      <c r="W179" s="15"/>
      <c r="X179" s="15"/>
      <c r="Y179" s="15"/>
    </row>
    <row r="180" spans="1:25" s="21" customFormat="1" x14ac:dyDescent="0.55000000000000004">
      <c r="A180" s="17"/>
      <c r="B180"/>
      <c r="C180"/>
      <c r="D180"/>
      <c r="E180"/>
      <c r="F180" s="49">
        <v>42644</v>
      </c>
      <c r="G180" s="92">
        <v>133.34</v>
      </c>
      <c r="H180"/>
      <c r="I180"/>
      <c r="J180"/>
      <c r="K180"/>
      <c r="L180"/>
      <c r="M180"/>
      <c r="N180" s="58">
        <v>-4.3404985522262756</v>
      </c>
      <c r="O180" s="53"/>
      <c r="P180" s="53">
        <v>137.68049855222628</v>
      </c>
      <c r="Q180" s="15">
        <v>-4.3404985522262756</v>
      </c>
      <c r="R180" s="15"/>
      <c r="S180" s="15"/>
      <c r="T180" s="15"/>
      <c r="U180" s="15"/>
      <c r="V180" s="15"/>
      <c r="W180" s="15"/>
      <c r="X180" s="15"/>
      <c r="Y180" s="15"/>
    </row>
    <row r="181" spans="1:25" s="21" customFormat="1" x14ac:dyDescent="0.55000000000000004">
      <c r="A181" s="17"/>
      <c r="B181"/>
      <c r="C181"/>
      <c r="D181"/>
      <c r="E181"/>
      <c r="F181" s="49">
        <v>42675</v>
      </c>
      <c r="G181" s="92">
        <v>133.13999999999999</v>
      </c>
      <c r="H181"/>
      <c r="I181"/>
      <c r="J181"/>
      <c r="K181"/>
      <c r="L181"/>
      <c r="M181"/>
      <c r="N181" s="58">
        <v>-4.1256655338175801</v>
      </c>
      <c r="O181" s="53"/>
      <c r="P181" s="53">
        <v>137.26566553381755</v>
      </c>
      <c r="Q181" s="15">
        <v>-4.1256655338175801</v>
      </c>
      <c r="R181" s="15"/>
      <c r="S181" s="15"/>
      <c r="T181" s="15"/>
      <c r="U181" s="15"/>
      <c r="V181" s="15"/>
      <c r="W181" s="15"/>
      <c r="X181" s="15"/>
      <c r="Y181" s="15"/>
    </row>
    <row r="182" spans="1:25" s="21" customFormat="1" x14ac:dyDescent="0.55000000000000004">
      <c r="A182" s="17"/>
      <c r="B182"/>
      <c r="C182"/>
      <c r="D182"/>
      <c r="E182"/>
      <c r="F182" s="49">
        <v>42705</v>
      </c>
      <c r="G182" s="92">
        <v>132.54</v>
      </c>
      <c r="H182"/>
      <c r="I182"/>
      <c r="J182"/>
      <c r="K182"/>
      <c r="L182"/>
      <c r="M182"/>
      <c r="N182" s="58">
        <v>-3.8219607710956405</v>
      </c>
      <c r="O182" s="53"/>
      <c r="P182" s="53">
        <v>136.36196077109562</v>
      </c>
      <c r="Q182" s="15">
        <v>-3.8219607710956405</v>
      </c>
      <c r="R182" s="15"/>
      <c r="S182" s="15"/>
      <c r="T182" s="15"/>
      <c r="U182" s="15"/>
      <c r="V182" s="15"/>
      <c r="W182" s="15"/>
      <c r="X182" s="15"/>
      <c r="Y182" s="15"/>
    </row>
    <row r="183" spans="1:25" s="21" customFormat="1" x14ac:dyDescent="0.55000000000000004">
      <c r="A183" s="17"/>
      <c r="B183"/>
      <c r="C183"/>
      <c r="D183"/>
      <c r="E183"/>
      <c r="F183" s="49">
        <v>42736</v>
      </c>
      <c r="G183" s="92">
        <v>133.61000000000001</v>
      </c>
      <c r="H183"/>
      <c r="I183"/>
      <c r="J183"/>
      <c r="K183"/>
      <c r="L183"/>
      <c r="M183"/>
      <c r="N183" s="58">
        <v>-3.4266433019885598</v>
      </c>
      <c r="O183" s="53"/>
      <c r="P183" s="53">
        <v>137.03664330198856</v>
      </c>
      <c r="Q183" s="15">
        <v>-3.4266433019885598</v>
      </c>
      <c r="R183" s="15"/>
      <c r="S183" s="15"/>
      <c r="T183" s="15"/>
      <c r="U183" s="15"/>
      <c r="V183" s="15"/>
      <c r="W183" s="15"/>
      <c r="X183" s="15"/>
      <c r="Y183" s="15"/>
    </row>
    <row r="184" spans="1:25" s="21" customFormat="1" x14ac:dyDescent="0.55000000000000004">
      <c r="A184" s="17"/>
      <c r="B184"/>
      <c r="C184"/>
      <c r="D184"/>
      <c r="E184"/>
      <c r="F184" s="49">
        <v>42767</v>
      </c>
      <c r="G184" s="92">
        <v>135.55000000000001</v>
      </c>
      <c r="H184"/>
      <c r="I184"/>
      <c r="J184"/>
      <c r="K184"/>
      <c r="L184"/>
      <c r="M184"/>
      <c r="N184" s="58">
        <v>-2.9441358735472667</v>
      </c>
      <c r="O184" s="53"/>
      <c r="P184" s="53">
        <v>138.49413587354726</v>
      </c>
      <c r="Q184" s="15">
        <v>-2.9441358735472667</v>
      </c>
      <c r="R184" s="15"/>
      <c r="S184" s="15"/>
      <c r="T184" s="15"/>
      <c r="U184" s="15"/>
      <c r="V184" s="15"/>
      <c r="W184" s="15"/>
      <c r="X184" s="15"/>
      <c r="Y184" s="15"/>
    </row>
    <row r="185" spans="1:25" s="21" customFormat="1" x14ac:dyDescent="0.55000000000000004">
      <c r="A185" s="17"/>
      <c r="B185"/>
      <c r="C185"/>
      <c r="D185"/>
      <c r="E185"/>
      <c r="F185" s="49">
        <v>42795</v>
      </c>
      <c r="G185" s="92">
        <v>135.34</v>
      </c>
      <c r="H185"/>
      <c r="I185"/>
      <c r="J185"/>
      <c r="K185"/>
      <c r="L185"/>
      <c r="M185"/>
      <c r="N185" s="58">
        <v>-2.3866471581633188</v>
      </c>
      <c r="O185" s="53"/>
      <c r="P185" s="53">
        <v>137.72664715816333</v>
      </c>
      <c r="Q185" s="15">
        <v>-2.3866471581633188</v>
      </c>
      <c r="R185" s="15"/>
      <c r="S185" s="15"/>
      <c r="T185" s="15"/>
      <c r="U185" s="15"/>
      <c r="V185" s="15"/>
      <c r="W185" s="15"/>
      <c r="X185" s="15"/>
      <c r="Y185" s="15"/>
    </row>
    <row r="186" spans="1:25" s="21" customFormat="1" x14ac:dyDescent="0.55000000000000004">
      <c r="A186" s="17"/>
      <c r="B186"/>
      <c r="C186"/>
      <c r="D186"/>
      <c r="E186"/>
      <c r="F186" s="49">
        <v>42826</v>
      </c>
      <c r="G186" s="92">
        <v>135.29</v>
      </c>
      <c r="H186"/>
      <c r="I186"/>
      <c r="J186"/>
      <c r="K186"/>
      <c r="L186"/>
      <c r="M186"/>
      <c r="N186" s="58">
        <v>-1.7738852495359141</v>
      </c>
      <c r="O186" s="53"/>
      <c r="P186" s="53">
        <v>137.0638852495359</v>
      </c>
      <c r="Q186" s="15">
        <v>-1.7738852495359141</v>
      </c>
      <c r="R186" s="15"/>
      <c r="S186" s="15"/>
      <c r="T186" s="15"/>
      <c r="U186" s="15"/>
      <c r="V186" s="15"/>
      <c r="W186" s="15"/>
      <c r="X186" s="15"/>
      <c r="Y186" s="15"/>
    </row>
    <row r="187" spans="1:25" s="21" customFormat="1" x14ac:dyDescent="0.55000000000000004">
      <c r="A187" s="17"/>
      <c r="B187"/>
      <c r="C187"/>
      <c r="D187"/>
      <c r="E187"/>
      <c r="F187" s="49">
        <v>42856</v>
      </c>
      <c r="G187" s="92">
        <v>135.06</v>
      </c>
      <c r="H187"/>
      <c r="I187"/>
      <c r="J187"/>
      <c r="K187"/>
      <c r="L187"/>
      <c r="M187"/>
      <c r="N187" s="58">
        <v>-1.131835093897656</v>
      </c>
      <c r="O187" s="53"/>
      <c r="P187" s="53">
        <v>136.19183509389765</v>
      </c>
      <c r="Q187" s="15">
        <v>-1.131835093897656</v>
      </c>
      <c r="R187" s="15"/>
      <c r="S187" s="15"/>
      <c r="T187" s="15"/>
      <c r="U187" s="15"/>
      <c r="V187" s="15"/>
      <c r="W187" s="15"/>
      <c r="X187" s="15"/>
      <c r="Y187" s="15"/>
    </row>
    <row r="188" spans="1:25" s="21" customFormat="1" x14ac:dyDescent="0.55000000000000004">
      <c r="A188" s="17"/>
      <c r="B188"/>
      <c r="C188"/>
      <c r="D188"/>
      <c r="E188"/>
      <c r="F188" s="49">
        <v>42887</v>
      </c>
      <c r="G188" s="92">
        <v>135.94999999999999</v>
      </c>
      <c r="H188"/>
      <c r="I188"/>
      <c r="J188"/>
      <c r="K188"/>
      <c r="L188"/>
      <c r="M188"/>
      <c r="N188" s="58">
        <v>-0.49068402548718071</v>
      </c>
      <c r="O188" s="53"/>
      <c r="P188" s="53">
        <v>136.44068402548717</v>
      </c>
      <c r="Q188" s="15">
        <v>-0.49068402548718071</v>
      </c>
      <c r="R188" s="15"/>
      <c r="S188" s="15"/>
      <c r="T188" s="15"/>
      <c r="U188" s="15"/>
      <c r="V188" s="15"/>
      <c r="W188" s="15"/>
      <c r="X188" s="15"/>
      <c r="Y188" s="15"/>
    </row>
    <row r="189" spans="1:25" s="21" customFormat="1" x14ac:dyDescent="0.55000000000000004">
      <c r="A189" s="17"/>
      <c r="B189"/>
      <c r="C189"/>
      <c r="D189"/>
      <c r="E189"/>
      <c r="F189" s="49">
        <v>42917</v>
      </c>
      <c r="G189" s="92">
        <v>136.34</v>
      </c>
      <c r="H189"/>
      <c r="I189"/>
      <c r="J189"/>
      <c r="K189"/>
      <c r="L189"/>
      <c r="M189"/>
      <c r="N189" s="58">
        <v>0.1179142557457209</v>
      </c>
      <c r="O189" s="53"/>
      <c r="P189" s="53">
        <v>136.22208574425429</v>
      </c>
      <c r="Q189" s="15">
        <v>0.1179142557457209</v>
      </c>
      <c r="R189" s="15"/>
      <c r="S189" s="15"/>
      <c r="T189" s="15"/>
      <c r="U189" s="15"/>
      <c r="V189" s="15"/>
      <c r="W189" s="15"/>
      <c r="X189" s="15"/>
      <c r="Y189" s="15"/>
    </row>
    <row r="190" spans="1:25" s="21" customFormat="1" x14ac:dyDescent="0.55000000000000004">
      <c r="A190" s="17"/>
      <c r="B190"/>
      <c r="C190"/>
      <c r="D190"/>
      <c r="E190"/>
      <c r="F190" s="49">
        <v>42948</v>
      </c>
      <c r="G190" s="92">
        <v>135.63999999999999</v>
      </c>
      <c r="H190"/>
      <c r="I190"/>
      <c r="J190"/>
      <c r="K190"/>
      <c r="L190"/>
      <c r="M190"/>
      <c r="N190" s="58">
        <v>0.66395863209519945</v>
      </c>
      <c r="O190" s="53"/>
      <c r="P190" s="53">
        <v>134.9760413679048</v>
      </c>
      <c r="Q190" s="15">
        <v>0.66395863209519945</v>
      </c>
      <c r="R190" s="15"/>
      <c r="S190" s="15"/>
      <c r="T190" s="15"/>
      <c r="U190" s="15"/>
      <c r="V190" s="15"/>
      <c r="W190" s="15"/>
      <c r="X190" s="15"/>
      <c r="Y190" s="15"/>
    </row>
    <row r="191" spans="1:25" s="21" customFormat="1" x14ac:dyDescent="0.55000000000000004">
      <c r="A191" s="17"/>
      <c r="B191"/>
      <c r="C191"/>
      <c r="D191"/>
      <c r="E191"/>
      <c r="F191" s="49">
        <v>42979</v>
      </c>
      <c r="G191" s="92">
        <v>135.63999999999999</v>
      </c>
      <c r="H191"/>
      <c r="I191"/>
      <c r="J191"/>
      <c r="K191"/>
      <c r="L191"/>
      <c r="M191"/>
      <c r="N191" s="58">
        <v>1.1222642199843216</v>
      </c>
      <c r="O191" s="53"/>
      <c r="P191" s="53">
        <v>134.51773578001567</v>
      </c>
      <c r="Q191" s="15">
        <v>1.1222642199843216</v>
      </c>
      <c r="R191" s="15"/>
      <c r="S191" s="15"/>
      <c r="T191" s="15"/>
      <c r="U191" s="15"/>
      <c r="V191" s="15"/>
      <c r="W191" s="15"/>
      <c r="X191" s="15"/>
      <c r="Y191" s="15"/>
    </row>
    <row r="192" spans="1:25" s="21" customFormat="1" x14ac:dyDescent="0.55000000000000004">
      <c r="A192" s="17"/>
      <c r="B192"/>
      <c r="C192"/>
      <c r="D192"/>
      <c r="E192"/>
      <c r="F192" s="49">
        <v>43009</v>
      </c>
      <c r="G192" s="92">
        <v>136.04</v>
      </c>
      <c r="H192"/>
      <c r="I192"/>
      <c r="J192"/>
      <c r="K192"/>
      <c r="L192"/>
      <c r="M192"/>
      <c r="N192" s="58">
        <v>1.47530947496187</v>
      </c>
      <c r="O192" s="53"/>
      <c r="P192" s="53">
        <v>134.56469052503812</v>
      </c>
      <c r="Q192" s="15">
        <v>1.47530947496187</v>
      </c>
      <c r="R192" s="15"/>
      <c r="S192" s="15"/>
      <c r="T192" s="15"/>
      <c r="U192" s="15"/>
      <c r="V192" s="15"/>
      <c r="W192" s="15"/>
      <c r="X192" s="15"/>
      <c r="Y192" s="15"/>
    </row>
    <row r="193" spans="1:25" s="21" customFormat="1" x14ac:dyDescent="0.55000000000000004">
      <c r="A193" s="17"/>
      <c r="B193"/>
      <c r="C193"/>
      <c r="D193"/>
      <c r="E193"/>
      <c r="F193" s="49">
        <v>43040</v>
      </c>
      <c r="G193" s="92">
        <v>135.99</v>
      </c>
      <c r="H193"/>
      <c r="I193"/>
      <c r="J193"/>
      <c r="K193"/>
      <c r="L193"/>
      <c r="M193"/>
      <c r="N193" s="58">
        <v>1.7154229507101051</v>
      </c>
      <c r="O193" s="53"/>
      <c r="P193" s="53">
        <v>134.27457704928992</v>
      </c>
      <c r="Q193" s="15">
        <v>1.7154229507101051</v>
      </c>
      <c r="R193" s="15"/>
      <c r="S193" s="15"/>
      <c r="T193" s="15"/>
      <c r="U193" s="15"/>
      <c r="V193" s="15"/>
      <c r="W193" s="15"/>
      <c r="X193" s="15"/>
      <c r="Y193" s="15"/>
    </row>
    <row r="194" spans="1:25" s="21" customFormat="1" x14ac:dyDescent="0.55000000000000004">
      <c r="A194" s="17"/>
      <c r="B194"/>
      <c r="C194"/>
      <c r="D194"/>
      <c r="E194"/>
      <c r="F194" s="49">
        <v>43070</v>
      </c>
      <c r="G194" s="92">
        <v>138.11000000000001</v>
      </c>
      <c r="H194"/>
      <c r="I194"/>
      <c r="J194"/>
      <c r="K194"/>
      <c r="L194"/>
      <c r="M194"/>
      <c r="N194" s="58">
        <v>1.8460232919550374</v>
      </c>
      <c r="O194" s="53"/>
      <c r="P194" s="53">
        <v>136.26397670804496</v>
      </c>
      <c r="Q194" s="15">
        <v>1.8460232919550374</v>
      </c>
      <c r="R194" s="15"/>
      <c r="S194" s="15"/>
      <c r="T194" s="15"/>
      <c r="U194" s="15"/>
      <c r="V194" s="15"/>
      <c r="W194" s="15"/>
      <c r="X194" s="15"/>
      <c r="Y194" s="15"/>
    </row>
    <row r="195" spans="1:25" s="21" customFormat="1" x14ac:dyDescent="0.55000000000000004">
      <c r="A195" s="17"/>
      <c r="B195"/>
      <c r="C195"/>
      <c r="D195"/>
      <c r="E195"/>
      <c r="F195" s="49">
        <v>43101</v>
      </c>
      <c r="G195" s="92">
        <v>137.41999999999999</v>
      </c>
      <c r="H195"/>
      <c r="I195"/>
      <c r="J195"/>
      <c r="K195"/>
      <c r="L195"/>
      <c r="M195"/>
      <c r="N195" s="58">
        <v>1.8817182737905875</v>
      </c>
      <c r="O195" s="53"/>
      <c r="P195" s="53">
        <v>135.53828172620939</v>
      </c>
      <c r="Q195" s="15">
        <v>1.8817182737905875</v>
      </c>
      <c r="R195" s="15"/>
      <c r="S195" s="15"/>
      <c r="T195" s="15"/>
      <c r="U195" s="15"/>
      <c r="V195" s="15"/>
      <c r="W195" s="15"/>
      <c r="X195" s="15"/>
      <c r="Y195" s="15"/>
    </row>
    <row r="196" spans="1:25" s="21" customFormat="1" x14ac:dyDescent="0.55000000000000004">
      <c r="A196" s="17"/>
      <c r="B196"/>
      <c r="C196"/>
      <c r="D196"/>
      <c r="E196"/>
      <c r="F196" s="49">
        <v>43132</v>
      </c>
      <c r="G196" s="92">
        <v>136.83000000000001</v>
      </c>
      <c r="H196"/>
      <c r="I196"/>
      <c r="J196"/>
      <c r="K196"/>
      <c r="L196"/>
      <c r="M196"/>
      <c r="N196" s="58">
        <v>1.8471866514353885</v>
      </c>
      <c r="O196" s="53"/>
      <c r="P196" s="53">
        <v>134.98281334856463</v>
      </c>
      <c r="Q196" s="15">
        <v>1.8471866514353885</v>
      </c>
      <c r="R196" s="15"/>
      <c r="S196" s="15"/>
      <c r="T196" s="15"/>
      <c r="U196" s="15"/>
      <c r="V196" s="15"/>
      <c r="W196" s="15"/>
      <c r="X196" s="15"/>
      <c r="Y196" s="15"/>
    </row>
    <row r="197" spans="1:25" s="21" customFormat="1" x14ac:dyDescent="0.55000000000000004">
      <c r="A197" s="17"/>
      <c r="B197"/>
      <c r="C197"/>
      <c r="D197"/>
      <c r="E197"/>
      <c r="F197" s="49">
        <v>43160</v>
      </c>
      <c r="G197" s="92">
        <v>136.59</v>
      </c>
      <c r="H197"/>
      <c r="I197"/>
      <c r="J197"/>
      <c r="K197"/>
      <c r="L197"/>
      <c r="M197"/>
      <c r="N197" s="58">
        <v>1.7748979807294325</v>
      </c>
      <c r="O197" s="53"/>
      <c r="P197" s="53">
        <v>134.81510201927057</v>
      </c>
      <c r="Q197" s="15">
        <v>1.7748979807294325</v>
      </c>
      <c r="R197" s="15"/>
      <c r="S197" s="15"/>
      <c r="T197" s="15"/>
      <c r="U197" s="15"/>
      <c r="V197" s="15"/>
      <c r="W197" s="15"/>
      <c r="X197" s="15"/>
      <c r="Y197" s="15"/>
    </row>
    <row r="198" spans="1:25" s="21" customFormat="1" x14ac:dyDescent="0.55000000000000004">
      <c r="A198" s="17"/>
      <c r="B198"/>
      <c r="C198"/>
      <c r="D198"/>
      <c r="E198"/>
      <c r="F198" s="49">
        <v>43191</v>
      </c>
      <c r="G198" s="92">
        <v>137.28</v>
      </c>
      <c r="H198"/>
      <c r="I198"/>
      <c r="J198"/>
      <c r="K198"/>
      <c r="L198"/>
      <c r="M198"/>
      <c r="N198" s="58">
        <v>1.7018562870230931</v>
      </c>
      <c r="O198" s="53"/>
      <c r="P198" s="53">
        <v>135.5781437129769</v>
      </c>
      <c r="Q198" s="15">
        <v>1.7018562870230931</v>
      </c>
      <c r="R198" s="15"/>
      <c r="S198" s="15"/>
      <c r="T198" s="15"/>
      <c r="U198" s="15"/>
      <c r="V198" s="15"/>
      <c r="W198" s="15"/>
      <c r="X198" s="15"/>
      <c r="Y198" s="15"/>
    </row>
    <row r="199" spans="1:25" s="21" customFormat="1" x14ac:dyDescent="0.55000000000000004">
      <c r="A199" s="17"/>
      <c r="B199"/>
      <c r="C199"/>
      <c r="D199"/>
      <c r="E199"/>
      <c r="F199" s="49">
        <v>43221</v>
      </c>
      <c r="G199" s="92">
        <v>133.07</v>
      </c>
      <c r="H199"/>
      <c r="I199"/>
      <c r="J199"/>
      <c r="K199"/>
      <c r="L199"/>
      <c r="M199"/>
      <c r="N199" s="58">
        <v>1.6656690459319885</v>
      </c>
      <c r="O199" s="53"/>
      <c r="P199" s="53">
        <v>131.404330954068</v>
      </c>
      <c r="Q199" s="15">
        <v>1.6656690459319885</v>
      </c>
      <c r="R199" s="15"/>
      <c r="S199" s="15"/>
      <c r="T199" s="15"/>
      <c r="U199" s="15"/>
      <c r="V199" s="15"/>
      <c r="W199" s="15"/>
      <c r="X199" s="15"/>
      <c r="Y199" s="15"/>
    </row>
    <row r="200" spans="1:25" s="21" customFormat="1" x14ac:dyDescent="0.55000000000000004">
      <c r="A200" s="17"/>
      <c r="B200"/>
      <c r="C200"/>
      <c r="D200"/>
      <c r="E200"/>
      <c r="F200" s="49">
        <v>43252</v>
      </c>
      <c r="G200" s="92">
        <v>137.38999999999999</v>
      </c>
      <c r="H200"/>
      <c r="I200"/>
      <c r="J200"/>
      <c r="K200"/>
      <c r="L200"/>
      <c r="M200"/>
      <c r="N200" s="58">
        <v>1.7003301996092683</v>
      </c>
      <c r="O200" s="53"/>
      <c r="P200" s="53">
        <v>135.68966980039073</v>
      </c>
      <c r="Q200" s="15">
        <v>1.7003301996092683</v>
      </c>
      <c r="R200" s="15"/>
      <c r="S200" s="15"/>
      <c r="T200" s="15"/>
      <c r="U200" s="15"/>
      <c r="V200" s="15"/>
      <c r="W200" s="15"/>
      <c r="X200" s="15"/>
      <c r="Y200" s="15"/>
    </row>
    <row r="201" spans="1:25" s="21" customFormat="1" x14ac:dyDescent="0.55000000000000004">
      <c r="A201" s="17"/>
      <c r="B201"/>
      <c r="C201"/>
      <c r="D201"/>
      <c r="E201"/>
      <c r="F201" s="49">
        <v>43282</v>
      </c>
      <c r="G201" s="92">
        <v>137.91999999999999</v>
      </c>
      <c r="H201"/>
      <c r="I201"/>
      <c r="J201"/>
      <c r="K201"/>
      <c r="L201"/>
      <c r="M201"/>
      <c r="N201" s="58">
        <v>1.8321544107531862</v>
      </c>
      <c r="O201" s="53"/>
      <c r="P201" s="53">
        <v>136.0878455892468</v>
      </c>
      <c r="Q201" s="15">
        <v>1.8321544107531862</v>
      </c>
      <c r="R201" s="15"/>
      <c r="S201" s="15"/>
      <c r="T201" s="15"/>
      <c r="U201" s="15"/>
      <c r="V201" s="15"/>
      <c r="W201" s="15"/>
      <c r="X201" s="15"/>
      <c r="Y201" s="15"/>
    </row>
    <row r="202" spans="1:25" s="21" customFormat="1" x14ac:dyDescent="0.55000000000000004">
      <c r="A202" s="17"/>
      <c r="B202"/>
      <c r="C202"/>
      <c r="D202"/>
      <c r="E202"/>
      <c r="F202" s="49">
        <v>43313</v>
      </c>
      <c r="G202" s="92">
        <v>138.94999999999999</v>
      </c>
      <c r="H202"/>
      <c r="I202"/>
      <c r="J202"/>
      <c r="K202"/>
      <c r="L202"/>
      <c r="M202"/>
      <c r="N202" s="58">
        <v>2.0763029431263433</v>
      </c>
      <c r="O202" s="53"/>
      <c r="P202" s="53">
        <v>136.87369705687365</v>
      </c>
      <c r="Q202" s="15">
        <v>2.0763029431263433</v>
      </c>
      <c r="R202" s="15"/>
      <c r="S202" s="15"/>
      <c r="T202" s="15"/>
      <c r="U202" s="15"/>
      <c r="V202" s="15"/>
      <c r="W202" s="15"/>
      <c r="X202" s="15"/>
      <c r="Y202" s="15"/>
    </row>
    <row r="203" spans="1:25" s="21" customFormat="1" x14ac:dyDescent="0.55000000000000004">
      <c r="A203" s="17"/>
      <c r="B203"/>
      <c r="C203"/>
      <c r="D203"/>
      <c r="E203"/>
      <c r="F203" s="49">
        <v>43344</v>
      </c>
      <c r="G203" s="92">
        <v>138.22</v>
      </c>
      <c r="H203"/>
      <c r="I203"/>
      <c r="J203"/>
      <c r="K203"/>
      <c r="L203"/>
      <c r="M203"/>
      <c r="N203" s="58">
        <v>2.4342976853184872</v>
      </c>
      <c r="O203" s="53"/>
      <c r="P203" s="53">
        <v>135.78570231468152</v>
      </c>
      <c r="Q203" s="15">
        <v>2.4342976853184872</v>
      </c>
      <c r="R203" s="15"/>
      <c r="S203" s="15"/>
      <c r="T203" s="15"/>
      <c r="U203" s="15"/>
      <c r="V203" s="15"/>
      <c r="W203" s="15"/>
      <c r="X203" s="15"/>
      <c r="Y203" s="15"/>
    </row>
    <row r="204" spans="1:25" s="21" customFormat="1" x14ac:dyDescent="0.55000000000000004">
      <c r="A204" s="17"/>
      <c r="B204"/>
      <c r="C204"/>
      <c r="D204"/>
      <c r="E204"/>
      <c r="F204" s="49">
        <v>43374</v>
      </c>
      <c r="G204" s="92">
        <v>138.44</v>
      </c>
      <c r="H204"/>
      <c r="I204"/>
      <c r="J204"/>
      <c r="K204"/>
      <c r="L204"/>
      <c r="M204"/>
      <c r="N204" s="58">
        <v>2.8928321763520146</v>
      </c>
      <c r="O204" s="53"/>
      <c r="P204" s="53">
        <v>135.54716782364798</v>
      </c>
      <c r="Q204" s="15">
        <v>2.8928321763520146</v>
      </c>
      <c r="R204" s="15"/>
      <c r="S204" s="15"/>
      <c r="T204" s="15"/>
      <c r="U204" s="15"/>
      <c r="V204" s="15"/>
      <c r="W204" s="15"/>
      <c r="X204" s="15"/>
      <c r="Y204" s="15"/>
    </row>
    <row r="205" spans="1:25" s="21" customFormat="1" x14ac:dyDescent="0.55000000000000004">
      <c r="A205" s="17"/>
      <c r="B205"/>
      <c r="C205"/>
      <c r="D205"/>
      <c r="E205"/>
      <c r="F205" s="49">
        <v>43405</v>
      </c>
      <c r="G205" s="92">
        <v>138.61000000000001</v>
      </c>
      <c r="H205"/>
      <c r="I205"/>
      <c r="J205"/>
      <c r="K205"/>
      <c r="L205"/>
      <c r="M205"/>
      <c r="N205" s="58">
        <v>3.424065111640064</v>
      </c>
      <c r="O205" s="53"/>
      <c r="P205" s="53">
        <v>135.18593488835995</v>
      </c>
      <c r="Q205" s="15">
        <v>3.424065111640064</v>
      </c>
      <c r="R205" s="15"/>
      <c r="S205" s="15"/>
      <c r="T205" s="15"/>
      <c r="U205" s="15"/>
      <c r="V205" s="15"/>
      <c r="W205" s="15"/>
      <c r="X205" s="15"/>
      <c r="Y205" s="15"/>
    </row>
    <row r="206" spans="1:25" s="21" customFormat="1" x14ac:dyDescent="0.55000000000000004">
      <c r="A206" s="17"/>
      <c r="B206"/>
      <c r="C206"/>
      <c r="D206"/>
      <c r="E206"/>
      <c r="F206" s="49">
        <v>43435</v>
      </c>
      <c r="G206" s="92">
        <v>139.18</v>
      </c>
      <c r="H206"/>
      <c r="I206"/>
      <c r="J206"/>
      <c r="K206"/>
      <c r="L206"/>
      <c r="M206"/>
      <c r="N206" s="58">
        <v>3.9874347902643779</v>
      </c>
      <c r="O206" s="53"/>
      <c r="P206" s="53">
        <v>135.19256520973562</v>
      </c>
      <c r="Q206" s="15">
        <v>3.9874347902643779</v>
      </c>
      <c r="R206" s="15"/>
      <c r="S206" s="15"/>
      <c r="T206" s="15"/>
      <c r="U206" s="15"/>
      <c r="V206" s="15"/>
      <c r="W206" s="15"/>
      <c r="X206" s="15"/>
      <c r="Y206" s="15"/>
    </row>
    <row r="207" spans="1:25" s="21" customFormat="1" x14ac:dyDescent="0.55000000000000004">
      <c r="A207" s="17"/>
      <c r="B207"/>
      <c r="C207"/>
      <c r="D207"/>
      <c r="E207"/>
      <c r="F207" s="49">
        <v>43466</v>
      </c>
      <c r="G207" s="92">
        <v>139.28</v>
      </c>
      <c r="H207"/>
      <c r="I207"/>
      <c r="J207"/>
      <c r="K207"/>
      <c r="L207"/>
      <c r="M207"/>
      <c r="N207" s="58">
        <v>4.5328771957489273</v>
      </c>
      <c r="O207" s="53"/>
      <c r="P207" s="53">
        <v>134.74712280425106</v>
      </c>
      <c r="Q207" s="15">
        <v>4.5328771957489273</v>
      </c>
      <c r="R207" s="15"/>
      <c r="S207" s="15"/>
      <c r="T207" s="15"/>
      <c r="U207" s="15"/>
      <c r="V207" s="15"/>
      <c r="W207" s="15"/>
      <c r="X207" s="15"/>
      <c r="Y207" s="15"/>
    </row>
    <row r="208" spans="1:25" s="21" customFormat="1" x14ac:dyDescent="0.55000000000000004">
      <c r="A208" s="17"/>
      <c r="B208"/>
      <c r="C208"/>
      <c r="D208"/>
      <c r="E208"/>
      <c r="F208" s="49">
        <v>43497</v>
      </c>
      <c r="G208" s="92">
        <v>137.69</v>
      </c>
      <c r="H208"/>
      <c r="I208"/>
      <c r="J208"/>
      <c r="K208"/>
      <c r="L208"/>
      <c r="M208"/>
      <c r="N208" s="58">
        <v>5.0051820302644865</v>
      </c>
      <c r="O208" s="53"/>
      <c r="P208" s="53">
        <v>132.68481796973552</v>
      </c>
      <c r="Q208" s="15">
        <v>5.0051820302644865</v>
      </c>
      <c r="R208" s="15"/>
      <c r="S208" s="15"/>
      <c r="T208" s="15"/>
      <c r="U208" s="15"/>
      <c r="V208" s="15"/>
      <c r="W208" s="15"/>
      <c r="X208" s="15"/>
      <c r="Y208" s="15"/>
    </row>
    <row r="209" spans="1:25" s="21" customFormat="1" x14ac:dyDescent="0.55000000000000004">
      <c r="A209" s="17"/>
      <c r="B209"/>
      <c r="C209"/>
      <c r="D209"/>
      <c r="E209"/>
      <c r="F209" s="49">
        <v>43525</v>
      </c>
      <c r="G209" s="92">
        <v>137</v>
      </c>
      <c r="H209"/>
      <c r="I209"/>
      <c r="J209"/>
      <c r="K209"/>
      <c r="L209"/>
      <c r="M209"/>
      <c r="N209" s="58">
        <v>5.3490957565720727</v>
      </c>
      <c r="O209" s="53"/>
      <c r="P209" s="53">
        <v>131.65090424342793</v>
      </c>
      <c r="Q209" s="15">
        <v>5.3490957565720727</v>
      </c>
      <c r="R209" s="15"/>
      <c r="S209" s="15"/>
      <c r="T209" s="15"/>
      <c r="U209" s="15"/>
      <c r="V209" s="15"/>
      <c r="W209" s="15"/>
      <c r="X209" s="15"/>
      <c r="Y209" s="15"/>
    </row>
    <row r="210" spans="1:25" s="21" customFormat="1" x14ac:dyDescent="0.55000000000000004">
      <c r="A210" s="17"/>
      <c r="B210"/>
      <c r="C210"/>
      <c r="D210"/>
      <c r="E210"/>
      <c r="F210" s="49">
        <v>43556</v>
      </c>
      <c r="G210" s="92">
        <v>136.87</v>
      </c>
      <c r="H210"/>
      <c r="I210"/>
      <c r="J210"/>
      <c r="K210"/>
      <c r="L210"/>
      <c r="M210"/>
      <c r="N210" s="58">
        <v>5.5146921379970308</v>
      </c>
      <c r="O210" s="53"/>
      <c r="P210" s="53">
        <v>131.35530786200297</v>
      </c>
      <c r="Q210" s="15">
        <v>5.5146921379970308</v>
      </c>
      <c r="R210" s="15"/>
      <c r="S210" s="15"/>
      <c r="T210" s="15"/>
      <c r="U210" s="15"/>
      <c r="V210" s="15"/>
      <c r="W210" s="15"/>
      <c r="X210" s="15"/>
      <c r="Y210" s="15"/>
    </row>
    <row r="211" spans="1:25" s="21" customFormat="1" x14ac:dyDescent="0.55000000000000004">
      <c r="A211" s="17"/>
      <c r="B211"/>
      <c r="C211"/>
      <c r="D211"/>
      <c r="E211"/>
      <c r="F211" s="49">
        <v>43586</v>
      </c>
      <c r="G211" s="92">
        <v>138.63999999999999</v>
      </c>
      <c r="H211"/>
      <c r="I211"/>
      <c r="J211"/>
      <c r="K211"/>
      <c r="L211"/>
      <c r="M211"/>
      <c r="N211" s="58">
        <v>5.4624889095501565</v>
      </c>
      <c r="O211" s="53"/>
      <c r="P211" s="53">
        <v>133.17751109044983</v>
      </c>
      <c r="Q211" s="15">
        <v>5.4624889095501565</v>
      </c>
      <c r="R211" s="15"/>
      <c r="S211" s="15"/>
      <c r="T211" s="15"/>
      <c r="U211" s="15"/>
      <c r="V211" s="15"/>
      <c r="W211" s="15"/>
      <c r="X211" s="15"/>
      <c r="Y211" s="15"/>
    </row>
    <row r="212" spans="1:25" s="21" customFormat="1" x14ac:dyDescent="0.55000000000000004">
      <c r="A212" s="17"/>
      <c r="B212"/>
      <c r="C212"/>
      <c r="D212"/>
      <c r="E212"/>
      <c r="F212" s="49">
        <v>43617</v>
      </c>
      <c r="G212" s="92">
        <v>138.86000000000001</v>
      </c>
      <c r="H212"/>
      <c r="I212"/>
      <c r="J212"/>
      <c r="K212"/>
      <c r="L212"/>
      <c r="M212"/>
      <c r="N212" s="58">
        <v>5.1677993668060838</v>
      </c>
      <c r="O212" s="53"/>
      <c r="P212" s="53">
        <v>133.69220063319392</v>
      </c>
      <c r="Q212" s="15">
        <v>5.1677993668060838</v>
      </c>
      <c r="R212" s="15"/>
      <c r="S212" s="15"/>
      <c r="T212" s="15"/>
      <c r="U212" s="15"/>
      <c r="V212" s="15"/>
      <c r="W212" s="15"/>
      <c r="X212" s="15"/>
      <c r="Y212" s="15"/>
    </row>
    <row r="213" spans="1:25" s="21" customFormat="1" x14ac:dyDescent="0.55000000000000004">
      <c r="A213" s="17"/>
      <c r="B213"/>
      <c r="C213"/>
      <c r="D213"/>
      <c r="E213"/>
      <c r="F213" s="49">
        <v>43647</v>
      </c>
      <c r="G213" s="92">
        <v>138.29</v>
      </c>
      <c r="H213"/>
      <c r="I213"/>
      <c r="J213"/>
      <c r="K213"/>
      <c r="L213"/>
      <c r="M213"/>
      <c r="N213" s="58">
        <v>4.6238697999126348</v>
      </c>
      <c r="O213" s="53"/>
      <c r="P213" s="53">
        <v>133.66613020008737</v>
      </c>
      <c r="Q213" s="15">
        <v>4.6238697999126348</v>
      </c>
      <c r="R213" s="15"/>
      <c r="S213" s="15"/>
      <c r="T213" s="15"/>
      <c r="U213" s="15"/>
      <c r="V213" s="15"/>
      <c r="W213" s="15"/>
      <c r="X213" s="15"/>
      <c r="Y213" s="15"/>
    </row>
    <row r="214" spans="1:25" s="21" customFormat="1" x14ac:dyDescent="0.55000000000000004">
      <c r="A214" s="17"/>
      <c r="B214"/>
      <c r="C214"/>
      <c r="D214"/>
      <c r="E214"/>
      <c r="F214" s="49">
        <v>43678</v>
      </c>
      <c r="G214" s="92">
        <v>138.35</v>
      </c>
      <c r="H214"/>
      <c r="I214"/>
      <c r="J214"/>
      <c r="K214"/>
      <c r="L214"/>
      <c r="M214"/>
      <c r="N214" s="58">
        <v>3.8434624090375911</v>
      </c>
      <c r="O214" s="53"/>
      <c r="P214" s="53">
        <v>134.50653759096241</v>
      </c>
      <c r="Q214" s="15">
        <v>3.8434624090375911</v>
      </c>
      <c r="R214" s="15"/>
      <c r="S214" s="15"/>
      <c r="T214" s="15"/>
      <c r="U214" s="15"/>
      <c r="V214" s="15"/>
      <c r="W214" s="15"/>
      <c r="X214" s="15"/>
      <c r="Y214" s="15"/>
    </row>
    <row r="215" spans="1:25" s="21" customFormat="1" x14ac:dyDescent="0.55000000000000004">
      <c r="A215" s="17"/>
      <c r="B215"/>
      <c r="C215"/>
      <c r="D215"/>
      <c r="E215"/>
      <c r="F215" s="49">
        <v>43709</v>
      </c>
      <c r="G215" s="92">
        <v>139.16</v>
      </c>
      <c r="H215"/>
      <c r="I215"/>
      <c r="J215"/>
      <c r="K215"/>
      <c r="L215"/>
      <c r="M215"/>
      <c r="N215" s="58">
        <v>2.8586883009194937</v>
      </c>
      <c r="O215" s="53"/>
      <c r="P215" s="53">
        <v>136.30131169908051</v>
      </c>
      <c r="Q215" s="15">
        <v>2.8586883009194937</v>
      </c>
      <c r="R215" s="15"/>
      <c r="S215" s="15"/>
      <c r="T215" s="15"/>
      <c r="U215" s="15"/>
      <c r="V215" s="15"/>
      <c r="W215" s="15"/>
      <c r="X215" s="15"/>
      <c r="Y215" s="15"/>
    </row>
    <row r="216" spans="1:25" s="21" customFormat="1" x14ac:dyDescent="0.55000000000000004">
      <c r="A216" s="17"/>
      <c r="B216"/>
      <c r="C216"/>
      <c r="D216"/>
      <c r="E216"/>
      <c r="F216" s="49">
        <v>43739</v>
      </c>
      <c r="G216" s="92">
        <v>140.56</v>
      </c>
      <c r="H216"/>
      <c r="I216"/>
      <c r="J216"/>
      <c r="K216"/>
      <c r="L216"/>
      <c r="M216"/>
      <c r="N216" s="58">
        <v>1.7190621975436118</v>
      </c>
      <c r="O216" s="53"/>
      <c r="P216" s="53">
        <v>138.84093780245638</v>
      </c>
      <c r="Q216" s="15">
        <v>1.7190621975436118</v>
      </c>
      <c r="R216" s="15"/>
      <c r="S216" s="15"/>
      <c r="T216" s="15"/>
      <c r="U216" s="15"/>
      <c r="V216" s="15"/>
      <c r="W216" s="15"/>
      <c r="X216" s="15"/>
      <c r="Y216" s="15"/>
    </row>
    <row r="217" spans="1:25" s="21" customFormat="1" x14ac:dyDescent="0.55000000000000004">
      <c r="A217" s="17"/>
      <c r="B217"/>
      <c r="C217"/>
      <c r="D217"/>
      <c r="E217"/>
      <c r="F217" s="49">
        <v>43770</v>
      </c>
      <c r="G217" s="92">
        <v>139.88</v>
      </c>
      <c r="H217"/>
      <c r="I217"/>
      <c r="J217"/>
      <c r="K217"/>
      <c r="L217"/>
      <c r="M217"/>
      <c r="N217" s="58">
        <v>0.48792296632197285</v>
      </c>
      <c r="O217" s="53"/>
      <c r="P217" s="53">
        <v>139.39207703367802</v>
      </c>
      <c r="Q217" s="15">
        <v>0.48792296632197285</v>
      </c>
      <c r="R217" s="15"/>
      <c r="S217" s="15"/>
      <c r="T217" s="15"/>
      <c r="U217" s="15"/>
      <c r="V217" s="15"/>
      <c r="W217" s="15"/>
      <c r="X217" s="15"/>
      <c r="Y217" s="15"/>
    </row>
    <row r="218" spans="1:25" s="21" customFormat="1" x14ac:dyDescent="0.55000000000000004">
      <c r="A218" s="17"/>
      <c r="B218"/>
      <c r="C218"/>
      <c r="D218"/>
      <c r="E218"/>
      <c r="F218" s="49">
        <v>43800</v>
      </c>
      <c r="G218" s="92">
        <v>139.28</v>
      </c>
      <c r="H218"/>
      <c r="I218"/>
      <c r="J218"/>
      <c r="K218"/>
      <c r="L218"/>
      <c r="M218"/>
      <c r="N218" s="58">
        <v>-0.76247534441372977</v>
      </c>
      <c r="O218" s="53"/>
      <c r="P218" s="53">
        <v>140.04247534441373</v>
      </c>
      <c r="Q218" s="15">
        <v>-0.76247534441372977</v>
      </c>
      <c r="R218" s="15"/>
      <c r="S218" s="15"/>
      <c r="T218" s="15"/>
      <c r="U218" s="15"/>
      <c r="V218" s="15"/>
      <c r="W218" s="15"/>
      <c r="X218" s="15"/>
      <c r="Y218" s="15"/>
    </row>
    <row r="219" spans="1:25" s="21" customFormat="1" x14ac:dyDescent="0.55000000000000004">
      <c r="A219" s="17"/>
      <c r="B219"/>
      <c r="C219"/>
      <c r="D219"/>
      <c r="E219"/>
      <c r="F219" s="49">
        <v>43831</v>
      </c>
      <c r="G219" s="92">
        <v>140.05000000000001</v>
      </c>
      <c r="H219"/>
      <c r="I219"/>
      <c r="J219"/>
      <c r="K219"/>
      <c r="L219"/>
      <c r="M219"/>
      <c r="N219" s="58">
        <v>-1.956764898822831</v>
      </c>
      <c r="O219" s="53"/>
      <c r="P219" s="53">
        <v>142.00676489882284</v>
      </c>
      <c r="Q219" s="15">
        <v>-1.956764898822831</v>
      </c>
      <c r="R219" s="15"/>
      <c r="S219" s="15"/>
      <c r="T219" s="15"/>
      <c r="U219" s="15"/>
      <c r="V219" s="15"/>
      <c r="W219" s="15"/>
      <c r="X219" s="15"/>
      <c r="Y219" s="15"/>
    </row>
    <row r="220" spans="1:25" s="21" customFormat="1" x14ac:dyDescent="0.55000000000000004">
      <c r="A220" s="17"/>
      <c r="B220"/>
      <c r="C220"/>
      <c r="D220"/>
      <c r="E220"/>
      <c r="F220" s="49">
        <v>43862</v>
      </c>
      <c r="G220" s="92">
        <v>139.65</v>
      </c>
      <c r="H220"/>
      <c r="I220"/>
      <c r="J220"/>
      <c r="K220"/>
      <c r="L220"/>
      <c r="M220"/>
      <c r="N220" s="58">
        <v>-3.0226301754477189</v>
      </c>
      <c r="O220" s="53"/>
      <c r="P220" s="53">
        <v>142.67263017544772</v>
      </c>
      <c r="Q220" s="15">
        <v>-3.0226301754477189</v>
      </c>
      <c r="R220" s="15"/>
      <c r="S220" s="15"/>
      <c r="T220" s="15"/>
      <c r="U220" s="15"/>
      <c r="V220" s="15"/>
      <c r="W220" s="15"/>
      <c r="X220" s="15"/>
      <c r="Y220" s="15"/>
    </row>
    <row r="221" spans="1:25" s="21" customFormat="1" x14ac:dyDescent="0.55000000000000004">
      <c r="A221" s="17"/>
      <c r="B221"/>
      <c r="C221"/>
      <c r="D221"/>
      <c r="E221"/>
      <c r="F221" s="49">
        <v>43891</v>
      </c>
      <c r="G221" s="92">
        <v>129.71</v>
      </c>
      <c r="H221"/>
      <c r="I221"/>
      <c r="J221"/>
      <c r="K221"/>
      <c r="L221"/>
      <c r="M221"/>
      <c r="N221" s="58">
        <v>-3.8967714996305238</v>
      </c>
      <c r="O221" s="53"/>
      <c r="P221" s="53">
        <v>133.60677149963053</v>
      </c>
      <c r="Q221" s="15">
        <v>-3.8967714996305238</v>
      </c>
      <c r="R221" s="15"/>
      <c r="S221" s="15"/>
      <c r="T221" s="15"/>
      <c r="U221" s="15"/>
      <c r="V221" s="15"/>
      <c r="W221" s="15"/>
      <c r="X221" s="15"/>
      <c r="Y221" s="15"/>
    </row>
    <row r="222" spans="1:25" s="21" customFormat="1" x14ac:dyDescent="0.55000000000000004">
      <c r="A222" s="17"/>
      <c r="B222"/>
      <c r="C222"/>
      <c r="D222"/>
      <c r="E222"/>
      <c r="F222" s="49">
        <v>43922</v>
      </c>
      <c r="G222" s="92">
        <v>117.19</v>
      </c>
      <c r="H222"/>
      <c r="I222"/>
      <c r="J222"/>
      <c r="K222"/>
      <c r="L222"/>
      <c r="M222"/>
      <c r="N222" s="58">
        <v>-4.5301144903661994</v>
      </c>
      <c r="O222" s="53"/>
      <c r="P222" s="53">
        <v>121.7201144903662</v>
      </c>
      <c r="Q222" s="15">
        <v>-4.5301144903661994</v>
      </c>
      <c r="R222" s="15"/>
      <c r="S222" s="15"/>
      <c r="T222" s="15"/>
      <c r="U222" s="15"/>
      <c r="V222" s="15"/>
      <c r="W222" s="15"/>
      <c r="X222" s="15"/>
      <c r="Y222" s="15"/>
    </row>
    <row r="223" spans="1:25" s="21" customFormat="1" x14ac:dyDescent="0.55000000000000004">
      <c r="A223" s="17"/>
      <c r="B223"/>
      <c r="C223"/>
      <c r="D223"/>
      <c r="E223"/>
      <c r="F223" s="49">
        <v>43952</v>
      </c>
      <c r="G223" s="92">
        <v>121.03</v>
      </c>
      <c r="H223"/>
      <c r="I223"/>
      <c r="J223"/>
      <c r="K223"/>
      <c r="L223"/>
      <c r="M223"/>
      <c r="N223" s="58">
        <v>-4.8917836125296352</v>
      </c>
      <c r="O223" s="53"/>
      <c r="P223" s="53">
        <v>125.92178361252964</v>
      </c>
      <c r="Q223" s="15">
        <v>-4.8917836125296352</v>
      </c>
      <c r="R223" s="15"/>
      <c r="S223" s="15"/>
      <c r="T223" s="15"/>
      <c r="U223" s="15"/>
      <c r="V223" s="15"/>
      <c r="W223" s="15"/>
      <c r="X223" s="15"/>
      <c r="Y223" s="15"/>
    </row>
    <row r="224" spans="1:25" s="21" customFormat="1" x14ac:dyDescent="0.55000000000000004">
      <c r="A224" s="17"/>
      <c r="B224"/>
      <c r="C224"/>
      <c r="D224"/>
      <c r="E224"/>
      <c r="F224" s="49">
        <v>43983</v>
      </c>
      <c r="G224" s="92">
        <v>127.06</v>
      </c>
      <c r="H224"/>
      <c r="I224"/>
      <c r="J224"/>
      <c r="K224"/>
      <c r="L224"/>
      <c r="M224"/>
      <c r="N224" s="58">
        <v>-4.9714748386787715</v>
      </c>
      <c r="O224" s="53"/>
      <c r="P224" s="53">
        <v>132.03147483867878</v>
      </c>
      <c r="Q224" s="15">
        <v>-4.9714748386787715</v>
      </c>
      <c r="R224" s="15"/>
      <c r="S224" s="15"/>
      <c r="T224" s="15"/>
      <c r="U224" s="15"/>
      <c r="V224" s="15"/>
      <c r="W224" s="15"/>
      <c r="X224" s="15"/>
      <c r="Y224" s="15"/>
    </row>
    <row r="225" spans="1:25" s="21" customFormat="1" x14ac:dyDescent="0.55000000000000004">
      <c r="A225" s="17"/>
      <c r="B225"/>
      <c r="C225"/>
      <c r="D225"/>
      <c r="E225"/>
      <c r="F225" s="49">
        <v>44013</v>
      </c>
      <c r="G225" s="92">
        <v>130.99</v>
      </c>
      <c r="H225"/>
      <c r="I225"/>
      <c r="J225"/>
      <c r="K225"/>
      <c r="L225"/>
      <c r="M225"/>
      <c r="N225" s="58">
        <v>-4.7800147396689336</v>
      </c>
      <c r="O225" s="53"/>
      <c r="P225" s="53">
        <v>135.77001473966894</v>
      </c>
      <c r="Q225" s="15">
        <v>-4.7800147396689336</v>
      </c>
      <c r="R225" s="15"/>
      <c r="S225" s="15"/>
      <c r="T225" s="15"/>
      <c r="U225" s="15"/>
      <c r="V225" s="15"/>
      <c r="W225" s="15"/>
      <c r="X225" s="15"/>
      <c r="Y225" s="15"/>
    </row>
    <row r="226" spans="1:25" s="21" customFormat="1" x14ac:dyDescent="0.55000000000000004">
      <c r="A226" s="17"/>
      <c r="B226"/>
      <c r="C226"/>
      <c r="D226"/>
      <c r="E226"/>
      <c r="F226" s="49">
        <v>44044</v>
      </c>
      <c r="G226" s="92">
        <v>133.86000000000001</v>
      </c>
      <c r="H226"/>
      <c r="I226"/>
      <c r="J226"/>
      <c r="K226"/>
      <c r="L226"/>
      <c r="M226"/>
      <c r="N226" s="58">
        <v>-4.348065962745312</v>
      </c>
      <c r="O226" s="53"/>
      <c r="P226" s="53">
        <v>138.20806596274534</v>
      </c>
      <c r="Q226" s="15">
        <v>-4.348065962745312</v>
      </c>
      <c r="R226" s="15"/>
      <c r="S226" s="15"/>
      <c r="T226" s="15"/>
      <c r="U226" s="15"/>
      <c r="V226" s="15"/>
      <c r="W226" s="15"/>
      <c r="X226" s="15"/>
      <c r="Y226" s="15"/>
    </row>
    <row r="227" spans="1:25" s="21" customFormat="1" x14ac:dyDescent="0.55000000000000004">
      <c r="A227" s="17"/>
      <c r="B227"/>
      <c r="C227"/>
      <c r="D227"/>
      <c r="E227"/>
      <c r="F227" s="49">
        <v>44075</v>
      </c>
      <c r="G227" s="92">
        <v>136.84</v>
      </c>
      <c r="H227"/>
      <c r="I227"/>
      <c r="J227"/>
      <c r="K227"/>
      <c r="L227"/>
      <c r="M227"/>
      <c r="N227" s="58">
        <v>-3.7231148298945573</v>
      </c>
      <c r="O227" s="53"/>
      <c r="P227" s="53">
        <v>140.56311482989457</v>
      </c>
      <c r="Q227" s="15">
        <v>-3.7231148298945573</v>
      </c>
      <c r="R227" s="15"/>
      <c r="S227" s="15"/>
      <c r="T227" s="15"/>
      <c r="U227" s="15"/>
      <c r="V227" s="15"/>
      <c r="W227" s="15"/>
      <c r="X227" s="15"/>
      <c r="Y227" s="15"/>
    </row>
    <row r="228" spans="1:25" s="21" customFormat="1" x14ac:dyDescent="0.55000000000000004">
      <c r="A228" s="17"/>
      <c r="B228"/>
      <c r="C228"/>
      <c r="D228"/>
      <c r="E228"/>
      <c r="F228" s="49">
        <v>44105</v>
      </c>
      <c r="G228" s="92">
        <v>139.32</v>
      </c>
      <c r="H228"/>
      <c r="I228"/>
      <c r="J228"/>
      <c r="K228"/>
      <c r="L228"/>
      <c r="M228"/>
      <c r="N228" s="58">
        <v>-2.9650382602264553</v>
      </c>
      <c r="O228" s="53"/>
      <c r="P228" s="53">
        <v>142.28503826022646</v>
      </c>
      <c r="Q228" s="15">
        <v>-2.9650382602264553</v>
      </c>
      <c r="R228" s="15"/>
      <c r="S228" s="15"/>
      <c r="T228" s="15"/>
      <c r="U228" s="15"/>
      <c r="V228" s="15"/>
      <c r="W228" s="15"/>
      <c r="X228" s="15"/>
      <c r="Y228" s="15"/>
    </row>
    <row r="229" spans="1:25" s="21" customFormat="1" x14ac:dyDescent="0.55000000000000004">
      <c r="A229" s="17"/>
      <c r="B229"/>
      <c r="C229"/>
      <c r="D229"/>
      <c r="E229"/>
      <c r="F229" s="49">
        <v>44136</v>
      </c>
      <c r="G229" s="92">
        <v>139.24</v>
      </c>
      <c r="H229"/>
      <c r="I229"/>
      <c r="J229"/>
      <c r="K229"/>
      <c r="L229"/>
      <c r="M229"/>
      <c r="N229" s="58">
        <v>-2.1406784849961795</v>
      </c>
      <c r="O229" s="53"/>
      <c r="P229" s="53">
        <v>141.3806784849962</v>
      </c>
      <c r="Q229" s="15">
        <v>-2.1406784849961795</v>
      </c>
      <c r="R229" s="15"/>
      <c r="S229" s="15"/>
      <c r="T229" s="15"/>
      <c r="U229" s="15"/>
      <c r="V229" s="15"/>
      <c r="W229" s="15"/>
      <c r="X229" s="15"/>
      <c r="Y229" s="15"/>
    </row>
    <row r="230" spans="1:25" s="21" customFormat="1" x14ac:dyDescent="0.55000000000000004">
      <c r="A230" s="17"/>
      <c r="B230"/>
      <c r="C230"/>
      <c r="D230"/>
      <c r="E230"/>
      <c r="F230" s="49">
        <v>44166</v>
      </c>
      <c r="G230" s="92">
        <v>139.54</v>
      </c>
      <c r="H230"/>
      <c r="I230"/>
      <c r="J230"/>
      <c r="K230"/>
      <c r="L230"/>
      <c r="M230"/>
      <c r="N230" s="58">
        <v>-1.3179423295529542</v>
      </c>
      <c r="O230" s="53"/>
      <c r="P230" s="53">
        <v>140.85794232955294</v>
      </c>
      <c r="Q230" s="15">
        <v>-1.3179423295529542</v>
      </c>
      <c r="R230" s="15"/>
      <c r="S230" s="15"/>
      <c r="T230" s="15"/>
      <c r="U230" s="15"/>
      <c r="V230" s="15"/>
      <c r="W230" s="15"/>
      <c r="X230" s="15"/>
      <c r="Y230" s="15"/>
    </row>
    <row r="231" spans="1:25" s="21" customFormat="1" x14ac:dyDescent="0.55000000000000004">
      <c r="A231" s="17"/>
      <c r="B231"/>
      <c r="C231"/>
      <c r="D231"/>
      <c r="E231"/>
      <c r="F231" s="49">
        <v>44197</v>
      </c>
      <c r="G231" s="92">
        <v>140.13</v>
      </c>
      <c r="H231"/>
      <c r="I231"/>
      <c r="J231"/>
      <c r="K231"/>
      <c r="L231"/>
      <c r="M231"/>
      <c r="N231" s="58">
        <v>-0.55997885986115659</v>
      </c>
      <c r="O231" s="53"/>
      <c r="P231" s="53">
        <v>140.68997885986116</v>
      </c>
      <c r="Q231" s="15">
        <v>-0.55997885986115659</v>
      </c>
      <c r="R231" s="15"/>
      <c r="S231" s="15"/>
      <c r="T231" s="15"/>
      <c r="U231" s="15"/>
      <c r="V231" s="15"/>
      <c r="W231" s="15"/>
      <c r="X231" s="15"/>
      <c r="Y231" s="15"/>
    </row>
    <row r="232" spans="1:25" s="21" customFormat="1" x14ac:dyDescent="0.55000000000000004">
      <c r="A232" s="17"/>
      <c r="B232"/>
      <c r="C232"/>
      <c r="D232"/>
      <c r="E232"/>
      <c r="F232" s="49">
        <v>44228</v>
      </c>
      <c r="G232" s="92">
        <v>140.97999999999999</v>
      </c>
      <c r="H232"/>
      <c r="I232"/>
      <c r="J232"/>
      <c r="K232"/>
      <c r="L232"/>
      <c r="M232"/>
      <c r="N232" s="58">
        <v>8.0028147859521503E-2</v>
      </c>
      <c r="O232" s="53"/>
      <c r="P232" s="53">
        <v>140.89997185214048</v>
      </c>
      <c r="Q232" s="15">
        <v>8.0028147859521503E-2</v>
      </c>
      <c r="R232" s="15"/>
      <c r="S232" s="15"/>
      <c r="T232" s="15"/>
      <c r="U232" s="15"/>
      <c r="V232" s="15"/>
      <c r="W232" s="15"/>
      <c r="X232" s="15"/>
      <c r="Y232" s="15"/>
    </row>
    <row r="233" spans="1:25" s="21" customFormat="1" x14ac:dyDescent="0.55000000000000004">
      <c r="A233" s="17"/>
      <c r="B233"/>
      <c r="C233"/>
      <c r="D233"/>
      <c r="E233"/>
      <c r="F233" s="49">
        <v>44256</v>
      </c>
      <c r="G233" s="92">
        <v>135.72</v>
      </c>
      <c r="H233"/>
      <c r="I233"/>
      <c r="J233"/>
      <c r="K233"/>
      <c r="L233"/>
      <c r="M233"/>
      <c r="N233" s="58">
        <v>0.56298572953157766</v>
      </c>
      <c r="O233" s="53"/>
      <c r="P233" s="53">
        <v>135.15701427046841</v>
      </c>
      <c r="Q233" s="15">
        <v>0.56298572953157766</v>
      </c>
      <c r="R233" s="15"/>
      <c r="S233" s="15"/>
      <c r="T233" s="15"/>
      <c r="U233" s="15"/>
      <c r="V233" s="15"/>
      <c r="W233" s="15"/>
      <c r="X233" s="15"/>
      <c r="Y233" s="15"/>
    </row>
    <row r="234" spans="1:25" s="21" customFormat="1" x14ac:dyDescent="0.55000000000000004">
      <c r="A234" s="17"/>
      <c r="B234"/>
      <c r="C234"/>
      <c r="D234"/>
      <c r="E234"/>
      <c r="F234" s="49">
        <v>44287</v>
      </c>
      <c r="G234" s="92">
        <v>137.44</v>
      </c>
      <c r="H234"/>
      <c r="I234"/>
      <c r="J234"/>
      <c r="K234"/>
      <c r="L234"/>
      <c r="M234"/>
      <c r="N234" s="58">
        <v>0.86658164148987638</v>
      </c>
      <c r="O234" s="53"/>
      <c r="P234" s="53">
        <v>136.57341835851011</v>
      </c>
      <c r="Q234" s="15">
        <v>0.86658164148987638</v>
      </c>
      <c r="R234" s="15"/>
      <c r="S234" s="15"/>
      <c r="T234" s="15"/>
      <c r="U234" s="15"/>
      <c r="V234" s="15"/>
      <c r="W234" s="15"/>
      <c r="X234" s="15"/>
      <c r="Y234" s="15"/>
    </row>
    <row r="235" spans="1:25" s="21" customFormat="1" x14ac:dyDescent="0.55000000000000004">
      <c r="A235" s="17"/>
      <c r="B235"/>
      <c r="C235"/>
      <c r="D235"/>
      <c r="E235"/>
      <c r="F235" s="49">
        <v>44317</v>
      </c>
      <c r="G235" s="92">
        <v>138.74</v>
      </c>
      <c r="H235"/>
      <c r="I235"/>
      <c r="J235"/>
      <c r="K235"/>
      <c r="L235"/>
      <c r="M235"/>
      <c r="N235" s="58">
        <v>0.98633094094885254</v>
      </c>
      <c r="O235" s="53"/>
      <c r="P235" s="53">
        <v>137.75366905905116</v>
      </c>
      <c r="Q235" s="15">
        <v>0.98633094094885254</v>
      </c>
      <c r="R235" s="15"/>
      <c r="S235" s="15"/>
      <c r="T235" s="15"/>
      <c r="U235" s="15"/>
      <c r="V235" s="15"/>
      <c r="W235" s="15"/>
      <c r="X235" s="15"/>
      <c r="Y235" s="15"/>
    </row>
    <row r="236" spans="1:25" s="21" customFormat="1" x14ac:dyDescent="0.55000000000000004">
      <c r="A236" s="17"/>
      <c r="B236"/>
      <c r="C236"/>
      <c r="D236"/>
      <c r="E236"/>
      <c r="F236" s="49">
        <v>44348</v>
      </c>
      <c r="G236" s="92">
        <v>138.94999999999999</v>
      </c>
      <c r="H236"/>
      <c r="I236"/>
      <c r="J236"/>
      <c r="K236"/>
      <c r="L236"/>
      <c r="M236"/>
      <c r="N236" s="58">
        <v>0.9349346598076832</v>
      </c>
      <c r="O236" s="53"/>
      <c r="P236" s="53">
        <v>138.01506534019231</v>
      </c>
      <c r="Q236" s="15">
        <v>0.9349346598076832</v>
      </c>
      <c r="R236" s="15"/>
      <c r="S236" s="15"/>
      <c r="T236" s="15"/>
      <c r="U236" s="15"/>
      <c r="V236" s="15"/>
      <c r="W236" s="15"/>
      <c r="X236" s="15"/>
      <c r="Y236" s="15"/>
    </row>
    <row r="237" spans="1:25" s="21" customFormat="1" x14ac:dyDescent="0.55000000000000004">
      <c r="A237" s="17"/>
      <c r="B237"/>
      <c r="C237"/>
      <c r="D237"/>
      <c r="E237"/>
      <c r="F237" s="49">
        <v>44378</v>
      </c>
      <c r="G237" s="92">
        <v>138.49</v>
      </c>
      <c r="H237"/>
      <c r="I237"/>
      <c r="J237"/>
      <c r="K237"/>
      <c r="L237"/>
      <c r="M237"/>
      <c r="N237" s="58">
        <v>0.74006980191820526</v>
      </c>
      <c r="O237" s="53"/>
      <c r="P237" s="53">
        <v>137.74993019808181</v>
      </c>
      <c r="Q237" s="15">
        <v>0.74006980191820526</v>
      </c>
      <c r="R237" s="15"/>
      <c r="S237" s="15"/>
      <c r="T237" s="15"/>
      <c r="U237" s="15"/>
      <c r="V237" s="15"/>
      <c r="W237" s="15"/>
      <c r="X237" s="15"/>
      <c r="Y237" s="15"/>
    </row>
    <row r="238" spans="1:25" s="21" customFormat="1" x14ac:dyDescent="0.55000000000000004">
      <c r="A238" s="17"/>
      <c r="B238"/>
      <c r="C238"/>
      <c r="D238"/>
      <c r="E238"/>
      <c r="F238" s="49">
        <v>44409</v>
      </c>
      <c r="G238" s="92">
        <v>138.91999999999999</v>
      </c>
      <c r="H238"/>
      <c r="I238"/>
      <c r="J238"/>
      <c r="K238"/>
      <c r="L238"/>
      <c r="M238"/>
      <c r="N238" s="58">
        <v>0.44087802947385368</v>
      </c>
      <c r="O238" s="53"/>
      <c r="P238" s="53">
        <v>138.47912197052614</v>
      </c>
      <c r="Q238" s="15">
        <v>0.44087802947385368</v>
      </c>
      <c r="R238" s="15"/>
      <c r="S238" s="15"/>
      <c r="T238" s="15"/>
      <c r="U238" s="15"/>
      <c r="V238" s="15"/>
      <c r="W238" s="15"/>
      <c r="X238" s="15"/>
      <c r="Y238" s="15"/>
    </row>
    <row r="239" spans="1:25" s="21" customFormat="1" x14ac:dyDescent="0.55000000000000004">
      <c r="A239" s="17"/>
      <c r="B239"/>
      <c r="C239"/>
      <c r="D239"/>
      <c r="E239"/>
      <c r="F239" s="49">
        <v>44440</v>
      </c>
      <c r="G239" s="92">
        <v>138.86000000000001</v>
      </c>
      <c r="H239"/>
      <c r="I239"/>
      <c r="J239"/>
      <c r="K239"/>
      <c r="L239"/>
      <c r="M239"/>
      <c r="N239" s="58">
        <v>8.3538408973781841E-2</v>
      </c>
      <c r="O239" s="53"/>
      <c r="P239" s="53">
        <v>138.77646159102622</v>
      </c>
      <c r="Q239" s="15">
        <v>8.3538408973781841E-2</v>
      </c>
      <c r="R239" s="15"/>
      <c r="S239" s="15"/>
      <c r="T239" s="15"/>
      <c r="U239" s="15"/>
      <c r="V239" s="15"/>
      <c r="W239" s="15"/>
      <c r="X239" s="15"/>
      <c r="Y239" s="15"/>
    </row>
    <row r="240" spans="1:25" s="21" customFormat="1" x14ac:dyDescent="0.55000000000000004">
      <c r="A240" s="17"/>
      <c r="B240"/>
      <c r="C240"/>
      <c r="D240"/>
      <c r="E240"/>
      <c r="F240" s="49">
        <v>44470</v>
      </c>
      <c r="G240" s="92">
        <v>139.62</v>
      </c>
      <c r="H240"/>
      <c r="I240"/>
      <c r="J240"/>
      <c r="K240"/>
      <c r="L240"/>
      <c r="M240"/>
      <c r="N240" s="58">
        <v>-0.28361365704510266</v>
      </c>
      <c r="O240" s="53"/>
      <c r="P240" s="53">
        <v>139.9036136570451</v>
      </c>
      <c r="Q240" s="15">
        <v>-0.28361365704510266</v>
      </c>
      <c r="R240" s="15"/>
      <c r="S240" s="15"/>
      <c r="T240" s="15"/>
      <c r="U240" s="15"/>
      <c r="V240" s="15"/>
      <c r="W240" s="15"/>
      <c r="X240" s="15"/>
      <c r="Y240" s="15"/>
    </row>
    <row r="241" spans="1:25" s="21" customFormat="1" x14ac:dyDescent="0.55000000000000004">
      <c r="A241" s="17"/>
      <c r="B241"/>
      <c r="C241"/>
      <c r="D241"/>
      <c r="E241"/>
      <c r="F241" s="49">
        <v>44501</v>
      </c>
      <c r="G241" s="92">
        <v>141.05000000000001</v>
      </c>
      <c r="H241"/>
      <c r="I241"/>
      <c r="J241"/>
      <c r="K241"/>
      <c r="L241"/>
      <c r="M241"/>
      <c r="N241" s="58">
        <v>-0.61493037973788045</v>
      </c>
      <c r="O241" s="53"/>
      <c r="P241" s="53">
        <v>141.66493037973788</v>
      </c>
      <c r="Q241" s="15">
        <v>-0.61493037973788045</v>
      </c>
      <c r="R241" s="15"/>
      <c r="S241" s="15"/>
      <c r="T241" s="15"/>
      <c r="U241" s="15"/>
      <c r="V241" s="15"/>
      <c r="W241" s="15"/>
      <c r="X241" s="15"/>
      <c r="Y241" s="15"/>
    </row>
    <row r="242" spans="1:25" s="21" customFormat="1" x14ac:dyDescent="0.55000000000000004">
      <c r="A242" s="17"/>
      <c r="B242"/>
      <c r="C242"/>
      <c r="D242"/>
      <c r="E242"/>
      <c r="F242" s="49">
        <v>44531</v>
      </c>
      <c r="G242" s="92">
        <v>141.22</v>
      </c>
      <c r="H242"/>
      <c r="I242"/>
      <c r="J242"/>
      <c r="K242"/>
      <c r="L242"/>
      <c r="M242"/>
      <c r="N242" s="58">
        <v>-0.87178830412765507</v>
      </c>
      <c r="O242" s="53"/>
      <c r="P242" s="53">
        <v>142.09178830412765</v>
      </c>
      <c r="Q242" s="15">
        <v>-0.87178830412765507</v>
      </c>
      <c r="R242" s="15"/>
      <c r="S242" s="15"/>
      <c r="T242" s="15"/>
      <c r="U242" s="15"/>
      <c r="V242" s="15"/>
      <c r="W242" s="15"/>
      <c r="X242" s="15"/>
      <c r="Y242" s="15"/>
    </row>
    <row r="243" spans="1:25" s="21" customFormat="1" x14ac:dyDescent="0.55000000000000004">
      <c r="A243" s="17"/>
      <c r="B243"/>
      <c r="C243"/>
      <c r="D243"/>
      <c r="E243"/>
      <c r="F243" s="49">
        <v>44562</v>
      </c>
      <c r="G243" s="92">
        <v>140.26</v>
      </c>
      <c r="H243"/>
      <c r="I243"/>
      <c r="J243"/>
      <c r="K243"/>
      <c r="L243"/>
      <c r="M243"/>
      <c r="N243" s="58">
        <v>-1.0260147262864505</v>
      </c>
      <c r="O243" s="53"/>
      <c r="P243" s="53">
        <v>141.28601472628645</v>
      </c>
      <c r="Q243" s="15">
        <v>-1.0260147262864505</v>
      </c>
      <c r="R243" s="15"/>
      <c r="S243" s="15"/>
      <c r="T243" s="15"/>
      <c r="U243" s="15"/>
      <c r="V243" s="15"/>
      <c r="W243" s="15"/>
      <c r="X243" s="15"/>
      <c r="Y243" s="15"/>
    </row>
    <row r="244" spans="1:25" s="21" customFormat="1" x14ac:dyDescent="0.55000000000000004">
      <c r="A244" s="17"/>
      <c r="B244"/>
      <c r="C244"/>
      <c r="D244"/>
      <c r="E244"/>
      <c r="F244" s="49">
        <v>44593</v>
      </c>
      <c r="G244" s="92">
        <v>140.82</v>
      </c>
      <c r="H244"/>
      <c r="I244"/>
      <c r="J244"/>
      <c r="K244"/>
      <c r="L244"/>
      <c r="M244"/>
      <c r="N244" s="58">
        <v>-1.0621059428408257</v>
      </c>
      <c r="O244" s="53"/>
      <c r="P244" s="53">
        <v>141.88210594284081</v>
      </c>
      <c r="Q244" s="15">
        <v>-1.0621059428408257</v>
      </c>
      <c r="R244" s="15"/>
      <c r="S244" s="15"/>
      <c r="T244" s="15"/>
      <c r="U244" s="15"/>
      <c r="V244" s="15"/>
      <c r="W244" s="15"/>
      <c r="X244" s="15"/>
      <c r="Y244" s="15"/>
    </row>
    <row r="245" spans="1:25" x14ac:dyDescent="0.55000000000000004">
      <c r="F245" s="49">
        <v>44621</v>
      </c>
      <c r="G245" s="92">
        <v>141.94</v>
      </c>
      <c r="N245" s="58">
        <v>-0.97807110364522121</v>
      </c>
      <c r="P245" s="15">
        <v>142.91807110364522</v>
      </c>
      <c r="Q245" s="15">
        <v>-0.97807110364522121</v>
      </c>
    </row>
    <row r="246" spans="1:25" x14ac:dyDescent="0.55000000000000004">
      <c r="F246" s="49">
        <v>44652</v>
      </c>
      <c r="G246" s="92">
        <v>142.19</v>
      </c>
      <c r="N246" s="58">
        <v>-0.78487935501047534</v>
      </c>
      <c r="P246" s="15">
        <v>142.97487935501047</v>
      </c>
      <c r="Q246" s="15">
        <v>-0.78487935501047534</v>
      </c>
    </row>
    <row r="247" spans="1:25" x14ac:dyDescent="0.55000000000000004">
      <c r="F247" s="49">
        <v>44682</v>
      </c>
      <c r="G247" s="92">
        <v>142.15</v>
      </c>
      <c r="N247" s="58">
        <v>-0.50462913255875819</v>
      </c>
      <c r="P247" s="15">
        <v>142.65462913255877</v>
      </c>
      <c r="Q247" s="15">
        <v>-0.50462913255875819</v>
      </c>
    </row>
    <row r="248" spans="1:25" x14ac:dyDescent="0.55000000000000004">
      <c r="F248" s="49">
        <v>44713</v>
      </c>
      <c r="G248" s="92">
        <v>142.88999999999999</v>
      </c>
      <c r="N248" s="58">
        <v>-0.16768256300652418</v>
      </c>
      <c r="P248" s="15">
        <v>143.05768256300652</v>
      </c>
      <c r="Q248" s="15">
        <v>-0.16768256300652418</v>
      </c>
    </row>
    <row r="249" spans="1:25" x14ac:dyDescent="0.55000000000000004">
      <c r="F249" s="49">
        <v>44743</v>
      </c>
      <c r="G249" s="92">
        <v>145.41999999999999</v>
      </c>
      <c r="N249" s="58">
        <v>0.19089719424379581</v>
      </c>
      <c r="P249" s="15">
        <v>145.22910280575618</v>
      </c>
      <c r="Q249" s="15">
        <v>0.19089719424379581</v>
      </c>
    </row>
    <row r="250" spans="1:25" x14ac:dyDescent="0.55000000000000004">
      <c r="F250" s="49">
        <v>44774</v>
      </c>
      <c r="G250" s="92">
        <v>144.47999999999999</v>
      </c>
      <c r="N250" s="58">
        <v>0.53521097152862751</v>
      </c>
      <c r="P250" s="15">
        <v>143.94478902847135</v>
      </c>
      <c r="Q250" s="15">
        <v>0.53521097152862751</v>
      </c>
    </row>
    <row r="251" spans="1:25" x14ac:dyDescent="0.55000000000000004">
      <c r="F251" s="49">
        <v>44805</v>
      </c>
      <c r="G251" s="92">
        <v>144.49</v>
      </c>
      <c r="N251" s="58">
        <v>0.83228201194171803</v>
      </c>
      <c r="P251" s="15">
        <v>143.65771798805829</v>
      </c>
      <c r="Q251" s="15">
        <v>0.83228201194171803</v>
      </c>
    </row>
    <row r="252" spans="1:25" x14ac:dyDescent="0.55000000000000004">
      <c r="F252" s="49">
        <v>44835</v>
      </c>
      <c r="G252" s="92">
        <v>144.68</v>
      </c>
      <c r="N252" s="58">
        <v>1.0553271341369133</v>
      </c>
      <c r="P252" s="15">
        <v>143.62467286586309</v>
      </c>
      <c r="Q252" s="15">
        <v>1.0553271341369133</v>
      </c>
    </row>
    <row r="253" spans="1:25" x14ac:dyDescent="0.55000000000000004">
      <c r="F253" s="49">
        <v>44866</v>
      </c>
      <c r="G253" s="92">
        <v>142.74</v>
      </c>
      <c r="N253" s="58">
        <v>1.1862264942756227</v>
      </c>
      <c r="P253" s="15">
        <v>141.55377350572439</v>
      </c>
      <c r="Q253" s="15">
        <v>1.1862264942756227</v>
      </c>
    </row>
    <row r="254" spans="1:25" x14ac:dyDescent="0.55000000000000004">
      <c r="F254" s="49">
        <v>44896</v>
      </c>
      <c r="G254" s="92">
        <v>142.30000000000001</v>
      </c>
      <c r="N254" s="58">
        <v>1.2169742082667732</v>
      </c>
      <c r="P254" s="15">
        <v>141.08302579173323</v>
      </c>
      <c r="Q254" s="15">
        <v>1.2169742082667732</v>
      </c>
    </row>
    <row r="255" spans="1:25" s="15" customFormat="1" x14ac:dyDescent="0.55000000000000004">
      <c r="A255" s="17"/>
      <c r="B255"/>
      <c r="C255"/>
      <c r="D255"/>
      <c r="E255"/>
      <c r="F255" s="49">
        <v>44927</v>
      </c>
      <c r="G255" s="92">
        <v>143.47999999999999</v>
      </c>
      <c r="H255"/>
      <c r="I255"/>
      <c r="J255"/>
      <c r="K255"/>
      <c r="L255"/>
      <c r="M255"/>
      <c r="N255" s="58">
        <v>1.150007294090301</v>
      </c>
      <c r="P255" s="15">
        <v>142.32999270590969</v>
      </c>
      <c r="Q255" s="15">
        <v>1.150007294090301</v>
      </c>
    </row>
    <row r="256" spans="1:25" s="15" customFormat="1" x14ac:dyDescent="0.55000000000000004">
      <c r="A256" s="17"/>
      <c r="B256"/>
      <c r="C256"/>
      <c r="D256"/>
      <c r="E256"/>
      <c r="F256" s="49">
        <v>44958</v>
      </c>
      <c r="G256" s="92">
        <v>147.52000000000001</v>
      </c>
      <c r="H256"/>
      <c r="I256"/>
      <c r="J256"/>
      <c r="K256"/>
      <c r="L256"/>
      <c r="M256"/>
      <c r="N256" s="58">
        <v>0.99743164681224528</v>
      </c>
      <c r="P256" s="15">
        <v>146.52256835318775</v>
      </c>
      <c r="Q256" s="15">
        <v>0.99743164681224528</v>
      </c>
    </row>
    <row r="257" spans="1:17" s="15" customFormat="1" x14ac:dyDescent="0.55000000000000004">
      <c r="A257" s="17"/>
      <c r="B257"/>
      <c r="C257"/>
      <c r="D257"/>
      <c r="E257"/>
      <c r="F257" s="49">
        <v>44986</v>
      </c>
      <c r="G257" s="92">
        <v>147.02000000000001</v>
      </c>
      <c r="H257"/>
      <c r="I257"/>
      <c r="J257"/>
      <c r="K257"/>
      <c r="L257"/>
      <c r="M257"/>
      <c r="N257" s="58">
        <v>0.77927813098666832</v>
      </c>
      <c r="P257" s="15">
        <v>146.24072186901333</v>
      </c>
      <c r="Q257" s="15">
        <v>0.77927813098666832</v>
      </c>
    </row>
    <row r="258" spans="1:17" s="15" customFormat="1" x14ac:dyDescent="0.55000000000000004">
      <c r="A258" s="17"/>
      <c r="B258"/>
      <c r="C258"/>
      <c r="D258"/>
      <c r="E258"/>
      <c r="F258" s="49">
        <v>45017</v>
      </c>
      <c r="G258" s="92">
        <v>148.88</v>
      </c>
      <c r="H258"/>
      <c r="I258"/>
      <c r="J258"/>
      <c r="K258"/>
      <c r="L258"/>
      <c r="M258"/>
      <c r="N258" s="58">
        <v>0.52101759762829403</v>
      </c>
      <c r="P258" s="15">
        <v>148.35898240237171</v>
      </c>
      <c r="Q258" s="15">
        <v>0.52101759762829403</v>
      </c>
    </row>
    <row r="259" spans="1:17" s="15" customFormat="1" x14ac:dyDescent="0.55000000000000004">
      <c r="A259" s="17"/>
      <c r="B259"/>
      <c r="C259"/>
      <c r="D259"/>
      <c r="E259"/>
      <c r="F259" s="49">
        <v>45047</v>
      </c>
      <c r="G259" s="92">
        <v>146.16</v>
      </c>
      <c r="H259"/>
      <c r="I259"/>
      <c r="J259"/>
      <c r="K259"/>
      <c r="L259"/>
      <c r="M259"/>
      <c r="N259" s="58">
        <v>0.25063131703229402</v>
      </c>
      <c r="P259" s="15">
        <v>145.90936868296771</v>
      </c>
      <c r="Q259" s="15">
        <v>0.25063131703229402</v>
      </c>
    </row>
    <row r="260" spans="1:17" s="15" customFormat="1" x14ac:dyDescent="0.55000000000000004">
      <c r="A260" s="17"/>
      <c r="B260"/>
      <c r="C260"/>
      <c r="D260"/>
      <c r="E260"/>
      <c r="F260" s="49">
        <v>45078</v>
      </c>
      <c r="G260" s="92">
        <v>146.55000000000001</v>
      </c>
      <c r="H260"/>
      <c r="I260"/>
      <c r="J260"/>
      <c r="K260"/>
      <c r="L260"/>
      <c r="M260"/>
      <c r="N260" s="58">
        <v>-4.4331219124700283E-3</v>
      </c>
      <c r="P260" s="15">
        <v>146.5544331219125</v>
      </c>
      <c r="Q260" s="15">
        <v>-4.4331219124700283E-3</v>
      </c>
    </row>
    <row r="261" spans="1:17" s="15" customFormat="1" x14ac:dyDescent="0.55000000000000004">
      <c r="A261" s="17"/>
      <c r="B261"/>
      <c r="C261"/>
      <c r="D261"/>
      <c r="E261"/>
      <c r="F261" s="49">
        <v>45108</v>
      </c>
      <c r="G261" s="92">
        <v>146.97999999999999</v>
      </c>
      <c r="H261"/>
      <c r="I261"/>
      <c r="J261"/>
      <c r="K261"/>
      <c r="L261"/>
      <c r="M261"/>
      <c r="N261" s="58">
        <v>-0.22009320281777178</v>
      </c>
      <c r="P261" s="15">
        <v>147.20009320281775</v>
      </c>
      <c r="Q261" s="15">
        <v>-0.22009320281777178</v>
      </c>
    </row>
    <row r="262" spans="1:17" s="15" customFormat="1" x14ac:dyDescent="0.55000000000000004">
      <c r="A262" s="17"/>
      <c r="B262"/>
      <c r="C262"/>
      <c r="D262"/>
      <c r="E262"/>
      <c r="F262" s="49">
        <v>45139</v>
      </c>
      <c r="G262" s="92">
        <v>146.13999999999999</v>
      </c>
      <c r="H262"/>
      <c r="I262"/>
      <c r="J262"/>
      <c r="K262"/>
      <c r="L262"/>
      <c r="M262"/>
      <c r="N262" s="58">
        <v>-0.37796037949547667</v>
      </c>
      <c r="P262" s="15">
        <v>146.51796037949546</v>
      </c>
      <c r="Q262" s="15">
        <v>-0.37796037949547667</v>
      </c>
    </row>
    <row r="263" spans="1:17" s="15" customFormat="1" x14ac:dyDescent="0.55000000000000004">
      <c r="A263" s="17"/>
      <c r="B263"/>
      <c r="C263"/>
      <c r="D263"/>
      <c r="E263"/>
      <c r="F263" s="49">
        <v>45170</v>
      </c>
      <c r="G263" s="92">
        <v>146.19</v>
      </c>
      <c r="H263"/>
      <c r="I263"/>
      <c r="J263"/>
      <c r="K263"/>
      <c r="L263"/>
      <c r="M263"/>
      <c r="N263" s="58">
        <v>-0.46694345028992146</v>
      </c>
      <c r="P263" s="15">
        <v>146.65694345028993</v>
      </c>
      <c r="Q263" s="15">
        <v>-0.46694345028992146</v>
      </c>
    </row>
    <row r="264" spans="1:17" s="15" customFormat="1" x14ac:dyDescent="0.55000000000000004">
      <c r="A264" s="17"/>
      <c r="B264"/>
      <c r="C264"/>
      <c r="D264"/>
      <c r="E264"/>
      <c r="F264" s="49">
        <v>45200</v>
      </c>
      <c r="G264" s="92">
        <v>146.26</v>
      </c>
      <c r="H264"/>
      <c r="I264"/>
      <c r="J264"/>
      <c r="K264"/>
      <c r="L264"/>
      <c r="M264"/>
      <c r="N264" s="58">
        <v>-0.48399112582510284</v>
      </c>
      <c r="P264" s="15">
        <v>146.74399112582509</v>
      </c>
      <c r="Q264" s="15">
        <v>-0.48399112582510284</v>
      </c>
    </row>
    <row r="265" spans="1:17" s="15" customFormat="1" x14ac:dyDescent="0.55000000000000004">
      <c r="A265" s="17"/>
      <c r="B265"/>
      <c r="C265"/>
      <c r="D265"/>
      <c r="E265"/>
      <c r="F265" s="49">
        <v>45231</v>
      </c>
      <c r="G265" s="92">
        <v>146.41</v>
      </c>
      <c r="H265"/>
      <c r="I265"/>
      <c r="J265"/>
      <c r="K265"/>
      <c r="L265"/>
      <c r="M265"/>
      <c r="N265" s="58">
        <v>-0.43393699408983188</v>
      </c>
      <c r="P265" s="15">
        <v>146.84393699408983</v>
      </c>
      <c r="Q265" s="15">
        <v>-0.43393699408983188</v>
      </c>
    </row>
    <row r="266" spans="1:17" s="15" customFormat="1" x14ac:dyDescent="0.55000000000000004">
      <c r="A266" s="17"/>
      <c r="B266"/>
      <c r="C266"/>
      <c r="D266"/>
      <c r="E266"/>
      <c r="F266" s="49">
        <v>45261</v>
      </c>
      <c r="G266" s="92">
        <v>147.61000000000001</v>
      </c>
      <c r="H266"/>
      <c r="I266"/>
      <c r="J266"/>
      <c r="K266"/>
      <c r="L266"/>
      <c r="M266"/>
      <c r="N266" s="58">
        <v>-0.32850828390122633</v>
      </c>
      <c r="P266" s="15">
        <v>147.93850828390123</v>
      </c>
      <c r="Q266" s="15">
        <v>-0.32850828390122633</v>
      </c>
    </row>
    <row r="267" spans="1:17" s="15" customFormat="1" x14ac:dyDescent="0.55000000000000004">
      <c r="A267" s="17"/>
      <c r="B267"/>
      <c r="C267"/>
      <c r="D267"/>
      <c r="E267"/>
      <c r="F267" s="49">
        <v>45292</v>
      </c>
      <c r="G267" s="92">
        <v>148.5</v>
      </c>
      <c r="H267"/>
      <c r="I267"/>
      <c r="J267"/>
      <c r="K267"/>
      <c r="L267"/>
      <c r="M267"/>
      <c r="N267" s="58">
        <v>-0.18464714654578618</v>
      </c>
      <c r="P267" s="15">
        <v>148.68464714654579</v>
      </c>
      <c r="Q267" s="15">
        <v>-0.18464714654578618</v>
      </c>
    </row>
  </sheetData>
  <mergeCells count="2">
    <mergeCell ref="A4:J4"/>
    <mergeCell ref="D18:D19"/>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F723B-ACBA-4A48-97DB-EE371EAB24BB}">
  <sheetPr codeName="Planilha103">
    <tabColor theme="9" tint="0.59999389629810485"/>
  </sheetPr>
  <dimension ref="A1:X266"/>
  <sheetViews>
    <sheetView showGridLines="0" zoomScaleNormal="100" workbookViewId="0">
      <selection activeCell="M15" sqref="M15"/>
    </sheetView>
  </sheetViews>
  <sheetFormatPr defaultColWidth="8.796875" defaultRowHeight="18" x14ac:dyDescent="0.55000000000000004"/>
  <cols>
    <col min="1" max="1" width="17.33203125" style="17" customWidth="1"/>
    <col min="2" max="2" width="61.1328125" customWidth="1"/>
    <col min="4" max="4" width="30.1328125" customWidth="1"/>
    <col min="5" max="5" width="4.6640625" customWidth="1"/>
    <col min="6" max="7" width="7.1328125" bestFit="1" customWidth="1"/>
    <col min="8" max="8" width="10.6640625" bestFit="1" customWidth="1"/>
    <col min="9" max="9" width="17.33203125" customWidth="1"/>
    <col min="10" max="11" width="13.33203125" bestFit="1" customWidth="1"/>
    <col min="12" max="12" width="4.33203125" customWidth="1"/>
    <col min="13" max="13" width="12.1328125" style="15" customWidth="1"/>
    <col min="14" max="15" width="9" style="15" customWidth="1"/>
    <col min="16" max="24" width="8.796875" style="15"/>
  </cols>
  <sheetData>
    <row r="1" spans="1:24" x14ac:dyDescent="0.55000000000000004">
      <c r="A1" s="83" t="s">
        <v>1192</v>
      </c>
      <c r="M1" s="14"/>
      <c r="N1" s="14"/>
      <c r="O1" s="14"/>
      <c r="P1" s="14"/>
      <c r="Q1" s="14"/>
      <c r="R1" s="14"/>
      <c r="S1" s="14"/>
      <c r="T1" s="14"/>
      <c r="U1" s="14"/>
      <c r="V1" s="14"/>
      <c r="W1" s="14"/>
      <c r="X1" s="14"/>
    </row>
    <row r="2" spans="1:24" x14ac:dyDescent="0.55000000000000004">
      <c r="A2" s="17" t="s">
        <v>1193</v>
      </c>
      <c r="M2" s="14"/>
      <c r="N2" s="14"/>
      <c r="O2" s="14"/>
      <c r="P2" s="14"/>
      <c r="Q2" s="14"/>
      <c r="R2" s="14"/>
      <c r="S2" s="14"/>
      <c r="T2" s="14"/>
      <c r="U2" s="14"/>
      <c r="V2" s="14"/>
      <c r="W2" s="14"/>
      <c r="X2" s="14"/>
    </row>
    <row r="3" spans="1:24" x14ac:dyDescent="0.55000000000000004">
      <c r="M3" s="14"/>
      <c r="N3" s="14"/>
      <c r="O3" s="14"/>
      <c r="P3" s="14"/>
      <c r="Q3" s="14"/>
      <c r="R3" s="14"/>
      <c r="S3" s="14"/>
      <c r="T3" s="14"/>
      <c r="U3" s="14"/>
      <c r="V3" s="14"/>
      <c r="W3" s="14"/>
      <c r="X3" s="14"/>
    </row>
    <row r="4" spans="1:24" x14ac:dyDescent="0.45">
      <c r="A4" s="172" t="s">
        <v>1165</v>
      </c>
      <c r="B4" s="172"/>
      <c r="C4" s="172"/>
      <c r="D4" s="172"/>
      <c r="E4" s="172"/>
      <c r="F4" s="172"/>
      <c r="G4" s="172"/>
      <c r="H4" s="172"/>
      <c r="I4" s="172"/>
      <c r="J4" s="172"/>
      <c r="K4" s="126"/>
      <c r="M4" s="14"/>
      <c r="N4" s="14"/>
      <c r="O4" s="14"/>
      <c r="P4" s="14"/>
      <c r="Q4" s="14"/>
      <c r="R4" s="14"/>
      <c r="S4" s="14"/>
      <c r="T4" s="14"/>
      <c r="U4" s="14"/>
      <c r="V4" s="14"/>
      <c r="W4" s="14"/>
      <c r="X4" s="14"/>
    </row>
    <row r="6" spans="1:24" ht="15.75" x14ac:dyDescent="0.5">
      <c r="A6" s="2" t="s">
        <v>15</v>
      </c>
      <c r="B6" s="2" t="s">
        <v>16</v>
      </c>
    </row>
    <row r="7" spans="1:24" ht="15.75" x14ac:dyDescent="0.45">
      <c r="A7" s="23" t="s">
        <v>165</v>
      </c>
      <c r="B7" s="26" t="s">
        <v>498</v>
      </c>
    </row>
    <row r="8" spans="1:24" ht="15.75" customHeight="1" x14ac:dyDescent="0.45">
      <c r="A8" s="23" t="s">
        <v>1132</v>
      </c>
      <c r="B8" s="26" t="s">
        <v>1105</v>
      </c>
    </row>
    <row r="9" spans="1:24" ht="15.75" x14ac:dyDescent="0.45">
      <c r="A9" s="23" t="s">
        <v>1194</v>
      </c>
      <c r="B9" s="26" t="s">
        <v>1197</v>
      </c>
    </row>
    <row r="10" spans="1:24" ht="15.75" x14ac:dyDescent="0.45">
      <c r="A10" s="23" t="s">
        <v>519</v>
      </c>
      <c r="B10" s="26" t="s">
        <v>1195</v>
      </c>
    </row>
    <row r="11" spans="1:24" ht="31.5" x14ac:dyDescent="0.45">
      <c r="A11" s="23" t="s">
        <v>1198</v>
      </c>
      <c r="B11" s="26" t="s">
        <v>1199</v>
      </c>
    </row>
    <row r="12" spans="1:24" ht="15.75" x14ac:dyDescent="0.5">
      <c r="A12" s="23"/>
      <c r="B12" s="24"/>
      <c r="M12" s="50"/>
    </row>
    <row r="13" spans="1:24" x14ac:dyDescent="0.55000000000000004">
      <c r="D13" s="1" t="s">
        <v>17</v>
      </c>
      <c r="F13" t="s">
        <v>1102</v>
      </c>
      <c r="G13" s="13" t="s">
        <v>165</v>
      </c>
      <c r="H13" s="13" t="s">
        <v>197</v>
      </c>
      <c r="I13" s="153" t="s">
        <v>1194</v>
      </c>
      <c r="J13" s="48" t="s">
        <v>519</v>
      </c>
      <c r="K13" s="48" t="s">
        <v>1198</v>
      </c>
      <c r="M13" s="58" t="s">
        <v>192</v>
      </c>
      <c r="O13" s="15" t="s">
        <v>201</v>
      </c>
      <c r="P13" s="15" t="s">
        <v>202</v>
      </c>
    </row>
    <row r="14" spans="1:24" x14ac:dyDescent="0.55000000000000004">
      <c r="D14" t="s">
        <v>195</v>
      </c>
      <c r="F14" s="49">
        <v>37622</v>
      </c>
      <c r="G14" s="92">
        <v>100.42</v>
      </c>
      <c r="H14" s="54" t="s">
        <v>200</v>
      </c>
      <c r="I14" s="154">
        <v>7</v>
      </c>
      <c r="J14" s="140" t="s">
        <v>1196</v>
      </c>
      <c r="K14" s="140" t="b">
        <v>1</v>
      </c>
      <c r="M14" s="58" t="e" cm="1">
        <f t="array" ref="M14:M266">_xlfn.LAMBDA(_xlpm.values,_xlop.trendCycle,_xlop.windowLength,_xlop.type,_xlop.centered, _xlfn.LET(_xlpm.y, VEC(_xlpm.values), _xlpm.trendCycle, IF(OR(_xlfn.ISOMITTED(_xlpm.trendCycle), ISBLANK(_xlpm.trendCycle)), "t", LOWER(_xlpm.trendCycle)), _xlpm.windowLength, IF(OR(_xlfn.ISOMITTED(_xlpm.windowLength), ISBLANK(_xlpm.windowLength)), 1, _xlpm.windowLength), _xlpm.centered, IF(OR(_xlfn.ISOMITTED(_xlpm.centered), ISBLANK(_xlpm.centered)), FALSE, _xlpm.centered), _xlpm.lagWindow, ROUNDDOWN(_xlpm.windowLength / 2, 0), _xlpm.evenWindow, ISEVEN(_xlpm.windowLength), _xlpm.trendTrailing, _xlfn.LAMBDA(_xlpm.values,_xlpm.window, IF(_xlpm.window = 1, _xlpm.values, _xlfn.MAKEARRAY(ROWS(_xlpm.values), COLUMNS(_xlpm.values), _xlfn.LAMBDA(_xlpm.row,_xlpm.col, IF(_xlpm.row &lt; _xlpm.window, NA(), AVERAGE(INDEX(_xlpm.values, _xlfn.SEQUENCE(_xlpm.window, 1, _xlpm.row - _xlpm.window + 1), _xlpm.col))))))), _xlpm.trendCentered, _xlfn.LAMBDA(_xlpm.values,_xlpm.window, IF(_xlpm.window = 1, _xlpm.values, _xlfn.MAKEARRAY(ROWS(_xlpm.values), COLUMNS(_xlpm.values), _xlfn.LAMBDA(_xlpm.row,_xlpm.col, IF(IF(_xlpm.evenWindow, _xlpm.row &lt; _xlpm.lagWindow, _xlpm.row &lt;= _xlpm.lagWindow), NA(), AVERAGE(INDEX(_xlpm.values, _xlfn.SEQUENCE(_xlpm.window, 1, _xlpm.row - _xlpm.lagWindow + 1 * _xlpm.evenWindow), _xlpm.col))))))), _xlpm.trend, IF(_xlpm.centered = FALSE, _xlpm.trendTrailing(_xlpm.y, _xlpm.windowLength), IF(_xlpm.evenWindow, _xlpm.trendTrailing(_xlpm.trendCentered(_xlpm.y, _xlpm.windowLength), 2), _xlpm.trendCentered(_xlpm.y, _xlpm.windowLength))), _xlpm.final, IF(_xlpm.trendCycle = "t", _xlpm.trend, IF(_xlpm.trendCycle = "c", _xlpm.y - _xlpm.trend, "#trendCycle must be either ""t"" or ""c""")), _xlpm.final))($G$14:$G$266, $H$14, $I$14, $J$14, $K$14)</f>
        <v>#N/A</v>
      </c>
      <c r="N14" s="58"/>
      <c r="O14" s="58" t="e" cm="1">
        <f t="array" ref="O14:O266">MAFILTER($G$14:$G$266,"T",$I$14,$J$14)</f>
        <v>#N/A</v>
      </c>
      <c r="P14" s="15" t="e" cm="1">
        <f t="array" ref="P14:P266">MAFILTER($G$14:$G$266,"C",$I$14,$J$14)</f>
        <v>#N/A</v>
      </c>
    </row>
    <row r="15" spans="1:24" x14ac:dyDescent="0.55000000000000004">
      <c r="D15" t="s">
        <v>222</v>
      </c>
      <c r="F15" s="49">
        <v>37653</v>
      </c>
      <c r="G15" s="92">
        <v>101.99</v>
      </c>
      <c r="M15" s="58" t="e">
        <v>#N/A</v>
      </c>
      <c r="N15" s="58"/>
      <c r="O15" s="58" t="e">
        <v>#N/A</v>
      </c>
      <c r="P15" s="15" t="e">
        <v>#N/A</v>
      </c>
    </row>
    <row r="16" spans="1:24" x14ac:dyDescent="0.55000000000000004">
      <c r="F16" s="49">
        <v>37681</v>
      </c>
      <c r="G16" s="92">
        <v>101.8</v>
      </c>
      <c r="M16" s="58" t="e">
        <v>#N/A</v>
      </c>
      <c r="N16" s="58"/>
      <c r="O16" s="58" t="e">
        <v>#N/A</v>
      </c>
      <c r="P16" s="15" t="e">
        <v>#N/A</v>
      </c>
    </row>
    <row r="17" spans="1:24" ht="18.75" customHeight="1" x14ac:dyDescent="0.55000000000000004">
      <c r="D17" s="173"/>
      <c r="F17" s="49">
        <v>37712</v>
      </c>
      <c r="G17" s="92">
        <v>101.01</v>
      </c>
      <c r="I17" s="155"/>
      <c r="J17" s="95"/>
      <c r="M17" s="58">
        <v>100.61</v>
      </c>
      <c r="N17" s="58"/>
      <c r="O17" s="58" t="e">
        <v>#N/A</v>
      </c>
      <c r="P17" s="15" t="e">
        <v>#N/A</v>
      </c>
    </row>
    <row r="18" spans="1:24" x14ac:dyDescent="0.55000000000000004">
      <c r="D18" s="173"/>
      <c r="F18" s="49">
        <v>37742</v>
      </c>
      <c r="G18" s="92">
        <v>99.97</v>
      </c>
      <c r="I18" s="155"/>
      <c r="M18" s="58">
        <v>100.5242857142857</v>
      </c>
      <c r="N18" s="58"/>
      <c r="O18" s="58" t="e">
        <v>#N/A</v>
      </c>
      <c r="P18" s="15" t="e">
        <v>#N/A</v>
      </c>
    </row>
    <row r="19" spans="1:24" x14ac:dyDescent="0.55000000000000004">
      <c r="D19" s="46"/>
      <c r="F19" s="49">
        <v>37773</v>
      </c>
      <c r="G19" s="92">
        <v>100.14</v>
      </c>
      <c r="I19" s="155"/>
      <c r="M19" s="58">
        <v>100.47714285714285</v>
      </c>
      <c r="N19" s="58"/>
      <c r="O19" s="58" t="e">
        <v>#N/A</v>
      </c>
      <c r="P19" s="15" t="e">
        <v>#N/A</v>
      </c>
    </row>
    <row r="20" spans="1:24" x14ac:dyDescent="0.55000000000000004">
      <c r="F20" s="49">
        <v>37803</v>
      </c>
      <c r="G20" s="92">
        <v>98.94</v>
      </c>
      <c r="I20" s="155"/>
      <c r="M20" s="58">
        <v>100.48571428571428</v>
      </c>
      <c r="N20" s="58"/>
      <c r="O20" s="58">
        <v>100.61</v>
      </c>
      <c r="P20" s="15">
        <v>-1.6700000000000017</v>
      </c>
    </row>
    <row r="21" spans="1:24" x14ac:dyDescent="0.55000000000000004">
      <c r="F21" s="49">
        <v>37834</v>
      </c>
      <c r="G21" s="92">
        <v>99.82</v>
      </c>
      <c r="I21" s="155"/>
      <c r="M21" s="58">
        <v>100.62714285714286</v>
      </c>
      <c r="N21" s="58"/>
      <c r="O21" s="58">
        <v>100.5242857142857</v>
      </c>
      <c r="P21" s="15">
        <v>-0.70428571428570308</v>
      </c>
    </row>
    <row r="22" spans="1:24" x14ac:dyDescent="0.55000000000000004">
      <c r="F22" s="49">
        <v>37865</v>
      </c>
      <c r="G22" s="92">
        <v>101.66</v>
      </c>
      <c r="I22" s="155"/>
      <c r="M22" s="58">
        <v>100.90857142857142</v>
      </c>
      <c r="N22" s="58"/>
      <c r="O22" s="58">
        <v>100.47714285714285</v>
      </c>
      <c r="P22" s="15">
        <v>1.182857142857145</v>
      </c>
    </row>
    <row r="23" spans="1:24" s="21" customFormat="1" x14ac:dyDescent="0.55000000000000004">
      <c r="A23" s="17"/>
      <c r="B23"/>
      <c r="C23"/>
      <c r="D23"/>
      <c r="E23"/>
      <c r="F23" s="49">
        <v>37895</v>
      </c>
      <c r="G23" s="92">
        <v>101.86</v>
      </c>
      <c r="H23"/>
      <c r="I23"/>
      <c r="J23"/>
      <c r="K23"/>
      <c r="L23"/>
      <c r="M23" s="58">
        <v>101.40857142857143</v>
      </c>
      <c r="N23" s="58"/>
      <c r="O23" s="58">
        <v>100.48571428571428</v>
      </c>
      <c r="P23" s="15">
        <v>1.374285714285719</v>
      </c>
      <c r="Q23" s="15"/>
      <c r="R23" s="15"/>
      <c r="S23" s="15"/>
      <c r="T23" s="15"/>
      <c r="U23" s="15"/>
      <c r="V23" s="15"/>
      <c r="W23" s="15"/>
      <c r="X23" s="15"/>
    </row>
    <row r="24" spans="1:24" s="21" customFormat="1" x14ac:dyDescent="0.55000000000000004">
      <c r="A24" s="17"/>
      <c r="B24"/>
      <c r="C24"/>
      <c r="D24"/>
      <c r="E24"/>
      <c r="F24" s="49">
        <v>37926</v>
      </c>
      <c r="G24" s="92">
        <v>102</v>
      </c>
      <c r="H24"/>
      <c r="I24"/>
      <c r="J24"/>
      <c r="K24"/>
      <c r="L24"/>
      <c r="M24" s="58">
        <v>102.20571428571428</v>
      </c>
      <c r="N24" s="53"/>
      <c r="O24" s="58">
        <v>100.62714285714286</v>
      </c>
      <c r="P24" s="15">
        <v>1.3728571428571428</v>
      </c>
      <c r="Q24" s="15"/>
      <c r="R24" s="15"/>
      <c r="S24" s="15"/>
      <c r="T24" s="15"/>
      <c r="U24" s="15"/>
      <c r="V24" s="15"/>
      <c r="W24" s="15"/>
      <c r="X24" s="15"/>
    </row>
    <row r="25" spans="1:24" s="21" customFormat="1" x14ac:dyDescent="0.55000000000000004">
      <c r="A25" s="17"/>
      <c r="B25"/>
      <c r="C25"/>
      <c r="D25"/>
      <c r="E25"/>
      <c r="F25" s="49">
        <v>37956</v>
      </c>
      <c r="G25" s="92">
        <v>101.94</v>
      </c>
      <c r="H25"/>
      <c r="I25"/>
      <c r="J25"/>
      <c r="K25"/>
      <c r="L25"/>
      <c r="M25" s="58">
        <v>103.06428571428572</v>
      </c>
      <c r="N25" s="53"/>
      <c r="O25" s="58">
        <v>100.90857142857142</v>
      </c>
      <c r="P25" s="15">
        <v>1.0314285714285774</v>
      </c>
      <c r="Q25" s="15"/>
      <c r="R25" s="15"/>
      <c r="S25" s="15"/>
      <c r="T25" s="15"/>
      <c r="U25" s="15"/>
      <c r="V25" s="15"/>
      <c r="W25" s="15"/>
      <c r="X25" s="15"/>
    </row>
    <row r="26" spans="1:24" s="21" customFormat="1" x14ac:dyDescent="0.55000000000000004">
      <c r="A26" s="17"/>
      <c r="B26"/>
      <c r="C26"/>
      <c r="D26"/>
      <c r="E26"/>
      <c r="F26" s="49">
        <v>37987</v>
      </c>
      <c r="G26" s="92">
        <v>103.64</v>
      </c>
      <c r="H26"/>
      <c r="I26"/>
      <c r="J26"/>
      <c r="K26"/>
      <c r="L26"/>
      <c r="M26" s="58">
        <v>103.74285714285715</v>
      </c>
      <c r="N26" s="53"/>
      <c r="O26" s="58">
        <v>101.40857142857143</v>
      </c>
      <c r="P26" s="15">
        <v>2.231428571428566</v>
      </c>
      <c r="Q26" s="15"/>
      <c r="R26" s="15"/>
      <c r="S26" s="15"/>
      <c r="T26" s="15"/>
      <c r="U26" s="15"/>
      <c r="V26" s="15"/>
      <c r="W26" s="15"/>
      <c r="X26" s="15"/>
    </row>
    <row r="27" spans="1:24" s="21" customFormat="1" x14ac:dyDescent="0.55000000000000004">
      <c r="A27" s="17"/>
      <c r="B27"/>
      <c r="C27"/>
      <c r="D27"/>
      <c r="E27"/>
      <c r="F27" s="49">
        <v>38018</v>
      </c>
      <c r="G27" s="92">
        <v>104.52</v>
      </c>
      <c r="H27"/>
      <c r="I27"/>
      <c r="J27"/>
      <c r="K27"/>
      <c r="L27"/>
      <c r="M27" s="58">
        <v>104.38142857142857</v>
      </c>
      <c r="N27" s="53"/>
      <c r="O27" s="58">
        <v>102.20571428571428</v>
      </c>
      <c r="P27" s="15">
        <v>2.3142857142857167</v>
      </c>
      <c r="Q27" s="15"/>
      <c r="R27" s="15"/>
      <c r="S27" s="15"/>
      <c r="T27" s="15"/>
      <c r="U27" s="15"/>
      <c r="V27" s="15"/>
      <c r="W27" s="15"/>
      <c r="X27" s="15"/>
    </row>
    <row r="28" spans="1:24" s="21" customFormat="1" x14ac:dyDescent="0.55000000000000004">
      <c r="A28" s="17"/>
      <c r="B28"/>
      <c r="C28"/>
      <c r="D28"/>
      <c r="E28"/>
      <c r="F28" s="49">
        <v>38047</v>
      </c>
      <c r="G28" s="92">
        <v>105.83</v>
      </c>
      <c r="H28"/>
      <c r="I28"/>
      <c r="J28"/>
      <c r="K28"/>
      <c r="L28"/>
      <c r="M28" s="58">
        <v>105.12285714285713</v>
      </c>
      <c r="N28" s="53"/>
      <c r="O28" s="58">
        <v>103.06428571428572</v>
      </c>
      <c r="P28" s="15">
        <v>2.7657142857142816</v>
      </c>
      <c r="Q28" s="15"/>
      <c r="R28" s="15"/>
      <c r="S28" s="15"/>
      <c r="T28" s="15"/>
      <c r="U28" s="15"/>
      <c r="V28" s="15"/>
      <c r="W28" s="15"/>
      <c r="X28" s="15"/>
    </row>
    <row r="29" spans="1:24" s="21" customFormat="1" x14ac:dyDescent="0.55000000000000004">
      <c r="A29" s="17"/>
      <c r="B29"/>
      <c r="C29"/>
      <c r="D29"/>
      <c r="E29"/>
      <c r="F29" s="49">
        <v>38078</v>
      </c>
      <c r="G29" s="92">
        <v>106.41</v>
      </c>
      <c r="H29"/>
      <c r="I29"/>
      <c r="J29"/>
      <c r="K29"/>
      <c r="L29"/>
      <c r="M29" s="58">
        <v>105.94142857142857</v>
      </c>
      <c r="N29" s="53"/>
      <c r="O29" s="58">
        <v>103.74285714285715</v>
      </c>
      <c r="P29" s="15">
        <v>2.6671428571428493</v>
      </c>
      <c r="Q29" s="15"/>
      <c r="R29" s="15"/>
      <c r="S29" s="15"/>
      <c r="T29" s="15"/>
      <c r="U29" s="15"/>
      <c r="V29" s="15"/>
      <c r="W29" s="15"/>
      <c r="X29" s="15"/>
    </row>
    <row r="30" spans="1:24" s="21" customFormat="1" x14ac:dyDescent="0.55000000000000004">
      <c r="A30" s="17"/>
      <c r="B30"/>
      <c r="C30"/>
      <c r="D30"/>
      <c r="E30"/>
      <c r="F30" s="49">
        <v>38108</v>
      </c>
      <c r="G30" s="92">
        <v>106.33</v>
      </c>
      <c r="H30"/>
      <c r="I30"/>
      <c r="J30"/>
      <c r="K30"/>
      <c r="L30"/>
      <c r="M30" s="58">
        <v>106.58999999999999</v>
      </c>
      <c r="N30" s="53"/>
      <c r="O30" s="58">
        <v>104.38142857142857</v>
      </c>
      <c r="P30" s="15">
        <v>1.9485714285714266</v>
      </c>
      <c r="Q30" s="15"/>
      <c r="R30" s="15"/>
      <c r="S30" s="15"/>
      <c r="T30" s="15"/>
      <c r="U30" s="15"/>
      <c r="V30" s="15"/>
      <c r="W30" s="15"/>
      <c r="X30" s="15"/>
    </row>
    <row r="31" spans="1:24" s="21" customFormat="1" x14ac:dyDescent="0.55000000000000004">
      <c r="A31" s="17"/>
      <c r="B31"/>
      <c r="C31"/>
      <c r="D31"/>
      <c r="E31"/>
      <c r="F31" s="49">
        <v>38139</v>
      </c>
      <c r="G31" s="92">
        <v>107.19</v>
      </c>
      <c r="H31"/>
      <c r="I31"/>
      <c r="J31"/>
      <c r="K31"/>
      <c r="L31"/>
      <c r="M31" s="58">
        <v>107.25285714285712</v>
      </c>
      <c r="N31" s="53"/>
      <c r="O31" s="58">
        <v>105.12285714285713</v>
      </c>
      <c r="P31" s="15">
        <v>2.0671428571428692</v>
      </c>
      <c r="Q31" s="15"/>
      <c r="R31" s="15"/>
      <c r="S31" s="15"/>
      <c r="T31" s="15"/>
      <c r="U31" s="15"/>
      <c r="V31" s="15"/>
      <c r="W31" s="15"/>
      <c r="X31" s="15"/>
    </row>
    <row r="32" spans="1:24" s="21" customFormat="1" x14ac:dyDescent="0.55000000000000004">
      <c r="A32" s="17"/>
      <c r="B32"/>
      <c r="C32"/>
      <c r="D32"/>
      <c r="E32"/>
      <c r="F32" s="49">
        <v>38169</v>
      </c>
      <c r="G32" s="92">
        <v>107.67</v>
      </c>
      <c r="H32"/>
      <c r="I32"/>
      <c r="J32"/>
      <c r="K32"/>
      <c r="L32"/>
      <c r="M32" s="58">
        <v>107.66714285714285</v>
      </c>
      <c r="N32" s="53"/>
      <c r="O32" s="58">
        <v>105.94142857142857</v>
      </c>
      <c r="P32" s="15">
        <v>1.7285714285714278</v>
      </c>
      <c r="Q32" s="15"/>
      <c r="R32" s="15"/>
      <c r="S32" s="15"/>
      <c r="T32" s="15"/>
      <c r="U32" s="15"/>
      <c r="V32" s="15"/>
      <c r="W32" s="15"/>
      <c r="X32" s="15"/>
    </row>
    <row r="33" spans="1:24" s="21" customFormat="1" x14ac:dyDescent="0.55000000000000004">
      <c r="A33" s="17"/>
      <c r="B33"/>
      <c r="C33"/>
      <c r="D33"/>
      <c r="E33"/>
      <c r="F33" s="49">
        <v>38200</v>
      </c>
      <c r="G33" s="92">
        <v>108.18</v>
      </c>
      <c r="H33"/>
      <c r="I33"/>
      <c r="J33"/>
      <c r="K33"/>
      <c r="L33"/>
      <c r="M33" s="58">
        <v>108.13285714285713</v>
      </c>
      <c r="N33" s="53"/>
      <c r="O33" s="58">
        <v>106.58999999999999</v>
      </c>
      <c r="P33" s="15">
        <v>1.5900000000000176</v>
      </c>
      <c r="Q33" s="15"/>
      <c r="R33" s="15"/>
      <c r="S33" s="15"/>
      <c r="T33" s="15"/>
      <c r="U33" s="15"/>
      <c r="V33" s="15"/>
      <c r="W33" s="15"/>
      <c r="X33" s="15"/>
    </row>
    <row r="34" spans="1:24" s="21" customFormat="1" x14ac:dyDescent="0.55000000000000004">
      <c r="A34" s="17"/>
      <c r="B34"/>
      <c r="C34"/>
      <c r="D34"/>
      <c r="E34"/>
      <c r="F34" s="49">
        <v>38231</v>
      </c>
      <c r="G34" s="92">
        <v>109.16</v>
      </c>
      <c r="H34"/>
      <c r="I34"/>
      <c r="J34"/>
      <c r="K34"/>
      <c r="L34"/>
      <c r="M34" s="58">
        <v>108.5257142857143</v>
      </c>
      <c r="N34" s="53"/>
      <c r="O34" s="58">
        <v>107.25285714285712</v>
      </c>
      <c r="P34" s="15">
        <v>1.9071428571428726</v>
      </c>
      <c r="Q34" s="15"/>
      <c r="R34" s="15"/>
      <c r="S34" s="15"/>
      <c r="T34" s="15"/>
      <c r="U34" s="15"/>
      <c r="V34" s="15"/>
      <c r="W34" s="15"/>
      <c r="X34" s="15"/>
    </row>
    <row r="35" spans="1:24" s="21" customFormat="1" x14ac:dyDescent="0.55000000000000004">
      <c r="A35" s="17"/>
      <c r="B35"/>
      <c r="C35"/>
      <c r="D35"/>
      <c r="E35"/>
      <c r="F35" s="49">
        <v>38261</v>
      </c>
      <c r="G35" s="92">
        <v>108.73</v>
      </c>
      <c r="H35"/>
      <c r="I35"/>
      <c r="J35"/>
      <c r="K35"/>
      <c r="L35"/>
      <c r="M35" s="58">
        <v>108.86142857142856</v>
      </c>
      <c r="N35" s="53"/>
      <c r="O35" s="58">
        <v>107.66714285714285</v>
      </c>
      <c r="P35" s="15">
        <v>1.0628571428571547</v>
      </c>
      <c r="Q35" s="15"/>
      <c r="R35" s="15"/>
      <c r="S35" s="15"/>
      <c r="T35" s="15"/>
      <c r="U35" s="15"/>
      <c r="V35" s="15"/>
      <c r="W35" s="15"/>
      <c r="X35" s="15"/>
    </row>
    <row r="36" spans="1:24" s="21" customFormat="1" x14ac:dyDescent="0.55000000000000004">
      <c r="A36" s="17"/>
      <c r="B36"/>
      <c r="C36"/>
      <c r="D36"/>
      <c r="E36"/>
      <c r="F36" s="49">
        <v>38292</v>
      </c>
      <c r="G36" s="92">
        <v>109.67</v>
      </c>
      <c r="H36"/>
      <c r="I36"/>
      <c r="J36"/>
      <c r="K36"/>
      <c r="L36"/>
      <c r="M36" s="58">
        <v>109.22285714285715</v>
      </c>
      <c r="N36" s="53"/>
      <c r="O36" s="58">
        <v>108.13285714285713</v>
      </c>
      <c r="P36" s="15">
        <v>1.537142857142868</v>
      </c>
      <c r="Q36" s="15"/>
      <c r="R36" s="15"/>
      <c r="S36" s="15"/>
      <c r="T36" s="15"/>
      <c r="U36" s="15"/>
      <c r="V36" s="15"/>
      <c r="W36" s="15"/>
      <c r="X36" s="15"/>
    </row>
    <row r="37" spans="1:24" s="21" customFormat="1" x14ac:dyDescent="0.55000000000000004">
      <c r="A37" s="17"/>
      <c r="B37"/>
      <c r="C37"/>
      <c r="D37"/>
      <c r="E37"/>
      <c r="F37" s="49">
        <v>38322</v>
      </c>
      <c r="G37" s="92">
        <v>109.08</v>
      </c>
      <c r="H37"/>
      <c r="I37"/>
      <c r="J37"/>
      <c r="K37"/>
      <c r="L37"/>
      <c r="M37" s="58">
        <v>109.53714285714285</v>
      </c>
      <c r="N37" s="53"/>
      <c r="O37" s="58">
        <v>108.5257142857143</v>
      </c>
      <c r="P37" s="15">
        <v>0.5542857142856974</v>
      </c>
      <c r="Q37" s="15"/>
      <c r="R37" s="15"/>
      <c r="S37" s="15"/>
      <c r="T37" s="15"/>
      <c r="U37" s="15"/>
      <c r="V37" s="15"/>
      <c r="W37" s="15"/>
      <c r="X37" s="15"/>
    </row>
    <row r="38" spans="1:24" s="21" customFormat="1" x14ac:dyDescent="0.55000000000000004">
      <c r="A38" s="17"/>
      <c r="B38"/>
      <c r="C38"/>
      <c r="D38"/>
      <c r="E38"/>
      <c r="F38" s="49">
        <v>38353</v>
      </c>
      <c r="G38" s="92">
        <v>109.54</v>
      </c>
      <c r="H38"/>
      <c r="I38"/>
      <c r="J38"/>
      <c r="K38"/>
      <c r="L38"/>
      <c r="M38" s="58">
        <v>109.81571428571429</v>
      </c>
      <c r="N38" s="53"/>
      <c r="O38" s="58">
        <v>108.86142857142856</v>
      </c>
      <c r="P38" s="15">
        <v>0.67857142857144481</v>
      </c>
      <c r="Q38" s="15"/>
      <c r="R38" s="15"/>
      <c r="S38" s="15"/>
      <c r="T38" s="15"/>
      <c r="U38" s="15"/>
      <c r="V38" s="15"/>
      <c r="W38" s="15"/>
      <c r="X38" s="15"/>
    </row>
    <row r="39" spans="1:24" s="21" customFormat="1" x14ac:dyDescent="0.55000000000000004">
      <c r="A39" s="17"/>
      <c r="B39"/>
      <c r="C39"/>
      <c r="D39"/>
      <c r="E39"/>
      <c r="F39" s="49">
        <v>38384</v>
      </c>
      <c r="G39" s="92">
        <v>110.2</v>
      </c>
      <c r="H39"/>
      <c r="I39"/>
      <c r="J39"/>
      <c r="K39"/>
      <c r="L39"/>
      <c r="M39" s="58">
        <v>110.14</v>
      </c>
      <c r="N39" s="53"/>
      <c r="O39" s="58">
        <v>109.22285714285715</v>
      </c>
      <c r="P39" s="15">
        <v>0.97714285714285154</v>
      </c>
      <c r="Q39" s="15"/>
      <c r="R39" s="15"/>
      <c r="S39" s="15"/>
      <c r="T39" s="15"/>
      <c r="U39" s="15"/>
      <c r="V39" s="15"/>
      <c r="W39" s="15"/>
      <c r="X39" s="15"/>
    </row>
    <row r="40" spans="1:24" s="21" customFormat="1" x14ac:dyDescent="0.55000000000000004">
      <c r="A40" s="17"/>
      <c r="B40"/>
      <c r="C40"/>
      <c r="D40"/>
      <c r="E40"/>
      <c r="F40" s="49">
        <v>38412</v>
      </c>
      <c r="G40" s="92">
        <v>110.38</v>
      </c>
      <c r="H40"/>
      <c r="I40"/>
      <c r="J40"/>
      <c r="K40"/>
      <c r="L40"/>
      <c r="M40" s="58">
        <v>110.23428571428572</v>
      </c>
      <c r="N40" s="53"/>
      <c r="O40" s="58">
        <v>109.53714285714285</v>
      </c>
      <c r="P40" s="15">
        <v>0.84285714285714164</v>
      </c>
      <c r="Q40" s="15"/>
      <c r="R40" s="15"/>
      <c r="S40" s="15"/>
      <c r="T40" s="15"/>
      <c r="U40" s="15"/>
      <c r="V40" s="15"/>
      <c r="W40" s="15"/>
      <c r="X40" s="15"/>
    </row>
    <row r="41" spans="1:24" s="21" customFormat="1" x14ac:dyDescent="0.55000000000000004">
      <c r="A41" s="17"/>
      <c r="B41"/>
      <c r="C41"/>
      <c r="D41"/>
      <c r="E41"/>
      <c r="F41" s="49">
        <v>38443</v>
      </c>
      <c r="G41" s="92">
        <v>111.11</v>
      </c>
      <c r="H41"/>
      <c r="I41"/>
      <c r="J41"/>
      <c r="K41"/>
      <c r="L41"/>
      <c r="M41" s="58">
        <v>110.42714285714285</v>
      </c>
      <c r="N41" s="53"/>
      <c r="O41" s="58">
        <v>109.81571428571429</v>
      </c>
      <c r="P41" s="15">
        <v>1.2942857142857065</v>
      </c>
      <c r="Q41" s="15"/>
      <c r="R41" s="15"/>
      <c r="S41" s="15"/>
      <c r="T41" s="15"/>
      <c r="U41" s="15"/>
      <c r="V41" s="15"/>
      <c r="W41" s="15"/>
      <c r="X41" s="15"/>
    </row>
    <row r="42" spans="1:24" s="21" customFormat="1" x14ac:dyDescent="0.55000000000000004">
      <c r="A42" s="17"/>
      <c r="B42"/>
      <c r="C42"/>
      <c r="D42"/>
      <c r="E42"/>
      <c r="F42" s="49">
        <v>38473</v>
      </c>
      <c r="G42" s="92">
        <v>111</v>
      </c>
      <c r="H42"/>
      <c r="I42"/>
      <c r="J42"/>
      <c r="K42"/>
      <c r="L42"/>
      <c r="M42" s="58">
        <v>110.66714285714286</v>
      </c>
      <c r="N42" s="53"/>
      <c r="O42" s="58">
        <v>110.14</v>
      </c>
      <c r="P42" s="15">
        <v>0.85999999999999943</v>
      </c>
      <c r="Q42" s="15"/>
      <c r="R42" s="15"/>
      <c r="S42" s="15"/>
      <c r="T42" s="15"/>
      <c r="U42" s="15"/>
      <c r="V42" s="15"/>
      <c r="W42" s="15"/>
      <c r="X42" s="15"/>
    </row>
    <row r="43" spans="1:24" s="21" customFormat="1" x14ac:dyDescent="0.55000000000000004">
      <c r="A43" s="17"/>
      <c r="B43"/>
      <c r="C43"/>
      <c r="D43"/>
      <c r="E43"/>
      <c r="F43" s="49">
        <v>38504</v>
      </c>
      <c r="G43" s="92">
        <v>110.33</v>
      </c>
      <c r="H43"/>
      <c r="I43"/>
      <c r="J43"/>
      <c r="K43"/>
      <c r="L43"/>
      <c r="M43" s="58">
        <v>110.74142857142859</v>
      </c>
      <c r="N43" s="53"/>
      <c r="O43" s="58">
        <v>110.23428571428572</v>
      </c>
      <c r="P43" s="15">
        <v>9.5714285714279868E-2</v>
      </c>
      <c r="Q43" s="15"/>
      <c r="R43" s="15"/>
      <c r="S43" s="15"/>
      <c r="T43" s="15"/>
      <c r="U43" s="15"/>
      <c r="V43" s="15"/>
      <c r="W43" s="15"/>
      <c r="X43" s="15"/>
    </row>
    <row r="44" spans="1:24" s="21" customFormat="1" x14ac:dyDescent="0.55000000000000004">
      <c r="A44" s="17"/>
      <c r="B44"/>
      <c r="C44"/>
      <c r="D44"/>
      <c r="E44"/>
      <c r="F44" s="49">
        <v>38534</v>
      </c>
      <c r="G44" s="92">
        <v>110.43</v>
      </c>
      <c r="H44"/>
      <c r="I44"/>
      <c r="J44"/>
      <c r="K44"/>
      <c r="L44"/>
      <c r="M44" s="58">
        <v>110.84428571428573</v>
      </c>
      <c r="N44" s="53"/>
      <c r="O44" s="58">
        <v>110.42714285714285</v>
      </c>
      <c r="P44" s="15">
        <v>2.8571428571524393E-3</v>
      </c>
      <c r="Q44" s="15"/>
      <c r="R44" s="15"/>
      <c r="S44" s="15"/>
      <c r="T44" s="15"/>
      <c r="U44" s="15"/>
      <c r="V44" s="15"/>
      <c r="W44" s="15"/>
      <c r="X44" s="15"/>
    </row>
    <row r="45" spans="1:24" s="21" customFormat="1" x14ac:dyDescent="0.55000000000000004">
      <c r="A45" s="17"/>
      <c r="B45"/>
      <c r="C45"/>
      <c r="D45"/>
      <c r="E45"/>
      <c r="F45" s="49">
        <v>38565</v>
      </c>
      <c r="G45" s="92">
        <v>111.22</v>
      </c>
      <c r="H45"/>
      <c r="I45"/>
      <c r="J45"/>
      <c r="K45"/>
      <c r="L45"/>
      <c r="M45" s="58">
        <v>110.95000000000002</v>
      </c>
      <c r="N45" s="53"/>
      <c r="O45" s="58">
        <v>110.66714285714286</v>
      </c>
      <c r="P45" s="15">
        <v>0.55285714285713539</v>
      </c>
      <c r="Q45" s="15"/>
      <c r="R45" s="15"/>
      <c r="S45" s="15"/>
      <c r="T45" s="15"/>
      <c r="U45" s="15"/>
      <c r="V45" s="15"/>
      <c r="W45" s="15"/>
      <c r="X45" s="15"/>
    </row>
    <row r="46" spans="1:24" s="21" customFormat="1" x14ac:dyDescent="0.55000000000000004">
      <c r="A46" s="17"/>
      <c r="B46"/>
      <c r="C46"/>
      <c r="D46"/>
      <c r="E46"/>
      <c r="F46" s="49">
        <v>38596</v>
      </c>
      <c r="G46" s="92">
        <v>110.72</v>
      </c>
      <c r="H46"/>
      <c r="I46"/>
      <c r="J46"/>
      <c r="K46"/>
      <c r="L46"/>
      <c r="M46" s="58">
        <v>111.22428571428573</v>
      </c>
      <c r="N46" s="53"/>
      <c r="O46" s="58">
        <v>110.74142857142859</v>
      </c>
      <c r="P46" s="15">
        <v>-2.1428571428586451E-2</v>
      </c>
      <c r="Q46" s="15"/>
      <c r="R46" s="15"/>
      <c r="S46" s="15"/>
      <c r="T46" s="15"/>
      <c r="U46" s="15"/>
      <c r="V46" s="15"/>
      <c r="W46" s="15"/>
      <c r="X46" s="15"/>
    </row>
    <row r="47" spans="1:24" s="21" customFormat="1" x14ac:dyDescent="0.55000000000000004">
      <c r="A47" s="17"/>
      <c r="B47"/>
      <c r="C47"/>
      <c r="D47"/>
      <c r="E47"/>
      <c r="F47" s="49">
        <v>38626</v>
      </c>
      <c r="G47" s="92">
        <v>111.1</v>
      </c>
      <c r="H47"/>
      <c r="I47"/>
      <c r="J47"/>
      <c r="K47"/>
      <c r="L47"/>
      <c r="M47" s="58">
        <v>111.67714285714285</v>
      </c>
      <c r="N47" s="53"/>
      <c r="O47" s="58">
        <v>110.84428571428573</v>
      </c>
      <c r="P47" s="15">
        <v>0.25571428571426225</v>
      </c>
      <c r="Q47" s="15"/>
      <c r="R47" s="15"/>
      <c r="S47" s="15"/>
      <c r="T47" s="15"/>
      <c r="U47" s="15"/>
      <c r="V47" s="15"/>
      <c r="W47" s="15"/>
      <c r="X47" s="15"/>
    </row>
    <row r="48" spans="1:24" s="21" customFormat="1" x14ac:dyDescent="0.55000000000000004">
      <c r="A48" s="17"/>
      <c r="B48"/>
      <c r="C48"/>
      <c r="D48"/>
      <c r="E48"/>
      <c r="F48" s="49">
        <v>38657</v>
      </c>
      <c r="G48" s="92">
        <v>111.85</v>
      </c>
      <c r="H48"/>
      <c r="I48"/>
      <c r="J48"/>
      <c r="K48"/>
      <c r="L48"/>
      <c r="M48" s="58">
        <v>112.14714285714285</v>
      </c>
      <c r="N48" s="53"/>
      <c r="O48" s="58">
        <v>110.95000000000002</v>
      </c>
      <c r="P48" s="15">
        <v>0.89999999999997726</v>
      </c>
      <c r="Q48" s="15"/>
      <c r="R48" s="15"/>
      <c r="S48" s="15"/>
      <c r="T48" s="15"/>
      <c r="U48" s="15"/>
      <c r="V48" s="15"/>
      <c r="W48" s="15"/>
      <c r="X48" s="15"/>
    </row>
    <row r="49" spans="1:24" s="21" customFormat="1" x14ac:dyDescent="0.55000000000000004">
      <c r="A49" s="17"/>
      <c r="B49"/>
      <c r="C49"/>
      <c r="D49"/>
      <c r="E49"/>
      <c r="F49" s="49">
        <v>38687</v>
      </c>
      <c r="G49" s="92">
        <v>112.92</v>
      </c>
      <c r="H49"/>
      <c r="I49"/>
      <c r="J49"/>
      <c r="K49"/>
      <c r="L49"/>
      <c r="M49" s="58">
        <v>112.47</v>
      </c>
      <c r="N49" s="53"/>
      <c r="O49" s="58">
        <v>111.22428571428573</v>
      </c>
      <c r="P49" s="15">
        <v>1.6957142857142742</v>
      </c>
      <c r="Q49" s="15"/>
      <c r="R49" s="15"/>
      <c r="S49" s="15"/>
      <c r="T49" s="15"/>
      <c r="U49" s="15"/>
      <c r="V49" s="15"/>
      <c r="W49" s="15"/>
      <c r="X49" s="15"/>
    </row>
    <row r="50" spans="1:24" s="21" customFormat="1" x14ac:dyDescent="0.55000000000000004">
      <c r="A50" s="17"/>
      <c r="B50"/>
      <c r="C50"/>
      <c r="D50"/>
      <c r="E50"/>
      <c r="F50" s="49">
        <v>38718</v>
      </c>
      <c r="G50" s="92">
        <v>113.5</v>
      </c>
      <c r="H50"/>
      <c r="I50"/>
      <c r="J50"/>
      <c r="K50"/>
      <c r="L50"/>
      <c r="M50" s="58">
        <v>112.99000000000001</v>
      </c>
      <c r="N50" s="53"/>
      <c r="O50" s="58">
        <v>111.67714285714285</v>
      </c>
      <c r="P50" s="15">
        <v>1.8228571428571456</v>
      </c>
      <c r="Q50" s="15"/>
      <c r="R50" s="15"/>
      <c r="S50" s="15"/>
      <c r="T50" s="15"/>
      <c r="U50" s="15"/>
      <c r="V50" s="15"/>
      <c r="W50" s="15"/>
      <c r="X50" s="15"/>
    </row>
    <row r="51" spans="1:24" s="21" customFormat="1" x14ac:dyDescent="0.55000000000000004">
      <c r="A51" s="17"/>
      <c r="B51"/>
      <c r="C51"/>
      <c r="D51"/>
      <c r="E51"/>
      <c r="F51" s="49">
        <v>38749</v>
      </c>
      <c r="G51" s="92">
        <v>113.72</v>
      </c>
      <c r="H51"/>
      <c r="I51"/>
      <c r="J51"/>
      <c r="K51"/>
      <c r="L51"/>
      <c r="M51" s="58">
        <v>113.64285714285714</v>
      </c>
      <c r="N51" s="53"/>
      <c r="O51" s="58">
        <v>112.14714285714285</v>
      </c>
      <c r="P51" s="15">
        <v>1.5728571428571456</v>
      </c>
      <c r="Q51" s="15"/>
      <c r="R51" s="15"/>
      <c r="S51" s="15"/>
      <c r="T51" s="15"/>
      <c r="U51" s="15"/>
      <c r="V51" s="15"/>
      <c r="W51" s="15"/>
      <c r="X51" s="15"/>
    </row>
    <row r="52" spans="1:24" s="21" customFormat="1" x14ac:dyDescent="0.55000000000000004">
      <c r="A52" s="17"/>
      <c r="B52"/>
      <c r="C52"/>
      <c r="D52"/>
      <c r="E52"/>
      <c r="F52" s="49">
        <v>38777</v>
      </c>
      <c r="G52" s="92">
        <v>113.48</v>
      </c>
      <c r="H52"/>
      <c r="I52"/>
      <c r="J52"/>
      <c r="K52"/>
      <c r="L52"/>
      <c r="M52" s="58">
        <v>114</v>
      </c>
      <c r="N52" s="53"/>
      <c r="O52" s="58">
        <v>112.47</v>
      </c>
      <c r="P52" s="15">
        <v>1.0100000000000051</v>
      </c>
      <c r="Q52" s="15"/>
      <c r="R52" s="15"/>
      <c r="S52" s="15"/>
      <c r="T52" s="15"/>
      <c r="U52" s="15"/>
      <c r="V52" s="15"/>
      <c r="W52" s="15"/>
      <c r="X52" s="15"/>
    </row>
    <row r="53" spans="1:24" s="21" customFormat="1" x14ac:dyDescent="0.55000000000000004">
      <c r="A53" s="17"/>
      <c r="B53"/>
      <c r="C53"/>
      <c r="D53"/>
      <c r="E53"/>
      <c r="F53" s="49">
        <v>38808</v>
      </c>
      <c r="G53" s="92">
        <v>114.36</v>
      </c>
      <c r="H53"/>
      <c r="I53"/>
      <c r="J53"/>
      <c r="K53"/>
      <c r="L53"/>
      <c r="M53" s="58">
        <v>114.52142857142859</v>
      </c>
      <c r="N53" s="53"/>
      <c r="O53" s="58">
        <v>112.99000000000001</v>
      </c>
      <c r="P53" s="15">
        <v>1.3699999999999903</v>
      </c>
      <c r="Q53" s="15"/>
      <c r="R53" s="15"/>
      <c r="S53" s="15"/>
      <c r="T53" s="15"/>
      <c r="U53" s="15"/>
      <c r="V53" s="15"/>
      <c r="W53" s="15"/>
      <c r="X53" s="15"/>
    </row>
    <row r="54" spans="1:24" s="21" customFormat="1" x14ac:dyDescent="0.55000000000000004">
      <c r="A54" s="17"/>
      <c r="B54"/>
      <c r="C54"/>
      <c r="D54"/>
      <c r="E54"/>
      <c r="F54" s="49">
        <v>38838</v>
      </c>
      <c r="G54" s="92">
        <v>115.67</v>
      </c>
      <c r="H54"/>
      <c r="I54"/>
      <c r="J54"/>
      <c r="K54"/>
      <c r="L54"/>
      <c r="M54" s="58">
        <v>114.96714285714287</v>
      </c>
      <c r="N54" s="53"/>
      <c r="O54" s="58">
        <v>113.64285714285714</v>
      </c>
      <c r="P54" s="15">
        <v>2.0271428571428629</v>
      </c>
      <c r="Q54" s="15"/>
      <c r="R54" s="15"/>
      <c r="S54" s="15"/>
      <c r="T54" s="15"/>
      <c r="U54" s="15"/>
      <c r="V54" s="15"/>
      <c r="W54" s="15"/>
      <c r="X54" s="15"/>
    </row>
    <row r="55" spans="1:24" s="21" customFormat="1" x14ac:dyDescent="0.55000000000000004">
      <c r="A55" s="17"/>
      <c r="B55"/>
      <c r="C55"/>
      <c r="D55"/>
      <c r="E55"/>
      <c r="F55" s="49">
        <v>38869</v>
      </c>
      <c r="G55" s="92">
        <v>114.35</v>
      </c>
      <c r="H55"/>
      <c r="I55"/>
      <c r="J55"/>
      <c r="K55"/>
      <c r="L55"/>
      <c r="M55" s="58">
        <v>115.39142857142858</v>
      </c>
      <c r="N55" s="53"/>
      <c r="O55" s="58">
        <v>114</v>
      </c>
      <c r="P55" s="15">
        <v>0.34999999999999432</v>
      </c>
      <c r="Q55" s="15"/>
      <c r="R55" s="15"/>
      <c r="S55" s="15"/>
      <c r="T55" s="15"/>
      <c r="U55" s="15"/>
      <c r="V55" s="15"/>
      <c r="W55" s="15"/>
      <c r="X55" s="15"/>
    </row>
    <row r="56" spans="1:24" s="21" customFormat="1" x14ac:dyDescent="0.55000000000000004">
      <c r="A56" s="17"/>
      <c r="B56"/>
      <c r="C56"/>
      <c r="D56"/>
      <c r="E56"/>
      <c r="F56" s="49">
        <v>38899</v>
      </c>
      <c r="G56" s="92">
        <v>116.57</v>
      </c>
      <c r="H56"/>
      <c r="I56"/>
      <c r="J56"/>
      <c r="K56"/>
      <c r="L56"/>
      <c r="M56" s="58">
        <v>116.05285714285715</v>
      </c>
      <c r="N56" s="53"/>
      <c r="O56" s="58">
        <v>114.52142857142859</v>
      </c>
      <c r="P56" s="15">
        <v>2.0485714285714067</v>
      </c>
      <c r="Q56" s="15"/>
      <c r="R56" s="15"/>
      <c r="S56" s="15"/>
      <c r="T56" s="15"/>
      <c r="U56" s="15"/>
      <c r="V56" s="15"/>
      <c r="W56" s="15"/>
      <c r="X56" s="15"/>
    </row>
    <row r="57" spans="1:24" s="21" customFormat="1" x14ac:dyDescent="0.55000000000000004">
      <c r="A57" s="17"/>
      <c r="B57"/>
      <c r="C57"/>
      <c r="D57"/>
      <c r="E57"/>
      <c r="F57" s="49">
        <v>38930</v>
      </c>
      <c r="G57" s="92">
        <v>116.62</v>
      </c>
      <c r="H57"/>
      <c r="I57"/>
      <c r="J57"/>
      <c r="K57"/>
      <c r="L57"/>
      <c r="M57" s="58">
        <v>116.70285714285714</v>
      </c>
      <c r="N57" s="53"/>
      <c r="O57" s="58">
        <v>114.96714285714287</v>
      </c>
      <c r="P57" s="15">
        <v>1.6528571428571297</v>
      </c>
      <c r="Q57" s="15"/>
      <c r="R57" s="15"/>
      <c r="S57" s="15"/>
      <c r="T57" s="15"/>
      <c r="U57" s="15"/>
      <c r="V57" s="15"/>
      <c r="W57" s="15"/>
      <c r="X57" s="15"/>
    </row>
    <row r="58" spans="1:24" s="21" customFormat="1" x14ac:dyDescent="0.55000000000000004">
      <c r="A58" s="17"/>
      <c r="B58"/>
      <c r="C58"/>
      <c r="D58"/>
      <c r="E58"/>
      <c r="F58" s="49">
        <v>38961</v>
      </c>
      <c r="G58" s="92">
        <v>116.69</v>
      </c>
      <c r="H58"/>
      <c r="I58"/>
      <c r="J58"/>
      <c r="K58"/>
      <c r="L58"/>
      <c r="M58" s="58">
        <v>117.42142857142856</v>
      </c>
      <c r="N58" s="53"/>
      <c r="O58" s="58">
        <v>115.39142857142858</v>
      </c>
      <c r="P58" s="15">
        <v>1.2985714285714209</v>
      </c>
      <c r="Q58" s="15"/>
      <c r="R58" s="15"/>
      <c r="S58" s="15"/>
      <c r="T58" s="15"/>
      <c r="U58" s="15"/>
      <c r="V58" s="15"/>
      <c r="W58" s="15"/>
      <c r="X58" s="15"/>
    </row>
    <row r="59" spans="1:24" s="21" customFormat="1" x14ac:dyDescent="0.55000000000000004">
      <c r="A59" s="17"/>
      <c r="B59"/>
      <c r="C59"/>
      <c r="D59"/>
      <c r="E59"/>
      <c r="F59" s="49">
        <v>38991</v>
      </c>
      <c r="G59" s="92">
        <v>118.11</v>
      </c>
      <c r="H59"/>
      <c r="I59"/>
      <c r="J59"/>
      <c r="K59"/>
      <c r="L59"/>
      <c r="M59" s="58">
        <v>118.21857142857142</v>
      </c>
      <c r="N59" s="53"/>
      <c r="O59" s="58">
        <v>116.05285714285715</v>
      </c>
      <c r="P59" s="15">
        <v>2.0571428571428498</v>
      </c>
      <c r="Q59" s="15"/>
      <c r="R59" s="15"/>
      <c r="S59" s="15"/>
      <c r="T59" s="15"/>
      <c r="U59" s="15"/>
      <c r="V59" s="15"/>
      <c r="W59" s="15"/>
      <c r="X59" s="15"/>
    </row>
    <row r="60" spans="1:24" s="21" customFormat="1" x14ac:dyDescent="0.55000000000000004">
      <c r="A60" s="17"/>
      <c r="B60"/>
      <c r="C60"/>
      <c r="D60"/>
      <c r="E60"/>
      <c r="F60" s="49">
        <v>39022</v>
      </c>
      <c r="G60" s="92">
        <v>118.91</v>
      </c>
      <c r="H60"/>
      <c r="I60"/>
      <c r="J60"/>
      <c r="K60"/>
      <c r="L60"/>
      <c r="M60" s="58">
        <v>118.76</v>
      </c>
      <c r="N60" s="53"/>
      <c r="O60" s="58">
        <v>116.70285714285714</v>
      </c>
      <c r="P60" s="15">
        <v>2.2071428571428555</v>
      </c>
      <c r="Q60" s="15"/>
      <c r="R60" s="15"/>
      <c r="S60" s="15"/>
      <c r="T60" s="15"/>
      <c r="U60" s="15"/>
      <c r="V60" s="15"/>
      <c r="W60" s="15"/>
      <c r="X60" s="15"/>
    </row>
    <row r="61" spans="1:24" s="21" customFormat="1" x14ac:dyDescent="0.55000000000000004">
      <c r="A61" s="17"/>
      <c r="B61"/>
      <c r="C61"/>
      <c r="D61"/>
      <c r="E61"/>
      <c r="F61" s="49">
        <v>39052</v>
      </c>
      <c r="G61" s="92">
        <v>120.7</v>
      </c>
      <c r="H61"/>
      <c r="I61"/>
      <c r="J61"/>
      <c r="K61"/>
      <c r="L61"/>
      <c r="M61" s="58">
        <v>119.16857142857144</v>
      </c>
      <c r="N61" s="53"/>
      <c r="O61" s="58">
        <v>117.42142857142856</v>
      </c>
      <c r="P61" s="15">
        <v>3.2785714285714391</v>
      </c>
      <c r="Q61" s="15"/>
      <c r="R61" s="15"/>
      <c r="S61" s="15"/>
      <c r="T61" s="15"/>
      <c r="U61" s="15"/>
      <c r="V61" s="15"/>
      <c r="W61" s="15"/>
      <c r="X61" s="15"/>
    </row>
    <row r="62" spans="1:24" s="21" customFormat="1" x14ac:dyDescent="0.55000000000000004">
      <c r="A62" s="17"/>
      <c r="B62"/>
      <c r="C62"/>
      <c r="D62"/>
      <c r="E62"/>
      <c r="F62" s="49">
        <v>39083</v>
      </c>
      <c r="G62" s="92">
        <v>119.93</v>
      </c>
      <c r="H62"/>
      <c r="I62"/>
      <c r="J62"/>
      <c r="K62"/>
      <c r="L62"/>
      <c r="M62" s="58">
        <v>119.79857142857144</v>
      </c>
      <c r="N62" s="53"/>
      <c r="O62" s="58">
        <v>118.21857142857142</v>
      </c>
      <c r="P62" s="15">
        <v>1.7114285714285842</v>
      </c>
      <c r="Q62" s="15"/>
      <c r="R62" s="15"/>
      <c r="S62" s="15"/>
      <c r="T62" s="15"/>
      <c r="U62" s="15"/>
      <c r="V62" s="15"/>
      <c r="W62" s="15"/>
      <c r="X62" s="15"/>
    </row>
    <row r="63" spans="1:24" s="21" customFormat="1" x14ac:dyDescent="0.55000000000000004">
      <c r="A63" s="17"/>
      <c r="B63"/>
      <c r="C63"/>
      <c r="D63"/>
      <c r="E63"/>
      <c r="F63" s="49">
        <v>39114</v>
      </c>
      <c r="G63" s="92">
        <v>120.36</v>
      </c>
      <c r="H63"/>
      <c r="I63"/>
      <c r="J63"/>
      <c r="K63"/>
      <c r="L63"/>
      <c r="M63" s="58">
        <v>120.38428571428572</v>
      </c>
      <c r="N63" s="53"/>
      <c r="O63" s="58">
        <v>118.76</v>
      </c>
      <c r="P63" s="15">
        <v>1.5999999999999943</v>
      </c>
      <c r="Q63" s="15"/>
      <c r="R63" s="15"/>
      <c r="S63" s="15"/>
      <c r="T63" s="15"/>
      <c r="U63" s="15"/>
      <c r="V63" s="15"/>
      <c r="W63" s="15"/>
      <c r="X63" s="15"/>
    </row>
    <row r="64" spans="1:24" s="21" customFormat="1" x14ac:dyDescent="0.55000000000000004">
      <c r="A64" s="17"/>
      <c r="B64"/>
      <c r="C64"/>
      <c r="D64"/>
      <c r="E64"/>
      <c r="F64" s="49">
        <v>39142</v>
      </c>
      <c r="G64" s="92">
        <v>119.48</v>
      </c>
      <c r="H64"/>
      <c r="I64"/>
      <c r="J64"/>
      <c r="K64"/>
      <c r="L64"/>
      <c r="M64" s="58">
        <v>120.96714285714287</v>
      </c>
      <c r="N64" s="53"/>
      <c r="O64" s="58">
        <v>119.16857142857144</v>
      </c>
      <c r="P64" s="15">
        <v>0.31142857142856428</v>
      </c>
      <c r="Q64" s="15"/>
      <c r="R64" s="15"/>
      <c r="S64" s="15"/>
      <c r="T64" s="15"/>
      <c r="U64" s="15"/>
      <c r="V64" s="15"/>
      <c r="W64" s="15"/>
      <c r="X64" s="15"/>
    </row>
    <row r="65" spans="1:24" s="21" customFormat="1" x14ac:dyDescent="0.55000000000000004">
      <c r="A65" s="17"/>
      <c r="B65"/>
      <c r="C65"/>
      <c r="D65"/>
      <c r="E65"/>
      <c r="F65" s="49">
        <v>39173</v>
      </c>
      <c r="G65" s="92">
        <v>121.1</v>
      </c>
      <c r="H65"/>
      <c r="I65"/>
      <c r="J65"/>
      <c r="K65"/>
      <c r="L65"/>
      <c r="M65" s="58">
        <v>121.41142857142859</v>
      </c>
      <c r="N65" s="53"/>
      <c r="O65" s="58">
        <v>119.79857142857144</v>
      </c>
      <c r="P65" s="15">
        <v>1.3014285714285592</v>
      </c>
      <c r="Q65" s="15"/>
      <c r="R65" s="15"/>
      <c r="S65" s="15"/>
      <c r="T65" s="15"/>
      <c r="U65" s="15"/>
      <c r="V65" s="15"/>
      <c r="W65" s="15"/>
      <c r="X65" s="15"/>
    </row>
    <row r="66" spans="1:24" s="21" customFormat="1" x14ac:dyDescent="0.55000000000000004">
      <c r="A66" s="17"/>
      <c r="B66"/>
      <c r="C66"/>
      <c r="D66"/>
      <c r="E66"/>
      <c r="F66" s="49">
        <v>39203</v>
      </c>
      <c r="G66" s="92">
        <v>122.21</v>
      </c>
      <c r="H66"/>
      <c r="I66"/>
      <c r="J66"/>
      <c r="K66"/>
      <c r="L66"/>
      <c r="M66" s="58">
        <v>122.02714285714286</v>
      </c>
      <c r="N66" s="53"/>
      <c r="O66" s="58">
        <v>120.38428571428572</v>
      </c>
      <c r="P66" s="15">
        <v>1.8257142857142696</v>
      </c>
      <c r="Q66" s="15"/>
      <c r="R66" s="15"/>
      <c r="S66" s="15"/>
      <c r="T66" s="15"/>
      <c r="U66" s="15"/>
      <c r="V66" s="15"/>
      <c r="W66" s="15"/>
      <c r="X66" s="15"/>
    </row>
    <row r="67" spans="1:24" s="21" customFormat="1" x14ac:dyDescent="0.55000000000000004">
      <c r="A67" s="17"/>
      <c r="B67"/>
      <c r="C67"/>
      <c r="D67"/>
      <c r="E67"/>
      <c r="F67" s="49">
        <v>39234</v>
      </c>
      <c r="G67" s="92">
        <v>122.99</v>
      </c>
      <c r="H67"/>
      <c r="I67"/>
      <c r="J67"/>
      <c r="K67"/>
      <c r="L67"/>
      <c r="M67" s="58">
        <v>122.69571428571427</v>
      </c>
      <c r="N67" s="53"/>
      <c r="O67" s="58">
        <v>120.96714285714287</v>
      </c>
      <c r="P67" s="15">
        <v>2.02285714285712</v>
      </c>
      <c r="Q67" s="15"/>
      <c r="R67" s="15"/>
      <c r="S67" s="15"/>
      <c r="T67" s="15"/>
      <c r="U67" s="15"/>
      <c r="V67" s="15"/>
      <c r="W67" s="15"/>
      <c r="X67" s="15"/>
    </row>
    <row r="68" spans="1:24" s="21" customFormat="1" x14ac:dyDescent="0.55000000000000004">
      <c r="A68" s="17"/>
      <c r="B68"/>
      <c r="C68"/>
      <c r="D68"/>
      <c r="E68"/>
      <c r="F68" s="49">
        <v>39264</v>
      </c>
      <c r="G68" s="92">
        <v>123.81</v>
      </c>
      <c r="H68"/>
      <c r="I68"/>
      <c r="J68"/>
      <c r="K68"/>
      <c r="L68"/>
      <c r="M68" s="58">
        <v>123.66571428571429</v>
      </c>
      <c r="N68" s="53"/>
      <c r="O68" s="58">
        <v>121.41142857142859</v>
      </c>
      <c r="P68" s="15">
        <v>2.3985714285714153</v>
      </c>
      <c r="Q68" s="15"/>
      <c r="R68" s="15"/>
      <c r="S68" s="15"/>
      <c r="T68" s="15"/>
      <c r="U68" s="15"/>
      <c r="V68" s="15"/>
      <c r="W68" s="15"/>
      <c r="X68" s="15"/>
    </row>
    <row r="69" spans="1:24" s="21" customFormat="1" x14ac:dyDescent="0.55000000000000004">
      <c r="A69" s="17"/>
      <c r="B69"/>
      <c r="C69"/>
      <c r="D69"/>
      <c r="E69"/>
      <c r="F69" s="49">
        <v>39295</v>
      </c>
      <c r="G69" s="92">
        <v>124.24</v>
      </c>
      <c r="H69"/>
      <c r="I69"/>
      <c r="J69"/>
      <c r="K69"/>
      <c r="L69"/>
      <c r="M69" s="58">
        <v>124.39857142857143</v>
      </c>
      <c r="N69" s="53"/>
      <c r="O69" s="58">
        <v>122.02714285714286</v>
      </c>
      <c r="P69" s="15">
        <v>2.212857142857132</v>
      </c>
      <c r="Q69" s="15"/>
      <c r="R69" s="15"/>
      <c r="S69" s="15"/>
      <c r="T69" s="15"/>
      <c r="U69" s="15"/>
      <c r="V69" s="15"/>
      <c r="W69" s="15"/>
      <c r="X69" s="15"/>
    </row>
    <row r="70" spans="1:24" s="21" customFormat="1" x14ac:dyDescent="0.55000000000000004">
      <c r="A70" s="17"/>
      <c r="B70"/>
      <c r="C70"/>
      <c r="D70"/>
      <c r="E70"/>
      <c r="F70" s="49">
        <v>39326</v>
      </c>
      <c r="G70" s="92">
        <v>125.04</v>
      </c>
      <c r="H70"/>
      <c r="I70"/>
      <c r="J70"/>
      <c r="K70"/>
      <c r="L70"/>
      <c r="M70" s="58">
        <v>125.16857142857144</v>
      </c>
      <c r="N70" s="53"/>
      <c r="O70" s="58">
        <v>122.69571428571427</v>
      </c>
      <c r="P70" s="15">
        <v>2.3442857142857321</v>
      </c>
      <c r="Q70" s="15"/>
      <c r="R70" s="15"/>
      <c r="S70" s="15"/>
      <c r="T70" s="15"/>
      <c r="U70" s="15"/>
      <c r="V70" s="15"/>
      <c r="W70" s="15"/>
      <c r="X70" s="15"/>
    </row>
    <row r="71" spans="1:24" s="21" customFormat="1" x14ac:dyDescent="0.55000000000000004">
      <c r="A71" s="17"/>
      <c r="B71"/>
      <c r="C71"/>
      <c r="D71"/>
      <c r="E71"/>
      <c r="F71" s="49">
        <v>39356</v>
      </c>
      <c r="G71" s="92">
        <v>126.27</v>
      </c>
      <c r="H71"/>
      <c r="I71"/>
      <c r="J71"/>
      <c r="K71"/>
      <c r="L71"/>
      <c r="M71" s="58">
        <v>125.80428571428573</v>
      </c>
      <c r="N71" s="53"/>
      <c r="O71" s="58">
        <v>123.66571428571429</v>
      </c>
      <c r="P71" s="15">
        <v>2.6042857142857088</v>
      </c>
      <c r="Q71" s="15"/>
      <c r="R71" s="15"/>
      <c r="S71" s="15"/>
      <c r="T71" s="15"/>
      <c r="U71" s="15"/>
      <c r="V71" s="15"/>
      <c r="W71" s="15"/>
      <c r="X71" s="15"/>
    </row>
    <row r="72" spans="1:24" s="21" customFormat="1" x14ac:dyDescent="0.55000000000000004">
      <c r="A72" s="17"/>
      <c r="B72"/>
      <c r="C72"/>
      <c r="D72"/>
      <c r="E72"/>
      <c r="F72" s="49">
        <v>39387</v>
      </c>
      <c r="G72" s="92">
        <v>126.23</v>
      </c>
      <c r="H72"/>
      <c r="I72"/>
      <c r="J72"/>
      <c r="K72"/>
      <c r="L72"/>
      <c r="M72" s="58">
        <v>126.27571428571427</v>
      </c>
      <c r="N72" s="53"/>
      <c r="O72" s="58">
        <v>124.39857142857143</v>
      </c>
      <c r="P72" s="15">
        <v>1.8314285714285745</v>
      </c>
      <c r="Q72" s="15"/>
      <c r="R72" s="15"/>
      <c r="S72" s="15"/>
      <c r="T72" s="15"/>
      <c r="U72" s="15"/>
      <c r="V72" s="15"/>
      <c r="W72" s="15"/>
      <c r="X72" s="15"/>
    </row>
    <row r="73" spans="1:24" s="21" customFormat="1" x14ac:dyDescent="0.55000000000000004">
      <c r="A73" s="17"/>
      <c r="B73"/>
      <c r="C73"/>
      <c r="D73"/>
      <c r="E73"/>
      <c r="F73" s="49">
        <v>39417</v>
      </c>
      <c r="G73" s="92">
        <v>127.6</v>
      </c>
      <c r="H73"/>
      <c r="I73"/>
      <c r="J73"/>
      <c r="K73"/>
      <c r="L73"/>
      <c r="M73" s="58">
        <v>126.58285714285714</v>
      </c>
      <c r="N73" s="53"/>
      <c r="O73" s="58">
        <v>125.16857142857144</v>
      </c>
      <c r="P73" s="15">
        <v>2.4314285714285546</v>
      </c>
      <c r="Q73" s="15"/>
      <c r="R73" s="15"/>
      <c r="S73" s="15"/>
      <c r="T73" s="15"/>
      <c r="U73" s="15"/>
      <c r="V73" s="15"/>
      <c r="W73" s="15"/>
      <c r="X73" s="15"/>
    </row>
    <row r="74" spans="1:24" s="21" customFormat="1" x14ac:dyDescent="0.55000000000000004">
      <c r="A74" s="17"/>
      <c r="B74"/>
      <c r="C74"/>
      <c r="D74"/>
      <c r="E74"/>
      <c r="F74" s="49">
        <v>39448</v>
      </c>
      <c r="G74" s="92">
        <v>127.44</v>
      </c>
      <c r="H74"/>
      <c r="I74"/>
      <c r="J74"/>
      <c r="K74"/>
      <c r="L74"/>
      <c r="M74" s="58">
        <v>127.00857142857141</v>
      </c>
      <c r="N74" s="53"/>
      <c r="O74" s="58">
        <v>125.80428571428573</v>
      </c>
      <c r="P74" s="15">
        <v>1.6357142857142719</v>
      </c>
      <c r="Q74" s="15"/>
      <c r="R74" s="15"/>
      <c r="S74" s="15"/>
      <c r="T74" s="15"/>
      <c r="U74" s="15"/>
      <c r="V74" s="15"/>
      <c r="W74" s="15"/>
      <c r="X74" s="15"/>
    </row>
    <row r="75" spans="1:24" s="21" customFormat="1" x14ac:dyDescent="0.55000000000000004">
      <c r="A75" s="17"/>
      <c r="B75"/>
      <c r="C75"/>
      <c r="D75"/>
      <c r="E75"/>
      <c r="F75" s="49">
        <v>39479</v>
      </c>
      <c r="G75" s="92">
        <v>127.11</v>
      </c>
      <c r="H75"/>
      <c r="I75"/>
      <c r="J75"/>
      <c r="K75"/>
      <c r="L75"/>
      <c r="M75" s="58">
        <v>127.4542857142857</v>
      </c>
      <c r="N75" s="53"/>
      <c r="O75" s="58">
        <v>126.27571428571427</v>
      </c>
      <c r="P75" s="15">
        <v>0.83428571428572695</v>
      </c>
      <c r="Q75" s="15"/>
      <c r="R75" s="15"/>
      <c r="S75" s="15"/>
      <c r="T75" s="15"/>
      <c r="U75" s="15"/>
      <c r="V75" s="15"/>
      <c r="W75" s="15"/>
      <c r="X75" s="15"/>
    </row>
    <row r="76" spans="1:24" s="21" customFormat="1" x14ac:dyDescent="0.55000000000000004">
      <c r="A76" s="17"/>
      <c r="B76"/>
      <c r="C76"/>
      <c r="D76"/>
      <c r="E76"/>
      <c r="F76" s="49">
        <v>39508</v>
      </c>
      <c r="G76" s="92">
        <v>126.39</v>
      </c>
      <c r="H76"/>
      <c r="I76"/>
      <c r="J76"/>
      <c r="K76"/>
      <c r="L76"/>
      <c r="M76" s="58">
        <v>128.06142857142856</v>
      </c>
      <c r="N76" s="53"/>
      <c r="O76" s="58">
        <v>126.58285714285714</v>
      </c>
      <c r="P76" s="15">
        <v>-0.19285714285713595</v>
      </c>
      <c r="Q76" s="15"/>
      <c r="R76" s="15"/>
      <c r="S76" s="15"/>
      <c r="T76" s="15"/>
      <c r="U76" s="15"/>
      <c r="V76" s="15"/>
      <c r="W76" s="15"/>
      <c r="X76" s="15"/>
    </row>
    <row r="77" spans="1:24" s="21" customFormat="1" x14ac:dyDescent="0.55000000000000004">
      <c r="A77" s="17"/>
      <c r="B77"/>
      <c r="C77"/>
      <c r="D77"/>
      <c r="E77"/>
      <c r="F77" s="49">
        <v>39539</v>
      </c>
      <c r="G77" s="92">
        <v>128.02000000000001</v>
      </c>
      <c r="H77"/>
      <c r="I77"/>
      <c r="J77"/>
      <c r="K77"/>
      <c r="L77"/>
      <c r="M77" s="58">
        <v>128.47999999999999</v>
      </c>
      <c r="N77" s="53"/>
      <c r="O77" s="58">
        <v>127.00857142857141</v>
      </c>
      <c r="P77" s="15">
        <v>1.0114285714285955</v>
      </c>
      <c r="Q77" s="15"/>
      <c r="R77" s="15"/>
      <c r="S77" s="15"/>
      <c r="T77" s="15"/>
      <c r="U77" s="15"/>
      <c r="V77" s="15"/>
      <c r="W77" s="15"/>
      <c r="X77" s="15"/>
    </row>
    <row r="78" spans="1:24" s="21" customFormat="1" x14ac:dyDescent="0.55000000000000004">
      <c r="A78" s="17"/>
      <c r="B78"/>
      <c r="C78"/>
      <c r="D78"/>
      <c r="E78"/>
      <c r="F78" s="49">
        <v>39569</v>
      </c>
      <c r="G78" s="92">
        <v>129.38999999999999</v>
      </c>
      <c r="H78"/>
      <c r="I78"/>
      <c r="J78"/>
      <c r="K78"/>
      <c r="L78"/>
      <c r="M78" s="58">
        <v>129</v>
      </c>
      <c r="N78" s="53"/>
      <c r="O78" s="58">
        <v>127.4542857142857</v>
      </c>
      <c r="P78" s="15">
        <v>1.9357142857142833</v>
      </c>
      <c r="Q78" s="15"/>
      <c r="R78" s="15"/>
      <c r="S78" s="15"/>
      <c r="T78" s="15"/>
      <c r="U78" s="15"/>
      <c r="V78" s="15"/>
      <c r="W78" s="15"/>
      <c r="X78" s="15"/>
    </row>
    <row r="79" spans="1:24" s="21" customFormat="1" x14ac:dyDescent="0.55000000000000004">
      <c r="A79" s="17"/>
      <c r="B79"/>
      <c r="C79"/>
      <c r="D79"/>
      <c r="E79"/>
      <c r="F79" s="49">
        <v>39600</v>
      </c>
      <c r="G79" s="92">
        <v>130.47999999999999</v>
      </c>
      <c r="H79"/>
      <c r="I79"/>
      <c r="J79"/>
      <c r="K79"/>
      <c r="L79"/>
      <c r="M79" s="58">
        <v>129.48857142857142</v>
      </c>
      <c r="N79" s="53"/>
      <c r="O79" s="58">
        <v>128.06142857142856</v>
      </c>
      <c r="P79" s="15">
        <v>2.4185714285714255</v>
      </c>
      <c r="Q79" s="15"/>
      <c r="R79" s="15"/>
      <c r="S79" s="15"/>
      <c r="T79" s="15"/>
      <c r="U79" s="15"/>
      <c r="V79" s="15"/>
      <c r="W79" s="15"/>
      <c r="X79" s="15"/>
    </row>
    <row r="80" spans="1:24" s="21" customFormat="1" x14ac:dyDescent="0.55000000000000004">
      <c r="A80" s="17"/>
      <c r="B80"/>
      <c r="C80"/>
      <c r="D80"/>
      <c r="E80"/>
      <c r="F80" s="49">
        <v>39630</v>
      </c>
      <c r="G80" s="92">
        <v>130.53</v>
      </c>
      <c r="H80"/>
      <c r="I80"/>
      <c r="J80"/>
      <c r="K80"/>
      <c r="L80"/>
      <c r="M80" s="58">
        <v>129.73714285714286</v>
      </c>
      <c r="N80" s="53"/>
      <c r="O80" s="58">
        <v>128.47999999999999</v>
      </c>
      <c r="P80" s="15">
        <v>2.0500000000000114</v>
      </c>
      <c r="Q80" s="15"/>
      <c r="R80" s="15"/>
      <c r="S80" s="15"/>
      <c r="T80" s="15"/>
      <c r="U80" s="15"/>
      <c r="V80" s="15"/>
      <c r="W80" s="15"/>
      <c r="X80" s="15"/>
    </row>
    <row r="81" spans="1:24" s="21" customFormat="1" x14ac:dyDescent="0.55000000000000004">
      <c r="A81" s="17"/>
      <c r="B81"/>
      <c r="C81"/>
      <c r="D81"/>
      <c r="E81"/>
      <c r="F81" s="49">
        <v>39661</v>
      </c>
      <c r="G81" s="92">
        <v>131.08000000000001</v>
      </c>
      <c r="H81"/>
      <c r="I81"/>
      <c r="J81"/>
      <c r="K81"/>
      <c r="L81"/>
      <c r="M81" s="58">
        <v>129.30857142857141</v>
      </c>
      <c r="N81" s="53"/>
      <c r="O81" s="58">
        <v>129</v>
      </c>
      <c r="P81" s="15">
        <v>2.0800000000000125</v>
      </c>
      <c r="Q81" s="15"/>
      <c r="R81" s="15"/>
      <c r="S81" s="15"/>
      <c r="T81" s="15"/>
      <c r="U81" s="15"/>
      <c r="V81" s="15"/>
      <c r="W81" s="15"/>
      <c r="X81" s="15"/>
    </row>
    <row r="82" spans="1:24" s="21" customFormat="1" x14ac:dyDescent="0.55000000000000004">
      <c r="A82" s="17"/>
      <c r="B82"/>
      <c r="C82"/>
      <c r="D82"/>
      <c r="E82"/>
      <c r="F82" s="49">
        <v>39692</v>
      </c>
      <c r="G82" s="92">
        <v>130.53</v>
      </c>
      <c r="H82"/>
      <c r="I82"/>
      <c r="J82"/>
      <c r="K82"/>
      <c r="L82"/>
      <c r="M82" s="58">
        <v>128.2042857142857</v>
      </c>
      <c r="N82" s="53"/>
      <c r="O82" s="58">
        <v>129.48857142857142</v>
      </c>
      <c r="P82" s="15">
        <v>1.0414285714285825</v>
      </c>
      <c r="Q82" s="15"/>
      <c r="R82" s="15"/>
      <c r="S82" s="15"/>
      <c r="T82" s="15"/>
      <c r="U82" s="15"/>
      <c r="V82" s="15"/>
      <c r="W82" s="15"/>
      <c r="X82" s="15"/>
    </row>
    <row r="83" spans="1:24" s="21" customFormat="1" x14ac:dyDescent="0.55000000000000004">
      <c r="A83" s="17"/>
      <c r="B83"/>
      <c r="C83"/>
      <c r="D83"/>
      <c r="E83"/>
      <c r="F83" s="49">
        <v>39722</v>
      </c>
      <c r="G83" s="92">
        <v>128.13</v>
      </c>
      <c r="H83"/>
      <c r="I83"/>
      <c r="J83"/>
      <c r="K83"/>
      <c r="L83"/>
      <c r="M83" s="58">
        <v>126.88285714285713</v>
      </c>
      <c r="N83" s="53"/>
      <c r="O83" s="58">
        <v>129.73714285714286</v>
      </c>
      <c r="P83" s="15">
        <v>-1.6071428571428612</v>
      </c>
      <c r="Q83" s="15"/>
      <c r="R83" s="15"/>
      <c r="S83" s="15"/>
      <c r="T83" s="15"/>
      <c r="U83" s="15"/>
      <c r="V83" s="15"/>
      <c r="W83" s="15"/>
      <c r="X83" s="15"/>
    </row>
    <row r="84" spans="1:24" s="21" customFormat="1" x14ac:dyDescent="0.55000000000000004">
      <c r="A84" s="17"/>
      <c r="B84"/>
      <c r="C84"/>
      <c r="D84"/>
      <c r="E84"/>
      <c r="F84" s="49">
        <v>39753</v>
      </c>
      <c r="G84" s="92">
        <v>125.02</v>
      </c>
      <c r="H84"/>
      <c r="I84"/>
      <c r="J84"/>
      <c r="K84"/>
      <c r="L84"/>
      <c r="M84" s="58">
        <v>125.72142857142856</v>
      </c>
      <c r="N84" s="53"/>
      <c r="O84" s="58">
        <v>129.30857142857141</v>
      </c>
      <c r="P84" s="15">
        <v>-4.2885714285714158</v>
      </c>
      <c r="Q84" s="15"/>
      <c r="R84" s="15"/>
      <c r="S84" s="15"/>
      <c r="T84" s="15"/>
      <c r="U84" s="15"/>
      <c r="V84" s="15"/>
      <c r="W84" s="15"/>
      <c r="X84" s="15"/>
    </row>
    <row r="85" spans="1:24" s="21" customFormat="1" x14ac:dyDescent="0.55000000000000004">
      <c r="A85" s="17"/>
      <c r="B85"/>
      <c r="C85"/>
      <c r="D85"/>
      <c r="E85"/>
      <c r="F85" s="49">
        <v>39783</v>
      </c>
      <c r="G85" s="92">
        <v>121.66</v>
      </c>
      <c r="H85"/>
      <c r="I85"/>
      <c r="J85"/>
      <c r="K85"/>
      <c r="L85"/>
      <c r="M85" s="58">
        <v>124.56142857142856</v>
      </c>
      <c r="N85" s="53"/>
      <c r="O85" s="58">
        <v>128.2042857142857</v>
      </c>
      <c r="P85" s="15">
        <v>-6.5442857142857065</v>
      </c>
      <c r="Q85" s="15"/>
      <c r="R85" s="15"/>
      <c r="S85" s="15"/>
      <c r="T85" s="15"/>
      <c r="U85" s="15"/>
      <c r="V85" s="15"/>
      <c r="W85" s="15"/>
      <c r="X85" s="15"/>
    </row>
    <row r="86" spans="1:24" s="21" customFormat="1" x14ac:dyDescent="0.55000000000000004">
      <c r="A86" s="17"/>
      <c r="B86"/>
      <c r="C86"/>
      <c r="D86"/>
      <c r="E86"/>
      <c r="F86" s="49">
        <v>39814</v>
      </c>
      <c r="G86" s="92">
        <v>121.23</v>
      </c>
      <c r="H86"/>
      <c r="I86"/>
      <c r="J86"/>
      <c r="K86"/>
      <c r="L86"/>
      <c r="M86" s="58">
        <v>123.56142857142856</v>
      </c>
      <c r="N86" s="53"/>
      <c r="O86" s="58">
        <v>126.88285714285713</v>
      </c>
      <c r="P86" s="15">
        <v>-5.6528571428571297</v>
      </c>
      <c r="Q86" s="15"/>
      <c r="R86" s="15"/>
      <c r="S86" s="15"/>
      <c r="T86" s="15"/>
      <c r="U86" s="15"/>
      <c r="V86" s="15"/>
      <c r="W86" s="15"/>
      <c r="X86" s="15"/>
    </row>
    <row r="87" spans="1:24" s="21" customFormat="1" x14ac:dyDescent="0.55000000000000004">
      <c r="A87" s="17"/>
      <c r="B87"/>
      <c r="C87"/>
      <c r="D87"/>
      <c r="E87"/>
      <c r="F87" s="49">
        <v>39845</v>
      </c>
      <c r="G87" s="92">
        <v>122.4</v>
      </c>
      <c r="H87"/>
      <c r="I87"/>
      <c r="J87"/>
      <c r="K87"/>
      <c r="L87"/>
      <c r="M87" s="58">
        <v>123.08714285714288</v>
      </c>
      <c r="N87" s="53"/>
      <c r="O87" s="58">
        <v>125.72142857142856</v>
      </c>
      <c r="P87" s="15">
        <v>-3.3214285714285552</v>
      </c>
      <c r="Q87" s="15"/>
      <c r="R87" s="15"/>
      <c r="S87" s="15"/>
      <c r="T87" s="15"/>
      <c r="U87" s="15"/>
      <c r="V87" s="15"/>
      <c r="W87" s="15"/>
      <c r="X87" s="15"/>
    </row>
    <row r="88" spans="1:24" s="21" customFormat="1" x14ac:dyDescent="0.55000000000000004">
      <c r="A88" s="17"/>
      <c r="B88"/>
      <c r="C88"/>
      <c r="D88"/>
      <c r="E88"/>
      <c r="F88" s="49">
        <v>39873</v>
      </c>
      <c r="G88" s="92">
        <v>122.96</v>
      </c>
      <c r="H88"/>
      <c r="I88"/>
      <c r="J88"/>
      <c r="K88"/>
      <c r="L88"/>
      <c r="M88" s="58">
        <v>123.14714285714285</v>
      </c>
      <c r="N88" s="53"/>
      <c r="O88" s="58">
        <v>124.56142857142856</v>
      </c>
      <c r="P88" s="15">
        <v>-1.6014285714285705</v>
      </c>
      <c r="Q88" s="15"/>
      <c r="R88" s="15"/>
      <c r="S88" s="15"/>
      <c r="T88" s="15"/>
      <c r="U88" s="15"/>
      <c r="V88" s="15"/>
      <c r="W88" s="15"/>
      <c r="X88" s="15"/>
    </row>
    <row r="89" spans="1:24" s="21" customFormat="1" x14ac:dyDescent="0.55000000000000004">
      <c r="A89" s="17"/>
      <c r="B89"/>
      <c r="C89"/>
      <c r="D89"/>
      <c r="E89"/>
      <c r="F89" s="49">
        <v>39904</v>
      </c>
      <c r="G89" s="92">
        <v>123.53</v>
      </c>
      <c r="H89"/>
      <c r="I89"/>
      <c r="J89"/>
      <c r="K89"/>
      <c r="L89"/>
      <c r="M89" s="58">
        <v>123.74428571428574</v>
      </c>
      <c r="N89" s="53"/>
      <c r="O89" s="58">
        <v>123.56142857142856</v>
      </c>
      <c r="P89" s="15">
        <v>-3.1428571428563146E-2</v>
      </c>
      <c r="Q89" s="15"/>
      <c r="R89" s="15"/>
      <c r="S89" s="15"/>
      <c r="T89" s="15"/>
      <c r="U89" s="15"/>
      <c r="V89" s="15"/>
      <c r="W89" s="15"/>
      <c r="X89" s="15"/>
    </row>
    <row r="90" spans="1:24" s="21" customFormat="1" x14ac:dyDescent="0.55000000000000004">
      <c r="A90" s="17"/>
      <c r="B90"/>
      <c r="C90"/>
      <c r="D90"/>
      <c r="E90"/>
      <c r="F90" s="49">
        <v>39934</v>
      </c>
      <c r="G90" s="92">
        <v>124.81</v>
      </c>
      <c r="H90"/>
      <c r="I90"/>
      <c r="J90"/>
      <c r="K90"/>
      <c r="L90"/>
      <c r="M90" s="58">
        <v>124.72142857142856</v>
      </c>
      <c r="N90" s="53"/>
      <c r="O90" s="58">
        <v>123.08714285714288</v>
      </c>
      <c r="P90" s="15">
        <v>1.7228571428571229</v>
      </c>
      <c r="Q90" s="15"/>
      <c r="R90" s="15"/>
      <c r="S90" s="15"/>
      <c r="T90" s="15"/>
      <c r="U90" s="15"/>
      <c r="V90" s="15"/>
      <c r="W90" s="15"/>
      <c r="X90" s="15"/>
    </row>
    <row r="91" spans="1:24" s="21" customFormat="1" x14ac:dyDescent="0.55000000000000004">
      <c r="A91" s="17"/>
      <c r="B91"/>
      <c r="C91"/>
      <c r="D91"/>
      <c r="E91"/>
      <c r="F91" s="49">
        <v>39965</v>
      </c>
      <c r="G91" s="92">
        <v>125.44</v>
      </c>
      <c r="H91"/>
      <c r="I91"/>
      <c r="J91"/>
      <c r="K91"/>
      <c r="L91"/>
      <c r="M91" s="58">
        <v>125.64857142857144</v>
      </c>
      <c r="N91" s="53"/>
      <c r="O91" s="58">
        <v>123.14714285714285</v>
      </c>
      <c r="P91" s="15">
        <v>2.2928571428571445</v>
      </c>
      <c r="Q91" s="15"/>
      <c r="R91" s="15"/>
      <c r="S91" s="15"/>
      <c r="T91" s="15"/>
      <c r="U91" s="15"/>
      <c r="V91" s="15"/>
      <c r="W91" s="15"/>
      <c r="X91" s="15"/>
    </row>
    <row r="92" spans="1:24" s="21" customFormat="1" x14ac:dyDescent="0.55000000000000004">
      <c r="A92" s="17"/>
      <c r="B92"/>
      <c r="C92"/>
      <c r="D92"/>
      <c r="E92"/>
      <c r="F92" s="49">
        <v>39995</v>
      </c>
      <c r="G92" s="92">
        <v>125.84</v>
      </c>
      <c r="H92"/>
      <c r="I92"/>
      <c r="J92"/>
      <c r="K92"/>
      <c r="L92"/>
      <c r="M92" s="58">
        <v>126.65</v>
      </c>
      <c r="N92" s="53"/>
      <c r="O92" s="58">
        <v>123.74428571428574</v>
      </c>
      <c r="P92" s="15">
        <v>2.0957142857142657</v>
      </c>
      <c r="Q92" s="15"/>
      <c r="R92" s="15"/>
      <c r="S92" s="15"/>
      <c r="T92" s="15"/>
      <c r="U92" s="15"/>
      <c r="V92" s="15"/>
      <c r="W92" s="15"/>
      <c r="X92" s="15"/>
    </row>
    <row r="93" spans="1:24" s="21" customFormat="1" x14ac:dyDescent="0.55000000000000004">
      <c r="A93" s="17"/>
      <c r="B93"/>
      <c r="C93"/>
      <c r="D93"/>
      <c r="E93"/>
      <c r="F93" s="49">
        <v>40026</v>
      </c>
      <c r="G93" s="92">
        <v>128.07</v>
      </c>
      <c r="H93"/>
      <c r="I93"/>
      <c r="J93"/>
      <c r="K93"/>
      <c r="L93"/>
      <c r="M93" s="58">
        <v>127.5842857142857</v>
      </c>
      <c r="N93" s="53"/>
      <c r="O93" s="58">
        <v>124.72142857142856</v>
      </c>
      <c r="P93" s="15">
        <v>3.3485714285714323</v>
      </c>
      <c r="Q93" s="15"/>
      <c r="R93" s="15"/>
      <c r="S93" s="15"/>
      <c r="T93" s="15"/>
      <c r="U93" s="15"/>
      <c r="V93" s="15"/>
      <c r="W93" s="15"/>
      <c r="X93" s="15"/>
    </row>
    <row r="94" spans="1:24" s="21" customFormat="1" x14ac:dyDescent="0.55000000000000004">
      <c r="A94" s="17"/>
      <c r="B94"/>
      <c r="C94"/>
      <c r="D94"/>
      <c r="E94"/>
      <c r="F94" s="49">
        <v>40057</v>
      </c>
      <c r="G94" s="92">
        <v>128.88999999999999</v>
      </c>
      <c r="H94"/>
      <c r="I94"/>
      <c r="J94"/>
      <c r="K94"/>
      <c r="L94"/>
      <c r="M94" s="58">
        <v>128.62285714285716</v>
      </c>
      <c r="N94" s="53"/>
      <c r="O94" s="58">
        <v>125.64857142857144</v>
      </c>
      <c r="P94" s="15">
        <v>3.2414285714285427</v>
      </c>
      <c r="Q94" s="15"/>
      <c r="R94" s="15"/>
      <c r="S94" s="15"/>
      <c r="T94" s="15"/>
      <c r="U94" s="15"/>
      <c r="V94" s="15"/>
      <c r="W94" s="15"/>
      <c r="X94" s="15"/>
    </row>
    <row r="95" spans="1:24" s="21" customFormat="1" x14ac:dyDescent="0.55000000000000004">
      <c r="A95" s="17"/>
      <c r="B95"/>
      <c r="C95"/>
      <c r="D95"/>
      <c r="E95"/>
      <c r="F95" s="49">
        <v>40087</v>
      </c>
      <c r="G95" s="92">
        <v>129.97</v>
      </c>
      <c r="H95"/>
      <c r="I95"/>
      <c r="J95"/>
      <c r="K95"/>
      <c r="L95"/>
      <c r="M95" s="58">
        <v>129.82857142857142</v>
      </c>
      <c r="N95" s="53"/>
      <c r="O95" s="58">
        <v>126.65</v>
      </c>
      <c r="P95" s="15">
        <v>3.3199999999999932</v>
      </c>
      <c r="Q95" s="15"/>
      <c r="R95" s="15"/>
      <c r="S95" s="15"/>
      <c r="T95" s="15"/>
      <c r="U95" s="15"/>
      <c r="V95" s="15"/>
      <c r="W95" s="15"/>
      <c r="X95" s="15"/>
    </row>
    <row r="96" spans="1:24" s="21" customFormat="1" x14ac:dyDescent="0.55000000000000004">
      <c r="A96" s="17"/>
      <c r="B96"/>
      <c r="C96"/>
      <c r="D96"/>
      <c r="E96"/>
      <c r="F96" s="49">
        <v>40118</v>
      </c>
      <c r="G96" s="92">
        <v>130.07</v>
      </c>
      <c r="H96"/>
      <c r="I96"/>
      <c r="J96"/>
      <c r="K96"/>
      <c r="L96"/>
      <c r="M96" s="58">
        <v>131.18714285714287</v>
      </c>
      <c r="N96" s="53"/>
      <c r="O96" s="58">
        <v>127.5842857142857</v>
      </c>
      <c r="P96" s="15">
        <v>2.4857142857142946</v>
      </c>
      <c r="Q96" s="15"/>
      <c r="R96" s="15"/>
      <c r="S96" s="15"/>
      <c r="T96" s="15"/>
      <c r="U96" s="15"/>
      <c r="V96" s="15"/>
      <c r="W96" s="15"/>
      <c r="X96" s="15"/>
    </row>
    <row r="97" spans="1:24" s="21" customFormat="1" x14ac:dyDescent="0.55000000000000004">
      <c r="A97" s="17"/>
      <c r="B97"/>
      <c r="C97"/>
      <c r="D97"/>
      <c r="E97"/>
      <c r="F97" s="49">
        <v>40148</v>
      </c>
      <c r="G97" s="92">
        <v>132.08000000000001</v>
      </c>
      <c r="H97"/>
      <c r="I97"/>
      <c r="J97"/>
      <c r="K97"/>
      <c r="L97"/>
      <c r="M97" s="58">
        <v>132.3942857142857</v>
      </c>
      <c r="N97" s="53"/>
      <c r="O97" s="58">
        <v>128.62285714285716</v>
      </c>
      <c r="P97" s="15">
        <v>3.4571428571428555</v>
      </c>
      <c r="Q97" s="15"/>
      <c r="R97" s="15"/>
      <c r="S97" s="15"/>
      <c r="T97" s="15"/>
      <c r="U97" s="15"/>
      <c r="V97" s="15"/>
      <c r="W97" s="15"/>
      <c r="X97" s="15"/>
    </row>
    <row r="98" spans="1:24" s="21" customFormat="1" x14ac:dyDescent="0.55000000000000004">
      <c r="A98" s="17"/>
      <c r="B98"/>
      <c r="C98"/>
      <c r="D98"/>
      <c r="E98"/>
      <c r="F98" s="49">
        <v>40179</v>
      </c>
      <c r="G98" s="92">
        <v>133.88</v>
      </c>
      <c r="H98"/>
      <c r="I98"/>
      <c r="J98"/>
      <c r="K98"/>
      <c r="L98"/>
      <c r="M98" s="58">
        <v>133.57142857142858</v>
      </c>
      <c r="N98" s="53"/>
      <c r="O98" s="58">
        <v>129.82857142857142</v>
      </c>
      <c r="P98" s="15">
        <v>4.0514285714285734</v>
      </c>
      <c r="Q98" s="15"/>
      <c r="R98" s="15"/>
      <c r="S98" s="15"/>
      <c r="T98" s="15"/>
      <c r="U98" s="15"/>
      <c r="V98" s="15"/>
      <c r="W98" s="15"/>
      <c r="X98" s="15"/>
    </row>
    <row r="99" spans="1:24" s="21" customFormat="1" x14ac:dyDescent="0.55000000000000004">
      <c r="A99" s="17"/>
      <c r="B99"/>
      <c r="C99"/>
      <c r="D99"/>
      <c r="E99"/>
      <c r="F99" s="49">
        <v>40210</v>
      </c>
      <c r="G99" s="92">
        <v>135.35</v>
      </c>
      <c r="H99"/>
      <c r="I99"/>
      <c r="J99"/>
      <c r="K99"/>
      <c r="L99"/>
      <c r="M99" s="58">
        <v>134.46285714285713</v>
      </c>
      <c r="N99" s="53"/>
      <c r="O99" s="58">
        <v>131.18714285714287</v>
      </c>
      <c r="P99" s="15">
        <v>4.1628571428571206</v>
      </c>
      <c r="Q99" s="15"/>
      <c r="R99" s="15"/>
      <c r="S99" s="15"/>
      <c r="T99" s="15"/>
      <c r="U99" s="15"/>
      <c r="V99" s="15"/>
      <c r="W99" s="15"/>
      <c r="X99" s="15"/>
    </row>
    <row r="100" spans="1:24" s="21" customFormat="1" x14ac:dyDescent="0.55000000000000004">
      <c r="A100" s="17"/>
      <c r="B100"/>
      <c r="C100"/>
      <c r="D100"/>
      <c r="E100"/>
      <c r="F100" s="49">
        <v>40238</v>
      </c>
      <c r="G100" s="92">
        <v>136.52000000000001</v>
      </c>
      <c r="H100"/>
      <c r="I100"/>
      <c r="J100"/>
      <c r="K100"/>
      <c r="L100"/>
      <c r="M100" s="58">
        <v>135.29428571428573</v>
      </c>
      <c r="N100" s="53"/>
      <c r="O100" s="58">
        <v>132.3942857142857</v>
      </c>
      <c r="P100" s="15">
        <v>4.1257142857143094</v>
      </c>
      <c r="Q100" s="15"/>
      <c r="R100" s="15"/>
      <c r="S100" s="15"/>
      <c r="T100" s="15"/>
      <c r="U100" s="15"/>
      <c r="V100" s="15"/>
      <c r="W100" s="15"/>
      <c r="X100" s="15"/>
    </row>
    <row r="101" spans="1:24" s="21" customFormat="1" x14ac:dyDescent="0.55000000000000004">
      <c r="A101" s="17"/>
      <c r="B101"/>
      <c r="C101"/>
      <c r="D101"/>
      <c r="E101"/>
      <c r="F101" s="49">
        <v>40269</v>
      </c>
      <c r="G101" s="92">
        <v>137.13</v>
      </c>
      <c r="H101"/>
      <c r="I101"/>
      <c r="J101"/>
      <c r="K101"/>
      <c r="L101"/>
      <c r="M101" s="58">
        <v>135.95714285714286</v>
      </c>
      <c r="N101" s="53"/>
      <c r="O101" s="58">
        <v>133.57142857142858</v>
      </c>
      <c r="P101" s="15">
        <v>3.5585714285714118</v>
      </c>
      <c r="Q101" s="15"/>
      <c r="R101" s="15"/>
      <c r="S101" s="15"/>
      <c r="T101" s="15"/>
      <c r="U101" s="15"/>
      <c r="V101" s="15"/>
      <c r="W101" s="15"/>
      <c r="X101" s="15"/>
    </row>
    <row r="102" spans="1:24" s="21" customFormat="1" x14ac:dyDescent="0.55000000000000004">
      <c r="A102" s="17"/>
      <c r="B102"/>
      <c r="C102"/>
      <c r="D102"/>
      <c r="E102"/>
      <c r="F102" s="49">
        <v>40299</v>
      </c>
      <c r="G102" s="92">
        <v>136.21</v>
      </c>
      <c r="H102"/>
      <c r="I102"/>
      <c r="J102"/>
      <c r="K102"/>
      <c r="L102"/>
      <c r="M102" s="58">
        <v>136.50428571428571</v>
      </c>
      <c r="N102" s="53"/>
      <c r="O102" s="58">
        <v>134.46285714285713</v>
      </c>
      <c r="P102" s="15">
        <v>1.747142857142876</v>
      </c>
      <c r="Q102" s="15"/>
      <c r="R102" s="15"/>
      <c r="S102" s="15"/>
      <c r="T102" s="15"/>
      <c r="U102" s="15"/>
      <c r="V102" s="15"/>
      <c r="W102" s="15"/>
      <c r="X102" s="15"/>
    </row>
    <row r="103" spans="1:24" s="21" customFormat="1" x14ac:dyDescent="0.55000000000000004">
      <c r="A103" s="17"/>
      <c r="B103"/>
      <c r="C103"/>
      <c r="D103"/>
      <c r="E103"/>
      <c r="F103" s="49">
        <v>40330</v>
      </c>
      <c r="G103" s="92">
        <v>135.88999999999999</v>
      </c>
      <c r="H103"/>
      <c r="I103"/>
      <c r="J103"/>
      <c r="K103"/>
      <c r="L103"/>
      <c r="M103" s="58">
        <v>137.00428571428571</v>
      </c>
      <c r="N103" s="53"/>
      <c r="O103" s="58">
        <v>135.29428571428573</v>
      </c>
      <c r="P103" s="15">
        <v>0.59571428571425145</v>
      </c>
      <c r="Q103" s="15"/>
      <c r="R103" s="15"/>
      <c r="S103" s="15"/>
      <c r="T103" s="15"/>
      <c r="U103" s="15"/>
      <c r="V103" s="15"/>
      <c r="W103" s="15"/>
      <c r="X103" s="15"/>
    </row>
    <row r="104" spans="1:24" s="21" customFormat="1" x14ac:dyDescent="0.55000000000000004">
      <c r="A104" s="17"/>
      <c r="B104"/>
      <c r="C104"/>
      <c r="D104"/>
      <c r="E104"/>
      <c r="F104" s="49">
        <v>40360</v>
      </c>
      <c r="G104" s="92">
        <v>136.72</v>
      </c>
      <c r="H104"/>
      <c r="I104"/>
      <c r="J104"/>
      <c r="K104"/>
      <c r="L104"/>
      <c r="M104" s="58">
        <v>137.31285714285715</v>
      </c>
      <c r="N104" s="53"/>
      <c r="O104" s="58">
        <v>135.95714285714286</v>
      </c>
      <c r="P104" s="15">
        <v>0.76285714285714334</v>
      </c>
      <c r="Q104" s="15"/>
      <c r="R104" s="15"/>
      <c r="S104" s="15"/>
      <c r="T104" s="15"/>
      <c r="U104" s="15"/>
      <c r="V104" s="15"/>
      <c r="W104" s="15"/>
      <c r="X104" s="15"/>
    </row>
    <row r="105" spans="1:24" s="21" customFormat="1" x14ac:dyDescent="0.55000000000000004">
      <c r="A105" s="17"/>
      <c r="B105"/>
      <c r="C105"/>
      <c r="D105"/>
      <c r="E105"/>
      <c r="F105" s="49">
        <v>40391</v>
      </c>
      <c r="G105" s="92">
        <v>137.71</v>
      </c>
      <c r="H105"/>
      <c r="I105"/>
      <c r="J105"/>
      <c r="K105"/>
      <c r="L105"/>
      <c r="M105" s="58">
        <v>137.74285714285716</v>
      </c>
      <c r="N105" s="53"/>
      <c r="O105" s="58">
        <v>136.50428571428571</v>
      </c>
      <c r="P105" s="15">
        <v>1.2057142857142935</v>
      </c>
      <c r="Q105" s="15"/>
      <c r="R105" s="15"/>
      <c r="S105" s="15"/>
      <c r="T105" s="15"/>
      <c r="U105" s="15"/>
      <c r="V105" s="15"/>
      <c r="W105" s="15"/>
      <c r="X105" s="15"/>
    </row>
    <row r="106" spans="1:24" s="21" customFormat="1" x14ac:dyDescent="0.55000000000000004">
      <c r="A106" s="17"/>
      <c r="B106"/>
      <c r="C106"/>
      <c r="D106"/>
      <c r="E106"/>
      <c r="F106" s="49">
        <v>40422</v>
      </c>
      <c r="G106" s="92">
        <v>138.85</v>
      </c>
      <c r="H106"/>
      <c r="I106"/>
      <c r="J106"/>
      <c r="K106"/>
      <c r="L106"/>
      <c r="M106" s="58">
        <v>138.09428571428572</v>
      </c>
      <c r="N106" s="53"/>
      <c r="O106" s="58">
        <v>137.00428571428571</v>
      </c>
      <c r="P106" s="15">
        <v>1.8457142857142799</v>
      </c>
      <c r="Q106" s="15"/>
      <c r="R106" s="15"/>
      <c r="S106" s="15"/>
      <c r="T106" s="15"/>
      <c r="U106" s="15"/>
      <c r="V106" s="15"/>
      <c r="W106" s="15"/>
      <c r="X106" s="15"/>
    </row>
    <row r="107" spans="1:24" s="21" customFormat="1" x14ac:dyDescent="0.55000000000000004">
      <c r="A107" s="17"/>
      <c r="B107"/>
      <c r="C107"/>
      <c r="D107"/>
      <c r="E107"/>
      <c r="F107" s="49">
        <v>40452</v>
      </c>
      <c r="G107" s="92">
        <v>138.68</v>
      </c>
      <c r="H107"/>
      <c r="I107"/>
      <c r="J107"/>
      <c r="K107"/>
      <c r="L107"/>
      <c r="M107" s="58">
        <v>138.71857142857144</v>
      </c>
      <c r="N107" s="53"/>
      <c r="O107" s="58">
        <v>137.31285714285715</v>
      </c>
      <c r="P107" s="15">
        <v>1.3671428571428521</v>
      </c>
      <c r="Q107" s="15"/>
      <c r="R107" s="15"/>
      <c r="S107" s="15"/>
      <c r="T107" s="15"/>
      <c r="U107" s="15"/>
      <c r="V107" s="15"/>
      <c r="W107" s="15"/>
      <c r="X107" s="15"/>
    </row>
    <row r="108" spans="1:24" s="21" customFormat="1" x14ac:dyDescent="0.55000000000000004">
      <c r="A108" s="17"/>
      <c r="B108"/>
      <c r="C108"/>
      <c r="D108"/>
      <c r="E108"/>
      <c r="F108" s="49">
        <v>40483</v>
      </c>
      <c r="G108" s="92">
        <v>140.13999999999999</v>
      </c>
      <c r="H108"/>
      <c r="I108"/>
      <c r="J108"/>
      <c r="K108"/>
      <c r="L108"/>
      <c r="M108" s="58">
        <v>139.32</v>
      </c>
      <c r="N108" s="53"/>
      <c r="O108" s="58">
        <v>137.74285714285716</v>
      </c>
      <c r="P108" s="15">
        <v>2.3971428571428248</v>
      </c>
      <c r="Q108" s="15"/>
      <c r="R108" s="15"/>
      <c r="S108" s="15"/>
      <c r="T108" s="15"/>
      <c r="U108" s="15"/>
      <c r="V108" s="15"/>
      <c r="W108" s="15"/>
      <c r="X108" s="15"/>
    </row>
    <row r="109" spans="1:24" s="21" customFormat="1" x14ac:dyDescent="0.55000000000000004">
      <c r="A109" s="17"/>
      <c r="B109"/>
      <c r="C109"/>
      <c r="D109"/>
      <c r="E109"/>
      <c r="F109" s="49">
        <v>40513</v>
      </c>
      <c r="G109" s="92">
        <v>138.66999999999999</v>
      </c>
      <c r="H109"/>
      <c r="I109"/>
      <c r="J109"/>
      <c r="K109"/>
      <c r="L109"/>
      <c r="M109" s="58">
        <v>139.79857142857142</v>
      </c>
      <c r="N109" s="53"/>
      <c r="O109" s="58">
        <v>138.09428571428572</v>
      </c>
      <c r="P109" s="15">
        <v>0.57571428571426964</v>
      </c>
      <c r="Q109" s="15"/>
      <c r="R109" s="15"/>
      <c r="S109" s="15"/>
      <c r="T109" s="15"/>
      <c r="U109" s="15"/>
      <c r="V109" s="15"/>
      <c r="W109" s="15"/>
      <c r="X109" s="15"/>
    </row>
    <row r="110" spans="1:24" s="21" customFormat="1" x14ac:dyDescent="0.55000000000000004">
      <c r="A110" s="17"/>
      <c r="B110"/>
      <c r="C110"/>
      <c r="D110"/>
      <c r="E110"/>
      <c r="F110" s="49">
        <v>40544</v>
      </c>
      <c r="G110" s="92">
        <v>140.26</v>
      </c>
      <c r="H110"/>
      <c r="I110"/>
      <c r="J110"/>
      <c r="K110"/>
      <c r="L110"/>
      <c r="M110" s="58">
        <v>140.10142857142858</v>
      </c>
      <c r="N110" s="53"/>
      <c r="O110" s="58">
        <v>138.71857142857144</v>
      </c>
      <c r="P110" s="15">
        <v>1.5414285714285541</v>
      </c>
      <c r="Q110" s="15"/>
      <c r="R110" s="15"/>
      <c r="S110" s="15"/>
      <c r="T110" s="15"/>
      <c r="U110" s="15"/>
      <c r="V110" s="15"/>
      <c r="W110" s="15"/>
      <c r="X110" s="15"/>
    </row>
    <row r="111" spans="1:24" s="21" customFormat="1" x14ac:dyDescent="0.55000000000000004">
      <c r="A111" s="17"/>
      <c r="B111"/>
      <c r="C111"/>
      <c r="D111"/>
      <c r="E111"/>
      <c r="F111" s="49">
        <v>40575</v>
      </c>
      <c r="G111" s="92">
        <v>140.93</v>
      </c>
      <c r="H111"/>
      <c r="I111"/>
      <c r="J111"/>
      <c r="K111"/>
      <c r="L111"/>
      <c r="M111" s="58">
        <v>140.45857142857145</v>
      </c>
      <c r="N111" s="53"/>
      <c r="O111" s="58">
        <v>139.32</v>
      </c>
      <c r="P111" s="15">
        <v>1.6100000000000136</v>
      </c>
      <c r="Q111" s="15"/>
      <c r="R111" s="15"/>
      <c r="S111" s="15"/>
      <c r="T111" s="15"/>
      <c r="U111" s="15"/>
      <c r="V111" s="15"/>
      <c r="W111" s="15"/>
      <c r="X111" s="15"/>
    </row>
    <row r="112" spans="1:24" s="21" customFormat="1" x14ac:dyDescent="0.55000000000000004">
      <c r="A112" s="17"/>
      <c r="B112"/>
      <c r="C112"/>
      <c r="D112"/>
      <c r="E112"/>
      <c r="F112" s="49">
        <v>40603</v>
      </c>
      <c r="G112" s="92">
        <v>141.06</v>
      </c>
      <c r="H112"/>
      <c r="I112"/>
      <c r="J112"/>
      <c r="K112"/>
      <c r="L112"/>
      <c r="M112" s="58">
        <v>140.70285714285714</v>
      </c>
      <c r="N112" s="53"/>
      <c r="O112" s="58">
        <v>139.79857142857142</v>
      </c>
      <c r="P112" s="15">
        <v>1.2614285714285813</v>
      </c>
      <c r="Q112" s="15"/>
      <c r="R112" s="15"/>
      <c r="S112" s="15"/>
      <c r="T112" s="15"/>
      <c r="U112" s="15"/>
      <c r="V112" s="15"/>
      <c r="W112" s="15"/>
      <c r="X112" s="15"/>
    </row>
    <row r="113" spans="1:24" s="21" customFormat="1" x14ac:dyDescent="0.55000000000000004">
      <c r="A113" s="17"/>
      <c r="B113"/>
      <c r="C113"/>
      <c r="D113"/>
      <c r="E113"/>
      <c r="F113" s="49">
        <v>40634</v>
      </c>
      <c r="G113" s="92">
        <v>140.97</v>
      </c>
      <c r="H113"/>
      <c r="I113"/>
      <c r="J113"/>
      <c r="K113"/>
      <c r="L113"/>
      <c r="M113" s="58">
        <v>141.19285714285715</v>
      </c>
      <c r="N113" s="53"/>
      <c r="O113" s="58">
        <v>140.10142857142858</v>
      </c>
      <c r="P113" s="15">
        <v>0.86857142857141412</v>
      </c>
      <c r="Q113" s="15"/>
      <c r="R113" s="15"/>
      <c r="S113" s="15"/>
      <c r="T113" s="15"/>
      <c r="U113" s="15"/>
      <c r="V113" s="15"/>
      <c r="W113" s="15"/>
      <c r="X113" s="15"/>
    </row>
    <row r="114" spans="1:24" s="21" customFormat="1" x14ac:dyDescent="0.55000000000000004">
      <c r="A114" s="17"/>
      <c r="B114"/>
      <c r="C114"/>
      <c r="D114"/>
      <c r="E114"/>
      <c r="F114" s="49">
        <v>40664</v>
      </c>
      <c r="G114" s="92">
        <v>141.18</v>
      </c>
      <c r="H114"/>
      <c r="I114"/>
      <c r="J114"/>
      <c r="K114"/>
      <c r="L114"/>
      <c r="M114" s="58">
        <v>141.43285714285716</v>
      </c>
      <c r="N114" s="53"/>
      <c r="O114" s="58">
        <v>140.45857142857145</v>
      </c>
      <c r="P114" s="15">
        <v>0.72142857142856087</v>
      </c>
      <c r="Q114" s="15"/>
      <c r="R114" s="15"/>
      <c r="S114" s="15"/>
      <c r="T114" s="15"/>
      <c r="U114" s="15"/>
      <c r="V114" s="15"/>
      <c r="W114" s="15"/>
      <c r="X114" s="15"/>
    </row>
    <row r="115" spans="1:24" s="21" customFormat="1" x14ac:dyDescent="0.55000000000000004">
      <c r="A115" s="17"/>
      <c r="B115"/>
      <c r="C115"/>
      <c r="D115"/>
      <c r="E115"/>
      <c r="F115" s="49">
        <v>40695</v>
      </c>
      <c r="G115" s="92">
        <v>141.85</v>
      </c>
      <c r="H115"/>
      <c r="I115"/>
      <c r="J115"/>
      <c r="K115"/>
      <c r="L115"/>
      <c r="M115" s="58">
        <v>141.52571428571429</v>
      </c>
      <c r="N115" s="53"/>
      <c r="O115" s="58">
        <v>140.70285714285714</v>
      </c>
      <c r="P115" s="15">
        <v>1.1471428571428532</v>
      </c>
      <c r="Q115" s="15"/>
      <c r="R115" s="15"/>
      <c r="S115" s="15"/>
      <c r="T115" s="15"/>
      <c r="U115" s="15"/>
      <c r="V115" s="15"/>
      <c r="W115" s="15"/>
      <c r="X115" s="15"/>
    </row>
    <row r="116" spans="1:24" s="21" customFormat="1" x14ac:dyDescent="0.55000000000000004">
      <c r="A116" s="17"/>
      <c r="B116"/>
      <c r="C116"/>
      <c r="D116"/>
      <c r="E116"/>
      <c r="F116" s="49">
        <v>40725</v>
      </c>
      <c r="G116" s="92">
        <v>142.1</v>
      </c>
      <c r="H116"/>
      <c r="I116"/>
      <c r="J116"/>
      <c r="K116"/>
      <c r="L116"/>
      <c r="M116" s="58">
        <v>141.60428571428571</v>
      </c>
      <c r="N116" s="53"/>
      <c r="O116" s="58">
        <v>141.19285714285715</v>
      </c>
      <c r="P116" s="15">
        <v>0.90714285714284415</v>
      </c>
      <c r="Q116" s="15"/>
      <c r="R116" s="15"/>
      <c r="S116" s="15"/>
      <c r="T116" s="15"/>
      <c r="U116" s="15"/>
      <c r="V116" s="15"/>
      <c r="W116" s="15"/>
      <c r="X116" s="15"/>
    </row>
    <row r="117" spans="1:24" s="21" customFormat="1" x14ac:dyDescent="0.55000000000000004">
      <c r="A117" s="17"/>
      <c r="B117"/>
      <c r="C117"/>
      <c r="D117"/>
      <c r="E117"/>
      <c r="F117" s="49">
        <v>40756</v>
      </c>
      <c r="G117" s="92">
        <v>141.94</v>
      </c>
      <c r="H117"/>
      <c r="I117"/>
      <c r="J117"/>
      <c r="K117"/>
      <c r="L117"/>
      <c r="M117" s="58">
        <v>141.79571428571427</v>
      </c>
      <c r="N117" s="53"/>
      <c r="O117" s="58">
        <v>141.43285714285716</v>
      </c>
      <c r="P117" s="15">
        <v>0.50714285714283847</v>
      </c>
      <c r="Q117" s="15"/>
      <c r="R117" s="15"/>
      <c r="S117" s="15"/>
      <c r="T117" s="15"/>
      <c r="U117" s="15"/>
      <c r="V117" s="15"/>
      <c r="W117" s="15"/>
      <c r="X117" s="15"/>
    </row>
    <row r="118" spans="1:24" s="21" customFormat="1" x14ac:dyDescent="0.55000000000000004">
      <c r="A118" s="17"/>
      <c r="B118"/>
      <c r="C118"/>
      <c r="D118"/>
      <c r="E118"/>
      <c r="F118" s="49">
        <v>40787</v>
      </c>
      <c r="G118" s="92">
        <v>141.58000000000001</v>
      </c>
      <c r="H118"/>
      <c r="I118"/>
      <c r="J118"/>
      <c r="K118"/>
      <c r="L118"/>
      <c r="M118" s="58">
        <v>141.75857142857143</v>
      </c>
      <c r="N118" s="53"/>
      <c r="O118" s="58">
        <v>141.52571428571429</v>
      </c>
      <c r="P118" s="15">
        <v>5.4285714285725817E-2</v>
      </c>
      <c r="Q118" s="15"/>
      <c r="R118" s="15"/>
      <c r="S118" s="15"/>
      <c r="T118" s="15"/>
      <c r="U118" s="15"/>
      <c r="V118" s="15"/>
      <c r="W118" s="15"/>
      <c r="X118" s="15"/>
    </row>
    <row r="119" spans="1:24" s="21" customFormat="1" x14ac:dyDescent="0.55000000000000004">
      <c r="A119" s="17"/>
      <c r="B119"/>
      <c r="C119"/>
      <c r="D119"/>
      <c r="E119"/>
      <c r="F119" s="49">
        <v>40817</v>
      </c>
      <c r="G119" s="92">
        <v>141.61000000000001</v>
      </c>
      <c r="H119"/>
      <c r="I119"/>
      <c r="J119"/>
      <c r="K119"/>
      <c r="L119"/>
      <c r="M119" s="58">
        <v>141.35714285714283</v>
      </c>
      <c r="N119" s="53"/>
      <c r="O119" s="58">
        <v>141.60428571428571</v>
      </c>
      <c r="P119" s="15">
        <v>5.7142857143048786E-3</v>
      </c>
      <c r="Q119" s="15"/>
      <c r="R119" s="15"/>
      <c r="S119" s="15"/>
      <c r="T119" s="15"/>
      <c r="U119" s="15"/>
      <c r="V119" s="15"/>
      <c r="W119" s="15"/>
      <c r="X119" s="15"/>
    </row>
    <row r="120" spans="1:24" s="21" customFormat="1" x14ac:dyDescent="0.55000000000000004">
      <c r="A120" s="17"/>
      <c r="B120"/>
      <c r="C120"/>
      <c r="D120"/>
      <c r="E120"/>
      <c r="F120" s="49">
        <v>40848</v>
      </c>
      <c r="G120" s="92">
        <v>142.31</v>
      </c>
      <c r="H120"/>
      <c r="I120"/>
      <c r="J120"/>
      <c r="K120"/>
      <c r="L120"/>
      <c r="M120" s="58">
        <v>141.1357142857143</v>
      </c>
      <c r="N120" s="53"/>
      <c r="O120" s="58">
        <v>141.79571428571427</v>
      </c>
      <c r="P120" s="15">
        <v>0.51428571428573377</v>
      </c>
      <c r="Q120" s="15"/>
      <c r="R120" s="15"/>
      <c r="S120" s="15"/>
      <c r="T120" s="15"/>
      <c r="U120" s="15"/>
      <c r="V120" s="15"/>
      <c r="W120" s="15"/>
      <c r="X120" s="15"/>
    </row>
    <row r="121" spans="1:24" s="21" customFormat="1" x14ac:dyDescent="0.55000000000000004">
      <c r="A121" s="17"/>
      <c r="B121"/>
      <c r="C121"/>
      <c r="D121"/>
      <c r="E121"/>
      <c r="F121" s="49">
        <v>40878</v>
      </c>
      <c r="G121" s="92">
        <v>140.91999999999999</v>
      </c>
      <c r="H121"/>
      <c r="I121"/>
      <c r="J121"/>
      <c r="K121"/>
      <c r="L121"/>
      <c r="M121" s="58">
        <v>140.87857142857143</v>
      </c>
      <c r="N121" s="53"/>
      <c r="O121" s="58">
        <v>141.75857142857143</v>
      </c>
      <c r="P121" s="15">
        <v>-0.8385714285714414</v>
      </c>
      <c r="Q121" s="15"/>
      <c r="R121" s="15"/>
      <c r="S121" s="15"/>
      <c r="T121" s="15"/>
      <c r="U121" s="15"/>
      <c r="V121" s="15"/>
      <c r="W121" s="15"/>
      <c r="X121" s="15"/>
    </row>
    <row r="122" spans="1:24" s="21" customFormat="1" x14ac:dyDescent="0.55000000000000004">
      <c r="A122" s="17"/>
      <c r="B122"/>
      <c r="C122"/>
      <c r="D122"/>
      <c r="E122"/>
      <c r="F122" s="49">
        <v>40909</v>
      </c>
      <c r="G122" s="92">
        <v>139.04</v>
      </c>
      <c r="H122"/>
      <c r="I122"/>
      <c r="J122"/>
      <c r="K122"/>
      <c r="L122"/>
      <c r="M122" s="58">
        <v>140.76142857142858</v>
      </c>
      <c r="N122" s="53"/>
      <c r="O122" s="58">
        <v>141.35714285714283</v>
      </c>
      <c r="P122" s="15">
        <v>-2.3171428571428407</v>
      </c>
      <c r="Q122" s="15"/>
      <c r="R122" s="15"/>
      <c r="S122" s="15"/>
      <c r="T122" s="15"/>
      <c r="U122" s="15"/>
      <c r="V122" s="15"/>
      <c r="W122" s="15"/>
      <c r="X122" s="15"/>
    </row>
    <row r="123" spans="1:24" s="21" customFormat="1" x14ac:dyDescent="0.55000000000000004">
      <c r="A123" s="17"/>
      <c r="B123"/>
      <c r="C123"/>
      <c r="D123"/>
      <c r="E123"/>
      <c r="F123" s="49">
        <v>40940</v>
      </c>
      <c r="G123" s="92">
        <v>140.55000000000001</v>
      </c>
      <c r="H123"/>
      <c r="I123"/>
      <c r="J123"/>
      <c r="K123"/>
      <c r="L123"/>
      <c r="M123" s="58">
        <v>140.88857142857142</v>
      </c>
      <c r="N123" s="53"/>
      <c r="O123" s="58">
        <v>141.1357142857143</v>
      </c>
      <c r="P123" s="15">
        <v>-0.58571428571428896</v>
      </c>
      <c r="Q123" s="15"/>
      <c r="R123" s="15"/>
      <c r="S123" s="15"/>
      <c r="T123" s="15"/>
      <c r="U123" s="15"/>
      <c r="V123" s="15"/>
      <c r="W123" s="15"/>
      <c r="X123" s="15"/>
    </row>
    <row r="124" spans="1:24" s="21" customFormat="1" x14ac:dyDescent="0.55000000000000004">
      <c r="A124" s="17"/>
      <c r="B124"/>
      <c r="C124"/>
      <c r="D124"/>
      <c r="E124"/>
      <c r="F124" s="49">
        <v>40969</v>
      </c>
      <c r="G124" s="92">
        <v>140.13999999999999</v>
      </c>
      <c r="H124"/>
      <c r="I124"/>
      <c r="J124"/>
      <c r="K124"/>
      <c r="L124"/>
      <c r="M124" s="58">
        <v>141.06571428571428</v>
      </c>
      <c r="N124" s="53"/>
      <c r="O124" s="58">
        <v>140.87857142857143</v>
      </c>
      <c r="P124" s="15">
        <v>-0.73857142857144709</v>
      </c>
      <c r="Q124" s="15"/>
      <c r="R124" s="15"/>
      <c r="S124" s="15"/>
      <c r="T124" s="15"/>
      <c r="U124" s="15"/>
      <c r="V124" s="15"/>
      <c r="W124" s="15"/>
      <c r="X124" s="15"/>
    </row>
    <row r="125" spans="1:24" s="21" customFormat="1" x14ac:dyDescent="0.55000000000000004">
      <c r="A125" s="17"/>
      <c r="B125"/>
      <c r="C125"/>
      <c r="D125"/>
      <c r="E125"/>
      <c r="F125" s="49">
        <v>41000</v>
      </c>
      <c r="G125" s="92">
        <v>140.76</v>
      </c>
      <c r="H125"/>
      <c r="I125"/>
      <c r="J125"/>
      <c r="K125"/>
      <c r="L125"/>
      <c r="M125" s="58">
        <v>141.47999999999999</v>
      </c>
      <c r="N125" s="53"/>
      <c r="O125" s="58">
        <v>140.76142857142858</v>
      </c>
      <c r="P125" s="15">
        <v>-1.4285714285904305E-3</v>
      </c>
      <c r="Q125" s="15"/>
      <c r="R125" s="15"/>
      <c r="S125" s="15"/>
      <c r="T125" s="15"/>
      <c r="U125" s="15"/>
      <c r="V125" s="15"/>
      <c r="W125" s="15"/>
      <c r="X125" s="15"/>
    </row>
    <row r="126" spans="1:24" s="21" customFormat="1" x14ac:dyDescent="0.55000000000000004">
      <c r="A126" s="17"/>
      <c r="B126"/>
      <c r="C126"/>
      <c r="D126"/>
      <c r="E126"/>
      <c r="F126" s="49">
        <v>41030</v>
      </c>
      <c r="G126" s="92">
        <v>142.5</v>
      </c>
      <c r="H126"/>
      <c r="I126"/>
      <c r="J126"/>
      <c r="K126"/>
      <c r="L126"/>
      <c r="M126" s="58">
        <v>142.22571428571428</v>
      </c>
      <c r="N126" s="53"/>
      <c r="O126" s="58">
        <v>140.88857142857142</v>
      </c>
      <c r="P126" s="15">
        <v>1.6114285714285757</v>
      </c>
      <c r="Q126" s="15"/>
      <c r="R126" s="15"/>
      <c r="S126" s="15"/>
      <c r="T126" s="15"/>
      <c r="U126" s="15"/>
      <c r="V126" s="15"/>
      <c r="W126" s="15"/>
      <c r="X126" s="15"/>
    </row>
    <row r="127" spans="1:24" s="21" customFormat="1" x14ac:dyDescent="0.55000000000000004">
      <c r="A127" s="17"/>
      <c r="B127"/>
      <c r="C127"/>
      <c r="D127"/>
      <c r="E127"/>
      <c r="F127" s="49">
        <v>41061</v>
      </c>
      <c r="G127" s="92">
        <v>143.55000000000001</v>
      </c>
      <c r="H127"/>
      <c r="I127"/>
      <c r="J127"/>
      <c r="K127"/>
      <c r="L127"/>
      <c r="M127" s="58">
        <v>142.66999999999999</v>
      </c>
      <c r="N127" s="53"/>
      <c r="O127" s="58">
        <v>141.06571428571428</v>
      </c>
      <c r="P127" s="15">
        <v>2.4842857142857326</v>
      </c>
      <c r="Q127" s="15"/>
      <c r="R127" s="15"/>
      <c r="S127" s="15"/>
      <c r="T127" s="15"/>
      <c r="U127" s="15"/>
      <c r="V127" s="15"/>
      <c r="W127" s="15"/>
      <c r="X127" s="15"/>
    </row>
    <row r="128" spans="1:24" s="21" customFormat="1" x14ac:dyDescent="0.55000000000000004">
      <c r="A128" s="17"/>
      <c r="B128"/>
      <c r="C128"/>
      <c r="D128"/>
      <c r="E128"/>
      <c r="F128" s="49">
        <v>41091</v>
      </c>
      <c r="G128" s="92">
        <v>143.82</v>
      </c>
      <c r="H128"/>
      <c r="I128"/>
      <c r="J128"/>
      <c r="K128"/>
      <c r="L128"/>
      <c r="M128" s="58">
        <v>143.34142857142857</v>
      </c>
      <c r="N128" s="53"/>
      <c r="O128" s="58">
        <v>141.47999999999999</v>
      </c>
      <c r="P128" s="15">
        <v>2.3400000000000034</v>
      </c>
      <c r="Q128" s="15"/>
      <c r="R128" s="15"/>
      <c r="S128" s="15"/>
      <c r="T128" s="15"/>
      <c r="U128" s="15"/>
      <c r="V128" s="15"/>
      <c r="W128" s="15"/>
      <c r="X128" s="15"/>
    </row>
    <row r="129" spans="1:24" s="21" customFormat="1" x14ac:dyDescent="0.55000000000000004">
      <c r="A129" s="17"/>
      <c r="B129"/>
      <c r="C129"/>
      <c r="D129"/>
      <c r="E129"/>
      <c r="F129" s="49">
        <v>41122</v>
      </c>
      <c r="G129" s="92">
        <v>144.26</v>
      </c>
      <c r="H129"/>
      <c r="I129"/>
      <c r="J129"/>
      <c r="K129"/>
      <c r="L129"/>
      <c r="M129" s="58">
        <v>143.89571428571429</v>
      </c>
      <c r="N129" s="53"/>
      <c r="O129" s="58">
        <v>142.22571428571428</v>
      </c>
      <c r="P129" s="15">
        <v>2.0342857142857156</v>
      </c>
      <c r="Q129" s="15"/>
      <c r="R129" s="15"/>
      <c r="S129" s="15"/>
      <c r="T129" s="15"/>
      <c r="U129" s="15"/>
      <c r="V129" s="15"/>
      <c r="W129" s="15"/>
      <c r="X129" s="15"/>
    </row>
    <row r="130" spans="1:24" s="21" customFormat="1" x14ac:dyDescent="0.55000000000000004">
      <c r="A130" s="17"/>
      <c r="B130"/>
      <c r="C130"/>
      <c r="D130"/>
      <c r="E130"/>
      <c r="F130" s="49">
        <v>41153</v>
      </c>
      <c r="G130" s="92">
        <v>143.66</v>
      </c>
      <c r="H130"/>
      <c r="I130"/>
      <c r="J130"/>
      <c r="K130"/>
      <c r="L130"/>
      <c r="M130" s="58">
        <v>144.13142857142856</v>
      </c>
      <c r="N130" s="53"/>
      <c r="O130" s="58">
        <v>142.66999999999999</v>
      </c>
      <c r="P130" s="15">
        <v>0.99000000000000909</v>
      </c>
      <c r="Q130" s="15"/>
      <c r="R130" s="15"/>
      <c r="S130" s="15"/>
      <c r="T130" s="15"/>
      <c r="U130" s="15"/>
      <c r="V130" s="15"/>
      <c r="W130" s="15"/>
      <c r="X130" s="15"/>
    </row>
    <row r="131" spans="1:24" s="21" customFormat="1" x14ac:dyDescent="0.55000000000000004">
      <c r="A131" s="17"/>
      <c r="B131"/>
      <c r="C131"/>
      <c r="D131"/>
      <c r="E131"/>
      <c r="F131" s="49">
        <v>41183</v>
      </c>
      <c r="G131" s="92">
        <v>144.84</v>
      </c>
      <c r="H131"/>
      <c r="I131"/>
      <c r="J131"/>
      <c r="K131"/>
      <c r="L131"/>
      <c r="M131" s="58">
        <v>144.33571428571429</v>
      </c>
      <c r="N131" s="53"/>
      <c r="O131" s="58">
        <v>143.34142857142857</v>
      </c>
      <c r="P131" s="15">
        <v>1.498571428571438</v>
      </c>
      <c r="Q131" s="15"/>
      <c r="R131" s="15"/>
      <c r="S131" s="15"/>
      <c r="T131" s="15"/>
      <c r="U131" s="15"/>
      <c r="V131" s="15"/>
      <c r="W131" s="15"/>
      <c r="X131" s="15"/>
    </row>
    <row r="132" spans="1:24" s="21" customFormat="1" x14ac:dyDescent="0.55000000000000004">
      <c r="A132" s="17"/>
      <c r="B132"/>
      <c r="C132"/>
      <c r="D132"/>
      <c r="E132"/>
      <c r="F132" s="49">
        <v>41214</v>
      </c>
      <c r="G132" s="92">
        <v>144.63999999999999</v>
      </c>
      <c r="H132"/>
      <c r="I132"/>
      <c r="J132"/>
      <c r="K132"/>
      <c r="L132"/>
      <c r="M132" s="58">
        <v>144.33571428571426</v>
      </c>
      <c r="N132" s="53"/>
      <c r="O132" s="58">
        <v>143.89571428571429</v>
      </c>
      <c r="P132" s="15">
        <v>0.74428571428569512</v>
      </c>
      <c r="Q132" s="15"/>
      <c r="R132" s="15"/>
      <c r="S132" s="15"/>
      <c r="T132" s="15"/>
      <c r="U132" s="15"/>
      <c r="V132" s="15"/>
      <c r="W132" s="15"/>
      <c r="X132" s="15"/>
    </row>
    <row r="133" spans="1:24" s="21" customFormat="1" x14ac:dyDescent="0.55000000000000004">
      <c r="A133" s="17"/>
      <c r="B133"/>
      <c r="C133"/>
      <c r="D133"/>
      <c r="E133"/>
      <c r="F133" s="49">
        <v>41244</v>
      </c>
      <c r="G133" s="92">
        <v>144.15</v>
      </c>
      <c r="H133"/>
      <c r="I133"/>
      <c r="J133"/>
      <c r="K133"/>
      <c r="L133"/>
      <c r="M133" s="58">
        <v>144.44714285714284</v>
      </c>
      <c r="N133" s="53"/>
      <c r="O133" s="58">
        <v>144.13142857142856</v>
      </c>
      <c r="P133" s="15">
        <v>1.8571428571448223E-2</v>
      </c>
      <c r="Q133" s="15"/>
      <c r="R133" s="15"/>
      <c r="S133" s="15"/>
      <c r="T133" s="15"/>
      <c r="U133" s="15"/>
      <c r="V133" s="15"/>
      <c r="W133" s="15"/>
      <c r="X133" s="15"/>
    </row>
    <row r="134" spans="1:24" s="21" customFormat="1" x14ac:dyDescent="0.55000000000000004">
      <c r="A134" s="17"/>
      <c r="B134"/>
      <c r="C134"/>
      <c r="D134"/>
      <c r="E134"/>
      <c r="F134" s="49">
        <v>41275</v>
      </c>
      <c r="G134" s="92">
        <v>144.97999999999999</v>
      </c>
      <c r="H134"/>
      <c r="I134"/>
      <c r="J134"/>
      <c r="K134"/>
      <c r="L134"/>
      <c r="M134" s="58">
        <v>144.82142857142858</v>
      </c>
      <c r="N134" s="53"/>
      <c r="O134" s="58">
        <v>144.33571428571429</v>
      </c>
      <c r="P134" s="15">
        <v>0.64428571428570081</v>
      </c>
      <c r="Q134" s="15"/>
      <c r="R134" s="15"/>
      <c r="S134" s="15"/>
      <c r="T134" s="15"/>
      <c r="U134" s="15"/>
      <c r="V134" s="15"/>
      <c r="W134" s="15"/>
      <c r="X134" s="15"/>
    </row>
    <row r="135" spans="1:24" s="21" customFormat="1" x14ac:dyDescent="0.55000000000000004">
      <c r="A135" s="17"/>
      <c r="B135"/>
      <c r="C135"/>
      <c r="D135"/>
      <c r="E135"/>
      <c r="F135" s="49">
        <v>41306</v>
      </c>
      <c r="G135" s="92">
        <v>143.82</v>
      </c>
      <c r="H135"/>
      <c r="I135"/>
      <c r="J135"/>
      <c r="K135"/>
      <c r="L135"/>
      <c r="M135" s="58">
        <v>145.09999999999997</v>
      </c>
      <c r="N135" s="53"/>
      <c r="O135" s="58">
        <v>144.33571428571426</v>
      </c>
      <c r="P135" s="15">
        <v>-0.51571428571426736</v>
      </c>
      <c r="Q135" s="15"/>
      <c r="R135" s="15"/>
      <c r="S135" s="15"/>
      <c r="T135" s="15"/>
      <c r="U135" s="15"/>
      <c r="V135" s="15"/>
      <c r="W135" s="15"/>
      <c r="X135" s="15"/>
    </row>
    <row r="136" spans="1:24" s="21" customFormat="1" x14ac:dyDescent="0.55000000000000004">
      <c r="A136" s="17"/>
      <c r="B136"/>
      <c r="C136"/>
      <c r="D136"/>
      <c r="E136"/>
      <c r="F136" s="49">
        <v>41334</v>
      </c>
      <c r="G136" s="92">
        <v>145.04</v>
      </c>
      <c r="H136"/>
      <c r="I136"/>
      <c r="J136"/>
      <c r="K136"/>
      <c r="L136"/>
      <c r="M136" s="58">
        <v>145.34428571428572</v>
      </c>
      <c r="N136" s="53"/>
      <c r="O136" s="58">
        <v>144.44714285714284</v>
      </c>
      <c r="P136" s="15">
        <v>0.59285714285715585</v>
      </c>
      <c r="Q136" s="15"/>
      <c r="R136" s="15"/>
      <c r="S136" s="15"/>
      <c r="T136" s="15"/>
      <c r="U136" s="15"/>
      <c r="V136" s="15"/>
      <c r="W136" s="15"/>
      <c r="X136" s="15"/>
    </row>
    <row r="137" spans="1:24" s="21" customFormat="1" x14ac:dyDescent="0.55000000000000004">
      <c r="A137" s="17"/>
      <c r="B137"/>
      <c r="C137"/>
      <c r="D137"/>
      <c r="E137"/>
      <c r="F137" s="49">
        <v>41365</v>
      </c>
      <c r="G137" s="92">
        <v>146.28</v>
      </c>
      <c r="H137"/>
      <c r="I137"/>
      <c r="J137"/>
      <c r="K137"/>
      <c r="L137"/>
      <c r="M137" s="58">
        <v>145.74142857142854</v>
      </c>
      <c r="N137" s="53"/>
      <c r="O137" s="58">
        <v>144.82142857142858</v>
      </c>
      <c r="P137" s="15">
        <v>1.4585714285714175</v>
      </c>
      <c r="Q137" s="15"/>
      <c r="R137" s="15"/>
      <c r="S137" s="15"/>
      <c r="T137" s="15"/>
      <c r="U137" s="15"/>
      <c r="V137" s="15"/>
      <c r="W137" s="15"/>
      <c r="X137" s="15"/>
    </row>
    <row r="138" spans="1:24" s="21" customFormat="1" x14ac:dyDescent="0.55000000000000004">
      <c r="A138" s="17"/>
      <c r="B138"/>
      <c r="C138"/>
      <c r="D138"/>
      <c r="E138"/>
      <c r="F138" s="49">
        <v>41395</v>
      </c>
      <c r="G138" s="92">
        <v>146.79</v>
      </c>
      <c r="H138"/>
      <c r="I138"/>
      <c r="J138"/>
      <c r="K138"/>
      <c r="L138"/>
      <c r="M138" s="58">
        <v>146.05571428571429</v>
      </c>
      <c r="N138" s="53"/>
      <c r="O138" s="58">
        <v>145.09999999999997</v>
      </c>
      <c r="P138" s="15">
        <v>1.6900000000000261</v>
      </c>
      <c r="Q138" s="15"/>
      <c r="R138" s="15"/>
      <c r="S138" s="15"/>
      <c r="T138" s="15"/>
      <c r="U138" s="15"/>
      <c r="V138" s="15"/>
      <c r="W138" s="15"/>
      <c r="X138" s="15"/>
    </row>
    <row r="139" spans="1:24" s="21" customFormat="1" x14ac:dyDescent="0.55000000000000004">
      <c r="A139" s="17"/>
      <c r="B139"/>
      <c r="C139"/>
      <c r="D139"/>
      <c r="E139"/>
      <c r="F139" s="49">
        <v>41426</v>
      </c>
      <c r="G139" s="92">
        <v>146.35</v>
      </c>
      <c r="H139"/>
      <c r="I139"/>
      <c r="J139"/>
      <c r="K139"/>
      <c r="L139"/>
      <c r="M139" s="58">
        <v>146.62857142857143</v>
      </c>
      <c r="N139" s="53"/>
      <c r="O139" s="58">
        <v>145.34428571428572</v>
      </c>
      <c r="P139" s="15">
        <v>1.0057142857142765</v>
      </c>
      <c r="Q139" s="15"/>
      <c r="R139" s="15"/>
      <c r="S139" s="15"/>
      <c r="T139" s="15"/>
      <c r="U139" s="15"/>
      <c r="V139" s="15"/>
      <c r="W139" s="15"/>
      <c r="X139" s="15"/>
    </row>
    <row r="140" spans="1:24" s="21" customFormat="1" x14ac:dyDescent="0.55000000000000004">
      <c r="A140" s="17"/>
      <c r="B140"/>
      <c r="C140"/>
      <c r="D140"/>
      <c r="E140"/>
      <c r="F140" s="49">
        <v>41456</v>
      </c>
      <c r="G140" s="92">
        <v>146.93</v>
      </c>
      <c r="H140"/>
      <c r="I140"/>
      <c r="J140"/>
      <c r="K140"/>
      <c r="L140"/>
      <c r="M140" s="58">
        <v>147.04999999999998</v>
      </c>
      <c r="N140" s="53"/>
      <c r="O140" s="58">
        <v>145.74142857142854</v>
      </c>
      <c r="P140" s="15">
        <v>1.1885714285714641</v>
      </c>
      <c r="Q140" s="15"/>
      <c r="R140" s="15"/>
      <c r="S140" s="15"/>
      <c r="T140" s="15"/>
      <c r="U140" s="15"/>
      <c r="V140" s="15"/>
      <c r="W140" s="15"/>
      <c r="X140" s="15"/>
    </row>
    <row r="141" spans="1:24" s="21" customFormat="1" x14ac:dyDescent="0.55000000000000004">
      <c r="A141" s="17"/>
      <c r="B141"/>
      <c r="C141"/>
      <c r="D141"/>
      <c r="E141"/>
      <c r="F141" s="49">
        <v>41487</v>
      </c>
      <c r="G141" s="92">
        <v>147.18</v>
      </c>
      <c r="H141"/>
      <c r="I141"/>
      <c r="J141"/>
      <c r="K141"/>
      <c r="L141"/>
      <c r="M141" s="58">
        <v>147.34714285714287</v>
      </c>
      <c r="N141" s="53"/>
      <c r="O141" s="58">
        <v>146.05571428571429</v>
      </c>
      <c r="P141" s="15">
        <v>1.124285714285719</v>
      </c>
      <c r="Q141" s="15"/>
      <c r="R141" s="15"/>
      <c r="S141" s="15"/>
      <c r="T141" s="15"/>
      <c r="U141" s="15"/>
      <c r="V141" s="15"/>
      <c r="W141" s="15"/>
      <c r="X141" s="15"/>
    </row>
    <row r="142" spans="1:24" s="21" customFormat="1" x14ac:dyDescent="0.55000000000000004">
      <c r="A142" s="17"/>
      <c r="B142"/>
      <c r="C142"/>
      <c r="D142"/>
      <c r="E142"/>
      <c r="F142" s="49">
        <v>41518</v>
      </c>
      <c r="G142" s="92">
        <v>147.83000000000001</v>
      </c>
      <c r="H142"/>
      <c r="I142"/>
      <c r="J142"/>
      <c r="K142"/>
      <c r="L142"/>
      <c r="M142" s="58">
        <v>147.62857142857143</v>
      </c>
      <c r="N142" s="53"/>
      <c r="O142" s="58">
        <v>146.62857142857143</v>
      </c>
      <c r="P142" s="15">
        <v>1.2014285714285791</v>
      </c>
      <c r="Q142" s="15"/>
      <c r="R142" s="15"/>
      <c r="S142" s="15"/>
      <c r="T142" s="15"/>
      <c r="U142" s="15"/>
      <c r="V142" s="15"/>
      <c r="W142" s="15"/>
      <c r="X142" s="15"/>
    </row>
    <row r="143" spans="1:24" s="21" customFormat="1" x14ac:dyDescent="0.55000000000000004">
      <c r="A143" s="17"/>
      <c r="B143"/>
      <c r="C143"/>
      <c r="D143"/>
      <c r="E143"/>
      <c r="F143" s="49">
        <v>41548</v>
      </c>
      <c r="G143" s="92">
        <v>147.99</v>
      </c>
      <c r="H143"/>
      <c r="I143"/>
      <c r="J143"/>
      <c r="K143"/>
      <c r="L143"/>
      <c r="M143" s="58">
        <v>147.90857142857143</v>
      </c>
      <c r="N143" s="53"/>
      <c r="O143" s="58">
        <v>147.04999999999998</v>
      </c>
      <c r="P143" s="15">
        <v>0.94000000000002615</v>
      </c>
      <c r="Q143" s="15"/>
      <c r="R143" s="15"/>
      <c r="S143" s="15"/>
      <c r="T143" s="15"/>
      <c r="U143" s="15"/>
      <c r="V143" s="15"/>
      <c r="W143" s="15"/>
      <c r="X143" s="15"/>
    </row>
    <row r="144" spans="1:24" s="21" customFormat="1" x14ac:dyDescent="0.55000000000000004">
      <c r="A144" s="17"/>
      <c r="B144"/>
      <c r="C144"/>
      <c r="D144"/>
      <c r="E144"/>
      <c r="F144" s="49">
        <v>41579</v>
      </c>
      <c r="G144" s="92">
        <v>148.36000000000001</v>
      </c>
      <c r="H144"/>
      <c r="I144"/>
      <c r="J144"/>
      <c r="K144"/>
      <c r="L144"/>
      <c r="M144" s="58">
        <v>148.06142857142859</v>
      </c>
      <c r="N144" s="53"/>
      <c r="O144" s="58">
        <v>147.34714285714287</v>
      </c>
      <c r="P144" s="15">
        <v>1.0128571428571433</v>
      </c>
      <c r="Q144" s="15"/>
      <c r="R144" s="15"/>
      <c r="S144" s="15"/>
      <c r="T144" s="15"/>
      <c r="U144" s="15"/>
      <c r="V144" s="15"/>
      <c r="W144" s="15"/>
      <c r="X144" s="15"/>
    </row>
    <row r="145" spans="1:24" s="21" customFormat="1" x14ac:dyDescent="0.55000000000000004">
      <c r="A145" s="17"/>
      <c r="B145"/>
      <c r="C145"/>
      <c r="D145"/>
      <c r="E145"/>
      <c r="F145" s="49">
        <v>41609</v>
      </c>
      <c r="G145" s="92">
        <v>148.76</v>
      </c>
      <c r="H145"/>
      <c r="I145"/>
      <c r="J145"/>
      <c r="K145"/>
      <c r="L145"/>
      <c r="M145" s="58">
        <v>148.14714285714285</v>
      </c>
      <c r="N145" s="53"/>
      <c r="O145" s="58">
        <v>147.62857142857143</v>
      </c>
      <c r="P145" s="15">
        <v>1.1314285714285575</v>
      </c>
      <c r="Q145" s="15"/>
      <c r="R145" s="15"/>
      <c r="S145" s="15"/>
      <c r="T145" s="15"/>
      <c r="U145" s="15"/>
      <c r="V145" s="15"/>
      <c r="W145" s="15"/>
      <c r="X145" s="15"/>
    </row>
    <row r="146" spans="1:24" s="21" customFormat="1" x14ac:dyDescent="0.55000000000000004">
      <c r="A146" s="17"/>
      <c r="B146"/>
      <c r="C146"/>
      <c r="D146"/>
      <c r="E146"/>
      <c r="F146" s="49">
        <v>41640</v>
      </c>
      <c r="G146" s="92">
        <v>148.31</v>
      </c>
      <c r="H146"/>
      <c r="I146"/>
      <c r="J146"/>
      <c r="K146"/>
      <c r="L146"/>
      <c r="M146" s="58">
        <v>148.03857142857143</v>
      </c>
      <c r="N146" s="53"/>
      <c r="O146" s="58">
        <v>147.90857142857143</v>
      </c>
      <c r="P146" s="15">
        <v>0.40142857142856769</v>
      </c>
      <c r="Q146" s="15"/>
      <c r="R146" s="15"/>
      <c r="S146" s="15"/>
      <c r="T146" s="15"/>
      <c r="U146" s="15"/>
      <c r="V146" s="15"/>
      <c r="W146" s="15"/>
      <c r="X146" s="15"/>
    </row>
    <row r="147" spans="1:24" s="21" customFormat="1" x14ac:dyDescent="0.55000000000000004">
      <c r="A147" s="17"/>
      <c r="B147"/>
      <c r="C147"/>
      <c r="D147"/>
      <c r="E147"/>
      <c r="F147" s="49">
        <v>41671</v>
      </c>
      <c r="G147" s="92">
        <v>148</v>
      </c>
      <c r="H147"/>
      <c r="I147"/>
      <c r="J147"/>
      <c r="K147"/>
      <c r="L147"/>
      <c r="M147" s="58">
        <v>147.80714285714288</v>
      </c>
      <c r="N147" s="53"/>
      <c r="O147" s="58">
        <v>148.06142857142859</v>
      </c>
      <c r="P147" s="15">
        <v>-6.1428571428592704E-2</v>
      </c>
      <c r="Q147" s="15"/>
      <c r="R147" s="15"/>
      <c r="S147" s="15"/>
      <c r="T147" s="15"/>
      <c r="U147" s="15"/>
      <c r="V147" s="15"/>
      <c r="W147" s="15"/>
      <c r="X147" s="15"/>
    </row>
    <row r="148" spans="1:24" s="21" customFormat="1" x14ac:dyDescent="0.55000000000000004">
      <c r="A148" s="17"/>
      <c r="B148"/>
      <c r="C148"/>
      <c r="D148"/>
      <c r="E148"/>
      <c r="F148" s="49">
        <v>41699</v>
      </c>
      <c r="G148" s="92">
        <v>147.78</v>
      </c>
      <c r="H148"/>
      <c r="I148"/>
      <c r="J148"/>
      <c r="K148"/>
      <c r="L148"/>
      <c r="M148" s="58">
        <v>147.10285714285715</v>
      </c>
      <c r="N148" s="53"/>
      <c r="O148" s="58">
        <v>148.14714285714285</v>
      </c>
      <c r="P148" s="15">
        <v>-0.36714285714285211</v>
      </c>
      <c r="Q148" s="15"/>
      <c r="R148" s="15"/>
      <c r="S148" s="15"/>
      <c r="T148" s="15"/>
      <c r="U148" s="15"/>
      <c r="V148" s="15"/>
      <c r="W148" s="15"/>
      <c r="X148" s="15"/>
    </row>
    <row r="149" spans="1:24" s="21" customFormat="1" x14ac:dyDescent="0.55000000000000004">
      <c r="A149" s="17"/>
      <c r="B149"/>
      <c r="C149"/>
      <c r="D149"/>
      <c r="E149"/>
      <c r="F149" s="49">
        <v>41730</v>
      </c>
      <c r="G149" s="92">
        <v>147.07</v>
      </c>
      <c r="H149"/>
      <c r="I149"/>
      <c r="J149"/>
      <c r="K149"/>
      <c r="L149"/>
      <c r="M149" s="58">
        <v>146.51857142857145</v>
      </c>
      <c r="N149" s="53"/>
      <c r="O149" s="58">
        <v>148.03857142857143</v>
      </c>
      <c r="P149" s="15">
        <v>-0.96857142857143685</v>
      </c>
      <c r="Q149" s="15"/>
      <c r="R149" s="15"/>
      <c r="S149" s="15"/>
      <c r="T149" s="15"/>
      <c r="U149" s="15"/>
      <c r="V149" s="15"/>
      <c r="W149" s="15"/>
      <c r="X149" s="15"/>
    </row>
    <row r="150" spans="1:24" s="21" customFormat="1" x14ac:dyDescent="0.55000000000000004">
      <c r="A150" s="17"/>
      <c r="B150"/>
      <c r="C150"/>
      <c r="D150"/>
      <c r="E150"/>
      <c r="F150" s="49">
        <v>41760</v>
      </c>
      <c r="G150" s="92">
        <v>146.37</v>
      </c>
      <c r="H150"/>
      <c r="I150"/>
      <c r="J150"/>
      <c r="K150"/>
      <c r="L150"/>
      <c r="M150" s="58">
        <v>146.14000000000001</v>
      </c>
      <c r="N150" s="53"/>
      <c r="O150" s="58">
        <v>147.80714285714288</v>
      </c>
      <c r="P150" s="15">
        <v>-1.4371428571428737</v>
      </c>
      <c r="Q150" s="15"/>
      <c r="R150" s="15"/>
      <c r="S150" s="15"/>
      <c r="T150" s="15"/>
      <c r="U150" s="15"/>
      <c r="V150" s="15"/>
      <c r="W150" s="15"/>
      <c r="X150" s="15"/>
    </row>
    <row r="151" spans="1:24" s="21" customFormat="1" x14ac:dyDescent="0.55000000000000004">
      <c r="A151" s="17"/>
      <c r="B151"/>
      <c r="C151"/>
      <c r="D151"/>
      <c r="E151"/>
      <c r="F151" s="49">
        <v>41791</v>
      </c>
      <c r="G151" s="92">
        <v>143.43</v>
      </c>
      <c r="H151"/>
      <c r="I151"/>
      <c r="J151"/>
      <c r="K151"/>
      <c r="L151"/>
      <c r="M151" s="58">
        <v>145.88714285714286</v>
      </c>
      <c r="N151" s="53"/>
      <c r="O151" s="58">
        <v>147.10285714285715</v>
      </c>
      <c r="P151" s="15">
        <v>-3.6728571428571399</v>
      </c>
      <c r="Q151" s="15"/>
      <c r="R151" s="15"/>
      <c r="S151" s="15"/>
      <c r="T151" s="15"/>
      <c r="U151" s="15"/>
      <c r="V151" s="15"/>
      <c r="W151" s="15"/>
      <c r="X151" s="15"/>
    </row>
    <row r="152" spans="1:24" s="21" customFormat="1" x14ac:dyDescent="0.55000000000000004">
      <c r="A152" s="17"/>
      <c r="B152"/>
      <c r="C152"/>
      <c r="D152"/>
      <c r="E152"/>
      <c r="F152" s="49">
        <v>41821</v>
      </c>
      <c r="G152" s="92">
        <v>144.66999999999999</v>
      </c>
      <c r="H152"/>
      <c r="I152"/>
      <c r="J152"/>
      <c r="K152"/>
      <c r="L152"/>
      <c r="M152" s="58">
        <v>145.54857142857142</v>
      </c>
      <c r="N152" s="53"/>
      <c r="O152" s="58">
        <v>146.51857142857145</v>
      </c>
      <c r="P152" s="15">
        <v>-1.8485714285714607</v>
      </c>
      <c r="Q152" s="15"/>
      <c r="R152" s="15"/>
      <c r="S152" s="15"/>
      <c r="T152" s="15"/>
      <c r="U152" s="15"/>
      <c r="V152" s="15"/>
      <c r="W152" s="15"/>
      <c r="X152" s="15"/>
    </row>
    <row r="153" spans="1:24" s="21" customFormat="1" x14ac:dyDescent="0.55000000000000004">
      <c r="A153" s="17"/>
      <c r="B153"/>
      <c r="C153"/>
      <c r="D153"/>
      <c r="E153"/>
      <c r="F153" s="49">
        <v>41852</v>
      </c>
      <c r="G153" s="92">
        <v>145.66</v>
      </c>
      <c r="H153"/>
      <c r="I153"/>
      <c r="J153"/>
      <c r="K153"/>
      <c r="L153"/>
      <c r="M153" s="58">
        <v>145.34142857142857</v>
      </c>
      <c r="N153" s="53"/>
      <c r="O153" s="58">
        <v>146.14000000000001</v>
      </c>
      <c r="P153" s="15">
        <v>-0.48000000000001819</v>
      </c>
      <c r="Q153" s="15"/>
      <c r="R153" s="15"/>
      <c r="S153" s="15"/>
      <c r="T153" s="15"/>
      <c r="U153" s="15"/>
      <c r="V153" s="15"/>
      <c r="W153" s="15"/>
      <c r="X153" s="15"/>
    </row>
    <row r="154" spans="1:24" s="21" customFormat="1" x14ac:dyDescent="0.55000000000000004">
      <c r="A154" s="17"/>
      <c r="B154"/>
      <c r="C154"/>
      <c r="D154"/>
      <c r="E154"/>
      <c r="F154" s="49">
        <v>41883</v>
      </c>
      <c r="G154" s="92">
        <v>146.22999999999999</v>
      </c>
      <c r="H154"/>
      <c r="I154"/>
      <c r="J154"/>
      <c r="K154"/>
      <c r="L154"/>
      <c r="M154" s="58">
        <v>145.32857142857142</v>
      </c>
      <c r="N154" s="53"/>
      <c r="O154" s="58">
        <v>145.88714285714286</v>
      </c>
      <c r="P154" s="15">
        <v>0.34285714285712743</v>
      </c>
      <c r="Q154" s="15"/>
      <c r="R154" s="15"/>
      <c r="S154" s="15"/>
      <c r="T154" s="15"/>
      <c r="U154" s="15"/>
      <c r="V154" s="15"/>
      <c r="W154" s="15"/>
      <c r="X154" s="15"/>
    </row>
    <row r="155" spans="1:24" s="21" customFormat="1" x14ac:dyDescent="0.55000000000000004">
      <c r="A155" s="17"/>
      <c r="B155"/>
      <c r="C155"/>
      <c r="D155"/>
      <c r="E155"/>
      <c r="F155" s="49">
        <v>41913</v>
      </c>
      <c r="G155" s="92">
        <v>145.41</v>
      </c>
      <c r="H155"/>
      <c r="I155"/>
      <c r="J155"/>
      <c r="K155"/>
      <c r="L155"/>
      <c r="M155" s="58">
        <v>145.5685714285714</v>
      </c>
      <c r="N155" s="53"/>
      <c r="O155" s="58">
        <v>145.54857142857142</v>
      </c>
      <c r="P155" s="15">
        <v>-0.13857142857142435</v>
      </c>
      <c r="Q155" s="15"/>
      <c r="R155" s="15"/>
      <c r="S155" s="15"/>
      <c r="T155" s="15"/>
      <c r="U155" s="15"/>
      <c r="V155" s="15"/>
      <c r="W155" s="15"/>
      <c r="X155" s="15"/>
    </row>
    <row r="156" spans="1:24" s="21" customFormat="1" x14ac:dyDescent="0.55000000000000004">
      <c r="A156" s="17"/>
      <c r="B156"/>
      <c r="C156"/>
      <c r="D156"/>
      <c r="E156"/>
      <c r="F156" s="49">
        <v>41944</v>
      </c>
      <c r="G156" s="92">
        <v>145.62</v>
      </c>
      <c r="H156"/>
      <c r="I156"/>
      <c r="J156"/>
      <c r="K156"/>
      <c r="L156"/>
      <c r="M156" s="58">
        <v>145.47999999999999</v>
      </c>
      <c r="N156" s="53"/>
      <c r="O156" s="58">
        <v>145.34142857142857</v>
      </c>
      <c r="P156" s="15">
        <v>0.27857142857143913</v>
      </c>
      <c r="Q156" s="15"/>
      <c r="R156" s="15"/>
      <c r="S156" s="15"/>
      <c r="T156" s="15"/>
      <c r="U156" s="15"/>
      <c r="V156" s="15"/>
      <c r="W156" s="15"/>
      <c r="X156" s="15"/>
    </row>
    <row r="157" spans="1:24" s="21" customFormat="1" x14ac:dyDescent="0.55000000000000004">
      <c r="A157" s="17"/>
      <c r="B157"/>
      <c r="C157"/>
      <c r="D157"/>
      <c r="E157"/>
      <c r="F157" s="49">
        <v>41974</v>
      </c>
      <c r="G157" s="92">
        <v>146.28</v>
      </c>
      <c r="H157"/>
      <c r="I157"/>
      <c r="J157"/>
      <c r="K157"/>
      <c r="L157"/>
      <c r="M157" s="58">
        <v>145.20428571428573</v>
      </c>
      <c r="N157" s="53"/>
      <c r="O157" s="58">
        <v>145.32857142857142</v>
      </c>
      <c r="P157" s="15">
        <v>0.95142857142857906</v>
      </c>
      <c r="Q157" s="15"/>
      <c r="R157" s="15"/>
      <c r="S157" s="15"/>
      <c r="T157" s="15"/>
      <c r="U157" s="15"/>
      <c r="V157" s="15"/>
      <c r="W157" s="15"/>
      <c r="X157" s="15"/>
    </row>
    <row r="158" spans="1:24" s="21" customFormat="1" x14ac:dyDescent="0.55000000000000004">
      <c r="A158" s="17"/>
      <c r="B158"/>
      <c r="C158"/>
      <c r="D158"/>
      <c r="E158"/>
      <c r="F158" s="49">
        <v>42005</v>
      </c>
      <c r="G158" s="92">
        <v>145.11000000000001</v>
      </c>
      <c r="H158"/>
      <c r="I158"/>
      <c r="J158"/>
      <c r="K158"/>
      <c r="L158"/>
      <c r="M158" s="58">
        <v>144.60285714285715</v>
      </c>
      <c r="N158" s="53"/>
      <c r="O158" s="58">
        <v>145.5685714285714</v>
      </c>
      <c r="P158" s="15">
        <v>-0.45857142857138911</v>
      </c>
      <c r="Q158" s="15"/>
      <c r="R158" s="15"/>
      <c r="S158" s="15"/>
      <c r="T158" s="15"/>
      <c r="U158" s="15"/>
      <c r="V158" s="15"/>
      <c r="W158" s="15"/>
      <c r="X158" s="15"/>
    </row>
    <row r="159" spans="1:24" s="21" customFormat="1" x14ac:dyDescent="0.55000000000000004">
      <c r="A159" s="17"/>
      <c r="B159"/>
      <c r="C159"/>
      <c r="D159"/>
      <c r="E159"/>
      <c r="F159" s="49">
        <v>42036</v>
      </c>
      <c r="G159" s="92">
        <v>144.05000000000001</v>
      </c>
      <c r="H159"/>
      <c r="I159"/>
      <c r="J159"/>
      <c r="K159"/>
      <c r="L159"/>
      <c r="M159" s="58">
        <v>143.98285714285711</v>
      </c>
      <c r="N159" s="53"/>
      <c r="O159" s="58">
        <v>145.47999999999999</v>
      </c>
      <c r="P159" s="15">
        <v>-1.4299999999999784</v>
      </c>
      <c r="Q159" s="15"/>
      <c r="R159" s="15"/>
      <c r="S159" s="15"/>
      <c r="T159" s="15"/>
      <c r="U159" s="15"/>
      <c r="V159" s="15"/>
      <c r="W159" s="15"/>
      <c r="X159" s="15"/>
    </row>
    <row r="160" spans="1:24" s="21" customFormat="1" x14ac:dyDescent="0.55000000000000004">
      <c r="A160" s="17"/>
      <c r="B160"/>
      <c r="C160"/>
      <c r="D160"/>
      <c r="E160"/>
      <c r="F160" s="49">
        <v>42064</v>
      </c>
      <c r="G160" s="92">
        <v>143.72999999999999</v>
      </c>
      <c r="H160"/>
      <c r="I160"/>
      <c r="J160"/>
      <c r="K160"/>
      <c r="L160"/>
      <c r="M160" s="58">
        <v>143.11571428571429</v>
      </c>
      <c r="N160" s="53"/>
      <c r="O160" s="58">
        <v>145.20428571428573</v>
      </c>
      <c r="P160" s="15">
        <v>-1.4742857142857417</v>
      </c>
      <c r="Q160" s="15"/>
      <c r="R160" s="15"/>
      <c r="S160" s="15"/>
      <c r="T160" s="15"/>
      <c r="U160" s="15"/>
      <c r="V160" s="15"/>
      <c r="W160" s="15"/>
      <c r="X160" s="15"/>
    </row>
    <row r="161" spans="1:24" s="21" customFormat="1" x14ac:dyDescent="0.55000000000000004">
      <c r="A161" s="17"/>
      <c r="B161"/>
      <c r="C161"/>
      <c r="D161"/>
      <c r="E161"/>
      <c r="F161" s="49">
        <v>42095</v>
      </c>
      <c r="G161" s="92">
        <v>142.02000000000001</v>
      </c>
      <c r="H161"/>
      <c r="I161"/>
      <c r="J161"/>
      <c r="K161"/>
      <c r="L161"/>
      <c r="M161" s="58">
        <v>141.99285714285713</v>
      </c>
      <c r="N161" s="53"/>
      <c r="O161" s="58">
        <v>144.60285714285715</v>
      </c>
      <c r="P161" s="15">
        <v>-2.5828571428571365</v>
      </c>
      <c r="Q161" s="15"/>
      <c r="R161" s="15"/>
      <c r="S161" s="15"/>
      <c r="T161" s="15"/>
      <c r="U161" s="15"/>
      <c r="V161" s="15"/>
      <c r="W161" s="15"/>
      <c r="X161" s="15"/>
    </row>
    <row r="162" spans="1:24" s="21" customFormat="1" x14ac:dyDescent="0.55000000000000004">
      <c r="A162" s="17"/>
      <c r="B162"/>
      <c r="C162"/>
      <c r="D162"/>
      <c r="E162"/>
      <c r="F162" s="49">
        <v>42125</v>
      </c>
      <c r="G162" s="92">
        <v>141.07</v>
      </c>
      <c r="H162"/>
      <c r="I162"/>
      <c r="J162"/>
      <c r="K162"/>
      <c r="L162"/>
      <c r="M162" s="58">
        <v>141.09571428571425</v>
      </c>
      <c r="N162" s="53"/>
      <c r="O162" s="58">
        <v>143.98285714285711</v>
      </c>
      <c r="P162" s="15">
        <v>-2.9128571428571206</v>
      </c>
      <c r="Q162" s="15"/>
      <c r="R162" s="15"/>
      <c r="S162" s="15"/>
      <c r="T162" s="15"/>
      <c r="U162" s="15"/>
      <c r="V162" s="15"/>
      <c r="W162" s="15"/>
      <c r="X162" s="15"/>
    </row>
    <row r="163" spans="1:24" s="21" customFormat="1" x14ac:dyDescent="0.55000000000000004">
      <c r="A163" s="17"/>
      <c r="B163"/>
      <c r="C163"/>
      <c r="D163"/>
      <c r="E163"/>
      <c r="F163" s="49">
        <v>42156</v>
      </c>
      <c r="G163" s="92">
        <v>139.55000000000001</v>
      </c>
      <c r="H163"/>
      <c r="I163"/>
      <c r="J163"/>
      <c r="K163"/>
      <c r="L163"/>
      <c r="M163" s="58">
        <v>140.19</v>
      </c>
      <c r="N163" s="53"/>
      <c r="O163" s="58">
        <v>143.11571428571429</v>
      </c>
      <c r="P163" s="15">
        <v>-3.5657142857142787</v>
      </c>
      <c r="Q163" s="15"/>
      <c r="R163" s="15"/>
      <c r="S163" s="15"/>
      <c r="T163" s="15"/>
      <c r="U163" s="15"/>
      <c r="V163" s="15"/>
      <c r="W163" s="15"/>
      <c r="X163" s="15"/>
    </row>
    <row r="164" spans="1:24" s="21" customFormat="1" x14ac:dyDescent="0.55000000000000004">
      <c r="A164" s="17"/>
      <c r="B164"/>
      <c r="C164"/>
      <c r="D164"/>
      <c r="E164"/>
      <c r="F164" s="49">
        <v>42186</v>
      </c>
      <c r="G164" s="92">
        <v>138.41999999999999</v>
      </c>
      <c r="H164"/>
      <c r="I164"/>
      <c r="J164"/>
      <c r="K164"/>
      <c r="L164"/>
      <c r="M164" s="58">
        <v>139.48285714285717</v>
      </c>
      <c r="N164" s="53"/>
      <c r="O164" s="58">
        <v>141.99285714285713</v>
      </c>
      <c r="P164" s="15">
        <v>-3.5728571428571456</v>
      </c>
      <c r="Q164" s="15"/>
      <c r="R164" s="15"/>
      <c r="S164" s="15"/>
      <c r="T164" s="15"/>
      <c r="U164" s="15"/>
      <c r="V164" s="15"/>
      <c r="W164" s="15"/>
      <c r="X164" s="15"/>
    </row>
    <row r="165" spans="1:24" s="21" customFormat="1" x14ac:dyDescent="0.55000000000000004">
      <c r="A165" s="17"/>
      <c r="B165"/>
      <c r="C165"/>
      <c r="D165"/>
      <c r="E165"/>
      <c r="F165" s="49">
        <v>42217</v>
      </c>
      <c r="G165" s="92">
        <v>138.83000000000001</v>
      </c>
      <c r="H165"/>
      <c r="I165"/>
      <c r="J165"/>
      <c r="K165"/>
      <c r="L165"/>
      <c r="M165" s="58">
        <v>138.73857142857145</v>
      </c>
      <c r="N165" s="53"/>
      <c r="O165" s="58">
        <v>141.09571428571425</v>
      </c>
      <c r="P165" s="15">
        <v>-2.2657142857142389</v>
      </c>
      <c r="Q165" s="15"/>
      <c r="R165" s="15"/>
      <c r="S165" s="15"/>
      <c r="T165" s="15"/>
      <c r="U165" s="15"/>
      <c r="V165" s="15"/>
      <c r="W165" s="15"/>
      <c r="X165" s="15"/>
    </row>
    <row r="166" spans="1:24" s="21" customFormat="1" x14ac:dyDescent="0.55000000000000004">
      <c r="A166" s="17"/>
      <c r="B166"/>
      <c r="C166"/>
      <c r="D166"/>
      <c r="E166"/>
      <c r="F166" s="49">
        <v>42248</v>
      </c>
      <c r="G166" s="92">
        <v>137.71</v>
      </c>
      <c r="H166"/>
      <c r="I166"/>
      <c r="J166"/>
      <c r="K166"/>
      <c r="L166"/>
      <c r="M166" s="58">
        <v>138.08285714285716</v>
      </c>
      <c r="N166" s="53"/>
      <c r="O166" s="58">
        <v>140.19</v>
      </c>
      <c r="P166" s="15">
        <v>-2.4799999999999898</v>
      </c>
      <c r="Q166" s="15"/>
      <c r="R166" s="15"/>
      <c r="S166" s="15"/>
      <c r="T166" s="15"/>
      <c r="U166" s="15"/>
      <c r="V166" s="15"/>
      <c r="W166" s="15"/>
      <c r="X166" s="15"/>
    </row>
    <row r="167" spans="1:24" s="21" customFormat="1" x14ac:dyDescent="0.55000000000000004">
      <c r="A167" s="17"/>
      <c r="B167"/>
      <c r="C167"/>
      <c r="D167"/>
      <c r="E167"/>
      <c r="F167" s="49">
        <v>42278</v>
      </c>
      <c r="G167" s="92">
        <v>138.78</v>
      </c>
      <c r="H167"/>
      <c r="I167"/>
      <c r="J167"/>
      <c r="K167"/>
      <c r="L167"/>
      <c r="M167" s="58">
        <v>137.5157142857143</v>
      </c>
      <c r="N167" s="53"/>
      <c r="O167" s="58">
        <v>139.48285714285717</v>
      </c>
      <c r="P167" s="15">
        <v>-0.70285714285716949</v>
      </c>
      <c r="Q167" s="15"/>
      <c r="R167" s="15"/>
      <c r="S167" s="15"/>
      <c r="T167" s="15"/>
      <c r="U167" s="15"/>
      <c r="V167" s="15"/>
      <c r="W167" s="15"/>
      <c r="X167" s="15"/>
    </row>
    <row r="168" spans="1:24" s="21" customFormat="1" x14ac:dyDescent="0.55000000000000004">
      <c r="A168" s="17"/>
      <c r="B168"/>
      <c r="C168"/>
      <c r="D168"/>
      <c r="E168"/>
      <c r="F168" s="49">
        <v>42309</v>
      </c>
      <c r="G168" s="92">
        <v>136.81</v>
      </c>
      <c r="H168"/>
      <c r="I168"/>
      <c r="J168"/>
      <c r="K168"/>
      <c r="L168"/>
      <c r="M168" s="58">
        <v>137.08714285714288</v>
      </c>
      <c r="N168" s="53"/>
      <c r="O168" s="58">
        <v>138.73857142857145</v>
      </c>
      <c r="P168" s="15">
        <v>-1.9285714285714448</v>
      </c>
      <c r="Q168" s="15"/>
      <c r="R168" s="15"/>
      <c r="S168" s="15"/>
      <c r="T168" s="15"/>
      <c r="U168" s="15"/>
      <c r="V168" s="15"/>
      <c r="W168" s="15"/>
      <c r="X168" s="15"/>
    </row>
    <row r="169" spans="1:24" s="21" customFormat="1" x14ac:dyDescent="0.55000000000000004">
      <c r="A169" s="17"/>
      <c r="B169"/>
      <c r="C169"/>
      <c r="D169"/>
      <c r="E169"/>
      <c r="F169" s="49">
        <v>42339</v>
      </c>
      <c r="G169" s="92">
        <v>136.47999999999999</v>
      </c>
      <c r="H169"/>
      <c r="I169"/>
      <c r="J169"/>
      <c r="K169"/>
      <c r="L169"/>
      <c r="M169" s="58">
        <v>136.46428571428572</v>
      </c>
      <c r="N169" s="53"/>
      <c r="O169" s="58">
        <v>138.08285714285716</v>
      </c>
      <c r="P169" s="15">
        <v>-1.6028571428571752</v>
      </c>
      <c r="Q169" s="15"/>
      <c r="R169" s="15"/>
      <c r="S169" s="15"/>
      <c r="T169" s="15"/>
      <c r="U169" s="15"/>
      <c r="V169" s="15"/>
      <c r="W169" s="15"/>
      <c r="X169" s="15"/>
    </row>
    <row r="170" spans="1:24" s="21" customFormat="1" x14ac:dyDescent="0.55000000000000004">
      <c r="A170" s="17"/>
      <c r="B170"/>
      <c r="C170"/>
      <c r="D170"/>
      <c r="E170"/>
      <c r="F170" s="49">
        <v>42370</v>
      </c>
      <c r="G170" s="92">
        <v>135.58000000000001</v>
      </c>
      <c r="H170"/>
      <c r="I170"/>
      <c r="J170"/>
      <c r="K170"/>
      <c r="L170"/>
      <c r="M170" s="58">
        <v>136.00428571428571</v>
      </c>
      <c r="N170" s="53"/>
      <c r="O170" s="58">
        <v>137.5157142857143</v>
      </c>
      <c r="P170" s="15">
        <v>-1.9357142857142833</v>
      </c>
      <c r="Q170" s="15"/>
      <c r="R170" s="15"/>
      <c r="S170" s="15"/>
      <c r="T170" s="15"/>
      <c r="U170" s="15"/>
      <c r="V170" s="15"/>
      <c r="W170" s="15"/>
      <c r="X170" s="15"/>
    </row>
    <row r="171" spans="1:24" s="21" customFormat="1" x14ac:dyDescent="0.55000000000000004">
      <c r="A171" s="17"/>
      <c r="B171"/>
      <c r="C171"/>
      <c r="D171"/>
      <c r="E171"/>
      <c r="F171" s="49">
        <v>42401</v>
      </c>
      <c r="G171" s="92">
        <v>135.41999999999999</v>
      </c>
      <c r="H171"/>
      <c r="I171"/>
      <c r="J171"/>
      <c r="K171"/>
      <c r="L171"/>
      <c r="M171" s="58">
        <v>135.33142857142857</v>
      </c>
      <c r="N171" s="53"/>
      <c r="O171" s="58">
        <v>137.08714285714288</v>
      </c>
      <c r="P171" s="15">
        <v>-1.6671428571428919</v>
      </c>
      <c r="Q171" s="15"/>
      <c r="R171" s="15"/>
      <c r="S171" s="15"/>
      <c r="T171" s="15"/>
      <c r="U171" s="15"/>
      <c r="V171" s="15"/>
      <c r="W171" s="15"/>
      <c r="X171" s="15"/>
    </row>
    <row r="172" spans="1:24" s="21" customFormat="1" x14ac:dyDescent="0.55000000000000004">
      <c r="A172" s="17"/>
      <c r="B172"/>
      <c r="C172"/>
      <c r="D172"/>
      <c r="E172"/>
      <c r="F172" s="49">
        <v>42430</v>
      </c>
      <c r="G172" s="92">
        <v>134.47</v>
      </c>
      <c r="H172"/>
      <c r="I172"/>
      <c r="J172"/>
      <c r="K172"/>
      <c r="L172"/>
      <c r="M172" s="58">
        <v>135.01142857142855</v>
      </c>
      <c r="N172" s="53"/>
      <c r="O172" s="58">
        <v>136.46428571428572</v>
      </c>
      <c r="P172" s="15">
        <v>-1.9942857142857235</v>
      </c>
      <c r="Q172" s="15"/>
      <c r="R172" s="15"/>
      <c r="S172" s="15"/>
      <c r="T172" s="15"/>
      <c r="U172" s="15"/>
      <c r="V172" s="15"/>
      <c r="W172" s="15"/>
      <c r="X172" s="15"/>
    </row>
    <row r="173" spans="1:24" s="21" customFormat="1" x14ac:dyDescent="0.55000000000000004">
      <c r="A173" s="17"/>
      <c r="B173"/>
      <c r="C173"/>
      <c r="D173"/>
      <c r="E173"/>
      <c r="F173" s="49">
        <v>42461</v>
      </c>
      <c r="G173" s="92">
        <v>134.49</v>
      </c>
      <c r="H173"/>
      <c r="I173"/>
      <c r="J173"/>
      <c r="K173"/>
      <c r="L173"/>
      <c r="M173" s="58">
        <v>134.71857142857144</v>
      </c>
      <c r="N173" s="53"/>
      <c r="O173" s="58">
        <v>136.00428571428571</v>
      </c>
      <c r="P173" s="15">
        <v>-1.5142857142857054</v>
      </c>
      <c r="Q173" s="15"/>
      <c r="R173" s="15"/>
      <c r="S173" s="15"/>
      <c r="T173" s="15"/>
      <c r="U173" s="15"/>
      <c r="V173" s="15"/>
      <c r="W173" s="15"/>
      <c r="X173" s="15"/>
    </row>
    <row r="174" spans="1:24" s="21" customFormat="1" x14ac:dyDescent="0.55000000000000004">
      <c r="A174" s="17"/>
      <c r="B174"/>
      <c r="C174"/>
      <c r="D174"/>
      <c r="E174"/>
      <c r="F174" s="49">
        <v>42491</v>
      </c>
      <c r="G174" s="92">
        <v>134.07</v>
      </c>
      <c r="H174"/>
      <c r="I174"/>
      <c r="J174"/>
      <c r="K174"/>
      <c r="L174"/>
      <c r="M174" s="58">
        <v>134.45285714285714</v>
      </c>
      <c r="N174" s="53"/>
      <c r="O174" s="58">
        <v>135.33142857142857</v>
      </c>
      <c r="P174" s="15">
        <v>-1.2614285714285813</v>
      </c>
      <c r="Q174" s="15"/>
      <c r="R174" s="15"/>
      <c r="S174" s="15"/>
      <c r="T174" s="15"/>
      <c r="U174" s="15"/>
      <c r="V174" s="15"/>
      <c r="W174" s="15"/>
      <c r="X174" s="15"/>
    </row>
    <row r="175" spans="1:24" s="21" customFormat="1" x14ac:dyDescent="0.55000000000000004">
      <c r="A175" s="17"/>
      <c r="B175"/>
      <c r="C175"/>
      <c r="D175"/>
      <c r="E175"/>
      <c r="F175" s="49">
        <v>42522</v>
      </c>
      <c r="G175" s="92">
        <v>134.57</v>
      </c>
      <c r="H175"/>
      <c r="I175"/>
      <c r="J175"/>
      <c r="K175"/>
      <c r="L175"/>
      <c r="M175" s="58">
        <v>134.19857142857143</v>
      </c>
      <c r="N175" s="53"/>
      <c r="O175" s="58">
        <v>135.01142857142855</v>
      </c>
      <c r="P175" s="15">
        <v>-0.44142857142855974</v>
      </c>
      <c r="Q175" s="15"/>
      <c r="R175" s="15"/>
      <c r="S175" s="15"/>
      <c r="T175" s="15"/>
      <c r="U175" s="15"/>
      <c r="V175" s="15"/>
      <c r="W175" s="15"/>
      <c r="X175" s="15"/>
    </row>
    <row r="176" spans="1:24" s="21" customFormat="1" x14ac:dyDescent="0.55000000000000004">
      <c r="A176" s="17"/>
      <c r="B176"/>
      <c r="C176"/>
      <c r="D176"/>
      <c r="E176"/>
      <c r="F176" s="49">
        <v>42552</v>
      </c>
      <c r="G176" s="92">
        <v>134.43</v>
      </c>
      <c r="H176"/>
      <c r="I176"/>
      <c r="J176"/>
      <c r="K176"/>
      <c r="L176"/>
      <c r="M176" s="58">
        <v>134.03714285714287</v>
      </c>
      <c r="N176" s="53"/>
      <c r="O176" s="58">
        <v>134.71857142857144</v>
      </c>
      <c r="P176" s="15">
        <v>-0.28857142857143003</v>
      </c>
      <c r="Q176" s="15"/>
      <c r="R176" s="15"/>
      <c r="S176" s="15"/>
      <c r="T176" s="15"/>
      <c r="U176" s="15"/>
      <c r="V176" s="15"/>
      <c r="W176" s="15"/>
      <c r="X176" s="15"/>
    </row>
    <row r="177" spans="1:24" s="21" customFormat="1" x14ac:dyDescent="0.55000000000000004">
      <c r="A177" s="17"/>
      <c r="B177"/>
      <c r="C177"/>
      <c r="D177"/>
      <c r="E177"/>
      <c r="F177" s="49">
        <v>42583</v>
      </c>
      <c r="G177" s="92">
        <v>133.72</v>
      </c>
      <c r="H177"/>
      <c r="I177"/>
      <c r="J177"/>
      <c r="K177"/>
      <c r="L177"/>
      <c r="M177" s="58">
        <v>133.84428571428572</v>
      </c>
      <c r="N177" s="53"/>
      <c r="O177" s="58">
        <v>134.45285714285714</v>
      </c>
      <c r="P177" s="15">
        <v>-0.73285714285714221</v>
      </c>
      <c r="Q177" s="15"/>
      <c r="R177" s="15"/>
      <c r="S177" s="15"/>
      <c r="T177" s="15"/>
      <c r="U177" s="15"/>
      <c r="V177" s="15"/>
      <c r="W177" s="15"/>
      <c r="X177" s="15"/>
    </row>
    <row r="178" spans="1:24" s="21" customFormat="1" x14ac:dyDescent="0.55000000000000004">
      <c r="A178" s="17"/>
      <c r="B178"/>
      <c r="C178"/>
      <c r="D178"/>
      <c r="E178"/>
      <c r="F178" s="49">
        <v>42614</v>
      </c>
      <c r="G178" s="92">
        <v>133.63999999999999</v>
      </c>
      <c r="H178"/>
      <c r="I178"/>
      <c r="J178"/>
      <c r="K178"/>
      <c r="L178"/>
      <c r="M178" s="58">
        <v>133.62571428571428</v>
      </c>
      <c r="N178" s="53"/>
      <c r="O178" s="58">
        <v>134.19857142857143</v>
      </c>
      <c r="P178" s="15">
        <v>-0.55857142857144026</v>
      </c>
      <c r="Q178" s="15"/>
      <c r="R178" s="15"/>
      <c r="S178" s="15"/>
      <c r="T178" s="15"/>
      <c r="U178" s="15"/>
      <c r="V178" s="15"/>
      <c r="W178" s="15"/>
      <c r="X178" s="15"/>
    </row>
    <row r="179" spans="1:24" s="21" customFormat="1" x14ac:dyDescent="0.55000000000000004">
      <c r="A179" s="17"/>
      <c r="B179"/>
      <c r="C179"/>
      <c r="D179"/>
      <c r="E179"/>
      <c r="F179" s="49">
        <v>42644</v>
      </c>
      <c r="G179" s="92">
        <v>133.34</v>
      </c>
      <c r="H179"/>
      <c r="I179"/>
      <c r="J179"/>
      <c r="K179"/>
      <c r="L179"/>
      <c r="M179" s="58">
        <v>133.48857142857142</v>
      </c>
      <c r="N179" s="53"/>
      <c r="O179" s="58">
        <v>134.03714285714287</v>
      </c>
      <c r="P179" s="15">
        <v>-0.69714285714286461</v>
      </c>
      <c r="Q179" s="15"/>
      <c r="R179" s="15"/>
      <c r="S179" s="15"/>
      <c r="T179" s="15"/>
      <c r="U179" s="15"/>
      <c r="V179" s="15"/>
      <c r="W179" s="15"/>
      <c r="X179" s="15"/>
    </row>
    <row r="180" spans="1:24" s="21" customFormat="1" x14ac:dyDescent="0.55000000000000004">
      <c r="A180" s="17"/>
      <c r="B180"/>
      <c r="C180"/>
      <c r="D180"/>
      <c r="E180"/>
      <c r="F180" s="49">
        <v>42675</v>
      </c>
      <c r="G180" s="92">
        <v>133.13999999999999</v>
      </c>
      <c r="H180"/>
      <c r="I180"/>
      <c r="J180"/>
      <c r="K180"/>
      <c r="L180"/>
      <c r="M180" s="58">
        <v>133.64857142857142</v>
      </c>
      <c r="N180" s="53"/>
      <c r="O180" s="58">
        <v>133.84428571428572</v>
      </c>
      <c r="P180" s="15">
        <v>-0.7042857142857315</v>
      </c>
      <c r="Q180" s="15"/>
      <c r="R180" s="15"/>
      <c r="S180" s="15"/>
      <c r="T180" s="15"/>
      <c r="U180" s="15"/>
      <c r="V180" s="15"/>
      <c r="W180" s="15"/>
      <c r="X180" s="15"/>
    </row>
    <row r="181" spans="1:24" s="21" customFormat="1" x14ac:dyDescent="0.55000000000000004">
      <c r="A181" s="17"/>
      <c r="B181"/>
      <c r="C181"/>
      <c r="D181"/>
      <c r="E181"/>
      <c r="F181" s="49">
        <v>42705</v>
      </c>
      <c r="G181" s="92">
        <v>132.54</v>
      </c>
      <c r="H181"/>
      <c r="I181"/>
      <c r="J181"/>
      <c r="K181"/>
      <c r="L181"/>
      <c r="M181" s="58">
        <v>133.88</v>
      </c>
      <c r="N181" s="53"/>
      <c r="O181" s="58">
        <v>133.62571428571428</v>
      </c>
      <c r="P181" s="15">
        <v>-1.085714285714289</v>
      </c>
      <c r="Q181" s="15"/>
      <c r="R181" s="15"/>
      <c r="S181" s="15"/>
      <c r="T181" s="15"/>
      <c r="U181" s="15"/>
      <c r="V181" s="15"/>
      <c r="W181" s="15"/>
      <c r="X181" s="15"/>
    </row>
    <row r="182" spans="1:24" s="21" customFormat="1" x14ac:dyDescent="0.55000000000000004">
      <c r="A182" s="17"/>
      <c r="B182"/>
      <c r="C182"/>
      <c r="D182"/>
      <c r="E182"/>
      <c r="F182" s="49">
        <v>42736</v>
      </c>
      <c r="G182" s="92">
        <v>133.61000000000001</v>
      </c>
      <c r="H182"/>
      <c r="I182"/>
      <c r="J182"/>
      <c r="K182"/>
      <c r="L182"/>
      <c r="M182" s="58">
        <v>134.11571428571429</v>
      </c>
      <c r="N182" s="53"/>
      <c r="O182" s="58">
        <v>133.48857142857142</v>
      </c>
      <c r="P182" s="15">
        <v>0.12142857142859498</v>
      </c>
      <c r="Q182" s="15"/>
      <c r="R182" s="15"/>
      <c r="S182" s="15"/>
      <c r="T182" s="15"/>
      <c r="U182" s="15"/>
      <c r="V182" s="15"/>
      <c r="W182" s="15"/>
      <c r="X182" s="15"/>
    </row>
    <row r="183" spans="1:24" s="21" customFormat="1" x14ac:dyDescent="0.55000000000000004">
      <c r="A183" s="17"/>
      <c r="B183"/>
      <c r="C183"/>
      <c r="D183"/>
      <c r="E183"/>
      <c r="F183" s="49">
        <v>42767</v>
      </c>
      <c r="G183" s="92">
        <v>135.55000000000001</v>
      </c>
      <c r="H183"/>
      <c r="I183"/>
      <c r="J183"/>
      <c r="K183"/>
      <c r="L183"/>
      <c r="M183" s="58">
        <v>134.36142857142858</v>
      </c>
      <c r="N183" s="53"/>
      <c r="O183" s="58">
        <v>133.64857142857142</v>
      </c>
      <c r="P183" s="15">
        <v>1.9014285714285961</v>
      </c>
      <c r="Q183" s="15"/>
      <c r="R183" s="15"/>
      <c r="S183" s="15"/>
      <c r="T183" s="15"/>
      <c r="U183" s="15"/>
      <c r="V183" s="15"/>
      <c r="W183" s="15"/>
      <c r="X183" s="15"/>
    </row>
    <row r="184" spans="1:24" s="21" customFormat="1" x14ac:dyDescent="0.55000000000000004">
      <c r="A184" s="17"/>
      <c r="B184"/>
      <c r="C184"/>
      <c r="D184"/>
      <c r="E184"/>
      <c r="F184" s="49">
        <v>42795</v>
      </c>
      <c r="G184" s="92">
        <v>135.34</v>
      </c>
      <c r="H184"/>
      <c r="I184"/>
      <c r="J184"/>
      <c r="K184"/>
      <c r="L184"/>
      <c r="M184" s="58">
        <v>134.76285714285714</v>
      </c>
      <c r="N184" s="53"/>
      <c r="O184" s="58">
        <v>133.88</v>
      </c>
      <c r="P184" s="15">
        <v>1.460000000000008</v>
      </c>
      <c r="Q184" s="15"/>
      <c r="R184" s="15"/>
      <c r="S184" s="15"/>
      <c r="T184" s="15"/>
      <c r="U184" s="15"/>
      <c r="V184" s="15"/>
      <c r="W184" s="15"/>
      <c r="X184" s="15"/>
    </row>
    <row r="185" spans="1:24" s="21" customFormat="1" x14ac:dyDescent="0.55000000000000004">
      <c r="A185" s="17"/>
      <c r="B185"/>
      <c r="C185"/>
      <c r="D185"/>
      <c r="E185"/>
      <c r="F185" s="49">
        <v>42826</v>
      </c>
      <c r="G185" s="92">
        <v>135.29</v>
      </c>
      <c r="H185"/>
      <c r="I185"/>
      <c r="J185"/>
      <c r="K185"/>
      <c r="L185"/>
      <c r="M185" s="58">
        <v>135.30571428571429</v>
      </c>
      <c r="N185" s="53"/>
      <c r="O185" s="58">
        <v>134.11571428571429</v>
      </c>
      <c r="P185" s="15">
        <v>1.1742857142857019</v>
      </c>
      <c r="Q185" s="15"/>
      <c r="R185" s="15"/>
      <c r="S185" s="15"/>
      <c r="T185" s="15"/>
      <c r="U185" s="15"/>
      <c r="V185" s="15"/>
      <c r="W185" s="15"/>
      <c r="X185" s="15"/>
    </row>
    <row r="186" spans="1:24" s="21" customFormat="1" x14ac:dyDescent="0.55000000000000004">
      <c r="A186" s="17"/>
      <c r="B186"/>
      <c r="C186"/>
      <c r="D186"/>
      <c r="E186"/>
      <c r="F186" s="49">
        <v>42856</v>
      </c>
      <c r="G186" s="92">
        <v>135.06</v>
      </c>
      <c r="H186"/>
      <c r="I186"/>
      <c r="J186"/>
      <c r="K186"/>
      <c r="L186"/>
      <c r="M186" s="58">
        <v>135.59571428571431</v>
      </c>
      <c r="N186" s="53"/>
      <c r="O186" s="58">
        <v>134.36142857142858</v>
      </c>
      <c r="P186" s="15">
        <v>0.69857142857142662</v>
      </c>
      <c r="Q186" s="15"/>
      <c r="R186" s="15"/>
      <c r="S186" s="15"/>
      <c r="T186" s="15"/>
      <c r="U186" s="15"/>
      <c r="V186" s="15"/>
      <c r="W186" s="15"/>
      <c r="X186" s="15"/>
    </row>
    <row r="187" spans="1:24" s="21" customFormat="1" x14ac:dyDescent="0.55000000000000004">
      <c r="A187" s="17"/>
      <c r="B187"/>
      <c r="C187"/>
      <c r="D187"/>
      <c r="E187"/>
      <c r="F187" s="49">
        <v>42887</v>
      </c>
      <c r="G187" s="92">
        <v>135.94999999999999</v>
      </c>
      <c r="H187"/>
      <c r="I187"/>
      <c r="J187"/>
      <c r="K187"/>
      <c r="L187"/>
      <c r="M187" s="58">
        <v>135.60857142857142</v>
      </c>
      <c r="N187" s="53"/>
      <c r="O187" s="58">
        <v>134.76285714285714</v>
      </c>
      <c r="P187" s="15">
        <v>1.1871428571428453</v>
      </c>
      <c r="Q187" s="15"/>
      <c r="R187" s="15"/>
      <c r="S187" s="15"/>
      <c r="T187" s="15"/>
      <c r="U187" s="15"/>
      <c r="V187" s="15"/>
      <c r="W187" s="15"/>
      <c r="X187" s="15"/>
    </row>
    <row r="188" spans="1:24" s="21" customFormat="1" x14ac:dyDescent="0.55000000000000004">
      <c r="A188" s="17"/>
      <c r="B188"/>
      <c r="C188"/>
      <c r="D188"/>
      <c r="E188"/>
      <c r="F188" s="49">
        <v>42917</v>
      </c>
      <c r="G188" s="92">
        <v>136.34</v>
      </c>
      <c r="H188"/>
      <c r="I188"/>
      <c r="J188"/>
      <c r="K188"/>
      <c r="L188"/>
      <c r="M188" s="58">
        <v>135.70857142857142</v>
      </c>
      <c r="N188" s="53"/>
      <c r="O188" s="58">
        <v>135.30571428571429</v>
      </c>
      <c r="P188" s="15">
        <v>1.0342857142857156</v>
      </c>
      <c r="Q188" s="15"/>
      <c r="R188" s="15"/>
      <c r="S188" s="15"/>
      <c r="T188" s="15"/>
      <c r="U188" s="15"/>
      <c r="V188" s="15"/>
      <c r="W188" s="15"/>
      <c r="X188" s="15"/>
    </row>
    <row r="189" spans="1:24" s="21" customFormat="1" x14ac:dyDescent="0.55000000000000004">
      <c r="A189" s="17"/>
      <c r="B189"/>
      <c r="C189"/>
      <c r="D189"/>
      <c r="E189"/>
      <c r="F189" s="49">
        <v>42948</v>
      </c>
      <c r="G189" s="92">
        <v>135.63999999999999</v>
      </c>
      <c r="H189"/>
      <c r="I189"/>
      <c r="J189"/>
      <c r="K189"/>
      <c r="L189"/>
      <c r="M189" s="58">
        <v>135.80857142857141</v>
      </c>
      <c r="N189" s="53"/>
      <c r="O189" s="58">
        <v>135.59571428571431</v>
      </c>
      <c r="P189" s="15">
        <v>4.4285714285678068E-2</v>
      </c>
      <c r="Q189" s="15"/>
      <c r="R189" s="15"/>
      <c r="S189" s="15"/>
      <c r="T189" s="15"/>
      <c r="U189" s="15"/>
      <c r="V189" s="15"/>
      <c r="W189" s="15"/>
      <c r="X189" s="15"/>
    </row>
    <row r="190" spans="1:24" s="21" customFormat="1" x14ac:dyDescent="0.55000000000000004">
      <c r="A190" s="17"/>
      <c r="B190"/>
      <c r="C190"/>
      <c r="D190"/>
      <c r="E190"/>
      <c r="F190" s="49">
        <v>42979</v>
      </c>
      <c r="G190" s="92">
        <v>135.63999999999999</v>
      </c>
      <c r="H190"/>
      <c r="I190"/>
      <c r="J190"/>
      <c r="K190"/>
      <c r="L190"/>
      <c r="M190" s="58">
        <v>136.2442857142857</v>
      </c>
      <c r="N190" s="53"/>
      <c r="O190" s="58">
        <v>135.60857142857142</v>
      </c>
      <c r="P190" s="15">
        <v>3.1428571428563146E-2</v>
      </c>
      <c r="Q190" s="15"/>
      <c r="R190" s="15"/>
      <c r="S190" s="15"/>
      <c r="T190" s="15"/>
      <c r="U190" s="15"/>
      <c r="V190" s="15"/>
      <c r="W190" s="15"/>
      <c r="X190" s="15"/>
    </row>
    <row r="191" spans="1:24" s="21" customFormat="1" x14ac:dyDescent="0.55000000000000004">
      <c r="A191" s="17"/>
      <c r="B191"/>
      <c r="C191"/>
      <c r="D191"/>
      <c r="E191"/>
      <c r="F191" s="49">
        <v>43009</v>
      </c>
      <c r="G191" s="92">
        <v>136.04</v>
      </c>
      <c r="H191"/>
      <c r="I191"/>
      <c r="J191"/>
      <c r="K191"/>
      <c r="L191"/>
      <c r="M191" s="58">
        <v>136.4542857142857</v>
      </c>
      <c r="N191" s="53"/>
      <c r="O191" s="58">
        <v>135.70857142857142</v>
      </c>
      <c r="P191" s="15">
        <v>0.33142857142857451</v>
      </c>
      <c r="Q191" s="15"/>
      <c r="R191" s="15"/>
      <c r="S191" s="15"/>
      <c r="T191" s="15"/>
      <c r="U191" s="15"/>
      <c r="V191" s="15"/>
      <c r="W191" s="15"/>
      <c r="X191" s="15"/>
    </row>
    <row r="192" spans="1:24" s="21" customFormat="1" x14ac:dyDescent="0.55000000000000004">
      <c r="A192" s="17"/>
      <c r="B192"/>
      <c r="C192"/>
      <c r="D192"/>
      <c r="E192"/>
      <c r="F192" s="49">
        <v>43040</v>
      </c>
      <c r="G192" s="92">
        <v>135.99</v>
      </c>
      <c r="H192"/>
      <c r="I192"/>
      <c r="J192"/>
      <c r="K192"/>
      <c r="L192"/>
      <c r="M192" s="58">
        <v>136.5242857142857</v>
      </c>
      <c r="N192" s="53"/>
      <c r="O192" s="58">
        <v>135.80857142857141</v>
      </c>
      <c r="P192" s="15">
        <v>0.18142857142859725</v>
      </c>
      <c r="Q192" s="15"/>
      <c r="R192" s="15"/>
      <c r="S192" s="15"/>
      <c r="T192" s="15"/>
      <c r="U192" s="15"/>
      <c r="V192" s="15"/>
      <c r="W192" s="15"/>
      <c r="X192" s="15"/>
    </row>
    <row r="193" spans="1:24" s="21" customFormat="1" x14ac:dyDescent="0.55000000000000004">
      <c r="A193" s="17"/>
      <c r="B193"/>
      <c r="C193"/>
      <c r="D193"/>
      <c r="E193"/>
      <c r="F193" s="49">
        <v>43070</v>
      </c>
      <c r="G193" s="92">
        <v>138.11000000000001</v>
      </c>
      <c r="H193"/>
      <c r="I193"/>
      <c r="J193"/>
      <c r="K193"/>
      <c r="L193"/>
      <c r="M193" s="58">
        <v>136.66</v>
      </c>
      <c r="N193" s="53"/>
      <c r="O193" s="58">
        <v>136.2442857142857</v>
      </c>
      <c r="P193" s="15">
        <v>1.8657142857143185</v>
      </c>
      <c r="Q193" s="15"/>
      <c r="R193" s="15"/>
      <c r="S193" s="15"/>
      <c r="T193" s="15"/>
      <c r="U193" s="15"/>
      <c r="V193" s="15"/>
      <c r="W193" s="15"/>
      <c r="X193" s="15"/>
    </row>
    <row r="194" spans="1:24" s="21" customFormat="1" x14ac:dyDescent="0.55000000000000004">
      <c r="A194" s="17"/>
      <c r="B194"/>
      <c r="C194"/>
      <c r="D194"/>
      <c r="E194"/>
      <c r="F194" s="49">
        <v>43101</v>
      </c>
      <c r="G194" s="92">
        <v>137.41999999999999</v>
      </c>
      <c r="H194"/>
      <c r="I194"/>
      <c r="J194"/>
      <c r="K194"/>
      <c r="L194"/>
      <c r="M194" s="58">
        <v>136.8942857142857</v>
      </c>
      <c r="N194" s="53"/>
      <c r="O194" s="58">
        <v>136.4542857142857</v>
      </c>
      <c r="P194" s="15">
        <v>0.96571428571428442</v>
      </c>
      <c r="Q194" s="15"/>
      <c r="R194" s="15"/>
      <c r="S194" s="15"/>
      <c r="T194" s="15"/>
      <c r="U194" s="15"/>
      <c r="V194" s="15"/>
      <c r="W194" s="15"/>
      <c r="X194" s="15"/>
    </row>
    <row r="195" spans="1:24" s="21" customFormat="1" x14ac:dyDescent="0.55000000000000004">
      <c r="A195" s="17"/>
      <c r="B195"/>
      <c r="C195"/>
      <c r="D195"/>
      <c r="E195"/>
      <c r="F195" s="49">
        <v>43132</v>
      </c>
      <c r="G195" s="92">
        <v>136.83000000000001</v>
      </c>
      <c r="H195"/>
      <c r="I195"/>
      <c r="J195"/>
      <c r="K195"/>
      <c r="L195"/>
      <c r="M195" s="58">
        <v>136.47</v>
      </c>
      <c r="N195" s="53"/>
      <c r="O195" s="58">
        <v>136.5242857142857</v>
      </c>
      <c r="P195" s="15">
        <v>0.30571428571431625</v>
      </c>
      <c r="Q195" s="15"/>
      <c r="R195" s="15"/>
      <c r="S195" s="15"/>
      <c r="T195" s="15"/>
      <c r="U195" s="15"/>
      <c r="V195" s="15"/>
      <c r="W195" s="15"/>
      <c r="X195" s="15"/>
    </row>
    <row r="196" spans="1:24" s="21" customFormat="1" x14ac:dyDescent="0.55000000000000004">
      <c r="A196" s="17"/>
      <c r="B196"/>
      <c r="C196"/>
      <c r="D196"/>
      <c r="E196"/>
      <c r="F196" s="49">
        <v>43160</v>
      </c>
      <c r="G196" s="92">
        <v>136.59</v>
      </c>
      <c r="H196"/>
      <c r="I196"/>
      <c r="J196"/>
      <c r="K196"/>
      <c r="L196"/>
      <c r="M196" s="58">
        <v>136.66999999999999</v>
      </c>
      <c r="N196" s="53"/>
      <c r="O196" s="58">
        <v>136.66</v>
      </c>
      <c r="P196" s="15">
        <v>-6.9999999999993179E-2</v>
      </c>
      <c r="Q196" s="15"/>
      <c r="R196" s="15"/>
      <c r="S196" s="15"/>
      <c r="T196" s="15"/>
      <c r="U196" s="15"/>
      <c r="V196" s="15"/>
      <c r="W196" s="15"/>
      <c r="X196" s="15"/>
    </row>
    <row r="197" spans="1:24" s="21" customFormat="1" x14ac:dyDescent="0.55000000000000004">
      <c r="A197" s="17"/>
      <c r="B197"/>
      <c r="C197"/>
      <c r="D197"/>
      <c r="E197"/>
      <c r="F197" s="49">
        <v>43191</v>
      </c>
      <c r="G197" s="92">
        <v>137.28</v>
      </c>
      <c r="H197"/>
      <c r="I197"/>
      <c r="J197"/>
      <c r="K197"/>
      <c r="L197"/>
      <c r="M197" s="58">
        <v>136.64285714285714</v>
      </c>
      <c r="N197" s="53"/>
      <c r="O197" s="58">
        <v>136.8942857142857</v>
      </c>
      <c r="P197" s="15">
        <v>0.38571428571430033</v>
      </c>
      <c r="Q197" s="15"/>
      <c r="R197" s="15"/>
      <c r="S197" s="15"/>
      <c r="T197" s="15"/>
      <c r="U197" s="15"/>
      <c r="V197" s="15"/>
      <c r="W197" s="15"/>
      <c r="X197" s="15"/>
    </row>
    <row r="198" spans="1:24" s="21" customFormat="1" x14ac:dyDescent="0.55000000000000004">
      <c r="A198" s="17"/>
      <c r="B198"/>
      <c r="C198"/>
      <c r="D198"/>
      <c r="E198"/>
      <c r="F198" s="49">
        <v>43221</v>
      </c>
      <c r="G198" s="92">
        <v>133.07</v>
      </c>
      <c r="H198"/>
      <c r="I198"/>
      <c r="J198"/>
      <c r="K198"/>
      <c r="L198"/>
      <c r="M198" s="58">
        <v>136.86142857142858</v>
      </c>
      <c r="N198" s="53"/>
      <c r="O198" s="58">
        <v>136.47</v>
      </c>
      <c r="P198" s="15">
        <v>-3.4000000000000057</v>
      </c>
      <c r="Q198" s="15"/>
      <c r="R198" s="15"/>
      <c r="S198" s="15"/>
      <c r="T198" s="15"/>
      <c r="U198" s="15"/>
      <c r="V198" s="15"/>
      <c r="W198" s="15"/>
      <c r="X198" s="15"/>
    </row>
    <row r="199" spans="1:24" s="21" customFormat="1" x14ac:dyDescent="0.55000000000000004">
      <c r="A199" s="17"/>
      <c r="B199"/>
      <c r="C199"/>
      <c r="D199"/>
      <c r="E199"/>
      <c r="F199" s="49">
        <v>43252</v>
      </c>
      <c r="G199" s="92">
        <v>137.38999999999999</v>
      </c>
      <c r="H199"/>
      <c r="I199"/>
      <c r="J199"/>
      <c r="K199"/>
      <c r="L199"/>
      <c r="M199" s="58">
        <v>137.05999999999997</v>
      </c>
      <c r="N199" s="53"/>
      <c r="O199" s="58">
        <v>136.66999999999999</v>
      </c>
      <c r="P199" s="15">
        <v>0.71999999999999886</v>
      </c>
      <c r="Q199" s="15"/>
      <c r="R199" s="15"/>
      <c r="S199" s="15"/>
      <c r="T199" s="15"/>
      <c r="U199" s="15"/>
      <c r="V199" s="15"/>
      <c r="W199" s="15"/>
      <c r="X199" s="15"/>
    </row>
    <row r="200" spans="1:24" s="21" customFormat="1" x14ac:dyDescent="0.55000000000000004">
      <c r="A200" s="17"/>
      <c r="B200"/>
      <c r="C200"/>
      <c r="D200"/>
      <c r="E200"/>
      <c r="F200" s="49">
        <v>43282</v>
      </c>
      <c r="G200" s="92">
        <v>137.91999999999999</v>
      </c>
      <c r="H200"/>
      <c r="I200"/>
      <c r="J200"/>
      <c r="K200"/>
      <c r="L200"/>
      <c r="M200" s="58">
        <v>137.32428571428571</v>
      </c>
      <c r="N200" s="53"/>
      <c r="O200" s="58">
        <v>136.64285714285714</v>
      </c>
      <c r="P200" s="15">
        <v>1.2771428571428487</v>
      </c>
      <c r="Q200" s="15"/>
      <c r="R200" s="15"/>
      <c r="S200" s="15"/>
      <c r="T200" s="15"/>
      <c r="U200" s="15"/>
      <c r="V200" s="15"/>
      <c r="W200" s="15"/>
      <c r="X200" s="15"/>
    </row>
    <row r="201" spans="1:24" s="21" customFormat="1" x14ac:dyDescent="0.55000000000000004">
      <c r="A201" s="17"/>
      <c r="B201"/>
      <c r="C201"/>
      <c r="D201"/>
      <c r="E201"/>
      <c r="F201" s="49">
        <v>43313</v>
      </c>
      <c r="G201" s="92">
        <v>138.94999999999999</v>
      </c>
      <c r="H201"/>
      <c r="I201"/>
      <c r="J201"/>
      <c r="K201"/>
      <c r="L201"/>
      <c r="M201" s="58">
        <v>137.51428571428571</v>
      </c>
      <c r="N201" s="53"/>
      <c r="O201" s="58">
        <v>136.86142857142858</v>
      </c>
      <c r="P201" s="15">
        <v>2.088571428571413</v>
      </c>
      <c r="Q201" s="15"/>
      <c r="R201" s="15"/>
      <c r="S201" s="15"/>
      <c r="T201" s="15"/>
      <c r="U201" s="15"/>
      <c r="V201" s="15"/>
      <c r="W201" s="15"/>
      <c r="X201" s="15"/>
    </row>
    <row r="202" spans="1:24" s="21" customFormat="1" x14ac:dyDescent="0.55000000000000004">
      <c r="A202" s="17"/>
      <c r="B202"/>
      <c r="C202"/>
      <c r="D202"/>
      <c r="E202"/>
      <c r="F202" s="49">
        <v>43344</v>
      </c>
      <c r="G202" s="92">
        <v>138.22</v>
      </c>
      <c r="H202"/>
      <c r="I202"/>
      <c r="J202"/>
      <c r="K202"/>
      <c r="L202"/>
      <c r="M202" s="58">
        <v>138.38714285714283</v>
      </c>
      <c r="N202" s="53"/>
      <c r="O202" s="58">
        <v>137.05999999999997</v>
      </c>
      <c r="P202" s="15">
        <v>1.160000000000025</v>
      </c>
      <c r="Q202" s="15"/>
      <c r="R202" s="15"/>
      <c r="S202" s="15"/>
      <c r="T202" s="15"/>
      <c r="U202" s="15"/>
      <c r="V202" s="15"/>
      <c r="W202" s="15"/>
      <c r="X202" s="15"/>
    </row>
    <row r="203" spans="1:24" s="21" customFormat="1" x14ac:dyDescent="0.55000000000000004">
      <c r="A203" s="17"/>
      <c r="B203"/>
      <c r="C203"/>
      <c r="D203"/>
      <c r="E203"/>
      <c r="F203" s="49">
        <v>43374</v>
      </c>
      <c r="G203" s="92">
        <v>138.44</v>
      </c>
      <c r="H203"/>
      <c r="I203"/>
      <c r="J203"/>
      <c r="K203"/>
      <c r="L203"/>
      <c r="M203" s="58">
        <v>138.65714285714284</v>
      </c>
      <c r="N203" s="53"/>
      <c r="O203" s="58">
        <v>137.32428571428571</v>
      </c>
      <c r="P203" s="15">
        <v>1.1157142857142901</v>
      </c>
      <c r="Q203" s="15"/>
      <c r="R203" s="15"/>
      <c r="S203" s="15"/>
      <c r="T203" s="15"/>
      <c r="U203" s="15"/>
      <c r="V203" s="15"/>
      <c r="W203" s="15"/>
      <c r="X203" s="15"/>
    </row>
    <row r="204" spans="1:24" s="21" customFormat="1" x14ac:dyDescent="0.55000000000000004">
      <c r="A204" s="17"/>
      <c r="B204"/>
      <c r="C204"/>
      <c r="D204"/>
      <c r="E204"/>
      <c r="F204" s="49">
        <v>43405</v>
      </c>
      <c r="G204" s="92">
        <v>138.61000000000001</v>
      </c>
      <c r="H204"/>
      <c r="I204"/>
      <c r="J204"/>
      <c r="K204"/>
      <c r="L204"/>
      <c r="M204" s="58">
        <v>138.62428571428572</v>
      </c>
      <c r="N204" s="53"/>
      <c r="O204" s="58">
        <v>137.51428571428571</v>
      </c>
      <c r="P204" s="15">
        <v>1.0957142857143083</v>
      </c>
      <c r="Q204" s="15"/>
      <c r="R204" s="15"/>
      <c r="S204" s="15"/>
      <c r="T204" s="15"/>
      <c r="U204" s="15"/>
      <c r="V204" s="15"/>
      <c r="W204" s="15"/>
      <c r="X204" s="15"/>
    </row>
    <row r="205" spans="1:24" s="21" customFormat="1" x14ac:dyDescent="0.55000000000000004">
      <c r="A205" s="17"/>
      <c r="B205"/>
      <c r="C205"/>
      <c r="D205"/>
      <c r="E205"/>
      <c r="F205" s="49">
        <v>43435</v>
      </c>
      <c r="G205" s="92">
        <v>139.18</v>
      </c>
      <c r="H205"/>
      <c r="I205"/>
      <c r="J205"/>
      <c r="K205"/>
      <c r="L205"/>
      <c r="M205" s="58">
        <v>138.34571428571431</v>
      </c>
      <c r="N205" s="53"/>
      <c r="O205" s="58">
        <v>138.38714285714283</v>
      </c>
      <c r="P205" s="15">
        <v>0.7928571428571729</v>
      </c>
      <c r="Q205" s="15"/>
      <c r="R205" s="15"/>
      <c r="S205" s="15"/>
      <c r="T205" s="15"/>
      <c r="U205" s="15"/>
      <c r="V205" s="15"/>
      <c r="W205" s="15"/>
      <c r="X205" s="15"/>
    </row>
    <row r="206" spans="1:24" s="21" customFormat="1" x14ac:dyDescent="0.55000000000000004">
      <c r="A206" s="17"/>
      <c r="B206"/>
      <c r="C206"/>
      <c r="D206"/>
      <c r="E206"/>
      <c r="F206" s="49">
        <v>43466</v>
      </c>
      <c r="G206" s="92">
        <v>139.28</v>
      </c>
      <c r="H206"/>
      <c r="I206"/>
      <c r="J206"/>
      <c r="K206"/>
      <c r="L206"/>
      <c r="M206" s="58">
        <v>138.15285714285716</v>
      </c>
      <c r="N206" s="53"/>
      <c r="O206" s="58">
        <v>138.65714285714284</v>
      </c>
      <c r="P206" s="15">
        <v>0.62285714285715699</v>
      </c>
      <c r="Q206" s="15"/>
      <c r="R206" s="15"/>
      <c r="S206" s="15"/>
      <c r="T206" s="15"/>
      <c r="U206" s="15"/>
      <c r="V206" s="15"/>
      <c r="W206" s="15"/>
      <c r="X206" s="15"/>
    </row>
    <row r="207" spans="1:24" s="21" customFormat="1" x14ac:dyDescent="0.55000000000000004">
      <c r="A207" s="17"/>
      <c r="B207"/>
      <c r="C207"/>
      <c r="D207"/>
      <c r="E207"/>
      <c r="F207" s="49">
        <v>43497</v>
      </c>
      <c r="G207" s="92">
        <v>137.69</v>
      </c>
      <c r="H207"/>
      <c r="I207"/>
      <c r="J207"/>
      <c r="K207"/>
      <c r="L207"/>
      <c r="M207" s="58">
        <v>138.18142857142857</v>
      </c>
      <c r="N207" s="53"/>
      <c r="O207" s="58">
        <v>138.62428571428572</v>
      </c>
      <c r="P207" s="15">
        <v>-0.93428571428572127</v>
      </c>
      <c r="Q207" s="15"/>
      <c r="R207" s="15"/>
      <c r="S207" s="15"/>
      <c r="T207" s="15"/>
      <c r="U207" s="15"/>
      <c r="V207" s="15"/>
      <c r="W207" s="15"/>
      <c r="X207" s="15"/>
    </row>
    <row r="208" spans="1:24" s="21" customFormat="1" x14ac:dyDescent="0.55000000000000004">
      <c r="A208" s="17"/>
      <c r="B208"/>
      <c r="C208"/>
      <c r="D208"/>
      <c r="E208"/>
      <c r="F208" s="49">
        <v>43525</v>
      </c>
      <c r="G208" s="92">
        <v>137</v>
      </c>
      <c r="H208"/>
      <c r="I208"/>
      <c r="J208"/>
      <c r="K208"/>
      <c r="L208"/>
      <c r="M208" s="58">
        <v>138.21714285714287</v>
      </c>
      <c r="N208" s="53"/>
      <c r="O208" s="58">
        <v>138.34571428571431</v>
      </c>
      <c r="P208" s="15">
        <v>-1.3457142857143083</v>
      </c>
      <c r="Q208" s="15"/>
      <c r="R208" s="15"/>
      <c r="S208" s="15"/>
      <c r="T208" s="15"/>
      <c r="U208" s="15"/>
      <c r="V208" s="15"/>
      <c r="W208" s="15"/>
      <c r="X208" s="15"/>
    </row>
    <row r="209" spans="1:24" s="21" customFormat="1" x14ac:dyDescent="0.55000000000000004">
      <c r="A209" s="17"/>
      <c r="B209"/>
      <c r="C209"/>
      <c r="D209"/>
      <c r="E209"/>
      <c r="F209" s="49">
        <v>43556</v>
      </c>
      <c r="G209" s="92">
        <v>136.87</v>
      </c>
      <c r="H209"/>
      <c r="I209"/>
      <c r="J209"/>
      <c r="K209"/>
      <c r="L209"/>
      <c r="M209" s="58">
        <v>138.09</v>
      </c>
      <c r="N209" s="53"/>
      <c r="O209" s="58">
        <v>138.15285714285716</v>
      </c>
      <c r="P209" s="15">
        <v>-1.2828571428571536</v>
      </c>
      <c r="Q209" s="15"/>
      <c r="R209" s="15"/>
      <c r="S209" s="15"/>
      <c r="T209" s="15"/>
      <c r="U209" s="15"/>
      <c r="V209" s="15"/>
      <c r="W209" s="15"/>
      <c r="X209" s="15"/>
    </row>
    <row r="210" spans="1:24" s="21" customFormat="1" x14ac:dyDescent="0.55000000000000004">
      <c r="A210" s="17"/>
      <c r="B210"/>
      <c r="C210"/>
      <c r="D210"/>
      <c r="E210"/>
      <c r="F210" s="49">
        <v>43586</v>
      </c>
      <c r="G210" s="92">
        <v>138.63999999999999</v>
      </c>
      <c r="H210"/>
      <c r="I210"/>
      <c r="J210"/>
      <c r="K210"/>
      <c r="L210"/>
      <c r="M210" s="58">
        <v>137.95714285714286</v>
      </c>
      <c r="N210" s="53"/>
      <c r="O210" s="58">
        <v>138.18142857142857</v>
      </c>
      <c r="P210" s="15">
        <v>0.45857142857141753</v>
      </c>
      <c r="Q210" s="15"/>
      <c r="R210" s="15"/>
      <c r="S210" s="15"/>
      <c r="T210" s="15"/>
      <c r="U210" s="15"/>
      <c r="V210" s="15"/>
      <c r="W210" s="15"/>
      <c r="X210" s="15"/>
    </row>
    <row r="211" spans="1:24" s="21" customFormat="1" x14ac:dyDescent="0.55000000000000004">
      <c r="A211" s="17"/>
      <c r="B211"/>
      <c r="C211"/>
      <c r="D211"/>
      <c r="E211"/>
      <c r="F211" s="49">
        <v>43617</v>
      </c>
      <c r="G211" s="92">
        <v>138.86000000000001</v>
      </c>
      <c r="H211"/>
      <c r="I211"/>
      <c r="J211"/>
      <c r="K211"/>
      <c r="L211"/>
      <c r="M211" s="58">
        <v>138.16714285714286</v>
      </c>
      <c r="N211" s="53"/>
      <c r="O211" s="58">
        <v>138.21714285714287</v>
      </c>
      <c r="P211" s="15">
        <v>0.6428571428571388</v>
      </c>
      <c r="Q211" s="15"/>
      <c r="R211" s="15"/>
      <c r="S211" s="15"/>
      <c r="T211" s="15"/>
      <c r="U211" s="15"/>
      <c r="V211" s="15"/>
      <c r="W211" s="15"/>
      <c r="X211" s="15"/>
    </row>
    <row r="212" spans="1:24" s="21" customFormat="1" x14ac:dyDescent="0.55000000000000004">
      <c r="A212" s="17"/>
      <c r="B212"/>
      <c r="C212"/>
      <c r="D212"/>
      <c r="E212"/>
      <c r="F212" s="49">
        <v>43647</v>
      </c>
      <c r="G212" s="92">
        <v>138.29</v>
      </c>
      <c r="H212"/>
      <c r="I212"/>
      <c r="J212"/>
      <c r="K212"/>
      <c r="L212"/>
      <c r="M212" s="58">
        <v>138.67571428571429</v>
      </c>
      <c r="N212" s="53"/>
      <c r="O212" s="58">
        <v>138.09</v>
      </c>
      <c r="P212" s="15">
        <v>0.19999999999998863</v>
      </c>
      <c r="Q212" s="15"/>
      <c r="R212" s="15"/>
      <c r="S212" s="15"/>
      <c r="T212" s="15"/>
      <c r="U212" s="15"/>
      <c r="V212" s="15"/>
      <c r="W212" s="15"/>
      <c r="X212" s="15"/>
    </row>
    <row r="213" spans="1:24" s="21" customFormat="1" x14ac:dyDescent="0.55000000000000004">
      <c r="A213" s="17"/>
      <c r="B213"/>
      <c r="C213"/>
      <c r="D213"/>
      <c r="E213"/>
      <c r="F213" s="49">
        <v>43678</v>
      </c>
      <c r="G213" s="92">
        <v>138.35</v>
      </c>
      <c r="H213"/>
      <c r="I213"/>
      <c r="J213"/>
      <c r="K213"/>
      <c r="L213"/>
      <c r="M213" s="58">
        <v>139.10571428571427</v>
      </c>
      <c r="N213" s="53"/>
      <c r="O213" s="58">
        <v>137.95714285714286</v>
      </c>
      <c r="P213" s="15">
        <v>0.3928571428571388</v>
      </c>
      <c r="Q213" s="15"/>
      <c r="R213" s="15"/>
      <c r="S213" s="15"/>
      <c r="T213" s="15"/>
      <c r="U213" s="15"/>
      <c r="V213" s="15"/>
      <c r="W213" s="15"/>
      <c r="X213" s="15"/>
    </row>
    <row r="214" spans="1:24" s="21" customFormat="1" x14ac:dyDescent="0.55000000000000004">
      <c r="A214" s="17"/>
      <c r="B214"/>
      <c r="C214"/>
      <c r="D214"/>
      <c r="E214"/>
      <c r="F214" s="49">
        <v>43709</v>
      </c>
      <c r="G214" s="92">
        <v>139.16</v>
      </c>
      <c r="H214"/>
      <c r="I214"/>
      <c r="J214"/>
      <c r="K214"/>
      <c r="L214"/>
      <c r="M214" s="58">
        <v>139.19714285714286</v>
      </c>
      <c r="N214" s="53"/>
      <c r="O214" s="58">
        <v>138.16714285714286</v>
      </c>
      <c r="P214" s="15">
        <v>0.99285714285713311</v>
      </c>
      <c r="Q214" s="15"/>
      <c r="R214" s="15"/>
      <c r="S214" s="15"/>
      <c r="T214" s="15"/>
      <c r="U214" s="15"/>
      <c r="V214" s="15"/>
      <c r="W214" s="15"/>
      <c r="X214" s="15"/>
    </row>
    <row r="215" spans="1:24" s="21" customFormat="1" x14ac:dyDescent="0.55000000000000004">
      <c r="A215" s="17"/>
      <c r="B215"/>
      <c r="C215"/>
      <c r="D215"/>
      <c r="E215"/>
      <c r="F215" s="49">
        <v>43739</v>
      </c>
      <c r="G215" s="92">
        <v>140.56</v>
      </c>
      <c r="H215"/>
      <c r="I215"/>
      <c r="J215"/>
      <c r="K215"/>
      <c r="L215"/>
      <c r="M215" s="58">
        <v>139.36714285714285</v>
      </c>
      <c r="N215" s="53"/>
      <c r="O215" s="58">
        <v>138.67571428571429</v>
      </c>
      <c r="P215" s="15">
        <v>1.8842857142857099</v>
      </c>
      <c r="Q215" s="15"/>
      <c r="R215" s="15"/>
      <c r="S215" s="15"/>
      <c r="T215" s="15"/>
      <c r="U215" s="15"/>
      <c r="V215" s="15"/>
      <c r="W215" s="15"/>
      <c r="X215" s="15"/>
    </row>
    <row r="216" spans="1:24" s="21" customFormat="1" x14ac:dyDescent="0.55000000000000004">
      <c r="A216" s="17"/>
      <c r="B216"/>
      <c r="C216"/>
      <c r="D216"/>
      <c r="E216"/>
      <c r="F216" s="49">
        <v>43770</v>
      </c>
      <c r="G216" s="92">
        <v>139.88</v>
      </c>
      <c r="H216"/>
      <c r="I216"/>
      <c r="J216"/>
      <c r="K216"/>
      <c r="L216"/>
      <c r="M216" s="58">
        <v>139.56142857142856</v>
      </c>
      <c r="N216" s="53"/>
      <c r="O216" s="58">
        <v>139.10571428571427</v>
      </c>
      <c r="P216" s="15">
        <v>0.77428571428572468</v>
      </c>
      <c r="Q216" s="15"/>
      <c r="R216" s="15"/>
      <c r="S216" s="15"/>
      <c r="T216" s="15"/>
      <c r="U216" s="15"/>
      <c r="V216" s="15"/>
      <c r="W216" s="15"/>
      <c r="X216" s="15"/>
    </row>
    <row r="217" spans="1:24" s="21" customFormat="1" x14ac:dyDescent="0.55000000000000004">
      <c r="A217" s="17"/>
      <c r="B217"/>
      <c r="C217"/>
      <c r="D217"/>
      <c r="E217"/>
      <c r="F217" s="49">
        <v>43800</v>
      </c>
      <c r="G217" s="92">
        <v>139.28</v>
      </c>
      <c r="H217"/>
      <c r="I217"/>
      <c r="J217"/>
      <c r="K217"/>
      <c r="L217"/>
      <c r="M217" s="58">
        <v>138.32714285714286</v>
      </c>
      <c r="N217" s="53"/>
      <c r="O217" s="58">
        <v>139.19714285714286</v>
      </c>
      <c r="P217" s="15">
        <v>8.2857142857136523E-2</v>
      </c>
      <c r="Q217" s="15"/>
      <c r="R217" s="15"/>
      <c r="S217" s="15"/>
      <c r="T217" s="15"/>
      <c r="U217" s="15"/>
      <c r="V217" s="15"/>
      <c r="W217" s="15"/>
      <c r="X217" s="15"/>
    </row>
    <row r="218" spans="1:24" s="21" customFormat="1" x14ac:dyDescent="0.55000000000000004">
      <c r="A218" s="17"/>
      <c r="B218"/>
      <c r="C218"/>
      <c r="D218"/>
      <c r="E218"/>
      <c r="F218" s="49">
        <v>43831</v>
      </c>
      <c r="G218" s="92">
        <v>140.05000000000001</v>
      </c>
      <c r="H218"/>
      <c r="I218"/>
      <c r="J218"/>
      <c r="K218"/>
      <c r="L218"/>
      <c r="M218" s="58">
        <v>135.18857142857141</v>
      </c>
      <c r="N218" s="53"/>
      <c r="O218" s="58">
        <v>139.36714285714285</v>
      </c>
      <c r="P218" s="15">
        <v>0.68285714285715926</v>
      </c>
      <c r="Q218" s="15"/>
      <c r="R218" s="15"/>
      <c r="S218" s="15"/>
      <c r="T218" s="15"/>
      <c r="U218" s="15"/>
      <c r="V218" s="15"/>
      <c r="W218" s="15"/>
      <c r="X218" s="15"/>
    </row>
    <row r="219" spans="1:24" s="21" customFormat="1" x14ac:dyDescent="0.55000000000000004">
      <c r="A219" s="17"/>
      <c r="B219"/>
      <c r="C219"/>
      <c r="D219"/>
      <c r="E219"/>
      <c r="F219" s="49">
        <v>43862</v>
      </c>
      <c r="G219" s="92">
        <v>139.65</v>
      </c>
      <c r="H219"/>
      <c r="I219"/>
      <c r="J219"/>
      <c r="K219"/>
      <c r="L219"/>
      <c r="M219" s="58">
        <v>132.39857142857142</v>
      </c>
      <c r="N219" s="53"/>
      <c r="O219" s="58">
        <v>139.56142857142856</v>
      </c>
      <c r="P219" s="15">
        <v>8.8571428571441402E-2</v>
      </c>
      <c r="Q219" s="15"/>
      <c r="R219" s="15"/>
      <c r="S219" s="15"/>
      <c r="T219" s="15"/>
      <c r="U219" s="15"/>
      <c r="V219" s="15"/>
      <c r="W219" s="15"/>
      <c r="X219" s="15"/>
    </row>
    <row r="220" spans="1:24" s="21" customFormat="1" x14ac:dyDescent="0.55000000000000004">
      <c r="A220" s="17"/>
      <c r="B220"/>
      <c r="C220"/>
      <c r="D220"/>
      <c r="E220"/>
      <c r="F220" s="49">
        <v>43891</v>
      </c>
      <c r="G220" s="92">
        <v>129.71</v>
      </c>
      <c r="H220"/>
      <c r="I220"/>
      <c r="J220"/>
      <c r="K220"/>
      <c r="L220"/>
      <c r="M220" s="58">
        <v>130.56714285714287</v>
      </c>
      <c r="N220" s="53"/>
      <c r="O220" s="58">
        <v>138.32714285714286</v>
      </c>
      <c r="P220" s="15">
        <v>-8.6171428571428521</v>
      </c>
      <c r="Q220" s="15"/>
      <c r="R220" s="15"/>
      <c r="S220" s="15"/>
      <c r="T220" s="15"/>
      <c r="U220" s="15"/>
      <c r="V220" s="15"/>
      <c r="W220" s="15"/>
      <c r="X220" s="15"/>
    </row>
    <row r="221" spans="1:24" s="21" customFormat="1" x14ac:dyDescent="0.55000000000000004">
      <c r="A221" s="17"/>
      <c r="B221"/>
      <c r="C221"/>
      <c r="D221"/>
      <c r="E221"/>
      <c r="F221" s="49">
        <v>43922</v>
      </c>
      <c r="G221" s="92">
        <v>117.19</v>
      </c>
      <c r="H221"/>
      <c r="I221"/>
      <c r="J221"/>
      <c r="K221"/>
      <c r="L221"/>
      <c r="M221" s="58">
        <v>129.38285714285715</v>
      </c>
      <c r="N221" s="53"/>
      <c r="O221" s="58">
        <v>135.18857142857141</v>
      </c>
      <c r="P221" s="15">
        <v>-17.99857142857141</v>
      </c>
      <c r="Q221" s="15"/>
      <c r="R221" s="15"/>
      <c r="S221" s="15"/>
      <c r="T221" s="15"/>
      <c r="U221" s="15"/>
      <c r="V221" s="15"/>
      <c r="W221" s="15"/>
      <c r="X221" s="15"/>
    </row>
    <row r="222" spans="1:24" s="21" customFormat="1" x14ac:dyDescent="0.55000000000000004">
      <c r="A222" s="17"/>
      <c r="B222"/>
      <c r="C222"/>
      <c r="D222"/>
      <c r="E222"/>
      <c r="F222" s="49">
        <v>43952</v>
      </c>
      <c r="G222" s="92">
        <v>121.03</v>
      </c>
      <c r="H222"/>
      <c r="I222"/>
      <c r="J222"/>
      <c r="K222"/>
      <c r="L222"/>
      <c r="M222" s="58">
        <v>128.49857142857144</v>
      </c>
      <c r="N222" s="53"/>
      <c r="O222" s="58">
        <v>132.39857142857142</v>
      </c>
      <c r="P222" s="15">
        <v>-11.368571428571414</v>
      </c>
      <c r="Q222" s="15"/>
      <c r="R222" s="15"/>
      <c r="S222" s="15"/>
      <c r="T222" s="15"/>
      <c r="U222" s="15"/>
      <c r="V222" s="15"/>
      <c r="W222" s="15"/>
      <c r="X222" s="15"/>
    </row>
    <row r="223" spans="1:24" s="21" customFormat="1" x14ac:dyDescent="0.55000000000000004">
      <c r="A223" s="17"/>
      <c r="B223"/>
      <c r="C223"/>
      <c r="D223"/>
      <c r="E223"/>
      <c r="F223" s="49">
        <v>43983</v>
      </c>
      <c r="G223" s="92">
        <v>127.06</v>
      </c>
      <c r="H223"/>
      <c r="I223"/>
      <c r="J223"/>
      <c r="K223"/>
      <c r="L223"/>
      <c r="M223" s="58">
        <v>128.09714285714287</v>
      </c>
      <c r="N223" s="53"/>
      <c r="O223" s="58">
        <v>130.56714285714287</v>
      </c>
      <c r="P223" s="15">
        <v>-3.5071428571428669</v>
      </c>
      <c r="Q223" s="15"/>
      <c r="R223" s="15"/>
      <c r="S223" s="15"/>
      <c r="T223" s="15"/>
      <c r="U223" s="15"/>
      <c r="V223" s="15"/>
      <c r="W223" s="15"/>
      <c r="X223" s="15"/>
    </row>
    <row r="224" spans="1:24" s="21" customFormat="1" x14ac:dyDescent="0.55000000000000004">
      <c r="A224" s="17"/>
      <c r="B224"/>
      <c r="C224"/>
      <c r="D224"/>
      <c r="E224"/>
      <c r="F224" s="49">
        <v>44013</v>
      </c>
      <c r="G224" s="92">
        <v>130.99</v>
      </c>
      <c r="H224"/>
      <c r="I224"/>
      <c r="J224"/>
      <c r="K224"/>
      <c r="L224"/>
      <c r="M224" s="58">
        <v>129.47</v>
      </c>
      <c r="N224" s="53"/>
      <c r="O224" s="58">
        <v>129.38285714285715</v>
      </c>
      <c r="P224" s="15">
        <v>1.6071428571428612</v>
      </c>
      <c r="Q224" s="15"/>
      <c r="R224" s="15"/>
      <c r="S224" s="15"/>
      <c r="T224" s="15"/>
      <c r="U224" s="15"/>
      <c r="V224" s="15"/>
      <c r="W224" s="15"/>
      <c r="X224" s="15"/>
    </row>
    <row r="225" spans="1:24" s="21" customFormat="1" x14ac:dyDescent="0.55000000000000004">
      <c r="A225" s="17"/>
      <c r="B225"/>
      <c r="C225"/>
      <c r="D225"/>
      <c r="E225"/>
      <c r="F225" s="49">
        <v>44044</v>
      </c>
      <c r="G225" s="92">
        <v>133.86000000000001</v>
      </c>
      <c r="H225"/>
      <c r="I225"/>
      <c r="J225"/>
      <c r="K225"/>
      <c r="L225"/>
      <c r="M225" s="58">
        <v>132.62000000000003</v>
      </c>
      <c r="N225" s="53"/>
      <c r="O225" s="58">
        <v>128.49857142857144</v>
      </c>
      <c r="P225" s="15">
        <v>5.3614285714285757</v>
      </c>
      <c r="Q225" s="15"/>
      <c r="R225" s="15"/>
      <c r="S225" s="15"/>
      <c r="T225" s="15"/>
      <c r="U225" s="15"/>
      <c r="V225" s="15"/>
      <c r="W225" s="15"/>
      <c r="X225" s="15"/>
    </row>
    <row r="226" spans="1:24" s="21" customFormat="1" x14ac:dyDescent="0.55000000000000004">
      <c r="A226" s="17"/>
      <c r="B226"/>
      <c r="C226"/>
      <c r="D226"/>
      <c r="E226"/>
      <c r="F226" s="49">
        <v>44075</v>
      </c>
      <c r="G226" s="92">
        <v>136.84</v>
      </c>
      <c r="H226"/>
      <c r="I226"/>
      <c r="J226"/>
      <c r="K226"/>
      <c r="L226"/>
      <c r="M226" s="58">
        <v>135.26428571428571</v>
      </c>
      <c r="N226" s="53"/>
      <c r="O226" s="58">
        <v>128.09714285714287</v>
      </c>
      <c r="P226" s="15">
        <v>8.7428571428571331</v>
      </c>
      <c r="Q226" s="15"/>
      <c r="R226" s="15"/>
      <c r="S226" s="15"/>
      <c r="T226" s="15"/>
      <c r="U226" s="15"/>
      <c r="V226" s="15"/>
      <c r="W226" s="15"/>
      <c r="X226" s="15"/>
    </row>
    <row r="227" spans="1:24" s="21" customFormat="1" x14ac:dyDescent="0.55000000000000004">
      <c r="A227" s="17"/>
      <c r="B227"/>
      <c r="C227"/>
      <c r="D227"/>
      <c r="E227"/>
      <c r="F227" s="49">
        <v>44105</v>
      </c>
      <c r="G227" s="92">
        <v>139.32</v>
      </c>
      <c r="H227"/>
      <c r="I227"/>
      <c r="J227"/>
      <c r="K227"/>
      <c r="L227"/>
      <c r="M227" s="58">
        <v>137.13142857142856</v>
      </c>
      <c r="N227" s="53"/>
      <c r="O227" s="58">
        <v>129.47</v>
      </c>
      <c r="P227" s="15">
        <v>9.8499999999999943</v>
      </c>
      <c r="Q227" s="15"/>
      <c r="R227" s="15"/>
      <c r="S227" s="15"/>
      <c r="T227" s="15"/>
      <c r="U227" s="15"/>
      <c r="V227" s="15"/>
      <c r="W227" s="15"/>
      <c r="X227" s="15"/>
    </row>
    <row r="228" spans="1:24" s="21" customFormat="1" x14ac:dyDescent="0.55000000000000004">
      <c r="A228" s="17"/>
      <c r="B228"/>
      <c r="C228"/>
      <c r="D228"/>
      <c r="E228"/>
      <c r="F228" s="49">
        <v>44136</v>
      </c>
      <c r="G228" s="92">
        <v>139.24</v>
      </c>
      <c r="H228"/>
      <c r="I228"/>
      <c r="J228"/>
      <c r="K228"/>
      <c r="L228"/>
      <c r="M228" s="58">
        <v>138.55857142857141</v>
      </c>
      <c r="N228" s="53"/>
      <c r="O228" s="58">
        <v>132.62000000000003</v>
      </c>
      <c r="P228" s="15">
        <v>6.6199999999999761</v>
      </c>
      <c r="Q228" s="15"/>
      <c r="R228" s="15"/>
      <c r="S228" s="15"/>
      <c r="T228" s="15"/>
      <c r="U228" s="15"/>
      <c r="V228" s="15"/>
      <c r="W228" s="15"/>
      <c r="X228" s="15"/>
    </row>
    <row r="229" spans="1:24" s="21" customFormat="1" x14ac:dyDescent="0.55000000000000004">
      <c r="A229" s="17"/>
      <c r="B229"/>
      <c r="C229"/>
      <c r="D229"/>
      <c r="E229"/>
      <c r="F229" s="49">
        <v>44166</v>
      </c>
      <c r="G229" s="92">
        <v>139.54</v>
      </c>
      <c r="H229"/>
      <c r="I229"/>
      <c r="J229"/>
      <c r="K229"/>
      <c r="L229"/>
      <c r="M229" s="58">
        <v>138.82428571428571</v>
      </c>
      <c r="N229" s="53"/>
      <c r="O229" s="58">
        <v>135.26428571428571</v>
      </c>
      <c r="P229" s="15">
        <v>4.2757142857142867</v>
      </c>
      <c r="Q229" s="15"/>
      <c r="R229" s="15"/>
      <c r="S229" s="15"/>
      <c r="T229" s="15"/>
      <c r="U229" s="15"/>
      <c r="V229" s="15"/>
      <c r="W229" s="15"/>
      <c r="X229" s="15"/>
    </row>
    <row r="230" spans="1:24" s="21" customFormat="1" x14ac:dyDescent="0.55000000000000004">
      <c r="A230" s="17"/>
      <c r="B230"/>
      <c r="C230"/>
      <c r="D230"/>
      <c r="E230"/>
      <c r="F230" s="49">
        <v>44197</v>
      </c>
      <c r="G230" s="92">
        <v>140.13</v>
      </c>
      <c r="H230"/>
      <c r="I230"/>
      <c r="J230"/>
      <c r="K230"/>
      <c r="L230"/>
      <c r="M230" s="58">
        <v>138.91000000000003</v>
      </c>
      <c r="N230" s="53"/>
      <c r="O230" s="58">
        <v>137.13142857142856</v>
      </c>
      <c r="P230" s="15">
        <v>2.998571428571438</v>
      </c>
      <c r="Q230" s="15"/>
      <c r="R230" s="15"/>
      <c r="S230" s="15"/>
      <c r="T230" s="15"/>
      <c r="U230" s="15"/>
      <c r="V230" s="15"/>
      <c r="W230" s="15"/>
      <c r="X230" s="15"/>
    </row>
    <row r="231" spans="1:24" s="21" customFormat="1" x14ac:dyDescent="0.55000000000000004">
      <c r="A231" s="17"/>
      <c r="B231"/>
      <c r="C231"/>
      <c r="D231"/>
      <c r="E231"/>
      <c r="F231" s="49">
        <v>44228</v>
      </c>
      <c r="G231" s="92">
        <v>140.97999999999999</v>
      </c>
      <c r="H231"/>
      <c r="I231"/>
      <c r="J231"/>
      <c r="K231"/>
      <c r="L231"/>
      <c r="M231" s="58">
        <v>138.82714285714286</v>
      </c>
      <c r="N231" s="53"/>
      <c r="O231" s="58">
        <v>138.55857142857141</v>
      </c>
      <c r="P231" s="15">
        <v>2.4214285714285779</v>
      </c>
      <c r="Q231" s="15"/>
      <c r="R231" s="15"/>
      <c r="S231" s="15"/>
      <c r="T231" s="15"/>
      <c r="U231" s="15"/>
      <c r="V231" s="15"/>
      <c r="W231" s="15"/>
      <c r="X231" s="15"/>
    </row>
    <row r="232" spans="1:24" s="21" customFormat="1" x14ac:dyDescent="0.55000000000000004">
      <c r="A232" s="17"/>
      <c r="B232"/>
      <c r="C232"/>
      <c r="D232"/>
      <c r="E232"/>
      <c r="F232" s="49">
        <v>44256</v>
      </c>
      <c r="G232" s="92">
        <v>135.72</v>
      </c>
      <c r="H232"/>
      <c r="I232"/>
      <c r="J232"/>
      <c r="K232"/>
      <c r="L232"/>
      <c r="M232" s="58">
        <v>138.78571428571428</v>
      </c>
      <c r="N232" s="53"/>
      <c r="O232" s="58">
        <v>138.82428571428571</v>
      </c>
      <c r="P232" s="15">
        <v>-3.1042857142857088</v>
      </c>
      <c r="Q232" s="15"/>
      <c r="R232" s="15"/>
      <c r="S232" s="15"/>
      <c r="T232" s="15"/>
      <c r="U232" s="15"/>
      <c r="V232" s="15"/>
      <c r="W232" s="15"/>
      <c r="X232" s="15"/>
    </row>
    <row r="233" spans="1:24" s="21" customFormat="1" x14ac:dyDescent="0.55000000000000004">
      <c r="A233" s="17"/>
      <c r="B233"/>
      <c r="C233"/>
      <c r="D233"/>
      <c r="E233"/>
      <c r="F233" s="49">
        <v>44287</v>
      </c>
      <c r="G233" s="92">
        <v>137.44</v>
      </c>
      <c r="H233"/>
      <c r="I233"/>
      <c r="J233"/>
      <c r="K233"/>
      <c r="L233"/>
      <c r="M233" s="58">
        <v>138.6357142857143</v>
      </c>
      <c r="N233" s="53"/>
      <c r="O233" s="58">
        <v>138.91000000000003</v>
      </c>
      <c r="P233" s="15">
        <v>-1.4700000000000273</v>
      </c>
      <c r="Q233" s="15"/>
      <c r="R233" s="15"/>
      <c r="S233" s="15"/>
      <c r="T233" s="15"/>
      <c r="U233" s="15"/>
      <c r="V233" s="15"/>
      <c r="W233" s="15"/>
      <c r="X233" s="15"/>
    </row>
    <row r="234" spans="1:24" s="21" customFormat="1" x14ac:dyDescent="0.55000000000000004">
      <c r="A234" s="17"/>
      <c r="B234"/>
      <c r="C234"/>
      <c r="D234"/>
      <c r="E234"/>
      <c r="F234" s="49">
        <v>44317</v>
      </c>
      <c r="G234" s="92">
        <v>138.74</v>
      </c>
      <c r="H234"/>
      <c r="I234"/>
      <c r="J234"/>
      <c r="K234"/>
      <c r="L234"/>
      <c r="M234" s="58">
        <v>138.46285714285713</v>
      </c>
      <c r="N234" s="53"/>
      <c r="O234" s="58">
        <v>138.82714285714286</v>
      </c>
      <c r="P234" s="15">
        <v>-8.7142857142850971E-2</v>
      </c>
      <c r="Q234" s="15"/>
      <c r="R234" s="15"/>
      <c r="S234" s="15"/>
      <c r="T234" s="15"/>
      <c r="U234" s="15"/>
      <c r="V234" s="15"/>
      <c r="W234" s="15"/>
      <c r="X234" s="15"/>
    </row>
    <row r="235" spans="1:24" s="21" customFormat="1" x14ac:dyDescent="0.55000000000000004">
      <c r="A235" s="17"/>
      <c r="B235"/>
      <c r="C235"/>
      <c r="D235"/>
      <c r="E235"/>
      <c r="F235" s="49">
        <v>44348</v>
      </c>
      <c r="G235" s="92">
        <v>138.94999999999999</v>
      </c>
      <c r="H235"/>
      <c r="I235"/>
      <c r="J235"/>
      <c r="K235"/>
      <c r="L235"/>
      <c r="M235" s="58">
        <v>138.16</v>
      </c>
      <c r="N235" s="53"/>
      <c r="O235" s="58">
        <v>138.78571428571428</v>
      </c>
      <c r="P235" s="15">
        <v>0.16428571428571104</v>
      </c>
      <c r="Q235" s="15"/>
      <c r="R235" s="15"/>
      <c r="S235" s="15"/>
      <c r="T235" s="15"/>
      <c r="U235" s="15"/>
      <c r="V235" s="15"/>
      <c r="W235" s="15"/>
      <c r="X235" s="15"/>
    </row>
    <row r="236" spans="1:24" s="21" customFormat="1" x14ac:dyDescent="0.55000000000000004">
      <c r="A236" s="17"/>
      <c r="B236"/>
      <c r="C236"/>
      <c r="D236"/>
      <c r="E236"/>
      <c r="F236" s="49">
        <v>44378</v>
      </c>
      <c r="G236" s="92">
        <v>138.49</v>
      </c>
      <c r="H236"/>
      <c r="I236"/>
      <c r="J236"/>
      <c r="K236"/>
      <c r="L236"/>
      <c r="M236" s="58">
        <v>138.71714285714285</v>
      </c>
      <c r="N236" s="53"/>
      <c r="O236" s="58">
        <v>138.6357142857143</v>
      </c>
      <c r="P236" s="15">
        <v>-0.14571428571429124</v>
      </c>
      <c r="Q236" s="15"/>
      <c r="R236" s="15"/>
      <c r="S236" s="15"/>
      <c r="T236" s="15"/>
      <c r="U236" s="15"/>
      <c r="V236" s="15"/>
      <c r="W236" s="15"/>
      <c r="X236" s="15"/>
    </row>
    <row r="237" spans="1:24" s="21" customFormat="1" x14ac:dyDescent="0.55000000000000004">
      <c r="A237" s="17"/>
      <c r="B237"/>
      <c r="C237"/>
      <c r="D237"/>
      <c r="E237"/>
      <c r="F237" s="49">
        <v>44409</v>
      </c>
      <c r="G237" s="92">
        <v>138.91999999999999</v>
      </c>
      <c r="H237"/>
      <c r="I237"/>
      <c r="J237"/>
      <c r="K237"/>
      <c r="L237"/>
      <c r="M237" s="58">
        <v>139.23285714285717</v>
      </c>
      <c r="N237" s="53"/>
      <c r="O237" s="58">
        <v>138.46285714285713</v>
      </c>
      <c r="P237" s="15">
        <v>0.45714285714285552</v>
      </c>
      <c r="Q237" s="15"/>
      <c r="R237" s="15"/>
      <c r="S237" s="15"/>
      <c r="T237" s="15"/>
      <c r="U237" s="15"/>
      <c r="V237" s="15"/>
      <c r="W237" s="15"/>
      <c r="X237" s="15"/>
    </row>
    <row r="238" spans="1:24" s="21" customFormat="1" x14ac:dyDescent="0.55000000000000004">
      <c r="A238" s="17"/>
      <c r="B238"/>
      <c r="C238"/>
      <c r="D238"/>
      <c r="E238"/>
      <c r="F238" s="49">
        <v>44440</v>
      </c>
      <c r="G238" s="92">
        <v>138.86000000000001</v>
      </c>
      <c r="H238"/>
      <c r="I238"/>
      <c r="J238"/>
      <c r="K238"/>
      <c r="L238"/>
      <c r="M238" s="58">
        <v>139.58714285714288</v>
      </c>
      <c r="N238" s="53"/>
      <c r="O238" s="58">
        <v>138.16</v>
      </c>
      <c r="P238" s="15">
        <v>0.70000000000001705</v>
      </c>
      <c r="Q238" s="15"/>
      <c r="R238" s="15"/>
      <c r="S238" s="15"/>
      <c r="T238" s="15"/>
      <c r="U238" s="15"/>
      <c r="V238" s="15"/>
      <c r="W238" s="15"/>
      <c r="X238" s="15"/>
    </row>
    <row r="239" spans="1:24" s="21" customFormat="1" x14ac:dyDescent="0.55000000000000004">
      <c r="A239" s="17"/>
      <c r="B239"/>
      <c r="C239"/>
      <c r="D239"/>
      <c r="E239"/>
      <c r="F239" s="49">
        <v>44470</v>
      </c>
      <c r="G239" s="92">
        <v>139.62</v>
      </c>
      <c r="H239"/>
      <c r="I239"/>
      <c r="J239"/>
      <c r="K239"/>
      <c r="L239"/>
      <c r="M239" s="58">
        <v>139.77428571428572</v>
      </c>
      <c r="N239" s="53"/>
      <c r="O239" s="58">
        <v>138.71714285714285</v>
      </c>
      <c r="P239" s="15">
        <v>0.90285714285715812</v>
      </c>
      <c r="Q239" s="15"/>
      <c r="R239" s="15"/>
      <c r="S239" s="15"/>
      <c r="T239" s="15"/>
      <c r="U239" s="15"/>
      <c r="V239" s="15"/>
      <c r="W239" s="15"/>
      <c r="X239" s="15"/>
    </row>
    <row r="240" spans="1:24" s="21" customFormat="1" x14ac:dyDescent="0.55000000000000004">
      <c r="A240" s="17"/>
      <c r="B240"/>
      <c r="C240"/>
      <c r="D240"/>
      <c r="E240"/>
      <c r="F240" s="49">
        <v>44501</v>
      </c>
      <c r="G240" s="92">
        <v>141.05000000000001</v>
      </c>
      <c r="H240"/>
      <c r="I240"/>
      <c r="J240"/>
      <c r="K240"/>
      <c r="L240"/>
      <c r="M240" s="58">
        <v>140.10714285714286</v>
      </c>
      <c r="N240" s="53"/>
      <c r="O240" s="58">
        <v>139.23285714285717</v>
      </c>
      <c r="P240" s="15">
        <v>1.8171428571428407</v>
      </c>
      <c r="Q240" s="15"/>
      <c r="R240" s="15"/>
      <c r="S240" s="15"/>
      <c r="T240" s="15"/>
      <c r="U240" s="15"/>
      <c r="V240" s="15"/>
      <c r="W240" s="15"/>
      <c r="X240" s="15"/>
    </row>
    <row r="241" spans="1:24" s="21" customFormat="1" x14ac:dyDescent="0.55000000000000004">
      <c r="A241" s="17"/>
      <c r="B241"/>
      <c r="C241"/>
      <c r="D241"/>
      <c r="E241"/>
      <c r="F241" s="49">
        <v>44531</v>
      </c>
      <c r="G241" s="92">
        <v>141.22</v>
      </c>
      <c r="H241"/>
      <c r="I241"/>
      <c r="J241"/>
      <c r="K241"/>
      <c r="L241"/>
      <c r="M241" s="58">
        <v>140.53857142857143</v>
      </c>
      <c r="N241" s="53"/>
      <c r="O241" s="58">
        <v>139.58714285714288</v>
      </c>
      <c r="P241" s="15">
        <v>1.6328571428571195</v>
      </c>
      <c r="Q241" s="15"/>
      <c r="R241" s="15"/>
      <c r="S241" s="15"/>
      <c r="T241" s="15"/>
      <c r="U241" s="15"/>
      <c r="V241" s="15"/>
      <c r="W241" s="15"/>
      <c r="X241" s="15"/>
    </row>
    <row r="242" spans="1:24" s="21" customFormat="1" x14ac:dyDescent="0.55000000000000004">
      <c r="A242" s="17"/>
      <c r="B242"/>
      <c r="C242"/>
      <c r="D242"/>
      <c r="E242"/>
      <c r="F242" s="49">
        <v>44562</v>
      </c>
      <c r="G242" s="92">
        <v>140.26</v>
      </c>
      <c r="H242"/>
      <c r="I242"/>
      <c r="J242"/>
      <c r="K242"/>
      <c r="L242"/>
      <c r="M242" s="58">
        <v>141.01428571428573</v>
      </c>
      <c r="N242" s="53"/>
      <c r="O242" s="58">
        <v>139.77428571428572</v>
      </c>
      <c r="P242" s="15">
        <v>0.48571428571426623</v>
      </c>
      <c r="Q242" s="15"/>
      <c r="R242" s="15"/>
      <c r="S242" s="15"/>
      <c r="T242" s="15"/>
      <c r="U242" s="15"/>
      <c r="V242" s="15"/>
      <c r="W242" s="15"/>
      <c r="X242" s="15"/>
    </row>
    <row r="243" spans="1:24" s="21" customFormat="1" x14ac:dyDescent="0.55000000000000004">
      <c r="A243" s="17"/>
      <c r="B243"/>
      <c r="C243"/>
      <c r="D243"/>
      <c r="E243"/>
      <c r="F243" s="49">
        <v>44593</v>
      </c>
      <c r="G243" s="92">
        <v>140.82</v>
      </c>
      <c r="H243"/>
      <c r="I243"/>
      <c r="J243"/>
      <c r="K243"/>
      <c r="L243"/>
      <c r="M243" s="58">
        <v>141.37571428571428</v>
      </c>
      <c r="N243" s="53"/>
      <c r="O243" s="58">
        <v>140.10714285714286</v>
      </c>
      <c r="P243" s="15">
        <v>0.71285714285713198</v>
      </c>
      <c r="Q243" s="15"/>
      <c r="R243" s="15"/>
      <c r="S243" s="15"/>
      <c r="T243" s="15"/>
      <c r="U243" s="15"/>
      <c r="V243" s="15"/>
      <c r="W243" s="15"/>
      <c r="X243" s="15"/>
    </row>
    <row r="244" spans="1:24" x14ac:dyDescent="0.55000000000000004">
      <c r="F244" s="49">
        <v>44621</v>
      </c>
      <c r="G244" s="92">
        <v>141.94</v>
      </c>
      <c r="M244" s="58">
        <v>141.63857142857142</v>
      </c>
      <c r="O244" s="58">
        <v>140.53857142857143</v>
      </c>
      <c r="P244" s="15">
        <v>1.4014285714285677</v>
      </c>
    </row>
    <row r="245" spans="1:24" x14ac:dyDescent="0.55000000000000004">
      <c r="F245" s="49">
        <v>44652</v>
      </c>
      <c r="G245" s="92">
        <v>142.19</v>
      </c>
      <c r="M245" s="58">
        <v>142.23857142857142</v>
      </c>
      <c r="O245" s="58">
        <v>141.01428571428573</v>
      </c>
      <c r="P245" s="15">
        <v>1.175714285714264</v>
      </c>
    </row>
    <row r="246" spans="1:24" x14ac:dyDescent="0.55000000000000004">
      <c r="F246" s="49">
        <v>44682</v>
      </c>
      <c r="G246" s="92">
        <v>142.15</v>
      </c>
      <c r="M246" s="58">
        <v>142.84142857142857</v>
      </c>
      <c r="O246" s="58">
        <v>141.37571428571428</v>
      </c>
      <c r="P246" s="15">
        <v>0.77428571428572468</v>
      </c>
    </row>
    <row r="247" spans="1:24" x14ac:dyDescent="0.55000000000000004">
      <c r="F247" s="49">
        <v>44713</v>
      </c>
      <c r="G247" s="92">
        <v>142.88999999999999</v>
      </c>
      <c r="M247" s="58">
        <v>143.36571428571429</v>
      </c>
      <c r="O247" s="58">
        <v>141.63857142857142</v>
      </c>
      <c r="P247" s="15">
        <v>1.251428571428562</v>
      </c>
    </row>
    <row r="248" spans="1:24" x14ac:dyDescent="0.55000000000000004">
      <c r="F248" s="49">
        <v>44743</v>
      </c>
      <c r="G248" s="92">
        <v>145.41999999999999</v>
      </c>
      <c r="M248" s="58">
        <v>143.75714285714284</v>
      </c>
      <c r="O248" s="58">
        <v>142.23857142857142</v>
      </c>
      <c r="P248" s="15">
        <v>3.1814285714285688</v>
      </c>
    </row>
    <row r="249" spans="1:24" x14ac:dyDescent="0.55000000000000004">
      <c r="F249" s="49">
        <v>44774</v>
      </c>
      <c r="G249" s="92">
        <v>144.47999999999999</v>
      </c>
      <c r="M249" s="58">
        <v>143.83571428571426</v>
      </c>
      <c r="O249" s="58">
        <v>142.84142857142857</v>
      </c>
      <c r="P249" s="15">
        <v>1.6385714285714243</v>
      </c>
    </row>
    <row r="250" spans="1:24" x14ac:dyDescent="0.55000000000000004">
      <c r="F250" s="49">
        <v>44805</v>
      </c>
      <c r="G250" s="92">
        <v>144.49</v>
      </c>
      <c r="M250" s="58">
        <v>143.85714285714286</v>
      </c>
      <c r="O250" s="58">
        <v>143.36571428571429</v>
      </c>
      <c r="P250" s="15">
        <v>1.124285714285719</v>
      </c>
    </row>
    <row r="251" spans="1:24" x14ac:dyDescent="0.55000000000000004">
      <c r="F251" s="49">
        <v>44835</v>
      </c>
      <c r="G251" s="92">
        <v>144.68</v>
      </c>
      <c r="M251" s="58">
        <v>143.94142857142856</v>
      </c>
      <c r="O251" s="58">
        <v>143.75714285714284</v>
      </c>
      <c r="P251" s="15">
        <v>0.92285714285716836</v>
      </c>
    </row>
    <row r="252" spans="1:24" x14ac:dyDescent="0.55000000000000004">
      <c r="F252" s="49">
        <v>44866</v>
      </c>
      <c r="G252" s="92">
        <v>142.74</v>
      </c>
      <c r="M252" s="58">
        <v>144.24142857142857</v>
      </c>
      <c r="O252" s="58">
        <v>143.83571428571426</v>
      </c>
      <c r="P252" s="15">
        <v>-1.0957142857142514</v>
      </c>
    </row>
    <row r="253" spans="1:24" x14ac:dyDescent="0.55000000000000004">
      <c r="F253" s="49">
        <v>44896</v>
      </c>
      <c r="G253" s="92">
        <v>142.30000000000001</v>
      </c>
      <c r="M253" s="58">
        <v>144.60428571428571</v>
      </c>
      <c r="O253" s="58">
        <v>143.85714285714286</v>
      </c>
      <c r="P253" s="15">
        <v>-1.5571428571428498</v>
      </c>
    </row>
    <row r="254" spans="1:24" s="15" customFormat="1" x14ac:dyDescent="0.55000000000000004">
      <c r="A254" s="17"/>
      <c r="B254"/>
      <c r="C254"/>
      <c r="D254"/>
      <c r="E254"/>
      <c r="F254" s="49">
        <v>44927</v>
      </c>
      <c r="G254" s="92">
        <v>143.47999999999999</v>
      </c>
      <c r="H254"/>
      <c r="I254"/>
      <c r="J254"/>
      <c r="K254"/>
      <c r="L254"/>
      <c r="M254" s="58">
        <v>145.23142857142858</v>
      </c>
      <c r="O254" s="58">
        <v>143.94142857142856</v>
      </c>
      <c r="P254" s="15">
        <v>-0.46142857142856997</v>
      </c>
    </row>
    <row r="255" spans="1:24" s="15" customFormat="1" x14ac:dyDescent="0.55000000000000004">
      <c r="A255" s="17"/>
      <c r="B255"/>
      <c r="C255"/>
      <c r="D255"/>
      <c r="E255"/>
      <c r="F255" s="49">
        <v>44958</v>
      </c>
      <c r="G255" s="92">
        <v>147.52000000000001</v>
      </c>
      <c r="H255"/>
      <c r="I255"/>
      <c r="J255"/>
      <c r="K255"/>
      <c r="L255"/>
      <c r="M255" s="58">
        <v>145.44285714285712</v>
      </c>
      <c r="O255" s="58">
        <v>144.24142857142857</v>
      </c>
      <c r="P255" s="15">
        <v>3.2785714285714391</v>
      </c>
    </row>
    <row r="256" spans="1:24" s="15" customFormat="1" x14ac:dyDescent="0.55000000000000004">
      <c r="A256" s="17"/>
      <c r="B256"/>
      <c r="C256"/>
      <c r="D256"/>
      <c r="E256"/>
      <c r="F256" s="49">
        <v>44986</v>
      </c>
      <c r="G256" s="92">
        <v>147.02000000000001</v>
      </c>
      <c r="H256"/>
      <c r="I256"/>
      <c r="J256"/>
      <c r="K256"/>
      <c r="L256"/>
      <c r="M256" s="58">
        <v>145.98714285714283</v>
      </c>
      <c r="O256" s="58">
        <v>144.60428571428571</v>
      </c>
      <c r="P256" s="15">
        <v>2.4157142857143015</v>
      </c>
    </row>
    <row r="257" spans="1:16" s="15" customFormat="1" x14ac:dyDescent="0.55000000000000004">
      <c r="A257" s="17"/>
      <c r="B257"/>
      <c r="C257"/>
      <c r="D257"/>
      <c r="E257"/>
      <c r="F257" s="49">
        <v>45017</v>
      </c>
      <c r="G257" s="92">
        <v>148.88</v>
      </c>
      <c r="H257"/>
      <c r="I257"/>
      <c r="J257"/>
      <c r="K257"/>
      <c r="L257"/>
      <c r="M257" s="58">
        <v>146.65571428571428</v>
      </c>
      <c r="O257" s="58">
        <v>145.23142857142858</v>
      </c>
      <c r="P257" s="15">
        <v>3.6485714285714153</v>
      </c>
    </row>
    <row r="258" spans="1:16" s="15" customFormat="1" x14ac:dyDescent="0.55000000000000004">
      <c r="A258" s="17"/>
      <c r="B258"/>
      <c r="C258"/>
      <c r="D258"/>
      <c r="E258"/>
      <c r="F258" s="49">
        <v>45047</v>
      </c>
      <c r="G258" s="92">
        <v>146.16</v>
      </c>
      <c r="H258"/>
      <c r="I258"/>
      <c r="J258"/>
      <c r="K258"/>
      <c r="L258"/>
      <c r="M258" s="58">
        <v>147.03571428571428</v>
      </c>
      <c r="O258" s="58">
        <v>145.44285714285712</v>
      </c>
      <c r="P258" s="15">
        <v>0.71714285714287485</v>
      </c>
    </row>
    <row r="259" spans="1:16" s="15" customFormat="1" x14ac:dyDescent="0.55000000000000004">
      <c r="A259" s="17"/>
      <c r="B259"/>
      <c r="C259"/>
      <c r="D259"/>
      <c r="E259"/>
      <c r="F259" s="49">
        <v>45078</v>
      </c>
      <c r="G259" s="92">
        <v>146.55000000000001</v>
      </c>
      <c r="H259"/>
      <c r="I259"/>
      <c r="J259"/>
      <c r="K259"/>
      <c r="L259"/>
      <c r="M259" s="58">
        <v>146.84571428571425</v>
      </c>
      <c r="O259" s="58">
        <v>145.98714285714283</v>
      </c>
      <c r="P259" s="15">
        <v>0.56285714285718313</v>
      </c>
    </row>
    <row r="260" spans="1:16" s="15" customFormat="1" x14ac:dyDescent="0.55000000000000004">
      <c r="A260" s="17"/>
      <c r="B260"/>
      <c r="C260"/>
      <c r="D260"/>
      <c r="E260"/>
      <c r="F260" s="49">
        <v>45108</v>
      </c>
      <c r="G260" s="92">
        <v>146.97999999999999</v>
      </c>
      <c r="H260"/>
      <c r="I260"/>
      <c r="J260"/>
      <c r="K260"/>
      <c r="L260"/>
      <c r="M260" s="58">
        <v>146.73714285714283</v>
      </c>
      <c r="O260" s="58">
        <v>146.65571428571428</v>
      </c>
      <c r="P260" s="15">
        <v>0.32428571428570763</v>
      </c>
    </row>
    <row r="261" spans="1:16" s="15" customFormat="1" x14ac:dyDescent="0.55000000000000004">
      <c r="A261" s="17"/>
      <c r="B261"/>
      <c r="C261"/>
      <c r="D261"/>
      <c r="E261"/>
      <c r="F261" s="49">
        <v>45139</v>
      </c>
      <c r="G261" s="92">
        <v>146.13999999999999</v>
      </c>
      <c r="H261"/>
      <c r="I261"/>
      <c r="J261"/>
      <c r="K261"/>
      <c r="L261"/>
      <c r="M261" s="58">
        <v>146.38428571428571</v>
      </c>
      <c r="O261" s="58">
        <v>147.03571428571428</v>
      </c>
      <c r="P261" s="15">
        <v>-0.89571428571429124</v>
      </c>
    </row>
    <row r="262" spans="1:16" s="15" customFormat="1" x14ac:dyDescent="0.55000000000000004">
      <c r="A262" s="17"/>
      <c r="B262"/>
      <c r="C262"/>
      <c r="D262"/>
      <c r="E262"/>
      <c r="F262" s="49">
        <v>45170</v>
      </c>
      <c r="G262" s="92">
        <v>146.19</v>
      </c>
      <c r="H262"/>
      <c r="I262"/>
      <c r="J262"/>
      <c r="K262"/>
      <c r="L262"/>
      <c r="M262" s="58">
        <v>146.59142857142857</v>
      </c>
      <c r="O262" s="58">
        <v>146.84571428571425</v>
      </c>
      <c r="P262" s="15">
        <v>-0.65571428571425372</v>
      </c>
    </row>
    <row r="263" spans="1:16" s="15" customFormat="1" x14ac:dyDescent="0.55000000000000004">
      <c r="A263" s="17"/>
      <c r="B263"/>
      <c r="C263"/>
      <c r="D263"/>
      <c r="E263"/>
      <c r="F263" s="49">
        <v>45200</v>
      </c>
      <c r="G263" s="92">
        <v>146.26</v>
      </c>
      <c r="H263"/>
      <c r="I263"/>
      <c r="J263"/>
      <c r="K263"/>
      <c r="L263"/>
      <c r="M263" s="58">
        <v>146.86999999999998</v>
      </c>
      <c r="O263" s="58">
        <v>146.73714285714283</v>
      </c>
      <c r="P263" s="15">
        <v>-0.47714285714283733</v>
      </c>
    </row>
    <row r="264" spans="1:16" s="15" customFormat="1" x14ac:dyDescent="0.55000000000000004">
      <c r="A264" s="17"/>
      <c r="B264"/>
      <c r="C264"/>
      <c r="D264"/>
      <c r="E264"/>
      <c r="F264" s="49">
        <v>45231</v>
      </c>
      <c r="G264" s="92">
        <v>146.41</v>
      </c>
      <c r="H264"/>
      <c r="I264"/>
      <c r="J264"/>
      <c r="K264"/>
      <c r="L264"/>
      <c r="M264" s="58" t="e">
        <v>#REF!</v>
      </c>
      <c r="O264" s="58">
        <v>146.38428571428571</v>
      </c>
      <c r="P264" s="15">
        <v>2.5714285714286689E-2</v>
      </c>
    </row>
    <row r="265" spans="1:16" s="15" customFormat="1" x14ac:dyDescent="0.55000000000000004">
      <c r="A265" s="17"/>
      <c r="B265"/>
      <c r="C265"/>
      <c r="D265"/>
      <c r="E265"/>
      <c r="F265" s="49">
        <v>45261</v>
      </c>
      <c r="G265" s="92">
        <v>147.61000000000001</v>
      </c>
      <c r="H265"/>
      <c r="I265"/>
      <c r="J265"/>
      <c r="K265"/>
      <c r="L265"/>
      <c r="M265" s="58" t="e">
        <v>#REF!</v>
      </c>
      <c r="O265" s="58">
        <v>146.59142857142857</v>
      </c>
      <c r="P265" s="15">
        <v>1.0185714285714482</v>
      </c>
    </row>
    <row r="266" spans="1:16" s="15" customFormat="1" x14ac:dyDescent="0.55000000000000004">
      <c r="A266" s="17"/>
      <c r="B266"/>
      <c r="C266"/>
      <c r="D266"/>
      <c r="E266"/>
      <c r="F266" s="49">
        <v>45292</v>
      </c>
      <c r="G266" s="92">
        <v>148.5</v>
      </c>
      <c r="H266"/>
      <c r="I266"/>
      <c r="J266"/>
      <c r="K266"/>
      <c r="L266"/>
      <c r="M266" s="58" t="e">
        <v>#REF!</v>
      </c>
      <c r="O266" s="58">
        <v>146.86999999999998</v>
      </c>
      <c r="P266" s="15">
        <v>1.6300000000000239</v>
      </c>
    </row>
  </sheetData>
  <mergeCells count="2">
    <mergeCell ref="A4:J4"/>
    <mergeCell ref="D17:D18"/>
  </mergeCells>
  <pageMargins left="0.511811024" right="0.511811024" top="0.78740157499999996" bottom="0.78740157499999996" header="0.31496062000000002" footer="0.31496062000000002"/>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66F1A-91B8-442B-90B0-095CFABDEE15}">
  <sheetPr codeName="Planilha97">
    <tabColor theme="9" tint="0.59999389629810485"/>
  </sheetPr>
  <dimension ref="A1:AD273"/>
  <sheetViews>
    <sheetView showGridLines="0" zoomScaleNormal="100" workbookViewId="0">
      <selection activeCell="L20" sqref="L20"/>
    </sheetView>
  </sheetViews>
  <sheetFormatPr defaultColWidth="8.796875" defaultRowHeight="18" x14ac:dyDescent="0.55000000000000004"/>
  <cols>
    <col min="1" max="1" width="12.6640625" style="17" customWidth="1"/>
    <col min="2" max="2" width="51.6640625" customWidth="1"/>
    <col min="4" max="4" width="8.6640625" customWidth="1"/>
    <col min="5" max="5" width="8.6640625" bestFit="1" customWidth="1"/>
    <col min="6" max="6" width="7.1328125" bestFit="1" customWidth="1"/>
    <col min="7" max="7" width="10.33203125" bestFit="1" customWidth="1"/>
    <col min="8" max="8" width="12.1328125" customWidth="1"/>
    <col min="9" max="9" width="11.6640625" customWidth="1"/>
    <col min="10" max="10" width="10.33203125" customWidth="1"/>
    <col min="11" max="11" width="3.6640625" customWidth="1"/>
    <col min="12" max="12" width="9" style="15" customWidth="1"/>
    <col min="13" max="14" width="15.6640625" style="15" bestFit="1" customWidth="1"/>
    <col min="15" max="21" width="9" style="15" customWidth="1"/>
    <col min="22" max="30" width="8.796875" style="15"/>
  </cols>
  <sheetData>
    <row r="1" spans="1:30" x14ac:dyDescent="0.55000000000000004">
      <c r="A1" s="83" t="s">
        <v>1153</v>
      </c>
      <c r="L1" s="14"/>
      <c r="M1" s="14"/>
      <c r="N1" s="14"/>
      <c r="O1" s="14"/>
      <c r="P1" s="14"/>
      <c r="Q1" s="14"/>
      <c r="R1" s="14"/>
      <c r="S1" s="14"/>
      <c r="T1" s="14"/>
      <c r="U1" s="14"/>
      <c r="V1" s="14"/>
      <c r="W1" s="14"/>
      <c r="X1" s="14"/>
      <c r="Y1" s="14"/>
      <c r="Z1" s="14"/>
      <c r="AA1" s="14"/>
      <c r="AB1" s="14"/>
      <c r="AC1" s="14"/>
      <c r="AD1" s="14"/>
    </row>
    <row r="2" spans="1:30" x14ac:dyDescent="0.55000000000000004">
      <c r="A2" s="17" t="s">
        <v>1154</v>
      </c>
      <c r="L2" s="14"/>
      <c r="M2" s="14"/>
      <c r="N2" s="14"/>
      <c r="O2" s="14"/>
      <c r="P2" s="14"/>
      <c r="Q2" s="14"/>
      <c r="R2" s="14"/>
      <c r="S2" s="14"/>
      <c r="T2" s="14"/>
      <c r="U2" s="14"/>
      <c r="V2" s="14"/>
      <c r="W2" s="14"/>
      <c r="X2" s="14"/>
      <c r="Y2" s="14"/>
      <c r="Z2" s="14"/>
      <c r="AA2" s="14"/>
      <c r="AB2" s="14"/>
      <c r="AC2" s="14"/>
      <c r="AD2" s="14"/>
    </row>
    <row r="4" spans="1:30" ht="42" customHeight="1" x14ac:dyDescent="0.45">
      <c r="A4" s="172" t="s">
        <v>1133</v>
      </c>
      <c r="B4" s="172"/>
      <c r="C4" s="172"/>
      <c r="D4" s="172"/>
      <c r="E4" s="172"/>
      <c r="F4" s="172"/>
      <c r="G4" s="172"/>
      <c r="H4" s="172"/>
      <c r="I4" s="172"/>
      <c r="J4" s="172"/>
      <c r="K4" s="172"/>
    </row>
    <row r="6" spans="1:30" ht="15.75" x14ac:dyDescent="0.5">
      <c r="A6" s="2" t="s">
        <v>15</v>
      </c>
      <c r="B6" s="2" t="s">
        <v>16</v>
      </c>
    </row>
    <row r="7" spans="1:30" ht="15.75" x14ac:dyDescent="0.45">
      <c r="A7" s="23" t="s">
        <v>2</v>
      </c>
      <c r="B7" s="26" t="s">
        <v>1278</v>
      </c>
    </row>
    <row r="8" spans="1:30" ht="15.75" x14ac:dyDescent="0.45">
      <c r="A8" s="23" t="s">
        <v>1135</v>
      </c>
      <c r="B8" s="26" t="s">
        <v>1148</v>
      </c>
    </row>
    <row r="9" spans="1:30" ht="15.75" x14ac:dyDescent="0.45">
      <c r="A9" s="23" t="s">
        <v>1136</v>
      </c>
      <c r="B9" s="26" t="s">
        <v>1149</v>
      </c>
    </row>
    <row r="10" spans="1:30" ht="31.5" x14ac:dyDescent="0.45">
      <c r="A10" s="23" t="s">
        <v>848</v>
      </c>
      <c r="B10" s="26" t="s">
        <v>1150</v>
      </c>
    </row>
    <row r="11" spans="1:30" ht="15.75" x14ac:dyDescent="0.45">
      <c r="A11" s="23" t="s">
        <v>1274</v>
      </c>
      <c r="B11" s="26" t="s">
        <v>1151</v>
      </c>
    </row>
    <row r="12" spans="1:30" ht="31.5" x14ac:dyDescent="0.45">
      <c r="A12" s="23" t="s">
        <v>1272</v>
      </c>
      <c r="B12" s="26" t="s">
        <v>1275</v>
      </c>
    </row>
    <row r="13" spans="1:30" ht="31.5" x14ac:dyDescent="0.45">
      <c r="A13" s="23" t="s">
        <v>1273</v>
      </c>
      <c r="B13" s="26" t="s">
        <v>1276</v>
      </c>
    </row>
    <row r="14" spans="1:30" ht="95.25" customHeight="1" x14ac:dyDescent="0.45">
      <c r="A14" s="23" t="s">
        <v>990</v>
      </c>
      <c r="B14" s="26" t="s">
        <v>1155</v>
      </c>
    </row>
    <row r="16" spans="1:30" x14ac:dyDescent="0.55000000000000004">
      <c r="G16" s="1" t="s">
        <v>1145</v>
      </c>
    </row>
    <row r="17" spans="4:30" x14ac:dyDescent="0.55000000000000004">
      <c r="H17" s="1" t="s">
        <v>1143</v>
      </c>
    </row>
    <row r="18" spans="4:30" x14ac:dyDescent="0.55000000000000004">
      <c r="H18" s="1" t="s">
        <v>1144</v>
      </c>
    </row>
    <row r="19" spans="4:30" ht="18.399999999999999" thickBot="1" x14ac:dyDescent="0.6">
      <c r="L19" s="60" t="s">
        <v>192</v>
      </c>
      <c r="M19" s="60"/>
      <c r="N19" s="60"/>
      <c r="O19" s="60"/>
      <c r="V19" s="60" t="s">
        <v>1141</v>
      </c>
      <c r="W19" s="60"/>
    </row>
    <row r="20" spans="4:30" ht="18.75" customHeight="1" thickTop="1" thickBot="1" x14ac:dyDescent="0.6">
      <c r="D20" t="s">
        <v>1102</v>
      </c>
      <c r="E20" s="13" t="s">
        <v>165</v>
      </c>
      <c r="G20" s="149" t="s">
        <v>1135</v>
      </c>
      <c r="H20" s="12">
        <v>2</v>
      </c>
      <c r="I20" s="12">
        <v>-1</v>
      </c>
      <c r="L20" s="27" cm="1">
        <f t="array" ref="L20:S272">_xlfn.LAMBDA(_xlpm.y,_xlpm.F,_xlpm.H,_xlpm.Q,_xlpm.r,_xlop.x,_xlop.P,_xlop.return, _xlfn.LET(_xlpm.return, IF(OR(_xlfn.ISOMITTED(_xlpm.return), ISBLANK(_xlpm.return)), "ALL", _xlpm.return), _xlpm.y, VEC(_xlpm.y), _xlpm.t, ROWS(_xlpm.y), _xlpm.k, ROWS(_xlpm.F), _xlpm.x, IF(OR(_xlfn.ISOMITTED(_xlpm.x), ISBLANK(_xlpm.x)), ZEROS(_xlpm.k, 1), _xlpm.x), _xlpm.P, IF(OR(_xlfn.ISOMITTED(_xlpm.P), ISBLANK(_xlpm.P)), 10000 * EYE(_xlpm.k), _xlpm.P), _xlpm.filter, _xlfn.REDUCE(ZEROS(_xlpm.t, _xlpm.k + _xlpm.k ^ 2 + _xlpm.k), _xlfn.SEQUENCE(_xlpm.t), _xlfn.LAMBDA(_xlpm.accum,_xlpm.j, _xlfn.LET(_xlpm.flat, INDEX(_xlpm.accum, _xlpm.j - 1), _xlpm.XX, IF(_xlpm.j = 1, _xlpm.x, TRANSPOSE(_xlfn.TAKE(_xlpm.flat, 1, _xlpm.k))), _xlpm.PP, IF(_xlpm.j = 1, _xlpm.P, RESHAPE(_xlfn.CHOOSECOLS(_xlpm.flat, _xlfn.SEQUENCE(1, _xlpm.k ^ 2, _xlpm.k + 1)), _xlpm.k, _xlpm.k)), _xlpm.update, KFILTER_UPDATE(_xlpm.F, _xlpm.H, _xlpm.Q, _xlpm.r, INDEX(_xlpm.y, _xlpm.j), _xlpm.XX, _xlpm.PP, "ALL"), _xlpm.updateFlat, _xlfn.TOROW(_xlpm.update, 0, TRUE), SLICE(_xlpm.accum, _xlpm.j, _xlpm.j, 1, _xlpm.k + _xlpm.k ^ 2 + _xlpm.k, _xlpm.updateFlat)))), _xlfn.LET(_xlpm.xFiltered, _xlfn.TAKE(_xlpm.filter, , _xlpm.k), _xlpm.PFIltered, _xlfn.CHOOSECOLS(_xlpm.filter, _xlfn.SEQUENCE(1, _xlpm.k ^ 2, _xlpm.k + 1)), _xlpm.kGainFiltered, _xlfn.CHOOSECOLS(_xlpm.filter, _xlfn.SEQUENCE(1, _xlpm.k, _xlpm.k + _xlpm.k ^ 2 + 1)), _xlpm.final, _xlfn.SWITCH(_xlpm.return, "ALL", _xlfn.HSTACK(_xlpm.xFiltered, _xlpm.PFIltered, _xlpm.kGainFiltered), "xP", _xlfn.HSTACK(_xlpm.xFiltered, _xlpm.PFIltered), "x", _xlpm.xFiltered, "P", _xlpm.PFIltered, "Kgain", _xlpm.kGainFiltered, "# return must be either ALL, xP, x, P, or Kgain"), _xlpm.final)))($E$21:$E$273, $H$20:$I$21, $H$23:$I$23, $H$26:$I$27, $H$29, $H$31:$H$32, $H$34:$I$35, $H$37)</f>
        <v>103.55968603139686</v>
      </c>
      <c r="M20" s="27">
        <v>100.41984301569843</v>
      </c>
      <c r="N20" s="27">
        <v>10004.000225039998</v>
      </c>
      <c r="O20" s="27">
        <v>1.9998000199980002</v>
      </c>
      <c r="P20" s="27">
        <v>1.9998000199980002</v>
      </c>
      <c r="Q20" s="27">
        <v>0.99990000999900008</v>
      </c>
      <c r="R20" s="27">
        <v>1.9998000199980002</v>
      </c>
      <c r="S20" s="27">
        <v>0.99990000999900008</v>
      </c>
      <c r="V20" s="27" cm="1">
        <f t="array" ref="V20:AC272">KFILTER($E$21:$E$273,$H$20:$I$21,$H$23:$I$23,$H$26:$I$27,$H$29,$H$31:$H$32,$H$34:$I$35,$H$37)</f>
        <v>103.55968603139686</v>
      </c>
      <c r="W20" s="27">
        <v>100.41984301569843</v>
      </c>
      <c r="X20" s="27">
        <v>10004.000225039998</v>
      </c>
      <c r="Y20" s="27">
        <v>1.9998000199980002</v>
      </c>
      <c r="Z20" s="27">
        <v>1.9998000199980002</v>
      </c>
      <c r="AA20" s="27">
        <v>0.99990000999900008</v>
      </c>
      <c r="AB20" s="27">
        <v>1.9998000199980002</v>
      </c>
      <c r="AC20" s="27">
        <v>0.99990000999900008</v>
      </c>
      <c r="AD20" s="27"/>
    </row>
    <row r="21" spans="4:30" ht="18.399999999999999" thickTop="1" x14ac:dyDescent="0.55000000000000004">
      <c r="D21" s="49">
        <v>37622</v>
      </c>
      <c r="E21" s="92">
        <v>100.42</v>
      </c>
      <c r="H21" s="12">
        <v>1</v>
      </c>
      <c r="I21" s="12">
        <v>0</v>
      </c>
      <c r="L21" s="27">
        <v>103.56078451354479</v>
      </c>
      <c r="M21" s="27">
        <v>101.99015689015452</v>
      </c>
      <c r="N21" s="27">
        <v>4.9989259695352191</v>
      </c>
      <c r="O21" s="27">
        <v>1.9996002198970484</v>
      </c>
      <c r="P21" s="27">
        <v>1.9996002198970484</v>
      </c>
      <c r="Q21" s="27">
        <v>0.99990004997726067</v>
      </c>
      <c r="R21" s="27">
        <v>1.9996002198970482</v>
      </c>
      <c r="S21" s="27">
        <v>0.99990004997726067</v>
      </c>
      <c r="V21" s="27">
        <v>103.56078451354479</v>
      </c>
      <c r="W21" s="27">
        <v>101.99015689015452</v>
      </c>
      <c r="X21" s="27">
        <v>4.9989259695352191</v>
      </c>
      <c r="Y21" s="27">
        <v>1.9996002198970484</v>
      </c>
      <c r="Z21" s="27">
        <v>1.9996002198970484</v>
      </c>
      <c r="AA21" s="27">
        <v>0.99990004997726067</v>
      </c>
      <c r="AB21" s="27">
        <v>1.9996002198970482</v>
      </c>
      <c r="AC21" s="27">
        <v>0.99990004997726067</v>
      </c>
      <c r="AD21" s="27"/>
    </row>
    <row r="22" spans="4:30" ht="18.399999999999999" thickBot="1" x14ac:dyDescent="0.6">
      <c r="D22" s="49">
        <v>37653</v>
      </c>
      <c r="E22" s="92">
        <v>101.99</v>
      </c>
      <c r="L22" s="27">
        <v>102.78379227396738</v>
      </c>
      <c r="M22" s="27">
        <v>102.09351662655727</v>
      </c>
      <c r="N22" s="27">
        <v>2.3339140599036643</v>
      </c>
      <c r="O22" s="27">
        <v>1.3332806171957268</v>
      </c>
      <c r="P22" s="27">
        <v>1.3332806171957268</v>
      </c>
      <c r="Q22" s="27">
        <v>0.83330349381233026</v>
      </c>
      <c r="R22" s="27">
        <v>1.3332806171957268</v>
      </c>
      <c r="S22" s="27">
        <v>0.83330349381233026</v>
      </c>
      <c r="T22" s="53"/>
      <c r="U22" s="53"/>
      <c r="V22" s="27">
        <v>102.78379227396738</v>
      </c>
      <c r="W22" s="27">
        <v>102.09351662655727</v>
      </c>
      <c r="X22" s="27">
        <v>2.3339140599036643</v>
      </c>
      <c r="Y22" s="27">
        <v>1.3332806171957268</v>
      </c>
      <c r="Z22" s="27">
        <v>1.3332806171957268</v>
      </c>
      <c r="AA22" s="27">
        <v>0.83330349381233026</v>
      </c>
      <c r="AB22" s="27">
        <v>1.3332806171957268</v>
      </c>
      <c r="AC22" s="27">
        <v>0.83330349381233026</v>
      </c>
    </row>
    <row r="23" spans="4:30" ht="18.75" thickTop="1" thickBot="1" x14ac:dyDescent="0.6">
      <c r="D23" s="49">
        <v>37681</v>
      </c>
      <c r="E23" s="92">
        <v>101.8</v>
      </c>
      <c r="G23" s="149" t="s">
        <v>1136</v>
      </c>
      <c r="H23" s="12">
        <v>1</v>
      </c>
      <c r="I23" s="12">
        <v>0</v>
      </c>
      <c r="L23" s="27">
        <v>101.69993862739065</v>
      </c>
      <c r="M23" s="27">
        <v>101.54204499039146</v>
      </c>
      <c r="N23" s="27">
        <v>1.5012811989706099</v>
      </c>
      <c r="O23" s="27">
        <v>1.0001899997110171</v>
      </c>
      <c r="P23" s="27">
        <v>1.0001899997110171</v>
      </c>
      <c r="Q23" s="27">
        <v>0.70005225628734546</v>
      </c>
      <c r="R23" s="27">
        <v>1.0001899997110171</v>
      </c>
      <c r="S23" s="27">
        <v>0.70005225628734546</v>
      </c>
      <c r="T23" s="53"/>
      <c r="U23" s="53"/>
      <c r="V23" s="27">
        <v>101.69993862739065</v>
      </c>
      <c r="W23" s="27">
        <v>101.54204499039146</v>
      </c>
      <c r="X23" s="27">
        <v>1.5012811989706099</v>
      </c>
      <c r="Y23" s="27">
        <v>1.0001899997110171</v>
      </c>
      <c r="Z23" s="27">
        <v>1.0001899997110171</v>
      </c>
      <c r="AA23" s="27">
        <v>0.70005225628734546</v>
      </c>
      <c r="AB23" s="27">
        <v>1.0001899997110171</v>
      </c>
      <c r="AC23" s="27">
        <v>0.70005225628734546</v>
      </c>
    </row>
    <row r="24" spans="4:30" ht="18.399999999999999" thickTop="1" x14ac:dyDescent="0.55000000000000004">
      <c r="D24" s="49">
        <v>37712</v>
      </c>
      <c r="E24" s="92">
        <v>101.01</v>
      </c>
      <c r="L24" s="27">
        <v>100.47294944531902</v>
      </c>
      <c r="M24" s="27">
        <v>100.66162100930619</v>
      </c>
      <c r="N24" s="27">
        <v>1.1020654576337721</v>
      </c>
      <c r="O24" s="27">
        <v>0.80053869954896284</v>
      </c>
      <c r="P24" s="27">
        <v>0.80053869954896295</v>
      </c>
      <c r="Q24" s="27">
        <v>0.60020488683497675</v>
      </c>
      <c r="R24" s="27">
        <v>0.80053869954896295</v>
      </c>
      <c r="S24" s="27">
        <v>0.60020488683497675</v>
      </c>
      <c r="T24" s="53"/>
      <c r="U24" s="53"/>
      <c r="V24" s="27">
        <v>100.47294944531902</v>
      </c>
      <c r="W24" s="27">
        <v>100.66162100930619</v>
      </c>
      <c r="X24" s="27">
        <v>1.1020654576337721</v>
      </c>
      <c r="Y24" s="27">
        <v>0.80053869954896284</v>
      </c>
      <c r="Z24" s="27">
        <v>0.80053869954896295</v>
      </c>
      <c r="AA24" s="27">
        <v>0.60020488683497675</v>
      </c>
      <c r="AB24" s="27">
        <v>0.80053869954896295</v>
      </c>
      <c r="AC24" s="27">
        <v>0.60020488683497675</v>
      </c>
    </row>
    <row r="25" spans="4:30" ht="18.399999999999999" thickBot="1" x14ac:dyDescent="0.6">
      <c r="D25" s="49">
        <v>37742</v>
      </c>
      <c r="E25" s="92">
        <v>99.97</v>
      </c>
      <c r="L25" s="27">
        <v>100.06196070848623</v>
      </c>
      <c r="M25" s="27">
        <v>100.29839156868779</v>
      </c>
      <c r="N25" s="27">
        <v>0.86972961153716077</v>
      </c>
      <c r="O25" s="27">
        <v>0.66772050823696039</v>
      </c>
      <c r="P25" s="27">
        <v>0.6677205082369605</v>
      </c>
      <c r="Q25" s="27">
        <v>0.52427742134839694</v>
      </c>
      <c r="R25" s="27">
        <v>0.6677205082369605</v>
      </c>
      <c r="S25" s="27">
        <v>0.52427742134839694</v>
      </c>
      <c r="T25" s="53"/>
      <c r="U25" s="53"/>
      <c r="V25" s="27">
        <v>100.06196070848623</v>
      </c>
      <c r="W25" s="27">
        <v>100.29839156868779</v>
      </c>
      <c r="X25" s="27">
        <v>0.86972961153716077</v>
      </c>
      <c r="Y25" s="27">
        <v>0.66772050823696039</v>
      </c>
      <c r="Z25" s="27">
        <v>0.6677205082369605</v>
      </c>
      <c r="AA25" s="27">
        <v>0.52427742134839694</v>
      </c>
      <c r="AB25" s="27">
        <v>0.6677205082369605</v>
      </c>
      <c r="AC25" s="27">
        <v>0.52427742134839694</v>
      </c>
    </row>
    <row r="26" spans="4:30" ht="18.75" thickTop="1" thickBot="1" x14ac:dyDescent="0.6">
      <c r="D26" s="49">
        <v>37773</v>
      </c>
      <c r="E26" s="92">
        <v>100.14</v>
      </c>
      <c r="G26" s="149" t="s">
        <v>848</v>
      </c>
      <c r="H26" s="150">
        <f>1/1600</f>
        <v>6.2500000000000001E-4</v>
      </c>
      <c r="I26" s="12">
        <v>0</v>
      </c>
      <c r="L26" s="27">
        <v>99.182416148639888</v>
      </c>
      <c r="M26" s="27">
        <v>99.540065753659334</v>
      </c>
      <c r="N26" s="27">
        <v>0.71861264225184218</v>
      </c>
      <c r="O26" s="27">
        <v>0.57320518872044413</v>
      </c>
      <c r="P26" s="27">
        <v>0.57320518872044413</v>
      </c>
      <c r="Q26" s="27">
        <v>0.46516330819734408</v>
      </c>
      <c r="R26" s="27">
        <v>0.57320518872044424</v>
      </c>
      <c r="S26" s="27">
        <v>0.46516330819734408</v>
      </c>
      <c r="T26" s="53"/>
      <c r="U26" s="53"/>
      <c r="V26" s="27">
        <v>99.182416148639888</v>
      </c>
      <c r="W26" s="27">
        <v>99.540065753659334</v>
      </c>
      <c r="X26" s="27">
        <v>0.71861264225184218</v>
      </c>
      <c r="Y26" s="27">
        <v>0.57320518872044413</v>
      </c>
      <c r="Z26" s="27">
        <v>0.57320518872044413</v>
      </c>
      <c r="AA26" s="27">
        <v>0.46516330819734408</v>
      </c>
      <c r="AB26" s="27">
        <v>0.57320518872044424</v>
      </c>
      <c r="AC26" s="27">
        <v>0.46516330819734408</v>
      </c>
    </row>
    <row r="27" spans="4:30" ht="18.399999999999999" thickTop="1" x14ac:dyDescent="0.55000000000000004">
      <c r="D27" s="49">
        <v>37803</v>
      </c>
      <c r="E27" s="92">
        <v>98.94</v>
      </c>
      <c r="H27" s="12">
        <v>0</v>
      </c>
      <c r="I27" s="12">
        <v>0</v>
      </c>
      <c r="L27" s="27">
        <v>99.145307220896157</v>
      </c>
      <c r="M27" s="27">
        <v>99.449012474547658</v>
      </c>
      <c r="N27" s="27">
        <v>0.61303825826053504</v>
      </c>
      <c r="O27" s="27">
        <v>0.50274277899593645</v>
      </c>
      <c r="P27" s="27">
        <v>0.50274277899593645</v>
      </c>
      <c r="Q27" s="27">
        <v>0.41813531716505203</v>
      </c>
      <c r="R27" s="27">
        <v>0.50274277899593645</v>
      </c>
      <c r="S27" s="27">
        <v>0.41813531716505203</v>
      </c>
      <c r="T27" s="53"/>
      <c r="U27" s="53"/>
      <c r="V27" s="27">
        <v>99.145307220896157</v>
      </c>
      <c r="W27" s="27">
        <v>99.449012474547658</v>
      </c>
      <c r="X27" s="27">
        <v>0.61303825826053504</v>
      </c>
      <c r="Y27" s="27">
        <v>0.50274277899593645</v>
      </c>
      <c r="Z27" s="27">
        <v>0.50274277899593645</v>
      </c>
      <c r="AA27" s="27">
        <v>0.41813531716505203</v>
      </c>
      <c r="AB27" s="27">
        <v>0.50274277899593645</v>
      </c>
      <c r="AC27" s="27">
        <v>0.41813531716505203</v>
      </c>
    </row>
    <row r="28" spans="4:30" ht="18.399999999999999" thickBot="1" x14ac:dyDescent="0.6">
      <c r="D28" s="49">
        <v>37834</v>
      </c>
      <c r="E28" s="92">
        <v>99.82</v>
      </c>
      <c r="L28" s="27">
        <v>99.969264077750438</v>
      </c>
      <c r="M28" s="27">
        <v>100.1010209948674</v>
      </c>
      <c r="N28" s="27">
        <v>0.53557813860286352</v>
      </c>
      <c r="O28" s="27">
        <v>0.44842937470383426</v>
      </c>
      <c r="P28" s="27">
        <v>0.44842937470383426</v>
      </c>
      <c r="Q28" s="27">
        <v>0.38005190213009699</v>
      </c>
      <c r="R28" s="27">
        <v>0.4484293747038342</v>
      </c>
      <c r="S28" s="27">
        <v>0.38005190213009699</v>
      </c>
      <c r="T28" s="53"/>
      <c r="U28" s="53"/>
      <c r="V28" s="27">
        <v>99.969264077750438</v>
      </c>
      <c r="W28" s="27">
        <v>100.1010209948674</v>
      </c>
      <c r="X28" s="27">
        <v>0.53557813860286352</v>
      </c>
      <c r="Y28" s="27">
        <v>0.44842937470383426</v>
      </c>
      <c r="Z28" s="27">
        <v>0.44842937470383426</v>
      </c>
      <c r="AA28" s="27">
        <v>0.38005190213009699</v>
      </c>
      <c r="AB28" s="27">
        <v>0.4484293747038342</v>
      </c>
      <c r="AC28" s="27">
        <v>0.38005190213009699</v>
      </c>
    </row>
    <row r="29" spans="4:30" ht="18.75" thickTop="1" thickBot="1" x14ac:dyDescent="0.6">
      <c r="D29" s="49">
        <v>37865</v>
      </c>
      <c r="E29" s="92">
        <v>101.66</v>
      </c>
      <c r="G29" s="149" t="s">
        <v>1137</v>
      </c>
      <c r="H29" s="12">
        <v>1</v>
      </c>
      <c r="L29" s="27">
        <v>100.6042621011426</v>
      </c>
      <c r="M29" s="27">
        <v>100.62871396204569</v>
      </c>
      <c r="N29" s="27">
        <v>0.47673593539626019</v>
      </c>
      <c r="O29" s="27">
        <v>0.40553253973026537</v>
      </c>
      <c r="P29" s="27">
        <v>0.40553253973026548</v>
      </c>
      <c r="Q29" s="27">
        <v>0.34877947604161391</v>
      </c>
      <c r="R29" s="27">
        <v>0.40553253973026543</v>
      </c>
      <c r="S29" s="27">
        <v>0.34877947604161391</v>
      </c>
      <c r="T29" s="53"/>
      <c r="U29" s="53"/>
      <c r="V29" s="27">
        <v>100.6042621011426</v>
      </c>
      <c r="W29" s="27">
        <v>100.62871396204569</v>
      </c>
      <c r="X29" s="27">
        <v>0.47673593539626019</v>
      </c>
      <c r="Y29" s="27">
        <v>0.40553253973026537</v>
      </c>
      <c r="Z29" s="27">
        <v>0.40553253973026548</v>
      </c>
      <c r="AA29" s="27">
        <v>0.34877947604161391</v>
      </c>
      <c r="AB29" s="27">
        <v>0.40553253973026543</v>
      </c>
      <c r="AC29" s="27">
        <v>0.34877947604161391</v>
      </c>
    </row>
    <row r="30" spans="4:30" ht="18.75" thickTop="1" thickBot="1" x14ac:dyDescent="0.6">
      <c r="D30" s="49">
        <v>37895</v>
      </c>
      <c r="E30" s="92">
        <v>101.86</v>
      </c>
      <c r="L30" s="27">
        <v>101.09769544388827</v>
      </c>
      <c r="M30" s="27">
        <v>101.05484937055935</v>
      </c>
      <c r="N30" s="27">
        <v>0.43090648259473807</v>
      </c>
      <c r="O30" s="27">
        <v>0.37104760433369122</v>
      </c>
      <c r="P30" s="27">
        <v>0.37104760433369133</v>
      </c>
      <c r="Q30" s="27">
        <v>0.32283086228841257</v>
      </c>
      <c r="R30" s="27">
        <v>0.37104760433369127</v>
      </c>
      <c r="S30" s="27">
        <v>0.32283086228841257</v>
      </c>
      <c r="T30" s="53"/>
      <c r="U30" s="53"/>
      <c r="V30" s="27">
        <v>101.09769544388827</v>
      </c>
      <c r="W30" s="27">
        <v>101.05484937055935</v>
      </c>
      <c r="X30" s="27">
        <v>0.43090648259473807</v>
      </c>
      <c r="Y30" s="27">
        <v>0.37104760433369122</v>
      </c>
      <c r="Z30" s="27">
        <v>0.37104760433369133</v>
      </c>
      <c r="AA30" s="27">
        <v>0.32283086228841257</v>
      </c>
      <c r="AB30" s="27">
        <v>0.37104760433369127</v>
      </c>
      <c r="AC30" s="27">
        <v>0.32283086228841257</v>
      </c>
    </row>
    <row r="31" spans="4:30" ht="18.75" thickTop="1" thickBot="1" x14ac:dyDescent="0.6">
      <c r="D31" s="49">
        <v>37926</v>
      </c>
      <c r="E31" s="92">
        <v>102</v>
      </c>
      <c r="G31" s="149" t="s">
        <v>1272</v>
      </c>
      <c r="H31" s="12">
        <v>98.85</v>
      </c>
      <c r="L31" s="27">
        <v>101.42943104595918</v>
      </c>
      <c r="M31" s="27">
        <v>101.35134898306957</v>
      </c>
      <c r="N31" s="27">
        <v>0.39457105367247181</v>
      </c>
      <c r="O31" s="27">
        <v>0.34297514675162705</v>
      </c>
      <c r="P31" s="27">
        <v>0.34297514675162721</v>
      </c>
      <c r="Q31" s="27">
        <v>0.30114230932363423</v>
      </c>
      <c r="R31" s="27">
        <v>0.34297514675162716</v>
      </c>
      <c r="S31" s="27">
        <v>0.30114230932363423</v>
      </c>
      <c r="T31" s="53"/>
      <c r="U31" s="53"/>
      <c r="V31" s="27">
        <v>101.42943104595918</v>
      </c>
      <c r="W31" s="27">
        <v>101.35134898306957</v>
      </c>
      <c r="X31" s="27">
        <v>0.39457105367247181</v>
      </c>
      <c r="Y31" s="27">
        <v>0.34297514675162705</v>
      </c>
      <c r="Z31" s="27">
        <v>0.34297514675162721</v>
      </c>
      <c r="AA31" s="27">
        <v>0.30114230932363423</v>
      </c>
      <c r="AB31" s="27">
        <v>0.34297514675162716</v>
      </c>
      <c r="AC31" s="27">
        <v>0.30114230932363423</v>
      </c>
    </row>
    <row r="32" spans="4:30" ht="18.399999999999999" thickTop="1" x14ac:dyDescent="0.55000000000000004">
      <c r="D32" s="49">
        <v>37956</v>
      </c>
      <c r="E32" s="92">
        <v>101.94</v>
      </c>
      <c r="H32" s="12">
        <v>97.28</v>
      </c>
      <c r="L32" s="27">
        <v>102.21474335632098</v>
      </c>
      <c r="M32" s="27">
        <v>102.05487534950657</v>
      </c>
      <c r="N32" s="27">
        <v>0.3654081515455917</v>
      </c>
      <c r="O32" s="27">
        <v>0.31993132183432149</v>
      </c>
      <c r="P32" s="27">
        <v>0.3199313218343216</v>
      </c>
      <c r="Q32" s="27">
        <v>0.28293363226879403</v>
      </c>
      <c r="R32" s="27">
        <v>0.3199313218343216</v>
      </c>
      <c r="S32" s="27">
        <v>0.28293363226879409</v>
      </c>
      <c r="T32" s="53"/>
      <c r="U32" s="53"/>
      <c r="V32" s="27">
        <v>102.21474335632098</v>
      </c>
      <c r="W32" s="27">
        <v>102.05487534950657</v>
      </c>
      <c r="X32" s="27">
        <v>0.3654081515455917</v>
      </c>
      <c r="Y32" s="27">
        <v>0.31993132183432149</v>
      </c>
      <c r="Z32" s="27">
        <v>0.3199313218343216</v>
      </c>
      <c r="AA32" s="27">
        <v>0.28293363226879403</v>
      </c>
      <c r="AB32" s="27">
        <v>0.3199313218343216</v>
      </c>
      <c r="AC32" s="27">
        <v>0.28293363226879409</v>
      </c>
    </row>
    <row r="33" spans="4:29" ht="18.399999999999999" thickBot="1" x14ac:dyDescent="0.6">
      <c r="D33" s="49">
        <v>37987</v>
      </c>
      <c r="E33" s="92">
        <v>103.64</v>
      </c>
      <c r="L33" s="27">
        <v>103.06831993061253</v>
      </c>
      <c r="M33" s="27">
        <v>102.83167212450756</v>
      </c>
      <c r="N33" s="27">
        <v>0.34182052858483347</v>
      </c>
      <c r="O33" s="27">
        <v>0.30092465816302261</v>
      </c>
      <c r="P33" s="27">
        <v>0.30092465816302272</v>
      </c>
      <c r="Q33" s="27">
        <v>0.26761825841742859</v>
      </c>
      <c r="R33" s="27">
        <v>0.30092465816302272</v>
      </c>
      <c r="S33" s="27">
        <v>0.26761825841742864</v>
      </c>
      <c r="T33" s="53"/>
      <c r="U33" s="53"/>
      <c r="V33" s="27">
        <v>103.06831993061253</v>
      </c>
      <c r="W33" s="27">
        <v>102.83167212450756</v>
      </c>
      <c r="X33" s="27">
        <v>0.34182052858483347</v>
      </c>
      <c r="Y33" s="27">
        <v>0.30092465816302261</v>
      </c>
      <c r="Z33" s="27">
        <v>0.30092465816302272</v>
      </c>
      <c r="AA33" s="27">
        <v>0.26761825841742859</v>
      </c>
      <c r="AB33" s="27">
        <v>0.30092465816302272</v>
      </c>
      <c r="AC33" s="27">
        <v>0.26761825841742864</v>
      </c>
    </row>
    <row r="34" spans="4:29" ht="18.75" thickTop="1" thickBot="1" x14ac:dyDescent="0.6">
      <c r="D34" s="49">
        <v>38018</v>
      </c>
      <c r="E34" s="92">
        <v>104.52</v>
      </c>
      <c r="G34" s="149" t="s">
        <v>1273</v>
      </c>
      <c r="H34" s="12">
        <v>10000</v>
      </c>
      <c r="I34" s="12">
        <v>0</v>
      </c>
      <c r="L34" s="27">
        <v>104.09265895834392</v>
      </c>
      <c r="M34" s="27">
        <v>103.77184094627013</v>
      </c>
      <c r="N34" s="27">
        <v>0.32266769912391474</v>
      </c>
      <c r="O34" s="27">
        <v>0.2852217497449383</v>
      </c>
      <c r="P34" s="27">
        <v>0.28522174974493841</v>
      </c>
      <c r="Q34" s="27">
        <v>0.25474385083774093</v>
      </c>
      <c r="R34" s="27">
        <v>0.28522174974493841</v>
      </c>
      <c r="S34" s="27">
        <v>0.25474385083774093</v>
      </c>
      <c r="T34" s="53"/>
      <c r="U34" s="53"/>
      <c r="V34" s="27">
        <v>104.09265895834392</v>
      </c>
      <c r="W34" s="27">
        <v>103.77184094627013</v>
      </c>
      <c r="X34" s="27">
        <v>0.32266769912391474</v>
      </c>
      <c r="Y34" s="27">
        <v>0.2852217497449383</v>
      </c>
      <c r="Z34" s="27">
        <v>0.28522174974493841</v>
      </c>
      <c r="AA34" s="27">
        <v>0.25474385083774093</v>
      </c>
      <c r="AB34" s="27">
        <v>0.28522174974493841</v>
      </c>
      <c r="AC34" s="27">
        <v>0.25474385083774093</v>
      </c>
    </row>
    <row r="35" spans="4:29" ht="18.399999999999999" thickTop="1" x14ac:dyDescent="0.55000000000000004">
      <c r="D35" s="49">
        <v>38047</v>
      </c>
      <c r="E35" s="92">
        <v>105.83</v>
      </c>
      <c r="H35" s="12">
        <v>0</v>
      </c>
      <c r="I35" s="12">
        <v>10000</v>
      </c>
      <c r="L35" s="27">
        <v>105.0444034970797</v>
      </c>
      <c r="M35" s="27">
        <v>104.65797941070838</v>
      </c>
      <c r="N35" s="27">
        <v>0.30710697904157341</v>
      </c>
      <c r="O35" s="27">
        <v>0.27226313059691171</v>
      </c>
      <c r="P35" s="27">
        <v>0.27226313059691176</v>
      </c>
      <c r="Q35" s="27">
        <v>0.24395220306478921</v>
      </c>
      <c r="R35" s="27">
        <v>0.27226313059691176</v>
      </c>
      <c r="S35" s="27">
        <v>0.24395220306478918</v>
      </c>
      <c r="T35" s="53"/>
      <c r="U35" s="53"/>
      <c r="V35" s="27">
        <v>105.0444034970797</v>
      </c>
      <c r="W35" s="27">
        <v>104.65797941070838</v>
      </c>
      <c r="X35" s="27">
        <v>0.30710697904157341</v>
      </c>
      <c r="Y35" s="27">
        <v>0.27226313059691171</v>
      </c>
      <c r="Z35" s="27">
        <v>0.27226313059691176</v>
      </c>
      <c r="AA35" s="27">
        <v>0.24395220306478921</v>
      </c>
      <c r="AB35" s="27">
        <v>0.27226313059691176</v>
      </c>
      <c r="AC35" s="27">
        <v>0.24395220306478918</v>
      </c>
    </row>
    <row r="36" spans="4:29" ht="18.399999999999999" thickBot="1" x14ac:dyDescent="0.6">
      <c r="D36" s="49">
        <v>38078</v>
      </c>
      <c r="E36" s="92">
        <v>106.41</v>
      </c>
      <c r="L36" s="27">
        <v>105.76715107880054</v>
      </c>
      <c r="M36" s="27">
        <v>105.34645655364571</v>
      </c>
      <c r="N36" s="27">
        <v>0.29449521478258939</v>
      </c>
      <c r="O36" s="27">
        <v>0.26160890651579877</v>
      </c>
      <c r="P36" s="27">
        <v>0.26160890651579877</v>
      </c>
      <c r="Q36" s="27">
        <v>0.23495167875758521</v>
      </c>
      <c r="R36" s="27">
        <v>0.26160890651579877</v>
      </c>
      <c r="S36" s="27">
        <v>0.23495167875758519</v>
      </c>
      <c r="T36" s="53"/>
      <c r="U36" s="53"/>
      <c r="V36" s="27">
        <v>105.76715107880054</v>
      </c>
      <c r="W36" s="27">
        <v>105.34645655364571</v>
      </c>
      <c r="X36" s="27">
        <v>0.29449521478258939</v>
      </c>
      <c r="Y36" s="27">
        <v>0.26160890651579877</v>
      </c>
      <c r="Z36" s="27">
        <v>0.26160890651579877</v>
      </c>
      <c r="AA36" s="27">
        <v>0.23495167875758521</v>
      </c>
      <c r="AB36" s="27">
        <v>0.26160890651579877</v>
      </c>
      <c r="AC36" s="27">
        <v>0.23495167875758519</v>
      </c>
    </row>
    <row r="37" spans="4:29" ht="18.75" thickTop="1" thickBot="1" x14ac:dyDescent="0.6">
      <c r="D37" s="49">
        <v>38108</v>
      </c>
      <c r="E37" s="92">
        <v>106.33</v>
      </c>
      <c r="G37" s="149" t="s">
        <v>990</v>
      </c>
      <c r="H37" s="79" t="s">
        <v>83</v>
      </c>
      <c r="L37" s="27">
        <v>106.54768814456273</v>
      </c>
      <c r="M37" s="27">
        <v>106.090846519206</v>
      </c>
      <c r="N37" s="27">
        <v>0.28432619314599417</v>
      </c>
      <c r="O37" s="27">
        <v>0.25290284530280299</v>
      </c>
      <c r="P37" s="27">
        <v>0.25290284530280299</v>
      </c>
      <c r="Q37" s="27">
        <v>0.22749811001197856</v>
      </c>
      <c r="R37" s="27">
        <v>0.25290284530280305</v>
      </c>
      <c r="S37" s="27">
        <v>0.22749811001197859</v>
      </c>
      <c r="T37" s="53"/>
      <c r="U37" s="53"/>
      <c r="V37" s="27">
        <v>106.54768814456273</v>
      </c>
      <c r="W37" s="27">
        <v>106.090846519206</v>
      </c>
      <c r="X37" s="27">
        <v>0.28432619314599417</v>
      </c>
      <c r="Y37" s="27">
        <v>0.25290284530280299</v>
      </c>
      <c r="Z37" s="27">
        <v>0.25290284530280299</v>
      </c>
      <c r="AA37" s="27">
        <v>0.22749811001197856</v>
      </c>
      <c r="AB37" s="27">
        <v>0.25290284530280305</v>
      </c>
      <c r="AC37" s="27">
        <v>0.22749811001197859</v>
      </c>
    </row>
    <row r="38" spans="4:29" ht="18.399999999999999" thickTop="1" x14ac:dyDescent="0.55000000000000004">
      <c r="D38" s="49">
        <v>38139</v>
      </c>
      <c r="E38" s="92">
        <v>107.19</v>
      </c>
      <c r="L38" s="27">
        <v>107.28044834503861</v>
      </c>
      <c r="M38" s="27">
        <v>106.79614734369923</v>
      </c>
      <c r="N38" s="27">
        <v>0.27618998160578534</v>
      </c>
      <c r="O38" s="27">
        <v>0.24584840103256611</v>
      </c>
      <c r="P38" s="27">
        <v>0.24584840103256611</v>
      </c>
      <c r="Q38" s="27">
        <v>0.22138160434891457</v>
      </c>
      <c r="R38" s="27">
        <v>0.24584840103256611</v>
      </c>
      <c r="S38" s="27">
        <v>0.2213816043489146</v>
      </c>
      <c r="T38" s="53"/>
      <c r="U38" s="53"/>
      <c r="V38" s="27">
        <v>107.28044834503861</v>
      </c>
      <c r="W38" s="27">
        <v>106.79614734369923</v>
      </c>
      <c r="X38" s="27">
        <v>0.27618998160578534</v>
      </c>
      <c r="Y38" s="27">
        <v>0.24584840103256611</v>
      </c>
      <c r="Z38" s="27">
        <v>0.24584840103256611</v>
      </c>
      <c r="AA38" s="27">
        <v>0.22138160434891457</v>
      </c>
      <c r="AB38" s="27">
        <v>0.24584840103256611</v>
      </c>
      <c r="AC38" s="27">
        <v>0.2213816043489146</v>
      </c>
    </row>
    <row r="39" spans="4:29" x14ac:dyDescent="0.55000000000000004">
      <c r="D39" s="49">
        <v>38169</v>
      </c>
      <c r="E39" s="92">
        <v>107.67</v>
      </c>
      <c r="L39" s="27">
        <v>107.98081511873977</v>
      </c>
      <c r="M39" s="27">
        <v>107.47512716137332</v>
      </c>
      <c r="N39" s="27">
        <v>0.26974627232996845</v>
      </c>
      <c r="O39" s="27">
        <v>0.24019273509207975</v>
      </c>
      <c r="P39" s="27">
        <v>0.24019273509207981</v>
      </c>
      <c r="Q39" s="27">
        <v>0.21641760677220265</v>
      </c>
      <c r="R39" s="27">
        <v>0.24019273509207978</v>
      </c>
      <c r="S39" s="27">
        <v>0.21641760677220262</v>
      </c>
      <c r="T39" s="53"/>
      <c r="U39" s="53"/>
      <c r="V39" s="27">
        <v>107.98081511873977</v>
      </c>
      <c r="W39" s="27">
        <v>107.47512716137332</v>
      </c>
      <c r="X39" s="27">
        <v>0.26974627232996845</v>
      </c>
      <c r="Y39" s="27">
        <v>0.24019273509207975</v>
      </c>
      <c r="Z39" s="27">
        <v>0.24019273509207981</v>
      </c>
      <c r="AA39" s="27">
        <v>0.21641760677220265</v>
      </c>
      <c r="AB39" s="27">
        <v>0.24019273509207978</v>
      </c>
      <c r="AC39" s="27">
        <v>0.21641760677220262</v>
      </c>
    </row>
    <row r="40" spans="4:29" x14ac:dyDescent="0.55000000000000004">
      <c r="D40" s="49">
        <v>38200</v>
      </c>
      <c r="E40" s="92">
        <v>108.18</v>
      </c>
      <c r="L40" s="27">
        <v>108.76445609561685</v>
      </c>
      <c r="M40" s="27">
        <v>108.23132243113702</v>
      </c>
      <c r="N40" s="27">
        <v>0.26470693174752569</v>
      </c>
      <c r="O40" s="27">
        <v>0.23571623409348208</v>
      </c>
      <c r="P40" s="27">
        <v>0.23571623409348214</v>
      </c>
      <c r="Q40" s="27">
        <v>0.21244108229196643</v>
      </c>
      <c r="R40" s="27">
        <v>0.23571623409348216</v>
      </c>
      <c r="S40" s="27">
        <v>0.21244108229196645</v>
      </c>
      <c r="T40" s="53"/>
      <c r="U40" s="53"/>
      <c r="V40" s="27">
        <v>108.76445609561685</v>
      </c>
      <c r="W40" s="27">
        <v>108.23132243113702</v>
      </c>
      <c r="X40" s="27">
        <v>0.26470693174752569</v>
      </c>
      <c r="Y40" s="27">
        <v>0.23571623409348208</v>
      </c>
      <c r="Z40" s="27">
        <v>0.23571623409348214</v>
      </c>
      <c r="AA40" s="27">
        <v>0.21244108229196643</v>
      </c>
      <c r="AB40" s="27">
        <v>0.23571623409348216</v>
      </c>
      <c r="AC40" s="27">
        <v>0.21244108229196645</v>
      </c>
    </row>
    <row r="41" spans="4:29" x14ac:dyDescent="0.55000000000000004">
      <c r="D41" s="49">
        <v>38231</v>
      </c>
      <c r="E41" s="92">
        <v>109.16</v>
      </c>
      <c r="L41" s="27">
        <v>109.28958816435377</v>
      </c>
      <c r="M41" s="27">
        <v>108.7572443320677</v>
      </c>
      <c r="N41" s="27">
        <v>0.26082469425553156</v>
      </c>
      <c r="O41" s="27">
        <v>0.23222583985979153</v>
      </c>
      <c r="P41" s="27">
        <v>0.23222583985979162</v>
      </c>
      <c r="Q41" s="27">
        <v>0.20930298166529643</v>
      </c>
      <c r="R41" s="27">
        <v>0.23222583985979162</v>
      </c>
      <c r="S41" s="27">
        <v>0.20930298166529643</v>
      </c>
      <c r="T41" s="53"/>
      <c r="U41" s="53"/>
      <c r="V41" s="27">
        <v>109.28958816435377</v>
      </c>
      <c r="W41" s="27">
        <v>108.7572443320677</v>
      </c>
      <c r="X41" s="27">
        <v>0.26082469425553156</v>
      </c>
      <c r="Y41" s="27">
        <v>0.23222583985979153</v>
      </c>
      <c r="Z41" s="27">
        <v>0.23222583985979162</v>
      </c>
      <c r="AA41" s="27">
        <v>0.20930298166529643</v>
      </c>
      <c r="AB41" s="27">
        <v>0.23222583985979162</v>
      </c>
      <c r="AC41" s="27">
        <v>0.20930298166529643</v>
      </c>
    </row>
    <row r="42" spans="4:29" x14ac:dyDescent="0.55000000000000004">
      <c r="D42" s="49">
        <v>38261</v>
      </c>
      <c r="E42" s="92">
        <v>108.73</v>
      </c>
      <c r="L42" s="27">
        <v>109.90925590766673</v>
      </c>
      <c r="M42" s="27">
        <v>109.36828332409777</v>
      </c>
      <c r="N42" s="27">
        <v>0.25788593899264523</v>
      </c>
      <c r="O42" s="27">
        <v>0.22955098355062356</v>
      </c>
      <c r="P42" s="27">
        <v>0.22955098355062362</v>
      </c>
      <c r="Q42" s="27">
        <v>0.2068683262977638</v>
      </c>
      <c r="R42" s="27">
        <v>0.22955098355062364</v>
      </c>
      <c r="S42" s="27">
        <v>0.20686832629776378</v>
      </c>
      <c r="T42" s="53"/>
      <c r="U42" s="53"/>
      <c r="V42" s="27">
        <v>109.90925590766673</v>
      </c>
      <c r="W42" s="27">
        <v>109.36828332409777</v>
      </c>
      <c r="X42" s="27">
        <v>0.25788593899264523</v>
      </c>
      <c r="Y42" s="27">
        <v>0.22955098355062356</v>
      </c>
      <c r="Z42" s="27">
        <v>0.22955098355062362</v>
      </c>
      <c r="AA42" s="27">
        <v>0.2068683262977638</v>
      </c>
      <c r="AB42" s="27">
        <v>0.22955098355062364</v>
      </c>
      <c r="AC42" s="27">
        <v>0.20686832629776378</v>
      </c>
    </row>
    <row r="43" spans="4:29" x14ac:dyDescent="0.55000000000000004">
      <c r="D43" s="49">
        <v>38292</v>
      </c>
      <c r="E43" s="92">
        <v>109.67</v>
      </c>
      <c r="L43" s="27">
        <v>110.26153859475932</v>
      </c>
      <c r="M43" s="27">
        <v>109.73924570897964</v>
      </c>
      <c r="N43" s="27">
        <v>0.25570609809136152</v>
      </c>
      <c r="O43" s="27">
        <v>0.22754121463817426</v>
      </c>
      <c r="P43" s="27">
        <v>0.22754121463817426</v>
      </c>
      <c r="Q43" s="27">
        <v>0.20501536029504269</v>
      </c>
      <c r="R43" s="27">
        <v>0.22754121463817428</v>
      </c>
      <c r="S43" s="27">
        <v>0.20501536029504266</v>
      </c>
      <c r="T43" s="53"/>
      <c r="U43" s="53"/>
      <c r="V43" s="27">
        <v>110.26153859475932</v>
      </c>
      <c r="W43" s="27">
        <v>109.73924570897964</v>
      </c>
      <c r="X43" s="27">
        <v>0.25570609809136152</v>
      </c>
      <c r="Y43" s="27">
        <v>0.22754121463817426</v>
      </c>
      <c r="Z43" s="27">
        <v>0.22754121463817426</v>
      </c>
      <c r="AA43" s="27">
        <v>0.20501536029504269</v>
      </c>
      <c r="AB43" s="27">
        <v>0.22754121463817428</v>
      </c>
      <c r="AC43" s="27">
        <v>0.20501536029504266</v>
      </c>
    </row>
    <row r="44" spans="4:29" x14ac:dyDescent="0.55000000000000004">
      <c r="D44" s="49">
        <v>38322</v>
      </c>
      <c r="E44" s="92">
        <v>109.08</v>
      </c>
      <c r="L44" s="27">
        <v>110.6207169831037</v>
      </c>
      <c r="M44" s="27">
        <v>110.11460786075344</v>
      </c>
      <c r="N44" s="27">
        <v>0.2541266498386518</v>
      </c>
      <c r="O44" s="27">
        <v>0.22606482677437403</v>
      </c>
      <c r="P44" s="27">
        <v>0.22606482677437403</v>
      </c>
      <c r="Q44" s="27">
        <v>0.20363530803906083</v>
      </c>
      <c r="R44" s="27">
        <v>0.22606482677437409</v>
      </c>
      <c r="S44" s="27">
        <v>0.20363530803906083</v>
      </c>
      <c r="T44" s="53"/>
      <c r="U44" s="53"/>
      <c r="V44" s="27">
        <v>110.6207169831037</v>
      </c>
      <c r="W44" s="27">
        <v>110.11460786075344</v>
      </c>
      <c r="X44" s="27">
        <v>0.2541266498386518</v>
      </c>
      <c r="Y44" s="27">
        <v>0.22606482677437403</v>
      </c>
      <c r="Z44" s="27">
        <v>0.22606482677437403</v>
      </c>
      <c r="AA44" s="27">
        <v>0.20363530803906083</v>
      </c>
      <c r="AB44" s="27">
        <v>0.22606482677437409</v>
      </c>
      <c r="AC44" s="27">
        <v>0.20363530803906083</v>
      </c>
    </row>
    <row r="45" spans="4:29" x14ac:dyDescent="0.55000000000000004">
      <c r="D45" s="49">
        <v>38353</v>
      </c>
      <c r="E45" s="92">
        <v>109.54</v>
      </c>
      <c r="L45" s="27">
        <v>111.03216143741456</v>
      </c>
      <c r="M45" s="27">
        <v>110.53546610556265</v>
      </c>
      <c r="N45" s="27">
        <v>0.25301294905856986</v>
      </c>
      <c r="O45" s="27">
        <v>0.2250079550890926</v>
      </c>
      <c r="P45" s="27">
        <v>0.22500795508909263</v>
      </c>
      <c r="Q45" s="27">
        <v>0.2026323656158221</v>
      </c>
      <c r="R45" s="27">
        <v>0.22500795508909263</v>
      </c>
      <c r="S45" s="27">
        <v>0.2026323656158221</v>
      </c>
      <c r="T45" s="53"/>
      <c r="U45" s="53"/>
      <c r="V45" s="27">
        <v>111.03216143741456</v>
      </c>
      <c r="W45" s="27">
        <v>110.53546610556265</v>
      </c>
      <c r="X45" s="27">
        <v>0.25301294905856986</v>
      </c>
      <c r="Y45" s="27">
        <v>0.2250079550890926</v>
      </c>
      <c r="Z45" s="27">
        <v>0.22500795508909263</v>
      </c>
      <c r="AA45" s="27">
        <v>0.2026323656158221</v>
      </c>
      <c r="AB45" s="27">
        <v>0.22500795508909263</v>
      </c>
      <c r="AC45" s="27">
        <v>0.2026323656158221</v>
      </c>
    </row>
    <row r="46" spans="4:29" x14ac:dyDescent="0.55000000000000004">
      <c r="D46" s="49">
        <v>38384</v>
      </c>
      <c r="E46" s="92">
        <v>110.2</v>
      </c>
      <c r="L46" s="27">
        <v>111.38259406240286</v>
      </c>
      <c r="M46" s="27">
        <v>110.9004746191207</v>
      </c>
      <c r="N46" s="27">
        <v>0.25225238683300844</v>
      </c>
      <c r="O46" s="27">
        <v>0.22427377405731141</v>
      </c>
      <c r="P46" s="27">
        <v>0.22427377405731141</v>
      </c>
      <c r="Q46" s="27">
        <v>0.20192365070821244</v>
      </c>
      <c r="R46" s="27">
        <v>0.22427377405731136</v>
      </c>
      <c r="S46" s="27">
        <v>0.20192365070821244</v>
      </c>
      <c r="T46" s="53"/>
      <c r="U46" s="53"/>
      <c r="V46" s="27">
        <v>111.38259406240286</v>
      </c>
      <c r="W46" s="27">
        <v>110.9004746191207</v>
      </c>
      <c r="X46" s="27">
        <v>0.25225238683300844</v>
      </c>
      <c r="Y46" s="27">
        <v>0.22427377405731141</v>
      </c>
      <c r="Z46" s="27">
        <v>0.22427377405731141</v>
      </c>
      <c r="AA46" s="27">
        <v>0.20192365070821244</v>
      </c>
      <c r="AB46" s="27">
        <v>0.22427377405731136</v>
      </c>
      <c r="AC46" s="27">
        <v>0.20192365070821244</v>
      </c>
    </row>
    <row r="47" spans="4:29" x14ac:dyDescent="0.55000000000000004">
      <c r="D47" s="49">
        <v>38412</v>
      </c>
      <c r="E47" s="92">
        <v>110.38</v>
      </c>
      <c r="L47" s="27">
        <v>111.80371197963663</v>
      </c>
      <c r="M47" s="27">
        <v>111.32768300485516</v>
      </c>
      <c r="N47" s="27">
        <v>0.25175256999856127</v>
      </c>
      <c r="O47" s="27">
        <v>0.22378156556556447</v>
      </c>
      <c r="P47" s="27">
        <v>0.22378156556556444</v>
      </c>
      <c r="Q47" s="27">
        <v>0.20143893474299046</v>
      </c>
      <c r="R47" s="27">
        <v>0.22378156556556444</v>
      </c>
      <c r="S47" s="27">
        <v>0.20143893474299046</v>
      </c>
      <c r="T47" s="53"/>
      <c r="U47" s="53"/>
      <c r="V47" s="27">
        <v>111.80371197963663</v>
      </c>
      <c r="W47" s="27">
        <v>111.32768300485516</v>
      </c>
      <c r="X47" s="27">
        <v>0.25175256999856127</v>
      </c>
      <c r="Y47" s="27">
        <v>0.22378156556556447</v>
      </c>
      <c r="Z47" s="27">
        <v>0.22378156556556444</v>
      </c>
      <c r="AA47" s="27">
        <v>0.20143893474299046</v>
      </c>
      <c r="AB47" s="27">
        <v>0.22378156556556444</v>
      </c>
      <c r="AC47" s="27">
        <v>0.20143893474299046</v>
      </c>
    </row>
    <row r="48" spans="4:29" x14ac:dyDescent="0.55000000000000004">
      <c r="D48" s="49">
        <v>38443</v>
      </c>
      <c r="E48" s="92">
        <v>111.11</v>
      </c>
      <c r="L48" s="27">
        <v>112.10013901618707</v>
      </c>
      <c r="M48" s="27">
        <v>111.64206936650233</v>
      </c>
      <c r="N48" s="27">
        <v>0.25143937053305498</v>
      </c>
      <c r="O48" s="27">
        <v>0.22346554833267057</v>
      </c>
      <c r="P48" s="27">
        <v>0.22346554833267054</v>
      </c>
      <c r="Q48" s="27">
        <v>0.20112007439205865</v>
      </c>
      <c r="R48" s="27">
        <v>0.22346554833267054</v>
      </c>
      <c r="S48" s="27">
        <v>0.20112007439205867</v>
      </c>
      <c r="T48" s="53"/>
      <c r="U48" s="53"/>
      <c r="V48" s="27">
        <v>112.10013901618707</v>
      </c>
      <c r="W48" s="27">
        <v>111.64206936650233</v>
      </c>
      <c r="X48" s="27">
        <v>0.25143937053305498</v>
      </c>
      <c r="Y48" s="27">
        <v>0.22346554833267057</v>
      </c>
      <c r="Z48" s="27">
        <v>0.22346554833267054</v>
      </c>
      <c r="AA48" s="27">
        <v>0.20112007439205865</v>
      </c>
      <c r="AB48" s="27">
        <v>0.22346554833267054</v>
      </c>
      <c r="AC48" s="27">
        <v>0.20112007439205867</v>
      </c>
    </row>
    <row r="49" spans="4:29" x14ac:dyDescent="0.55000000000000004">
      <c r="D49" s="49">
        <v>38473</v>
      </c>
      <c r="E49" s="92">
        <v>111</v>
      </c>
      <c r="L49" s="27">
        <v>112.16298361083444</v>
      </c>
      <c r="M49" s="27">
        <v>111.74448244147304</v>
      </c>
      <c r="N49" s="27">
        <v>0.25125481411163059</v>
      </c>
      <c r="O49" s="27">
        <v>0.22327345560050776</v>
      </c>
      <c r="P49" s="27">
        <v>0.22327345560050771</v>
      </c>
      <c r="Q49" s="27">
        <v>0.20092013760599009</v>
      </c>
      <c r="R49" s="27">
        <v>0.22327345560050776</v>
      </c>
      <c r="S49" s="27">
        <v>0.20092013760599006</v>
      </c>
      <c r="T49" s="53"/>
      <c r="U49" s="53"/>
      <c r="V49" s="27">
        <v>112.16298361083444</v>
      </c>
      <c r="W49" s="27">
        <v>111.74448244147304</v>
      </c>
      <c r="X49" s="27">
        <v>0.25125481411163059</v>
      </c>
      <c r="Y49" s="27">
        <v>0.22327345560050776</v>
      </c>
      <c r="Z49" s="27">
        <v>0.22327345560050771</v>
      </c>
      <c r="AA49" s="27">
        <v>0.20092013760599009</v>
      </c>
      <c r="AB49" s="27">
        <v>0.22327345560050776</v>
      </c>
      <c r="AC49" s="27">
        <v>0.20092013760599006</v>
      </c>
    </row>
    <row r="50" spans="4:29" x14ac:dyDescent="0.55000000000000004">
      <c r="D50" s="49">
        <v>38504</v>
      </c>
      <c r="E50" s="92">
        <v>110.33</v>
      </c>
      <c r="L50" s="27">
        <v>112.19474364221995</v>
      </c>
      <c r="M50" s="27">
        <v>111.81499655808705</v>
      </c>
      <c r="N50" s="27">
        <v>0.25115485528189879</v>
      </c>
      <c r="O50" s="27">
        <v>0.22316491371184563</v>
      </c>
      <c r="P50" s="27">
        <v>0.22316491371184558</v>
      </c>
      <c r="Q50" s="27">
        <v>0.20080227566598191</v>
      </c>
      <c r="R50" s="27">
        <v>0.22316491371184555</v>
      </c>
      <c r="S50" s="27">
        <v>0.20080227566598188</v>
      </c>
      <c r="T50" s="53"/>
      <c r="U50" s="53"/>
      <c r="V50" s="27">
        <v>112.19474364221995</v>
      </c>
      <c r="W50" s="27">
        <v>111.81499655808705</v>
      </c>
      <c r="X50" s="27">
        <v>0.25115485528189879</v>
      </c>
      <c r="Y50" s="27">
        <v>0.22316491371184563</v>
      </c>
      <c r="Z50" s="27">
        <v>0.22316491371184558</v>
      </c>
      <c r="AA50" s="27">
        <v>0.20080227566598191</v>
      </c>
      <c r="AB50" s="27">
        <v>0.22316491371184555</v>
      </c>
      <c r="AC50" s="27">
        <v>0.20080227566598188</v>
      </c>
    </row>
    <row r="51" spans="4:29" x14ac:dyDescent="0.55000000000000004">
      <c r="D51" s="49">
        <v>38534</v>
      </c>
      <c r="E51" s="92">
        <v>110.43</v>
      </c>
      <c r="L51" s="27">
        <v>112.3570159550713</v>
      </c>
      <c r="M51" s="27">
        <v>111.99907513854497</v>
      </c>
      <c r="N51" s="27">
        <v>0.25110712728929879</v>
      </c>
      <c r="O51" s="27">
        <v>0.22310970993998794</v>
      </c>
      <c r="P51" s="27">
        <v>0.22310970993998788</v>
      </c>
      <c r="Q51" s="27">
        <v>0.20073842516105722</v>
      </c>
      <c r="R51" s="27">
        <v>0.22310970993998788</v>
      </c>
      <c r="S51" s="27">
        <v>0.20073842516105722</v>
      </c>
      <c r="T51" s="53"/>
      <c r="U51" s="53"/>
      <c r="V51" s="27">
        <v>112.3570159550713</v>
      </c>
      <c r="W51" s="27">
        <v>111.99907513854497</v>
      </c>
      <c r="X51" s="27">
        <v>0.25110712728929879</v>
      </c>
      <c r="Y51" s="27">
        <v>0.22310970993998794</v>
      </c>
      <c r="Z51" s="27">
        <v>0.22310970993998788</v>
      </c>
      <c r="AA51" s="27">
        <v>0.20073842516105722</v>
      </c>
      <c r="AB51" s="27">
        <v>0.22310970993998788</v>
      </c>
      <c r="AC51" s="27">
        <v>0.20073842516105722</v>
      </c>
    </row>
    <row r="52" spans="4:29" x14ac:dyDescent="0.55000000000000004">
      <c r="D52" s="49">
        <v>38565</v>
      </c>
      <c r="E52" s="92">
        <v>111.22</v>
      </c>
      <c r="L52" s="27">
        <v>112.34976135168483</v>
      </c>
      <c r="M52" s="27">
        <v>112.02845386407328</v>
      </c>
      <c r="N52" s="27">
        <v>0.25108876471893227</v>
      </c>
      <c r="O52" s="27">
        <v>0.22308604798961484</v>
      </c>
      <c r="P52" s="27">
        <v>0.22308604798961479</v>
      </c>
      <c r="Q52" s="27">
        <v>0.20070793444631554</v>
      </c>
      <c r="R52" s="27">
        <v>0.22308604798961484</v>
      </c>
      <c r="S52" s="27">
        <v>0.20070793444631557</v>
      </c>
      <c r="T52" s="53"/>
      <c r="U52" s="53"/>
      <c r="V52" s="27">
        <v>112.34976135168483</v>
      </c>
      <c r="W52" s="27">
        <v>112.02845386407328</v>
      </c>
      <c r="X52" s="27">
        <v>0.25108876471893227</v>
      </c>
      <c r="Y52" s="27">
        <v>0.22308604798961484</v>
      </c>
      <c r="Z52" s="27">
        <v>0.22308604798961479</v>
      </c>
      <c r="AA52" s="27">
        <v>0.20070793444631554</v>
      </c>
      <c r="AB52" s="27">
        <v>0.22308604798961484</v>
      </c>
      <c r="AC52" s="27">
        <v>0.20070793444631557</v>
      </c>
    </row>
    <row r="53" spans="4:29" x14ac:dyDescent="0.55000000000000004">
      <c r="D53" s="49">
        <v>38596</v>
      </c>
      <c r="E53" s="92">
        <v>110.72</v>
      </c>
      <c r="L53" s="27">
        <v>112.39227347566218</v>
      </c>
      <c r="M53" s="27">
        <v>112.09893899372169</v>
      </c>
      <c r="N53" s="27">
        <v>0.25108438603386818</v>
      </c>
      <c r="O53" s="27">
        <v>0.22307888082661345</v>
      </c>
      <c r="P53" s="27">
        <v>0.22307888082661342</v>
      </c>
      <c r="Q53" s="27">
        <v>0.20069620301908914</v>
      </c>
      <c r="R53" s="27">
        <v>0.2230788808266134</v>
      </c>
      <c r="S53" s="27">
        <v>0.20069620301908911</v>
      </c>
      <c r="T53" s="53"/>
      <c r="U53" s="53"/>
      <c r="V53" s="27">
        <v>112.39227347566218</v>
      </c>
      <c r="W53" s="27">
        <v>112.09893899372169</v>
      </c>
      <c r="X53" s="27">
        <v>0.25108438603386818</v>
      </c>
      <c r="Y53" s="27">
        <v>0.22307888082661345</v>
      </c>
      <c r="Z53" s="27">
        <v>0.22307888082661342</v>
      </c>
      <c r="AA53" s="27">
        <v>0.20069620301908914</v>
      </c>
      <c r="AB53" s="27">
        <v>0.2230788808266134</v>
      </c>
      <c r="AC53" s="27">
        <v>0.20069620301908911</v>
      </c>
    </row>
    <row r="54" spans="4:29" x14ac:dyDescent="0.55000000000000004">
      <c r="D54" s="49">
        <v>38626</v>
      </c>
      <c r="E54" s="92">
        <v>111.1</v>
      </c>
      <c r="L54" s="27">
        <v>112.56463846343027</v>
      </c>
      <c r="M54" s="27">
        <v>112.28344276510498</v>
      </c>
      <c r="N54" s="27">
        <v>0.25108430009963989</v>
      </c>
      <c r="O54" s="27">
        <v>0.22307839051998826</v>
      </c>
      <c r="P54" s="27">
        <v>0.22307839051998823</v>
      </c>
      <c r="Q54" s="27">
        <v>0.20069340552626086</v>
      </c>
      <c r="R54" s="27">
        <v>0.22307839051998823</v>
      </c>
      <c r="S54" s="27">
        <v>0.20069340552626086</v>
      </c>
      <c r="T54" s="53"/>
      <c r="U54" s="53"/>
      <c r="V54" s="27">
        <v>112.56463846343027</v>
      </c>
      <c r="W54" s="27">
        <v>112.28344276510498</v>
      </c>
      <c r="X54" s="27">
        <v>0.25108430009963989</v>
      </c>
      <c r="Y54" s="27">
        <v>0.22307839051998826</v>
      </c>
      <c r="Z54" s="27">
        <v>0.22307839051998823</v>
      </c>
      <c r="AA54" s="27">
        <v>0.20069340552626086</v>
      </c>
      <c r="AB54" s="27">
        <v>0.22307839051998823</v>
      </c>
      <c r="AC54" s="27">
        <v>0.20069340552626086</v>
      </c>
    </row>
    <row r="55" spans="4:29" x14ac:dyDescent="0.55000000000000004">
      <c r="D55" s="49">
        <v>38657</v>
      </c>
      <c r="E55" s="92">
        <v>111.85</v>
      </c>
      <c r="L55" s="27">
        <v>112.92510773728145</v>
      </c>
      <c r="M55" s="27">
        <v>112.63595716088722</v>
      </c>
      <c r="N55" s="27">
        <v>0.25108297374653155</v>
      </c>
      <c r="O55" s="27">
        <v>0.22307866037249766</v>
      </c>
      <c r="P55" s="27">
        <v>0.22307866037249768</v>
      </c>
      <c r="Q55" s="27">
        <v>0.20069335062364929</v>
      </c>
      <c r="R55" s="27">
        <v>0.22307866037249768</v>
      </c>
      <c r="S55" s="27">
        <v>0.20069335062364929</v>
      </c>
      <c r="T55" s="53"/>
      <c r="U55" s="53"/>
      <c r="V55" s="27">
        <v>112.92510773728145</v>
      </c>
      <c r="W55" s="27">
        <v>112.63595716088722</v>
      </c>
      <c r="X55" s="27">
        <v>0.25108297374653155</v>
      </c>
      <c r="Y55" s="27">
        <v>0.22307866037249766</v>
      </c>
      <c r="Z55" s="27">
        <v>0.22307866037249768</v>
      </c>
      <c r="AA55" s="27">
        <v>0.20069335062364929</v>
      </c>
      <c r="AB55" s="27">
        <v>0.22307866037249768</v>
      </c>
      <c r="AC55" s="27">
        <v>0.20069335062364929</v>
      </c>
    </row>
    <row r="56" spans="4:29" x14ac:dyDescent="0.55000000000000004">
      <c r="D56" s="49">
        <v>38687</v>
      </c>
      <c r="E56" s="92">
        <v>112.92</v>
      </c>
      <c r="L56" s="27">
        <v>113.34250330250184</v>
      </c>
      <c r="M56" s="27">
        <v>113.04048430457257</v>
      </c>
      <c r="N56" s="27">
        <v>0.25107777193215136</v>
      </c>
      <c r="O56" s="27">
        <v>0.2230765608493592</v>
      </c>
      <c r="P56" s="27">
        <v>0.2230765608493592</v>
      </c>
      <c r="Q56" s="27">
        <v>0.20069250322752835</v>
      </c>
      <c r="R56" s="27">
        <v>0.22307656084935917</v>
      </c>
      <c r="S56" s="27">
        <v>0.20069250322752832</v>
      </c>
      <c r="T56" s="53"/>
      <c r="U56" s="53"/>
      <c r="V56" s="27">
        <v>113.34250330250184</v>
      </c>
      <c r="W56" s="27">
        <v>113.04048430457257</v>
      </c>
      <c r="X56" s="27">
        <v>0.25107777193215136</v>
      </c>
      <c r="Y56" s="27">
        <v>0.2230765608493592</v>
      </c>
      <c r="Z56" s="27">
        <v>0.2230765608493592</v>
      </c>
      <c r="AA56" s="27">
        <v>0.20069250322752835</v>
      </c>
      <c r="AB56" s="27">
        <v>0.22307656084935917</v>
      </c>
      <c r="AC56" s="27">
        <v>0.20069250322752832</v>
      </c>
    </row>
    <row r="57" spans="4:29" x14ac:dyDescent="0.55000000000000004">
      <c r="D57" s="49">
        <v>38718</v>
      </c>
      <c r="E57" s="92">
        <v>113.5</v>
      </c>
      <c r="L57" s="27">
        <v>113.72873080992015</v>
      </c>
      <c r="M57" s="27">
        <v>113.4182628051051</v>
      </c>
      <c r="N57" s="27">
        <v>0.2510679613742392</v>
      </c>
      <c r="O57" s="27">
        <v>0.22307085081044711</v>
      </c>
      <c r="P57" s="27">
        <v>0.22307085081044711</v>
      </c>
      <c r="Q57" s="27">
        <v>0.20068917981364937</v>
      </c>
      <c r="R57" s="27">
        <v>0.22307085081044711</v>
      </c>
      <c r="S57" s="27">
        <v>0.20068917981364939</v>
      </c>
      <c r="T57" s="53"/>
      <c r="U57" s="53"/>
      <c r="V57" s="27">
        <v>113.72873080992015</v>
      </c>
      <c r="W57" s="27">
        <v>113.4182628051051</v>
      </c>
      <c r="X57" s="27">
        <v>0.2510679613742392</v>
      </c>
      <c r="Y57" s="27">
        <v>0.22307085081044711</v>
      </c>
      <c r="Z57" s="27">
        <v>0.22307085081044711</v>
      </c>
      <c r="AA57" s="27">
        <v>0.20068917981364937</v>
      </c>
      <c r="AB57" s="27">
        <v>0.22307085081044711</v>
      </c>
      <c r="AC57" s="27">
        <v>0.20068917981364939</v>
      </c>
    </row>
    <row r="58" spans="4:29" x14ac:dyDescent="0.55000000000000004">
      <c r="D58" s="49">
        <v>38749</v>
      </c>
      <c r="E58" s="92">
        <v>113.72</v>
      </c>
      <c r="L58" s="27">
        <v>113.98371655197521</v>
      </c>
      <c r="M58" s="27">
        <v>113.67881478672584</v>
      </c>
      <c r="N58" s="27">
        <v>0.25105395390675073</v>
      </c>
      <c r="O58" s="27">
        <v>0.22306148071403842</v>
      </c>
      <c r="P58" s="27">
        <v>0.22306148071403845</v>
      </c>
      <c r="Q58" s="27">
        <v>0.20068291182075582</v>
      </c>
      <c r="R58" s="27">
        <v>0.22306148071403847</v>
      </c>
      <c r="S58" s="27">
        <v>0.20068291182075582</v>
      </c>
      <c r="T58" s="53"/>
      <c r="U58" s="53"/>
      <c r="V58" s="27">
        <v>113.98371655197521</v>
      </c>
      <c r="W58" s="27">
        <v>113.67881478672584</v>
      </c>
      <c r="X58" s="27">
        <v>0.25105395390675073</v>
      </c>
      <c r="Y58" s="27">
        <v>0.22306148071403842</v>
      </c>
      <c r="Z58" s="27">
        <v>0.22306148071403845</v>
      </c>
      <c r="AA58" s="27">
        <v>0.20068291182075582</v>
      </c>
      <c r="AB58" s="27">
        <v>0.22306148071403847</v>
      </c>
      <c r="AC58" s="27">
        <v>0.20068291182075582</v>
      </c>
    </row>
    <row r="59" spans="4:29" x14ac:dyDescent="0.55000000000000004">
      <c r="D59" s="49">
        <v>38777</v>
      </c>
      <c r="E59" s="92">
        <v>113.48</v>
      </c>
      <c r="L59" s="27">
        <v>114.37254799221589</v>
      </c>
      <c r="M59" s="27">
        <v>114.05922684241575</v>
      </c>
      <c r="N59" s="27">
        <v>0.25103675716609969</v>
      </c>
      <c r="O59" s="27">
        <v>0.22304907492443943</v>
      </c>
      <c r="P59" s="27">
        <v>0.22304907492443943</v>
      </c>
      <c r="Q59" s="27">
        <v>0.20067396224021161</v>
      </c>
      <c r="R59" s="27">
        <v>0.22304907492443943</v>
      </c>
      <c r="S59" s="27">
        <v>0.20067396224021161</v>
      </c>
      <c r="T59" s="53"/>
      <c r="U59" s="53"/>
      <c r="V59" s="27">
        <v>114.37254799221589</v>
      </c>
      <c r="W59" s="27">
        <v>114.05922684241575</v>
      </c>
      <c r="X59" s="27">
        <v>0.25103675716609969</v>
      </c>
      <c r="Y59" s="27">
        <v>0.22304907492443943</v>
      </c>
      <c r="Z59" s="27">
        <v>0.22304907492443943</v>
      </c>
      <c r="AA59" s="27">
        <v>0.20067396224021161</v>
      </c>
      <c r="AB59" s="27">
        <v>0.22304907492443943</v>
      </c>
      <c r="AC59" s="27">
        <v>0.20067396224021161</v>
      </c>
    </row>
    <row r="60" spans="4:29" x14ac:dyDescent="0.55000000000000004">
      <c r="D60" s="49">
        <v>38808</v>
      </c>
      <c r="E60" s="92">
        <v>114.36</v>
      </c>
      <c r="L60" s="27">
        <v>114.97524578667233</v>
      </c>
      <c r="M60" s="27">
        <v>114.63289857164297</v>
      </c>
      <c r="N60" s="27">
        <v>0.25101759663340922</v>
      </c>
      <c r="O60" s="27">
        <v>0.22303456537905225</v>
      </c>
      <c r="P60" s="27">
        <v>0.22303456537905225</v>
      </c>
      <c r="Q60" s="27">
        <v>0.2006629747112775</v>
      </c>
      <c r="R60" s="27">
        <v>0.22303456537905225</v>
      </c>
      <c r="S60" s="27">
        <v>0.20066297471127753</v>
      </c>
      <c r="T60" s="53"/>
      <c r="U60" s="53"/>
      <c r="V60" s="27">
        <v>114.97524578667233</v>
      </c>
      <c r="W60" s="27">
        <v>114.63289857164297</v>
      </c>
      <c r="X60" s="27">
        <v>0.25101759663340922</v>
      </c>
      <c r="Y60" s="27">
        <v>0.22303456537905225</v>
      </c>
      <c r="Z60" s="27">
        <v>0.22303456537905225</v>
      </c>
      <c r="AA60" s="27">
        <v>0.2006629747112775</v>
      </c>
      <c r="AB60" s="27">
        <v>0.22303456537905225</v>
      </c>
      <c r="AC60" s="27">
        <v>0.20066297471127753</v>
      </c>
    </row>
    <row r="61" spans="4:29" x14ac:dyDescent="0.55000000000000004">
      <c r="D61" s="49">
        <v>38838</v>
      </c>
      <c r="E61" s="92">
        <v>115.67</v>
      </c>
      <c r="L61" s="27">
        <v>115.17815134433796</v>
      </c>
      <c r="M61" s="27">
        <v>114.84978976183461</v>
      </c>
      <c r="N61" s="27">
        <v>0.25099767330461253</v>
      </c>
      <c r="O61" s="27">
        <v>0.22301894764596417</v>
      </c>
      <c r="P61" s="27">
        <v>0.22301894764596417</v>
      </c>
      <c r="Q61" s="27">
        <v>0.20065073209914722</v>
      </c>
      <c r="R61" s="27">
        <v>0.22301894764596417</v>
      </c>
      <c r="S61" s="27">
        <v>0.20065073209914724</v>
      </c>
      <c r="T61" s="53"/>
      <c r="U61" s="53"/>
      <c r="V61" s="27">
        <v>115.17815134433796</v>
      </c>
      <c r="W61" s="27">
        <v>114.84978976183461</v>
      </c>
      <c r="X61" s="27">
        <v>0.25099767330461253</v>
      </c>
      <c r="Y61" s="27">
        <v>0.22301894764596417</v>
      </c>
      <c r="Z61" s="27">
        <v>0.22301894764596417</v>
      </c>
      <c r="AA61" s="27">
        <v>0.20065073209914722</v>
      </c>
      <c r="AB61" s="27">
        <v>0.22301894764596417</v>
      </c>
      <c r="AC61" s="27">
        <v>0.20065073209914724</v>
      </c>
    </row>
    <row r="62" spans="4:29" x14ac:dyDescent="0.55000000000000004">
      <c r="D62" s="49">
        <v>38869</v>
      </c>
      <c r="E62" s="92">
        <v>114.35</v>
      </c>
      <c r="L62" s="27">
        <v>115.81689953598084</v>
      </c>
      <c r="M62" s="27">
        <v>115.4574090772804</v>
      </c>
      <c r="N62" s="27">
        <v>0.25097802407962178</v>
      </c>
      <c r="O62" s="27">
        <v>0.2230031317534924</v>
      </c>
      <c r="P62" s="27">
        <v>0.22300313175349235</v>
      </c>
      <c r="Q62" s="27">
        <v>0.2006380017011396</v>
      </c>
      <c r="R62" s="27">
        <v>0.22300313175349235</v>
      </c>
      <c r="S62" s="27">
        <v>0.20063800170113963</v>
      </c>
      <c r="T62" s="53"/>
      <c r="U62" s="53"/>
      <c r="V62" s="27">
        <v>115.81689953598084</v>
      </c>
      <c r="W62" s="27">
        <v>115.4574090772804</v>
      </c>
      <c r="X62" s="27">
        <v>0.25097802407962178</v>
      </c>
      <c r="Y62" s="27">
        <v>0.2230031317534924</v>
      </c>
      <c r="Z62" s="27">
        <v>0.22300313175349235</v>
      </c>
      <c r="AA62" s="27">
        <v>0.2006380017011396</v>
      </c>
      <c r="AB62" s="27">
        <v>0.22300313175349235</v>
      </c>
      <c r="AC62" s="27">
        <v>0.20063800170113963</v>
      </c>
    </row>
    <row r="63" spans="4:29" x14ac:dyDescent="0.55000000000000004">
      <c r="D63" s="49">
        <v>38899</v>
      </c>
      <c r="E63" s="92">
        <v>116.57</v>
      </c>
      <c r="L63" s="27">
        <v>116.35547165102754</v>
      </c>
      <c r="M63" s="27">
        <v>115.97802192479759</v>
      </c>
      <c r="N63" s="27">
        <v>0.250959456263874</v>
      </c>
      <c r="O63" s="27">
        <v>0.22298786312492133</v>
      </c>
      <c r="P63" s="27">
        <v>0.2229878631249213</v>
      </c>
      <c r="Q63" s="27">
        <v>0.20062544604992011</v>
      </c>
      <c r="R63" s="27">
        <v>0.22298786312492125</v>
      </c>
      <c r="S63" s="27">
        <v>0.20062544604992008</v>
      </c>
      <c r="T63" s="53"/>
      <c r="U63" s="53"/>
      <c r="V63" s="27">
        <v>116.35547165102754</v>
      </c>
      <c r="W63" s="27">
        <v>115.97802192479759</v>
      </c>
      <c r="X63" s="27">
        <v>0.250959456263874</v>
      </c>
      <c r="Y63" s="27">
        <v>0.22298786312492133</v>
      </c>
      <c r="Z63" s="27">
        <v>0.2229878631249213</v>
      </c>
      <c r="AA63" s="27">
        <v>0.20062544604992011</v>
      </c>
      <c r="AB63" s="27">
        <v>0.22298786312492125</v>
      </c>
      <c r="AC63" s="27">
        <v>0.20062544604992008</v>
      </c>
    </row>
    <row r="64" spans="4:29" x14ac:dyDescent="0.55000000000000004">
      <c r="D64" s="49">
        <v>38930</v>
      </c>
      <c r="E64" s="92">
        <v>116.62</v>
      </c>
      <c r="L64" s="27">
        <v>116.80751239854652</v>
      </c>
      <c r="M64" s="27">
        <v>116.42258258107616</v>
      </c>
      <c r="N64" s="27">
        <v>0.25094253250686083</v>
      </c>
      <c r="O64" s="27">
        <v>0.22297369271733591</v>
      </c>
      <c r="P64" s="27">
        <v>0.22297369271733589</v>
      </c>
      <c r="Q64" s="27">
        <v>0.20061358104553731</v>
      </c>
      <c r="R64" s="27">
        <v>0.22297369271733591</v>
      </c>
      <c r="S64" s="27">
        <v>0.20061358104553734</v>
      </c>
      <c r="T64" s="53"/>
      <c r="U64" s="53"/>
      <c r="V64" s="27">
        <v>116.80751239854652</v>
      </c>
      <c r="W64" s="27">
        <v>116.42258258107616</v>
      </c>
      <c r="X64" s="27">
        <v>0.25094253250686083</v>
      </c>
      <c r="Y64" s="27">
        <v>0.22297369271733591</v>
      </c>
      <c r="Z64" s="27">
        <v>0.22297369271733589</v>
      </c>
      <c r="AA64" s="27">
        <v>0.20061358104553731</v>
      </c>
      <c r="AB64" s="27">
        <v>0.22297369271733591</v>
      </c>
      <c r="AC64" s="27">
        <v>0.20061358104553734</v>
      </c>
    </row>
    <row r="65" spans="4:29" x14ac:dyDescent="0.55000000000000004">
      <c r="D65" s="49">
        <v>38961</v>
      </c>
      <c r="E65" s="92">
        <v>116.69</v>
      </c>
      <c r="L65" s="27">
        <v>117.48284612737196</v>
      </c>
      <c r="M65" s="27">
        <v>117.06879501447335</v>
      </c>
      <c r="N65" s="27">
        <v>0.25092758745379434</v>
      </c>
      <c r="O65" s="27">
        <v>0.22296097946038623</v>
      </c>
      <c r="P65" s="27">
        <v>0.22296097946038623</v>
      </c>
      <c r="Q65" s="27">
        <v>0.20060276630292329</v>
      </c>
      <c r="R65" s="27">
        <v>0.22296097946038623</v>
      </c>
      <c r="S65" s="27">
        <v>0.20060276630292329</v>
      </c>
      <c r="T65" s="53"/>
      <c r="U65" s="53"/>
      <c r="V65" s="27">
        <v>117.48284612737196</v>
      </c>
      <c r="W65" s="27">
        <v>117.06879501447335</v>
      </c>
      <c r="X65" s="27">
        <v>0.25092758745379434</v>
      </c>
      <c r="Y65" s="27">
        <v>0.22296097946038623</v>
      </c>
      <c r="Z65" s="27">
        <v>0.22296097946038623</v>
      </c>
      <c r="AA65" s="27">
        <v>0.20060276630292329</v>
      </c>
      <c r="AB65" s="27">
        <v>0.22296097946038623</v>
      </c>
      <c r="AC65" s="27">
        <v>0.20060276630292329</v>
      </c>
    </row>
    <row r="66" spans="4:29" x14ac:dyDescent="0.55000000000000004">
      <c r="D66" s="49">
        <v>38991</v>
      </c>
      <c r="E66" s="92">
        <v>118.11</v>
      </c>
      <c r="L66" s="27">
        <v>118.2150810704762</v>
      </c>
      <c r="M66" s="27">
        <v>117.76912351207079</v>
      </c>
      <c r="N66" s="27">
        <v>0.25091476196524692</v>
      </c>
      <c r="O66" s="27">
        <v>0.2229499119248611</v>
      </c>
      <c r="P66" s="27">
        <v>0.22294991192486113</v>
      </c>
      <c r="Q66" s="27">
        <v>0.20059321576282918</v>
      </c>
      <c r="R66" s="27">
        <v>0.2229499119248611</v>
      </c>
      <c r="S66" s="27">
        <v>0.20059321576282918</v>
      </c>
      <c r="T66" s="53"/>
      <c r="U66" s="53"/>
      <c r="V66" s="27">
        <v>118.2150810704762</v>
      </c>
      <c r="W66" s="27">
        <v>117.76912351207079</v>
      </c>
      <c r="X66" s="27">
        <v>0.25091476196524692</v>
      </c>
      <c r="Y66" s="27">
        <v>0.2229499119248611</v>
      </c>
      <c r="Z66" s="27">
        <v>0.22294991192486113</v>
      </c>
      <c r="AA66" s="27">
        <v>0.20059321576282918</v>
      </c>
      <c r="AB66" s="27">
        <v>0.2229499119248611</v>
      </c>
      <c r="AC66" s="27">
        <v>0.20059321576282918</v>
      </c>
    </row>
    <row r="67" spans="4:29" x14ac:dyDescent="0.55000000000000004">
      <c r="D67" s="49">
        <v>39022</v>
      </c>
      <c r="E67" s="92">
        <v>118.91</v>
      </c>
      <c r="L67" s="27">
        <v>119.21502779585117</v>
      </c>
      <c r="M67" s="27">
        <v>118.71351858249729</v>
      </c>
      <c r="N67" s="27">
        <v>0.25090404474496941</v>
      </c>
      <c r="O67" s="27">
        <v>0.22294053958360799</v>
      </c>
      <c r="P67" s="27">
        <v>0.22294053958360807</v>
      </c>
      <c r="Q67" s="27">
        <v>0.20058501953486249</v>
      </c>
      <c r="R67" s="27">
        <v>0.22294053958360799</v>
      </c>
      <c r="S67" s="27">
        <v>0.20058501953486249</v>
      </c>
      <c r="T67" s="53"/>
      <c r="U67" s="53"/>
      <c r="V67" s="27">
        <v>119.21502779585117</v>
      </c>
      <c r="W67" s="27">
        <v>118.71351858249729</v>
      </c>
      <c r="X67" s="27">
        <v>0.25090404474496941</v>
      </c>
      <c r="Y67" s="27">
        <v>0.22294053958360799</v>
      </c>
      <c r="Z67" s="27">
        <v>0.22294053958360807</v>
      </c>
      <c r="AA67" s="27">
        <v>0.20058501953486249</v>
      </c>
      <c r="AB67" s="27">
        <v>0.22294053958360799</v>
      </c>
      <c r="AC67" s="27">
        <v>0.20058501953486249</v>
      </c>
    </row>
    <row r="68" spans="4:29" x14ac:dyDescent="0.55000000000000004">
      <c r="D68" s="49">
        <v>39052</v>
      </c>
      <c r="E68" s="92">
        <v>120.7</v>
      </c>
      <c r="L68" s="27">
        <v>119.87592776955931</v>
      </c>
      <c r="M68" s="27">
        <v>119.35843561250567</v>
      </c>
      <c r="N68" s="27">
        <v>0.25089531451549107</v>
      </c>
      <c r="O68" s="27">
        <v>0.22293280693898901</v>
      </c>
      <c r="P68" s="27">
        <v>0.22293280693898909</v>
      </c>
      <c r="Q68" s="27">
        <v>0.20057817048319079</v>
      </c>
      <c r="R68" s="27">
        <v>0.22293280693898912</v>
      </c>
      <c r="S68" s="27">
        <v>0.20057817048319082</v>
      </c>
      <c r="T68" s="53"/>
      <c r="U68" s="53"/>
      <c r="V68" s="27">
        <v>119.87592776955931</v>
      </c>
      <c r="W68" s="27">
        <v>119.35843561250567</v>
      </c>
      <c r="X68" s="27">
        <v>0.25089531451549107</v>
      </c>
      <c r="Y68" s="27">
        <v>0.22293280693898901</v>
      </c>
      <c r="Z68" s="27">
        <v>0.22293280693898909</v>
      </c>
      <c r="AA68" s="27">
        <v>0.20057817048319079</v>
      </c>
      <c r="AB68" s="27">
        <v>0.22293280693898912</v>
      </c>
      <c r="AC68" s="27">
        <v>0.20057817048319082</v>
      </c>
    </row>
    <row r="69" spans="4:29" x14ac:dyDescent="0.55000000000000004">
      <c r="D69" s="49">
        <v>39083</v>
      </c>
      <c r="E69" s="92">
        <v>119.93</v>
      </c>
      <c r="L69" s="27">
        <v>120.50133249639357</v>
      </c>
      <c r="M69" s="27">
        <v>119.97301939113251</v>
      </c>
      <c r="N69" s="27">
        <v>0.25088837848989315</v>
      </c>
      <c r="O69" s="27">
        <v>0.22292658614682148</v>
      </c>
      <c r="P69" s="27">
        <v>0.22292658614682165</v>
      </c>
      <c r="Q69" s="27">
        <v>0.20057259117056511</v>
      </c>
      <c r="R69" s="27">
        <v>0.22292658614682165</v>
      </c>
      <c r="S69" s="27">
        <v>0.20057259117056514</v>
      </c>
      <c r="T69" s="53"/>
      <c r="U69" s="53"/>
      <c r="V69" s="27">
        <v>120.50133249639357</v>
      </c>
      <c r="W69" s="27">
        <v>119.97301939113251</v>
      </c>
      <c r="X69" s="27">
        <v>0.25088837848989315</v>
      </c>
      <c r="Y69" s="27">
        <v>0.22292658614682148</v>
      </c>
      <c r="Z69" s="27">
        <v>0.22292658614682165</v>
      </c>
      <c r="AA69" s="27">
        <v>0.20057259117056511</v>
      </c>
      <c r="AB69" s="27">
        <v>0.22292658614682165</v>
      </c>
      <c r="AC69" s="27">
        <v>0.20057259117056514</v>
      </c>
    </row>
    <row r="70" spans="4:29" x14ac:dyDescent="0.55000000000000004">
      <c r="D70" s="49">
        <v>39114</v>
      </c>
      <c r="E70" s="92">
        <v>120.36</v>
      </c>
      <c r="L70" s="27">
        <v>120.8019684195863</v>
      </c>
      <c r="M70" s="27">
        <v>120.29648571843521</v>
      </c>
      <c r="N70" s="27">
        <v>0.25088300485730847</v>
      </c>
      <c r="O70" s="27">
        <v>0.22292170558783209</v>
      </c>
      <c r="P70" s="27">
        <v>0.2229217055878322</v>
      </c>
      <c r="Q70" s="27">
        <v>0.20056815844174081</v>
      </c>
      <c r="R70" s="27">
        <v>0.22292170558783223</v>
      </c>
      <c r="S70" s="27">
        <v>0.20056815844174081</v>
      </c>
      <c r="T70" s="53"/>
      <c r="U70" s="53"/>
      <c r="V70" s="27">
        <v>120.8019684195863</v>
      </c>
      <c r="W70" s="27">
        <v>120.29648571843521</v>
      </c>
      <c r="X70" s="27">
        <v>0.25088300485730847</v>
      </c>
      <c r="Y70" s="27">
        <v>0.22292170558783209</v>
      </c>
      <c r="Z70" s="27">
        <v>0.2229217055878322</v>
      </c>
      <c r="AA70" s="27">
        <v>0.20056815844174081</v>
      </c>
      <c r="AB70" s="27">
        <v>0.22292170558783223</v>
      </c>
      <c r="AC70" s="27">
        <v>0.20056815844174081</v>
      </c>
    </row>
    <row r="71" spans="4:29" x14ac:dyDescent="0.55000000000000004">
      <c r="D71" s="49">
        <v>39142</v>
      </c>
      <c r="E71" s="92">
        <v>119.48</v>
      </c>
      <c r="L71" s="27">
        <v>121.37388771658654</v>
      </c>
      <c r="M71" s="27">
        <v>120.86174304131049</v>
      </c>
      <c r="N71" s="27">
        <v>0.25087894841120878</v>
      </c>
      <c r="O71" s="27">
        <v>0.22291797317894907</v>
      </c>
      <c r="P71" s="27">
        <v>0.22291797317894918</v>
      </c>
      <c r="Q71" s="27">
        <v>0.20056472418531848</v>
      </c>
      <c r="R71" s="27">
        <v>0.22291797317894918</v>
      </c>
      <c r="S71" s="27">
        <v>0.20056472418531848</v>
      </c>
      <c r="T71" s="53"/>
      <c r="U71" s="53"/>
      <c r="V71" s="27">
        <v>121.37388771658654</v>
      </c>
      <c r="W71" s="27">
        <v>120.86174304131049</v>
      </c>
      <c r="X71" s="27">
        <v>0.25087894841120878</v>
      </c>
      <c r="Y71" s="27">
        <v>0.22291797317894907</v>
      </c>
      <c r="Z71" s="27">
        <v>0.22291797317894918</v>
      </c>
      <c r="AA71" s="27">
        <v>0.20056472418531848</v>
      </c>
      <c r="AB71" s="27">
        <v>0.22291797317894918</v>
      </c>
      <c r="AC71" s="27">
        <v>0.20056472418531848</v>
      </c>
    </row>
    <row r="72" spans="4:29" x14ac:dyDescent="0.55000000000000004">
      <c r="D72" s="49">
        <v>39173</v>
      </c>
      <c r="E72" s="92">
        <v>121.1</v>
      </c>
      <c r="L72" s="27">
        <v>122.07241452385105</v>
      </c>
      <c r="M72" s="27">
        <v>121.54158017850133</v>
      </c>
      <c r="N72" s="27">
        <v>0.25087596939854945</v>
      </c>
      <c r="O72" s="27">
        <v>0.22291519415018862</v>
      </c>
      <c r="P72" s="27">
        <v>0.22291519415018868</v>
      </c>
      <c r="Q72" s="27">
        <v>0.20056213171535112</v>
      </c>
      <c r="R72" s="27">
        <v>0.22291519415018871</v>
      </c>
      <c r="S72" s="27">
        <v>0.20056213171535114</v>
      </c>
      <c r="T72" s="53"/>
      <c r="U72" s="53"/>
      <c r="V72" s="27">
        <v>122.07241452385105</v>
      </c>
      <c r="W72" s="27">
        <v>121.54158017850133</v>
      </c>
      <c r="X72" s="27">
        <v>0.25087596939854945</v>
      </c>
      <c r="Y72" s="27">
        <v>0.22291519415018862</v>
      </c>
      <c r="Z72" s="27">
        <v>0.22291519415018868</v>
      </c>
      <c r="AA72" s="27">
        <v>0.20056213171535112</v>
      </c>
      <c r="AB72" s="27">
        <v>0.22291519415018871</v>
      </c>
      <c r="AC72" s="27">
        <v>0.20056213171535114</v>
      </c>
    </row>
    <row r="73" spans="4:29" x14ac:dyDescent="0.55000000000000004">
      <c r="D73" s="49">
        <v>39203</v>
      </c>
      <c r="E73" s="92">
        <v>122.21</v>
      </c>
      <c r="L73" s="27">
        <v>122.80779076892858</v>
      </c>
      <c r="M73" s="27">
        <v>122.25644567599285</v>
      </c>
      <c r="N73" s="27">
        <v>0.25087384625053488</v>
      </c>
      <c r="O73" s="27">
        <v>0.22291318361562382</v>
      </c>
      <c r="P73" s="27">
        <v>0.22291318361562384</v>
      </c>
      <c r="Q73" s="27">
        <v>0.20056022782112964</v>
      </c>
      <c r="R73" s="27">
        <v>0.22291318361562382</v>
      </c>
      <c r="S73" s="27">
        <v>0.20056022782112964</v>
      </c>
      <c r="T73" s="53"/>
      <c r="U73" s="53"/>
      <c r="V73" s="27">
        <v>122.80779076892858</v>
      </c>
      <c r="W73" s="27">
        <v>122.25644567599285</v>
      </c>
      <c r="X73" s="27">
        <v>0.25087384625053488</v>
      </c>
      <c r="Y73" s="27">
        <v>0.22291318361562382</v>
      </c>
      <c r="Z73" s="27">
        <v>0.22291318361562384</v>
      </c>
      <c r="AA73" s="27">
        <v>0.20056022782112964</v>
      </c>
      <c r="AB73" s="27">
        <v>0.22291318361562382</v>
      </c>
      <c r="AC73" s="27">
        <v>0.20056022782112964</v>
      </c>
    </row>
    <row r="74" spans="4:29" x14ac:dyDescent="0.55000000000000004">
      <c r="D74" s="49">
        <v>39234</v>
      </c>
      <c r="E74" s="92">
        <v>122.99</v>
      </c>
      <c r="L74" s="27">
        <v>123.58254010009658</v>
      </c>
      <c r="M74" s="27">
        <v>123.00879272072439</v>
      </c>
      <c r="N74" s="27">
        <v>0.25087238316160748</v>
      </c>
      <c r="O74" s="27">
        <v>0.22291177461359982</v>
      </c>
      <c r="P74" s="27">
        <v>0.22291177461359982</v>
      </c>
      <c r="Q74" s="27">
        <v>0.20055887090654534</v>
      </c>
      <c r="R74" s="27">
        <v>0.22291177461359979</v>
      </c>
      <c r="S74" s="27">
        <v>0.20055887090654534</v>
      </c>
      <c r="T74" s="53"/>
      <c r="U74" s="53"/>
      <c r="V74" s="27">
        <v>123.58254010009658</v>
      </c>
      <c r="W74" s="27">
        <v>123.00879272072439</v>
      </c>
      <c r="X74" s="27">
        <v>0.25087238316160748</v>
      </c>
      <c r="Y74" s="27">
        <v>0.22291177461359982</v>
      </c>
      <c r="Z74" s="27">
        <v>0.22291177461359982</v>
      </c>
      <c r="AA74" s="27">
        <v>0.20055887090654534</v>
      </c>
      <c r="AB74" s="27">
        <v>0.22291177461359979</v>
      </c>
      <c r="AC74" s="27">
        <v>0.20055887090654534</v>
      </c>
    </row>
    <row r="75" spans="4:29" x14ac:dyDescent="0.55000000000000004">
      <c r="D75" s="49">
        <v>39264</v>
      </c>
      <c r="E75" s="92">
        <v>123.81</v>
      </c>
      <c r="L75" s="27">
        <v>124.30284240648365</v>
      </c>
      <c r="M75" s="27">
        <v>123.71439890051639</v>
      </c>
      <c r="N75" s="27">
        <v>0.250871413590599</v>
      </c>
      <c r="O75" s="27">
        <v>0.22291082244925634</v>
      </c>
      <c r="P75" s="27">
        <v>0.22291082244925631</v>
      </c>
      <c r="Q75" s="27">
        <v>0.20055793583636572</v>
      </c>
      <c r="R75" s="27">
        <v>0.22291082244925628</v>
      </c>
      <c r="S75" s="27">
        <v>0.20055793583636566</v>
      </c>
      <c r="T75" s="53"/>
      <c r="U75" s="53"/>
      <c r="V75" s="27">
        <v>124.30284240648365</v>
      </c>
      <c r="W75" s="27">
        <v>123.71439890051639</v>
      </c>
      <c r="X75" s="27">
        <v>0.250871413590599</v>
      </c>
      <c r="Y75" s="27">
        <v>0.22291082244925634</v>
      </c>
      <c r="Z75" s="27">
        <v>0.22291082244925631</v>
      </c>
      <c r="AA75" s="27">
        <v>0.20055793583636572</v>
      </c>
      <c r="AB75" s="27">
        <v>0.22291082244925628</v>
      </c>
      <c r="AC75" s="27">
        <v>0.20055793583636566</v>
      </c>
    </row>
    <row r="76" spans="4:29" x14ac:dyDescent="0.55000000000000004">
      <c r="D76" s="49">
        <v>39295</v>
      </c>
      <c r="E76" s="92">
        <v>124.24</v>
      </c>
      <c r="L76" s="27">
        <v>125.05560586362282</v>
      </c>
      <c r="M76" s="27">
        <v>124.45068475503781</v>
      </c>
      <c r="N76" s="27">
        <v>0.25087080073205281</v>
      </c>
      <c r="O76" s="27">
        <v>0.2229102061990213</v>
      </c>
      <c r="P76" s="27">
        <v>0.2229102061990213</v>
      </c>
      <c r="Q76" s="27">
        <v>0.20055731617567157</v>
      </c>
      <c r="R76" s="27">
        <v>0.22291020619902133</v>
      </c>
      <c r="S76" s="27">
        <v>0.20055731617567157</v>
      </c>
      <c r="T76" s="53"/>
      <c r="U76" s="53"/>
      <c r="V76" s="27">
        <v>125.05560586362282</v>
      </c>
      <c r="W76" s="27">
        <v>124.45068475503781</v>
      </c>
      <c r="X76" s="27">
        <v>0.25087080073205281</v>
      </c>
      <c r="Y76" s="27">
        <v>0.2229102061990213</v>
      </c>
      <c r="Z76" s="27">
        <v>0.2229102061990213</v>
      </c>
      <c r="AA76" s="27">
        <v>0.20055731617567157</v>
      </c>
      <c r="AB76" s="27">
        <v>0.22291020619902133</v>
      </c>
      <c r="AC76" s="27">
        <v>0.20055731617567157</v>
      </c>
    </row>
    <row r="77" spans="4:29" x14ac:dyDescent="0.55000000000000004">
      <c r="D77" s="49">
        <v>39326</v>
      </c>
      <c r="E77" s="92">
        <v>125.04</v>
      </c>
      <c r="L77" s="27">
        <v>125.93122736048902</v>
      </c>
      <c r="M77" s="27">
        <v>125.29916101673612</v>
      </c>
      <c r="N77" s="27">
        <v>0.25087043589839714</v>
      </c>
      <c r="O77" s="27">
        <v>0.22290982817881955</v>
      </c>
      <c r="P77" s="27">
        <v>0.22290982817881955</v>
      </c>
      <c r="Q77" s="27">
        <v>0.20055692449230933</v>
      </c>
      <c r="R77" s="27">
        <v>0.22290982817881955</v>
      </c>
      <c r="S77" s="27">
        <v>0.20055692449230933</v>
      </c>
      <c r="T77" s="53"/>
      <c r="U77" s="53"/>
      <c r="V77" s="27">
        <v>125.93122736048902</v>
      </c>
      <c r="W77" s="27">
        <v>125.29916101673612</v>
      </c>
      <c r="X77" s="27">
        <v>0.25087043589839714</v>
      </c>
      <c r="Y77" s="27">
        <v>0.22290982817881955</v>
      </c>
      <c r="Z77" s="27">
        <v>0.22290982817881955</v>
      </c>
      <c r="AA77" s="27">
        <v>0.20055692449230933</v>
      </c>
      <c r="AB77" s="27">
        <v>0.22290982817881955</v>
      </c>
      <c r="AC77" s="27">
        <v>0.20055692449230933</v>
      </c>
    </row>
    <row r="78" spans="4:29" x14ac:dyDescent="0.55000000000000004">
      <c r="D78" s="49">
        <v>39356</v>
      </c>
      <c r="E78" s="92">
        <v>126.27</v>
      </c>
      <c r="L78" s="27">
        <v>126.62989299741292</v>
      </c>
      <c r="M78" s="27">
        <v>125.99114821252739</v>
      </c>
      <c r="N78" s="27">
        <v>0.2508702356042109</v>
      </c>
      <c r="O78" s="27">
        <v>0.2229096120716238</v>
      </c>
      <c r="P78" s="27">
        <v>0.22290961207162385</v>
      </c>
      <c r="Q78" s="27">
        <v>0.20055669132368417</v>
      </c>
      <c r="R78" s="27">
        <v>0.22290961207162385</v>
      </c>
      <c r="S78" s="27">
        <v>0.2005566913236842</v>
      </c>
      <c r="T78" s="53"/>
      <c r="U78" s="53"/>
      <c r="V78" s="27">
        <v>126.62989299741292</v>
      </c>
      <c r="W78" s="27">
        <v>125.99114821252739</v>
      </c>
      <c r="X78" s="27">
        <v>0.2508702356042109</v>
      </c>
      <c r="Y78" s="27">
        <v>0.2229096120716238</v>
      </c>
      <c r="Z78" s="27">
        <v>0.22290961207162385</v>
      </c>
      <c r="AA78" s="27">
        <v>0.20055669132368417</v>
      </c>
      <c r="AB78" s="27">
        <v>0.22290961207162385</v>
      </c>
      <c r="AC78" s="27">
        <v>0.2005566913236842</v>
      </c>
    </row>
    <row r="79" spans="4:29" x14ac:dyDescent="0.55000000000000004">
      <c r="D79" s="49">
        <v>39387</v>
      </c>
      <c r="E79" s="92">
        <v>126.23</v>
      </c>
      <c r="L79" s="27">
        <v>127.4848838494657</v>
      </c>
      <c r="M79" s="27">
        <v>126.82445432389837</v>
      </c>
      <c r="N79" s="27">
        <v>0.25087013798050634</v>
      </c>
      <c r="O79" s="27">
        <v>0.22290950028250817</v>
      </c>
      <c r="P79" s="27">
        <v>0.22290950028250822</v>
      </c>
      <c r="Q79" s="27">
        <v>0.20055656331372571</v>
      </c>
      <c r="R79" s="27">
        <v>0.22290950028250822</v>
      </c>
      <c r="S79" s="27">
        <v>0.20055656331372568</v>
      </c>
      <c r="T79" s="53"/>
      <c r="U79" s="53"/>
      <c r="V79" s="27">
        <v>127.4848838494657</v>
      </c>
      <c r="W79" s="27">
        <v>126.82445432389837</v>
      </c>
      <c r="X79" s="27">
        <v>0.25087013798050634</v>
      </c>
      <c r="Y79" s="27">
        <v>0.22290950028250817</v>
      </c>
      <c r="Z79" s="27">
        <v>0.22290950028250822</v>
      </c>
      <c r="AA79" s="27">
        <v>0.20055656331372571</v>
      </c>
      <c r="AB79" s="27">
        <v>0.22290950028250822</v>
      </c>
      <c r="AC79" s="27">
        <v>0.20055656331372568</v>
      </c>
    </row>
    <row r="80" spans="4:29" x14ac:dyDescent="0.55000000000000004">
      <c r="D80" s="49">
        <v>39417</v>
      </c>
      <c r="E80" s="92">
        <v>127.6</v>
      </c>
      <c r="L80" s="27">
        <v>128.13530834079168</v>
      </c>
      <c r="M80" s="27">
        <v>127.47588210166897</v>
      </c>
      <c r="N80" s="27">
        <v>0.2508700989886925</v>
      </c>
      <c r="O80" s="27">
        <v>0.2229094509592088</v>
      </c>
      <c r="P80" s="27">
        <v>0.22290945095920889</v>
      </c>
      <c r="Q80" s="27">
        <v>0.20055650092145372</v>
      </c>
      <c r="R80" s="27">
        <v>0.22290945095920889</v>
      </c>
      <c r="S80" s="27">
        <v>0.20055650092145372</v>
      </c>
      <c r="T80" s="53"/>
      <c r="U80" s="53"/>
      <c r="V80" s="27">
        <v>128.13530834079168</v>
      </c>
      <c r="W80" s="27">
        <v>127.47588210166897</v>
      </c>
      <c r="X80" s="27">
        <v>0.2508700989886925</v>
      </c>
      <c r="Y80" s="27">
        <v>0.2229094509592088</v>
      </c>
      <c r="Z80" s="27">
        <v>0.22290945095920889</v>
      </c>
      <c r="AA80" s="27">
        <v>0.20055650092145372</v>
      </c>
      <c r="AB80" s="27">
        <v>0.22290945095920889</v>
      </c>
      <c r="AC80" s="27">
        <v>0.20055650092145372</v>
      </c>
    </row>
    <row r="81" spans="4:29" x14ac:dyDescent="0.55000000000000004">
      <c r="D81" s="49">
        <v>39448</v>
      </c>
      <c r="E81" s="92">
        <v>127.44</v>
      </c>
      <c r="L81" s="27">
        <v>128.56618367697249</v>
      </c>
      <c r="M81" s="27">
        <v>127.92967611314766</v>
      </c>
      <c r="N81" s="27">
        <v>0.25087008876222883</v>
      </c>
      <c r="O81" s="27">
        <v>0.22290943499537333</v>
      </c>
      <c r="P81" s="27">
        <v>0.22290943499537338</v>
      </c>
      <c r="Q81" s="27">
        <v>0.20055647600139836</v>
      </c>
      <c r="R81" s="27">
        <v>0.22290943499537338</v>
      </c>
      <c r="S81" s="27">
        <v>0.20055647600139836</v>
      </c>
      <c r="T81" s="53"/>
      <c r="U81" s="53"/>
      <c r="V81" s="27">
        <v>128.56618367697249</v>
      </c>
      <c r="W81" s="27">
        <v>127.92967611314766</v>
      </c>
      <c r="X81" s="27">
        <v>0.25087008876222883</v>
      </c>
      <c r="Y81" s="27">
        <v>0.22290943499537333</v>
      </c>
      <c r="Z81" s="27">
        <v>0.22290943499537338</v>
      </c>
      <c r="AA81" s="27">
        <v>0.20055647600139836</v>
      </c>
      <c r="AB81" s="27">
        <v>0.22290943499537338</v>
      </c>
      <c r="AC81" s="27">
        <v>0.20055647600139836</v>
      </c>
    </row>
    <row r="82" spans="4:29" x14ac:dyDescent="0.55000000000000004">
      <c r="D82" s="49">
        <v>39479</v>
      </c>
      <c r="E82" s="92">
        <v>127.11</v>
      </c>
      <c r="L82" s="27">
        <v>128.71759937076121</v>
      </c>
      <c r="M82" s="27">
        <v>128.1297359618103</v>
      </c>
      <c r="N82" s="27">
        <v>0.2508700882848437</v>
      </c>
      <c r="O82" s="27">
        <v>0.22290943322898954</v>
      </c>
      <c r="P82" s="27">
        <v>0.2229094332289896</v>
      </c>
      <c r="Q82" s="27">
        <v>0.20055646946556366</v>
      </c>
      <c r="R82" s="27">
        <v>0.2229094332289896</v>
      </c>
      <c r="S82" s="27">
        <v>0.20055646946556363</v>
      </c>
      <c r="T82" s="53"/>
      <c r="U82" s="53"/>
      <c r="V82" s="27">
        <v>128.71759937076121</v>
      </c>
      <c r="W82" s="27">
        <v>128.1297359618103</v>
      </c>
      <c r="X82" s="27">
        <v>0.2508700882848437</v>
      </c>
      <c r="Y82" s="27">
        <v>0.22290943322898954</v>
      </c>
      <c r="Z82" s="27">
        <v>0.2229094332289896</v>
      </c>
      <c r="AA82" s="27">
        <v>0.20055646946556366</v>
      </c>
      <c r="AB82" s="27">
        <v>0.2229094332289896</v>
      </c>
      <c r="AC82" s="27">
        <v>0.20055646946556363</v>
      </c>
    </row>
    <row r="83" spans="4:29" x14ac:dyDescent="0.55000000000000004">
      <c r="D83" s="49">
        <v>39508</v>
      </c>
      <c r="E83" s="92">
        <v>126.39</v>
      </c>
      <c r="L83" s="27">
        <v>129.14996129884287</v>
      </c>
      <c r="M83" s="27">
        <v>128.57769130407277</v>
      </c>
      <c r="N83" s="27">
        <v>0.25087008651945036</v>
      </c>
      <c r="O83" s="27">
        <v>0.22290943396290044</v>
      </c>
      <c r="P83" s="27">
        <v>0.22290943396290047</v>
      </c>
      <c r="Q83" s="27">
        <v>0.20055646916046208</v>
      </c>
      <c r="R83" s="27">
        <v>0.22290943396290044</v>
      </c>
      <c r="S83" s="27">
        <v>0.20055646916046202</v>
      </c>
      <c r="T83" s="53"/>
      <c r="U83" s="53"/>
      <c r="V83" s="27">
        <v>129.14996129884287</v>
      </c>
      <c r="W83" s="27">
        <v>128.57769130407277</v>
      </c>
      <c r="X83" s="27">
        <v>0.25087008651945036</v>
      </c>
      <c r="Y83" s="27">
        <v>0.22290943396290044</v>
      </c>
      <c r="Z83" s="27">
        <v>0.22290943396290047</v>
      </c>
      <c r="AA83" s="27">
        <v>0.20055646916046208</v>
      </c>
      <c r="AB83" s="27">
        <v>0.22290943396290044</v>
      </c>
      <c r="AC83" s="27">
        <v>0.20055646916046202</v>
      </c>
    </row>
    <row r="84" spans="4:29" x14ac:dyDescent="0.55000000000000004">
      <c r="D84" s="49">
        <v>39539</v>
      </c>
      <c r="E84" s="92">
        <v>128.02000000000001</v>
      </c>
      <c r="L84" s="27">
        <v>129.77573818387421</v>
      </c>
      <c r="M84" s="27">
        <v>129.19810261293796</v>
      </c>
      <c r="N84" s="27">
        <v>0.25087007803069461</v>
      </c>
      <c r="O84" s="27">
        <v>0.22290943086811482</v>
      </c>
      <c r="P84" s="27">
        <v>0.22290943086811485</v>
      </c>
      <c r="Q84" s="27">
        <v>0.20055646803218158</v>
      </c>
      <c r="R84" s="27">
        <v>0.22290943086811488</v>
      </c>
      <c r="S84" s="27">
        <v>0.20055646803218158</v>
      </c>
      <c r="T84" s="53"/>
      <c r="U84" s="53"/>
      <c r="V84" s="27">
        <v>129.77573818387421</v>
      </c>
      <c r="W84" s="27">
        <v>129.19810261293796</v>
      </c>
      <c r="X84" s="27">
        <v>0.25087007803069461</v>
      </c>
      <c r="Y84" s="27">
        <v>0.22290943086811482</v>
      </c>
      <c r="Z84" s="27">
        <v>0.22290943086811485</v>
      </c>
      <c r="AA84" s="27">
        <v>0.20055646803218158</v>
      </c>
      <c r="AB84" s="27">
        <v>0.22290943086811488</v>
      </c>
      <c r="AC84" s="27">
        <v>0.20055646803218158</v>
      </c>
    </row>
    <row r="85" spans="4:29" x14ac:dyDescent="0.55000000000000004">
      <c r="D85" s="49">
        <v>39569</v>
      </c>
      <c r="E85" s="92">
        <v>129.38999999999999</v>
      </c>
      <c r="L85" s="27">
        <v>130.51036034867434</v>
      </c>
      <c r="M85" s="27">
        <v>129.91698244246552</v>
      </c>
      <c r="N85" s="27">
        <v>0.25087006109392002</v>
      </c>
      <c r="O85" s="27">
        <v>0.22290942128238533</v>
      </c>
      <c r="P85" s="27">
        <v>0.22290942128238542</v>
      </c>
      <c r="Q85" s="27">
        <v>0.20055646260693322</v>
      </c>
      <c r="R85" s="27">
        <v>0.22290942128238539</v>
      </c>
      <c r="S85" s="27">
        <v>0.20055646260693319</v>
      </c>
      <c r="T85" s="53"/>
      <c r="U85" s="53"/>
      <c r="V85" s="27">
        <v>130.51036034867434</v>
      </c>
      <c r="W85" s="27">
        <v>129.91698244246552</v>
      </c>
      <c r="X85" s="27">
        <v>0.25087006109392002</v>
      </c>
      <c r="Y85" s="27">
        <v>0.22290942128238533</v>
      </c>
      <c r="Z85" s="27">
        <v>0.22290942128238542</v>
      </c>
      <c r="AA85" s="27">
        <v>0.20055646260693322</v>
      </c>
      <c r="AB85" s="27">
        <v>0.22290942128238539</v>
      </c>
      <c r="AC85" s="27">
        <v>0.20055646260693319</v>
      </c>
    </row>
    <row r="86" spans="4:29" x14ac:dyDescent="0.55000000000000004">
      <c r="D86" s="49">
        <v>39600</v>
      </c>
      <c r="E86" s="92">
        <v>130.47999999999999</v>
      </c>
      <c r="L86" s="27">
        <v>131.10811611787227</v>
      </c>
      <c r="M86" s="27">
        <v>130.51429920745846</v>
      </c>
      <c r="N86" s="27">
        <v>0.25087003625089377</v>
      </c>
      <c r="O86" s="27">
        <v>0.22290940488383698</v>
      </c>
      <c r="P86" s="27">
        <v>0.22290940488383715</v>
      </c>
      <c r="Q86" s="27">
        <v>0.20055645178247153</v>
      </c>
      <c r="R86" s="27">
        <v>0.22290940488383712</v>
      </c>
      <c r="S86" s="27">
        <v>0.20055645178247156</v>
      </c>
      <c r="T86" s="53"/>
      <c r="U86" s="53"/>
      <c r="V86" s="27">
        <v>131.10811611787227</v>
      </c>
      <c r="W86" s="27">
        <v>130.51429920745846</v>
      </c>
      <c r="X86" s="27">
        <v>0.25087003625089377</v>
      </c>
      <c r="Y86" s="27">
        <v>0.22290940488383698</v>
      </c>
      <c r="Z86" s="27">
        <v>0.22290940488383715</v>
      </c>
      <c r="AA86" s="27">
        <v>0.20055645178247153</v>
      </c>
      <c r="AB86" s="27">
        <v>0.22290940488383712</v>
      </c>
      <c r="AC86" s="27">
        <v>0.20055645178247156</v>
      </c>
    </row>
    <row r="87" spans="4:29" x14ac:dyDescent="0.55000000000000004">
      <c r="D87" s="49">
        <v>39630</v>
      </c>
      <c r="E87" s="92">
        <v>130.53</v>
      </c>
      <c r="L87" s="27">
        <v>131.69566568180727</v>
      </c>
      <c r="M87" s="27">
        <v>131.10247724948033</v>
      </c>
      <c r="N87" s="27">
        <v>0.25087000525429987</v>
      </c>
      <c r="O87" s="27">
        <v>0.22290938269947</v>
      </c>
      <c r="P87" s="27">
        <v>0.22290938269947014</v>
      </c>
      <c r="Q87" s="27">
        <v>0.20055643590504502</v>
      </c>
      <c r="R87" s="27">
        <v>0.22290938269947014</v>
      </c>
      <c r="S87" s="27">
        <v>0.20055643590504507</v>
      </c>
      <c r="T87" s="53"/>
      <c r="U87" s="53"/>
      <c r="V87" s="27">
        <v>131.69566568180727</v>
      </c>
      <c r="W87" s="27">
        <v>131.10247724948033</v>
      </c>
      <c r="X87" s="27">
        <v>0.25087000525429987</v>
      </c>
      <c r="Y87" s="27">
        <v>0.22290938269947</v>
      </c>
      <c r="Z87" s="27">
        <v>0.22290938269947014</v>
      </c>
      <c r="AA87" s="27">
        <v>0.20055643590504502</v>
      </c>
      <c r="AB87" s="27">
        <v>0.22290938269947014</v>
      </c>
      <c r="AC87" s="27">
        <v>0.20055643590504507</v>
      </c>
    </row>
    <row r="88" spans="4:29" x14ac:dyDescent="0.55000000000000004">
      <c r="D88" s="49">
        <v>39661</v>
      </c>
      <c r="E88" s="92">
        <v>131.08000000000001</v>
      </c>
      <c r="L88" s="27">
        <v>132.029016327227</v>
      </c>
      <c r="M88" s="27">
        <v>131.4618839502993</v>
      </c>
      <c r="N88" s="27">
        <v>0.25086997033530706</v>
      </c>
      <c r="O88" s="27">
        <v>0.22290935639826448</v>
      </c>
      <c r="P88" s="27">
        <v>0.22290935639826451</v>
      </c>
      <c r="Q88" s="27">
        <v>0.20055641609481112</v>
      </c>
      <c r="R88" s="27">
        <v>0.22290935639826451</v>
      </c>
      <c r="S88" s="27">
        <v>0.20055641609481106</v>
      </c>
      <c r="T88" s="53"/>
      <c r="U88" s="53"/>
      <c r="V88" s="27">
        <v>132.029016327227</v>
      </c>
      <c r="W88" s="27">
        <v>131.4618839502993</v>
      </c>
      <c r="X88" s="27">
        <v>0.25086997033530706</v>
      </c>
      <c r="Y88" s="27">
        <v>0.22290935639826448</v>
      </c>
      <c r="Z88" s="27">
        <v>0.22290935639826451</v>
      </c>
      <c r="AA88" s="27">
        <v>0.20055641609481112</v>
      </c>
      <c r="AB88" s="27">
        <v>0.22290935639826451</v>
      </c>
      <c r="AC88" s="27">
        <v>0.20055641609481106</v>
      </c>
    </row>
    <row r="89" spans="4:29" x14ac:dyDescent="0.55000000000000004">
      <c r="D89" s="49">
        <v>39692</v>
      </c>
      <c r="E89" s="92">
        <v>130.53</v>
      </c>
      <c r="L89" s="27">
        <v>131.72702159550991</v>
      </c>
      <c r="M89" s="27">
        <v>131.24704367335787</v>
      </c>
      <c r="N89" s="27">
        <v>0.25086993372835925</v>
      </c>
      <c r="O89" s="27">
        <v>0.22290932781574932</v>
      </c>
      <c r="P89" s="27">
        <v>0.22290932781574935</v>
      </c>
      <c r="Q89" s="27">
        <v>0.20055639377773138</v>
      </c>
      <c r="R89" s="27">
        <v>0.22290932781574938</v>
      </c>
      <c r="S89" s="27">
        <v>0.20055639377773143</v>
      </c>
      <c r="T89" s="53"/>
      <c r="U89" s="53"/>
      <c r="V89" s="27">
        <v>131.72702159550991</v>
      </c>
      <c r="W89" s="27">
        <v>131.24704367335787</v>
      </c>
      <c r="X89" s="27">
        <v>0.25086993372835925</v>
      </c>
      <c r="Y89" s="27">
        <v>0.22290932781574932</v>
      </c>
      <c r="Z89" s="27">
        <v>0.22290932781574935</v>
      </c>
      <c r="AA89" s="27">
        <v>0.20055639377773138</v>
      </c>
      <c r="AB89" s="27">
        <v>0.22290932781574938</v>
      </c>
      <c r="AC89" s="27">
        <v>0.20055639377773143</v>
      </c>
    </row>
    <row r="90" spans="4:29" x14ac:dyDescent="0.55000000000000004">
      <c r="D90" s="49">
        <v>39722</v>
      </c>
      <c r="E90" s="92">
        <v>128.13</v>
      </c>
      <c r="L90" s="27">
        <v>130.71194203771634</v>
      </c>
      <c r="M90" s="27">
        <v>130.38188568824168</v>
      </c>
      <c r="N90" s="27">
        <v>0.25086989739210308</v>
      </c>
      <c r="O90" s="27">
        <v>0.22290929865896067</v>
      </c>
      <c r="P90" s="27">
        <v>0.22290929865896067</v>
      </c>
      <c r="Q90" s="27">
        <v>0.20055637038186142</v>
      </c>
      <c r="R90" s="27">
        <v>0.22290929865896064</v>
      </c>
      <c r="S90" s="27">
        <v>0.20055637038186139</v>
      </c>
      <c r="T90" s="53"/>
      <c r="U90" s="53"/>
      <c r="V90" s="27">
        <v>130.71194203771634</v>
      </c>
      <c r="W90" s="27">
        <v>130.38188568824168</v>
      </c>
      <c r="X90" s="27">
        <v>0.25086989739210308</v>
      </c>
      <c r="Y90" s="27">
        <v>0.22290929865896067</v>
      </c>
      <c r="Z90" s="27">
        <v>0.22290929865896067</v>
      </c>
      <c r="AA90" s="27">
        <v>0.20055637038186142</v>
      </c>
      <c r="AB90" s="27">
        <v>0.22290929865896064</v>
      </c>
      <c r="AC90" s="27">
        <v>0.20055637038186139</v>
      </c>
    </row>
    <row r="91" spans="4:29" x14ac:dyDescent="0.55000000000000004">
      <c r="D91" s="49">
        <v>39753</v>
      </c>
      <c r="E91" s="92">
        <v>125.02</v>
      </c>
      <c r="L91" s="27">
        <v>129.02423659235083</v>
      </c>
      <c r="M91" s="27">
        <v>128.89651760793703</v>
      </c>
      <c r="N91" s="27">
        <v>0.25086986287298479</v>
      </c>
      <c r="O91" s="27">
        <v>0.22290927034583682</v>
      </c>
      <c r="P91" s="27">
        <v>0.22290927034583682</v>
      </c>
      <c r="Q91" s="27">
        <v>0.20055634715899179</v>
      </c>
      <c r="R91" s="27">
        <v>0.22290927034583682</v>
      </c>
      <c r="S91" s="27">
        <v>0.20055634715899182</v>
      </c>
      <c r="T91" s="53"/>
      <c r="U91" s="53"/>
      <c r="V91" s="27">
        <v>129.02423659235083</v>
      </c>
      <c r="W91" s="27">
        <v>128.89651760793703</v>
      </c>
      <c r="X91" s="27">
        <v>0.25086986287298479</v>
      </c>
      <c r="Y91" s="27">
        <v>0.22290927034583682</v>
      </c>
      <c r="Z91" s="27">
        <v>0.22290927034583682</v>
      </c>
      <c r="AA91" s="27">
        <v>0.20055634715899179</v>
      </c>
      <c r="AB91" s="27">
        <v>0.22290927034583682</v>
      </c>
      <c r="AC91" s="27">
        <v>0.20055634715899182</v>
      </c>
    </row>
    <row r="92" spans="4:29" x14ac:dyDescent="0.55000000000000004">
      <c r="D92" s="49">
        <v>39783</v>
      </c>
      <c r="E92" s="92">
        <v>121.66</v>
      </c>
      <c r="L92" s="27">
        <v>127.41454819087558</v>
      </c>
      <c r="M92" s="27">
        <v>127.46105314444871</v>
      </c>
      <c r="N92" s="27">
        <v>0.25086983126694234</v>
      </c>
      <c r="O92" s="27">
        <v>0.22290924393982753</v>
      </c>
      <c r="P92" s="27">
        <v>0.22290924393982753</v>
      </c>
      <c r="Q92" s="27">
        <v>0.20055632509747215</v>
      </c>
      <c r="R92" s="27">
        <v>0.22290924393982747</v>
      </c>
      <c r="S92" s="27">
        <v>0.20055632509747218</v>
      </c>
      <c r="T92" s="53"/>
      <c r="U92" s="53"/>
      <c r="V92" s="27">
        <v>127.41454819087558</v>
      </c>
      <c r="W92" s="27">
        <v>127.46105314444871</v>
      </c>
      <c r="X92" s="27">
        <v>0.25086983126694234</v>
      </c>
      <c r="Y92" s="27">
        <v>0.22290924393982753</v>
      </c>
      <c r="Z92" s="27">
        <v>0.22290924393982753</v>
      </c>
      <c r="AA92" s="27">
        <v>0.20055632509747215</v>
      </c>
      <c r="AB92" s="27">
        <v>0.22290924393982747</v>
      </c>
      <c r="AC92" s="27">
        <v>0.20055632509747218</v>
      </c>
    </row>
    <row r="93" spans="4:29" x14ac:dyDescent="0.55000000000000004">
      <c r="D93" s="49">
        <v>39814</v>
      </c>
      <c r="E93" s="92">
        <v>121.23</v>
      </c>
      <c r="L93" s="27">
        <v>126.25025421068108</v>
      </c>
      <c r="M93" s="27">
        <v>126.40884893498199</v>
      </c>
      <c r="N93" s="27">
        <v>0.25086980324366048</v>
      </c>
      <c r="O93" s="27">
        <v>0.22290922014774639</v>
      </c>
      <c r="P93" s="27">
        <v>0.22290922014774633</v>
      </c>
      <c r="Q93" s="27">
        <v>0.20055630489772791</v>
      </c>
      <c r="R93" s="27">
        <v>0.22290922014774633</v>
      </c>
      <c r="S93" s="27">
        <v>0.20055630489772788</v>
      </c>
      <c r="T93" s="53"/>
      <c r="U93" s="53"/>
      <c r="V93" s="27">
        <v>126.25025421068108</v>
      </c>
      <c r="W93" s="27">
        <v>126.40884893498199</v>
      </c>
      <c r="X93" s="27">
        <v>0.25086980324366048</v>
      </c>
      <c r="Y93" s="27">
        <v>0.22290922014774639</v>
      </c>
      <c r="Z93" s="27">
        <v>0.22290922014774633</v>
      </c>
      <c r="AA93" s="27">
        <v>0.20055630489772791</v>
      </c>
      <c r="AB93" s="27">
        <v>0.22290922014774633</v>
      </c>
      <c r="AC93" s="27">
        <v>0.20055630489772788</v>
      </c>
    </row>
    <row r="94" spans="4:29" x14ac:dyDescent="0.55000000000000004">
      <c r="D94" s="49">
        <v>39845</v>
      </c>
      <c r="E94" s="92">
        <v>122.4</v>
      </c>
      <c r="L94" s="27">
        <v>125.35823155459971</v>
      </c>
      <c r="M94" s="27">
        <v>125.59037304294102</v>
      </c>
      <c r="N94" s="27">
        <v>0.25086977910632052</v>
      </c>
      <c r="O94" s="27">
        <v>0.22290919935594647</v>
      </c>
      <c r="P94" s="27">
        <v>0.22290919935594639</v>
      </c>
      <c r="Q94" s="27">
        <v>0.20055628698776162</v>
      </c>
      <c r="R94" s="27">
        <v>0.22290919935594641</v>
      </c>
      <c r="S94" s="27">
        <v>0.20055628698776162</v>
      </c>
      <c r="T94" s="53"/>
      <c r="U94" s="53"/>
      <c r="V94" s="27">
        <v>125.35823155459971</v>
      </c>
      <c r="W94" s="27">
        <v>125.59037304294102</v>
      </c>
      <c r="X94" s="27">
        <v>0.25086977910632052</v>
      </c>
      <c r="Y94" s="27">
        <v>0.22290919935594647</v>
      </c>
      <c r="Z94" s="27">
        <v>0.22290919935594639</v>
      </c>
      <c r="AA94" s="27">
        <v>0.20055628698776162</v>
      </c>
      <c r="AB94" s="27">
        <v>0.22290919935594641</v>
      </c>
      <c r="AC94" s="27">
        <v>0.20055628698776162</v>
      </c>
    </row>
    <row r="95" spans="4:29" x14ac:dyDescent="0.55000000000000004">
      <c r="D95" s="49">
        <v>39873</v>
      </c>
      <c r="E95" s="92">
        <v>122.96</v>
      </c>
      <c r="L95" s="27">
        <v>124.71856046648954</v>
      </c>
      <c r="M95" s="27">
        <v>124.9915682504584</v>
      </c>
      <c r="N95" s="27">
        <v>0.25086975886721885</v>
      </c>
      <c r="O95" s="27">
        <v>0.22290918168628551</v>
      </c>
      <c r="P95" s="27">
        <v>0.22290918168628546</v>
      </c>
      <c r="Q95" s="27">
        <v>0.20055627156133995</v>
      </c>
      <c r="R95" s="27">
        <v>0.22290918168628548</v>
      </c>
      <c r="S95" s="27">
        <v>0.20055627156133993</v>
      </c>
      <c r="T95" s="53"/>
      <c r="U95" s="53"/>
      <c r="V95" s="27">
        <v>124.71856046648954</v>
      </c>
      <c r="W95" s="27">
        <v>124.9915682504584</v>
      </c>
      <c r="X95" s="27">
        <v>0.25086975886721885</v>
      </c>
      <c r="Y95" s="27">
        <v>0.22290918168628551</v>
      </c>
      <c r="Z95" s="27">
        <v>0.22290918168628546</v>
      </c>
      <c r="AA95" s="27">
        <v>0.20055627156133995</v>
      </c>
      <c r="AB95" s="27">
        <v>0.22290918168628548</v>
      </c>
      <c r="AC95" s="27">
        <v>0.20055627156133993</v>
      </c>
    </row>
    <row r="96" spans="4:29" x14ac:dyDescent="0.55000000000000004">
      <c r="D96" s="49">
        <v>39904</v>
      </c>
      <c r="E96" s="92">
        <v>123.53</v>
      </c>
      <c r="L96" s="27">
        <v>124.46593539277174</v>
      </c>
      <c r="M96" s="27">
        <v>124.73689923722092</v>
      </c>
      <c r="N96" s="27">
        <v>0.25086974232585035</v>
      </c>
      <c r="O96" s="27">
        <v>0.22290916705881475</v>
      </c>
      <c r="P96" s="27">
        <v>0.22290916705881475</v>
      </c>
      <c r="Q96" s="27">
        <v>0.2005562586263219</v>
      </c>
      <c r="R96" s="27">
        <v>0.22290916705881475</v>
      </c>
      <c r="S96" s="27">
        <v>0.2005562586263219</v>
      </c>
      <c r="T96" s="53"/>
      <c r="U96" s="53"/>
      <c r="V96" s="27">
        <v>124.46593539277174</v>
      </c>
      <c r="W96" s="27">
        <v>124.73689923722092</v>
      </c>
      <c r="X96" s="27">
        <v>0.25086974232585035</v>
      </c>
      <c r="Y96" s="27">
        <v>0.22290916705881475</v>
      </c>
      <c r="Z96" s="27">
        <v>0.22290916705881475</v>
      </c>
      <c r="AA96" s="27">
        <v>0.2005562586263219</v>
      </c>
      <c r="AB96" s="27">
        <v>0.22290916705881475</v>
      </c>
      <c r="AC96" s="27">
        <v>0.2005562586263219</v>
      </c>
    </row>
    <row r="97" spans="4:29" x14ac:dyDescent="0.55000000000000004">
      <c r="D97" s="49">
        <v>39934</v>
      </c>
      <c r="E97" s="92">
        <v>124.81</v>
      </c>
      <c r="L97" s="27">
        <v>124.41209946708126</v>
      </c>
      <c r="M97" s="27">
        <v>124.66129013576018</v>
      </c>
      <c r="N97" s="27">
        <v>0.25086972914102146</v>
      </c>
      <c r="O97" s="27">
        <v>0.22290915525259458</v>
      </c>
      <c r="P97" s="27">
        <v>0.22290915525259458</v>
      </c>
      <c r="Q97" s="27">
        <v>0.20055624805456285</v>
      </c>
      <c r="R97" s="27">
        <v>0.22290915525259458</v>
      </c>
      <c r="S97" s="27">
        <v>0.20055624805456285</v>
      </c>
      <c r="T97" s="53"/>
      <c r="U97" s="53"/>
      <c r="V97" s="27">
        <v>124.41209946708126</v>
      </c>
      <c r="W97" s="27">
        <v>124.66129013576018</v>
      </c>
      <c r="X97" s="27">
        <v>0.25086972914102146</v>
      </c>
      <c r="Y97" s="27">
        <v>0.22290915525259458</v>
      </c>
      <c r="Z97" s="27">
        <v>0.22290915525259458</v>
      </c>
      <c r="AA97" s="27">
        <v>0.20055624805456285</v>
      </c>
      <c r="AB97" s="27">
        <v>0.22290915525259458</v>
      </c>
      <c r="AC97" s="27">
        <v>0.20055624805456285</v>
      </c>
    </row>
    <row r="98" spans="4:29" x14ac:dyDescent="0.55000000000000004">
      <c r="D98" s="49">
        <v>39965</v>
      </c>
      <c r="E98" s="92">
        <v>125.44</v>
      </c>
      <c r="L98" s="27">
        <v>124.48120088671041</v>
      </c>
      <c r="M98" s="27">
        <v>124.69847382852626</v>
      </c>
      <c r="N98" s="27">
        <v>0.25086971889234028</v>
      </c>
      <c r="O98" s="27">
        <v>0.22290914595952571</v>
      </c>
      <c r="P98" s="27">
        <v>0.22290914595952571</v>
      </c>
      <c r="Q98" s="27">
        <v>0.20055623962800262</v>
      </c>
      <c r="R98" s="27">
        <v>0.22290914595952568</v>
      </c>
      <c r="S98" s="27">
        <v>0.20055623962800262</v>
      </c>
      <c r="T98" s="53"/>
      <c r="U98" s="53"/>
      <c r="V98" s="27">
        <v>124.48120088671041</v>
      </c>
      <c r="W98" s="27">
        <v>124.69847382852626</v>
      </c>
      <c r="X98" s="27">
        <v>0.25086971889234028</v>
      </c>
      <c r="Y98" s="27">
        <v>0.22290914595952571</v>
      </c>
      <c r="Z98" s="27">
        <v>0.22290914595952571</v>
      </c>
      <c r="AA98" s="27">
        <v>0.20055623962800262</v>
      </c>
      <c r="AB98" s="27">
        <v>0.22290914595952568</v>
      </c>
      <c r="AC98" s="27">
        <v>0.20055623962800262</v>
      </c>
    </row>
    <row r="99" spans="4:29" x14ac:dyDescent="0.55000000000000004">
      <c r="D99" s="49">
        <v>39995</v>
      </c>
      <c r="E99" s="92">
        <v>125.84</v>
      </c>
      <c r="L99" s="27">
        <v>125.06390406466704</v>
      </c>
      <c r="M99" s="27">
        <v>125.20095691814531</v>
      </c>
      <c r="N99" s="27">
        <v>0.25086971112916823</v>
      </c>
      <c r="O99" s="27">
        <v>0.22290913882867222</v>
      </c>
      <c r="P99" s="27">
        <v>0.22290913882867217</v>
      </c>
      <c r="Q99" s="27">
        <v>0.20055623307796458</v>
      </c>
      <c r="R99" s="27">
        <v>0.22290913882867219</v>
      </c>
      <c r="S99" s="27">
        <v>0.20055623307796461</v>
      </c>
      <c r="T99" s="53"/>
      <c r="U99" s="53"/>
      <c r="V99" s="27">
        <v>125.06390406466704</v>
      </c>
      <c r="W99" s="27">
        <v>125.20095691814531</v>
      </c>
      <c r="X99" s="27">
        <v>0.25086971112916823</v>
      </c>
      <c r="Y99" s="27">
        <v>0.22290913882867222</v>
      </c>
      <c r="Z99" s="27">
        <v>0.22290913882867217</v>
      </c>
      <c r="AA99" s="27">
        <v>0.20055623307796458</v>
      </c>
      <c r="AB99" s="27">
        <v>0.22290913882867219</v>
      </c>
      <c r="AC99" s="27">
        <v>0.20055623307796461</v>
      </c>
    </row>
    <row r="100" spans="4:29" x14ac:dyDescent="0.55000000000000004">
      <c r="D100" s="49">
        <v>40026</v>
      </c>
      <c r="E100" s="92">
        <v>128.07</v>
      </c>
      <c r="L100" s="27">
        <v>125.77972294082313</v>
      </c>
      <c r="M100" s="27">
        <v>125.83125143386907</v>
      </c>
      <c r="N100" s="27">
        <v>0.25086970540697895</v>
      </c>
      <c r="O100" s="27">
        <v>0.22290913350037261</v>
      </c>
      <c r="P100" s="27">
        <v>0.22290913350037261</v>
      </c>
      <c r="Q100" s="27">
        <v>0.20055622811644114</v>
      </c>
      <c r="R100" s="27">
        <v>0.22290913350037256</v>
      </c>
      <c r="S100" s="27">
        <v>0.20055622811644108</v>
      </c>
      <c r="T100" s="53"/>
      <c r="U100" s="53"/>
      <c r="V100" s="27">
        <v>125.77972294082313</v>
      </c>
      <c r="W100" s="27">
        <v>125.83125143386907</v>
      </c>
      <c r="X100" s="27">
        <v>0.25086970540697895</v>
      </c>
      <c r="Y100" s="27">
        <v>0.22290913350037261</v>
      </c>
      <c r="Z100" s="27">
        <v>0.22290913350037261</v>
      </c>
      <c r="AA100" s="27">
        <v>0.20055622811644114</v>
      </c>
      <c r="AB100" s="27">
        <v>0.22290913350037256</v>
      </c>
      <c r="AC100" s="27">
        <v>0.20055622811644108</v>
      </c>
    </row>
    <row r="101" spans="4:29" x14ac:dyDescent="0.55000000000000004">
      <c r="D101" s="49">
        <v>40057</v>
      </c>
      <c r="E101" s="92">
        <v>128.88999999999999</v>
      </c>
      <c r="L101" s="27">
        <v>126.66224545994949</v>
      </c>
      <c r="M101" s="27">
        <v>126.6201090872502</v>
      </c>
      <c r="N101" s="27">
        <v>0.25086970131222941</v>
      </c>
      <c r="O101" s="27">
        <v>0.2229091296306244</v>
      </c>
      <c r="P101" s="27">
        <v>0.22290912963062443</v>
      </c>
      <c r="Q101" s="27">
        <v>0.20055622445933069</v>
      </c>
      <c r="R101" s="27">
        <v>0.22290912963062445</v>
      </c>
      <c r="S101" s="27">
        <v>0.20055622445933072</v>
      </c>
      <c r="T101" s="53"/>
      <c r="U101" s="53"/>
      <c r="V101" s="27">
        <v>126.66224545994949</v>
      </c>
      <c r="W101" s="27">
        <v>126.6201090872502</v>
      </c>
      <c r="X101" s="27">
        <v>0.25086970131222941</v>
      </c>
      <c r="Y101" s="27">
        <v>0.2229091296306244</v>
      </c>
      <c r="Z101" s="27">
        <v>0.22290912963062443</v>
      </c>
      <c r="AA101" s="27">
        <v>0.20055622445933069</v>
      </c>
      <c r="AB101" s="27">
        <v>0.22290912963062445</v>
      </c>
      <c r="AC101" s="27">
        <v>0.20055622445933072</v>
      </c>
    </row>
    <row r="102" spans="4:29" x14ac:dyDescent="0.55000000000000004">
      <c r="D102" s="49">
        <v>40087</v>
      </c>
      <c r="E102" s="92">
        <v>129.97</v>
      </c>
      <c r="L102" s="27">
        <v>127.46400142188455</v>
      </c>
      <c r="M102" s="27">
        <v>127.34569183546807</v>
      </c>
      <c r="N102" s="27">
        <v>0.25086969847747553</v>
      </c>
      <c r="O102" s="27">
        <v>0.22290912690692438</v>
      </c>
      <c r="P102" s="27">
        <v>0.22290912690692441</v>
      </c>
      <c r="Q102" s="27">
        <v>0.20055622184233388</v>
      </c>
      <c r="R102" s="27">
        <v>0.22290912690692447</v>
      </c>
      <c r="S102" s="27">
        <v>0.20055622184233388</v>
      </c>
      <c r="T102" s="53"/>
      <c r="U102" s="53"/>
      <c r="V102" s="27">
        <v>127.46400142188455</v>
      </c>
      <c r="W102" s="27">
        <v>127.34569183546807</v>
      </c>
      <c r="X102" s="27">
        <v>0.25086969847747553</v>
      </c>
      <c r="Y102" s="27">
        <v>0.22290912690692438</v>
      </c>
      <c r="Z102" s="27">
        <v>0.22290912690692441</v>
      </c>
      <c r="AA102" s="27">
        <v>0.20055622184233388</v>
      </c>
      <c r="AB102" s="27">
        <v>0.22290912690692447</v>
      </c>
      <c r="AC102" s="27">
        <v>0.20055622184233388</v>
      </c>
    </row>
    <row r="103" spans="4:29" x14ac:dyDescent="0.55000000000000004">
      <c r="D103" s="49">
        <v>40118</v>
      </c>
      <c r="E103" s="92">
        <v>130.07</v>
      </c>
      <c r="L103" s="27">
        <v>128.61125921261345</v>
      </c>
      <c r="M103" s="27">
        <v>128.38976864837807</v>
      </c>
      <c r="N103" s="27">
        <v>0.25086969658870356</v>
      </c>
      <c r="O103" s="27">
        <v>0.2229091250570793</v>
      </c>
      <c r="P103" s="27">
        <v>0.22290912505707927</v>
      </c>
      <c r="Q103" s="27">
        <v>0.2005562200306133</v>
      </c>
      <c r="R103" s="27">
        <v>0.2229091250570793</v>
      </c>
      <c r="S103" s="27">
        <v>0.20055622003061332</v>
      </c>
      <c r="T103" s="53"/>
      <c r="U103" s="53"/>
      <c r="V103" s="27">
        <v>128.61125921261345</v>
      </c>
      <c r="W103" s="27">
        <v>128.38976864837807</v>
      </c>
      <c r="X103" s="27">
        <v>0.25086969658870356</v>
      </c>
      <c r="Y103" s="27">
        <v>0.2229091250570793</v>
      </c>
      <c r="Z103" s="27">
        <v>0.22290912505707927</v>
      </c>
      <c r="AA103" s="27">
        <v>0.2005562200306133</v>
      </c>
      <c r="AB103" s="27">
        <v>0.2229091250570793</v>
      </c>
      <c r="AC103" s="27">
        <v>0.20055622003061332</v>
      </c>
    </row>
    <row r="104" spans="4:29" x14ac:dyDescent="0.55000000000000004">
      <c r="D104" s="49">
        <v>40148</v>
      </c>
      <c r="E104" s="92">
        <v>132.08000000000001</v>
      </c>
      <c r="L104" s="27">
        <v>130.00720016957152</v>
      </c>
      <c r="M104" s="27">
        <v>129.66793794289273</v>
      </c>
      <c r="N104" s="27">
        <v>0.25086969538682868</v>
      </c>
      <c r="O104" s="27">
        <v>0.22290912385257788</v>
      </c>
      <c r="P104" s="27">
        <v>0.22290912385257786</v>
      </c>
      <c r="Q104" s="27">
        <v>0.2005562188234796</v>
      </c>
      <c r="R104" s="27">
        <v>0.22290912385257788</v>
      </c>
      <c r="S104" s="27">
        <v>0.2005562188234796</v>
      </c>
      <c r="T104" s="53"/>
      <c r="U104" s="53"/>
      <c r="V104" s="27">
        <v>130.00720016957152</v>
      </c>
      <c r="W104" s="27">
        <v>129.66793794289273</v>
      </c>
      <c r="X104" s="27">
        <v>0.25086969538682868</v>
      </c>
      <c r="Y104" s="27">
        <v>0.22290912385257788</v>
      </c>
      <c r="Z104" s="27">
        <v>0.22290912385257786</v>
      </c>
      <c r="AA104" s="27">
        <v>0.2005562188234796</v>
      </c>
      <c r="AB104" s="27">
        <v>0.22290912385257788</v>
      </c>
      <c r="AC104" s="27">
        <v>0.2005562188234796</v>
      </c>
    </row>
    <row r="105" spans="4:29" x14ac:dyDescent="0.55000000000000004">
      <c r="D105" s="49">
        <v>40179</v>
      </c>
      <c r="E105" s="92">
        <v>133.88</v>
      </c>
      <c r="L105" s="27">
        <v>131.5374212213928</v>
      </c>
      <c r="M105" s="27">
        <v>131.07873189738902</v>
      </c>
      <c r="N105" s="27">
        <v>0.25086969466512865</v>
      </c>
      <c r="O105" s="27">
        <v>0.22290912310802433</v>
      </c>
      <c r="P105" s="27">
        <v>0.22290912310802435</v>
      </c>
      <c r="Q105" s="27">
        <v>0.20055621805534893</v>
      </c>
      <c r="R105" s="27">
        <v>0.2229091231080243</v>
      </c>
      <c r="S105" s="27">
        <v>0.2005562180553489</v>
      </c>
      <c r="T105" s="53"/>
      <c r="U105" s="53"/>
      <c r="V105" s="27">
        <v>131.5374212213928</v>
      </c>
      <c r="W105" s="27">
        <v>131.07873189738902</v>
      </c>
      <c r="X105" s="27">
        <v>0.25086969466512865</v>
      </c>
      <c r="Y105" s="27">
        <v>0.22290912310802433</v>
      </c>
      <c r="Z105" s="27">
        <v>0.22290912310802435</v>
      </c>
      <c r="AA105" s="27">
        <v>0.20055621805534893</v>
      </c>
      <c r="AB105" s="27">
        <v>0.2229091231080243</v>
      </c>
      <c r="AC105" s="27">
        <v>0.2005562180553489</v>
      </c>
    </row>
    <row r="106" spans="4:29" x14ac:dyDescent="0.55000000000000004">
      <c r="D106" s="49">
        <v>40210</v>
      </c>
      <c r="E106" s="92">
        <v>135.35</v>
      </c>
      <c r="L106" s="27">
        <v>133.10677280960968</v>
      </c>
      <c r="M106" s="27">
        <v>132.53670837509492</v>
      </c>
      <c r="N106" s="27">
        <v>0.25086969426411032</v>
      </c>
      <c r="O106" s="27">
        <v>0.2229091226779451</v>
      </c>
      <c r="P106" s="27">
        <v>0.22290912267794519</v>
      </c>
      <c r="Q106" s="27">
        <v>0.20055621759410294</v>
      </c>
      <c r="R106" s="27">
        <v>0.22290912267794513</v>
      </c>
      <c r="S106" s="27">
        <v>0.20055621759410291</v>
      </c>
      <c r="T106" s="53"/>
      <c r="U106" s="53"/>
      <c r="V106" s="27">
        <v>133.10677280960968</v>
      </c>
      <c r="W106" s="27">
        <v>132.53670837509492</v>
      </c>
      <c r="X106" s="27">
        <v>0.25086969426411032</v>
      </c>
      <c r="Y106" s="27">
        <v>0.2229091226779451</v>
      </c>
      <c r="Z106" s="27">
        <v>0.22290912267794519</v>
      </c>
      <c r="AA106" s="27">
        <v>0.20055621759410294</v>
      </c>
      <c r="AB106" s="27">
        <v>0.22290912267794513</v>
      </c>
      <c r="AC106" s="27">
        <v>0.20055621759410291</v>
      </c>
    </row>
    <row r="107" spans="4:29" x14ac:dyDescent="0.55000000000000004">
      <c r="D107" s="49">
        <v>40238</v>
      </c>
      <c r="E107" s="92">
        <v>136.52000000000001</v>
      </c>
      <c r="L107" s="27">
        <v>134.57365128655957</v>
      </c>
      <c r="M107" s="27">
        <v>133.91365603640497</v>
      </c>
      <c r="N107" s="27">
        <v>0.2508696940650072</v>
      </c>
      <c r="O107" s="27">
        <v>0.22290912245204886</v>
      </c>
      <c r="P107" s="27">
        <v>0.22290912245204886</v>
      </c>
      <c r="Q107" s="27">
        <v>0.20055621733780798</v>
      </c>
      <c r="R107" s="27">
        <v>0.22290912245204889</v>
      </c>
      <c r="S107" s="27">
        <v>0.20055621733780796</v>
      </c>
      <c r="T107" s="53"/>
      <c r="U107" s="53"/>
      <c r="V107" s="27">
        <v>134.57365128655957</v>
      </c>
      <c r="W107" s="27">
        <v>133.91365603640497</v>
      </c>
      <c r="X107" s="27">
        <v>0.2508696940650072</v>
      </c>
      <c r="Y107" s="27">
        <v>0.22290912245204886</v>
      </c>
      <c r="Z107" s="27">
        <v>0.22290912245204886</v>
      </c>
      <c r="AA107" s="27">
        <v>0.20055621733780798</v>
      </c>
      <c r="AB107" s="27">
        <v>0.22290912245204889</v>
      </c>
      <c r="AC107" s="27">
        <v>0.20055621733780796</v>
      </c>
    </row>
    <row r="108" spans="4:29" x14ac:dyDescent="0.55000000000000004">
      <c r="D108" s="49">
        <v>40269</v>
      </c>
      <c r="E108" s="92">
        <v>137.13</v>
      </c>
      <c r="L108" s="27">
        <v>135.59840359228536</v>
      </c>
      <c r="M108" s="27">
        <v>134.90183119456455</v>
      </c>
      <c r="N108" s="27">
        <v>0.25086969398281078</v>
      </c>
      <c r="O108" s="27">
        <v>0.22290912234977761</v>
      </c>
      <c r="P108" s="27">
        <v>0.22290912234977761</v>
      </c>
      <c r="Q108" s="27">
        <v>0.20055621721055913</v>
      </c>
      <c r="R108" s="27">
        <v>0.22290912234977756</v>
      </c>
      <c r="S108" s="27">
        <v>0.20055621721055911</v>
      </c>
      <c r="T108" s="53"/>
      <c r="U108" s="53"/>
      <c r="V108" s="27">
        <v>135.59840359228536</v>
      </c>
      <c r="W108" s="27">
        <v>134.90183119456455</v>
      </c>
      <c r="X108" s="27">
        <v>0.25086969398281078</v>
      </c>
      <c r="Y108" s="27">
        <v>0.22290912234977761</v>
      </c>
      <c r="Z108" s="27">
        <v>0.22290912234977761</v>
      </c>
      <c r="AA108" s="27">
        <v>0.20055621721055913</v>
      </c>
      <c r="AB108" s="27">
        <v>0.22290912234977756</v>
      </c>
      <c r="AC108" s="27">
        <v>0.20055621721055911</v>
      </c>
    </row>
    <row r="109" spans="4:29" x14ac:dyDescent="0.55000000000000004">
      <c r="D109" s="49">
        <v>40299</v>
      </c>
      <c r="E109" s="92">
        <v>136.21</v>
      </c>
      <c r="L109" s="27">
        <v>136.35997548931999</v>
      </c>
      <c r="M109" s="27">
        <v>135.65688506475348</v>
      </c>
      <c r="N109" s="27">
        <v>0.2508696939594719</v>
      </c>
      <c r="O109" s="27">
        <v>0.22290912231476256</v>
      </c>
      <c r="P109" s="27">
        <v>0.22290912231476254</v>
      </c>
      <c r="Q109" s="27">
        <v>0.20055621715802652</v>
      </c>
      <c r="R109" s="27">
        <v>0.22290912231476254</v>
      </c>
      <c r="S109" s="27">
        <v>0.20055621715802652</v>
      </c>
      <c r="T109" s="53"/>
      <c r="U109" s="53"/>
      <c r="V109" s="27">
        <v>136.35997548931999</v>
      </c>
      <c r="W109" s="27">
        <v>135.65688506475348</v>
      </c>
      <c r="X109" s="27">
        <v>0.2508696939594719</v>
      </c>
      <c r="Y109" s="27">
        <v>0.22290912231476256</v>
      </c>
      <c r="Z109" s="27">
        <v>0.22290912231476254</v>
      </c>
      <c r="AA109" s="27">
        <v>0.20055621715802652</v>
      </c>
      <c r="AB109" s="27">
        <v>0.22290912231476254</v>
      </c>
      <c r="AC109" s="27">
        <v>0.20055621715802652</v>
      </c>
    </row>
    <row r="110" spans="4:29" x14ac:dyDescent="0.55000000000000004">
      <c r="D110" s="49">
        <v>40330</v>
      </c>
      <c r="E110" s="92">
        <v>135.88999999999999</v>
      </c>
      <c r="L110" s="27">
        <v>137.14331866157212</v>
      </c>
      <c r="M110" s="27">
        <v>136.43218064326078</v>
      </c>
      <c r="N110" s="27">
        <v>0.25086969395768366</v>
      </c>
      <c r="O110" s="27">
        <v>0.22290912230959792</v>
      </c>
      <c r="P110" s="27">
        <v>0.22290912230959786</v>
      </c>
      <c r="Q110" s="27">
        <v>0.20055621714311042</v>
      </c>
      <c r="R110" s="27">
        <v>0.22290912230959792</v>
      </c>
      <c r="S110" s="27">
        <v>0.20055621714311039</v>
      </c>
      <c r="T110" s="53"/>
      <c r="U110" s="53"/>
      <c r="V110" s="27">
        <v>137.14331866157212</v>
      </c>
      <c r="W110" s="27">
        <v>136.43218064326078</v>
      </c>
      <c r="X110" s="27">
        <v>0.25086969395768366</v>
      </c>
      <c r="Y110" s="27">
        <v>0.22290912230959792</v>
      </c>
      <c r="Z110" s="27">
        <v>0.22290912230959786</v>
      </c>
      <c r="AA110" s="27">
        <v>0.20055621714311042</v>
      </c>
      <c r="AB110" s="27">
        <v>0.22290912230959792</v>
      </c>
      <c r="AC110" s="27">
        <v>0.20055621714311039</v>
      </c>
    </row>
    <row r="111" spans="4:29" x14ac:dyDescent="0.55000000000000004">
      <c r="D111" s="49">
        <v>40360</v>
      </c>
      <c r="E111" s="92">
        <v>136.72</v>
      </c>
      <c r="L111" s="27">
        <v>137.98077511966255</v>
      </c>
      <c r="M111" s="27">
        <v>137.25697012713218</v>
      </c>
      <c r="N111" s="27">
        <v>0.25086969395547642</v>
      </c>
      <c r="O111" s="27">
        <v>0.22290912231118626</v>
      </c>
      <c r="P111" s="27">
        <v>0.22290912231118623</v>
      </c>
      <c r="Q111" s="27">
        <v>0.20055621714196753</v>
      </c>
      <c r="R111" s="27">
        <v>0.22290912231118626</v>
      </c>
      <c r="S111" s="27">
        <v>0.20055621714196753</v>
      </c>
      <c r="T111" s="53"/>
      <c r="U111" s="53"/>
      <c r="V111" s="27">
        <v>137.98077511966255</v>
      </c>
      <c r="W111" s="27">
        <v>137.25697012713218</v>
      </c>
      <c r="X111" s="27">
        <v>0.25086969395547642</v>
      </c>
      <c r="Y111" s="27">
        <v>0.22290912231118626</v>
      </c>
      <c r="Z111" s="27">
        <v>0.22290912231118623</v>
      </c>
      <c r="AA111" s="27">
        <v>0.20055621714196753</v>
      </c>
      <c r="AB111" s="27">
        <v>0.22290912231118626</v>
      </c>
      <c r="AC111" s="27">
        <v>0.20055621714196753</v>
      </c>
    </row>
    <row r="112" spans="4:29" x14ac:dyDescent="0.55000000000000004">
      <c r="D112" s="49">
        <v>40391</v>
      </c>
      <c r="E112" s="92">
        <v>137.71</v>
      </c>
      <c r="L112" s="27">
        <v>138.89833826735617</v>
      </c>
      <c r="M112" s="27">
        <v>138.15510357350749</v>
      </c>
      <c r="N112" s="27">
        <v>0.25086969394171776</v>
      </c>
      <c r="O112" s="27">
        <v>0.22290912230678067</v>
      </c>
      <c r="P112" s="27">
        <v>0.22290912230678067</v>
      </c>
      <c r="Q112" s="27">
        <v>0.20055621714055688</v>
      </c>
      <c r="R112" s="27">
        <v>0.22290912230678067</v>
      </c>
      <c r="S112" s="27">
        <v>0.20055621714055685</v>
      </c>
      <c r="T112" s="53"/>
      <c r="U112" s="53"/>
      <c r="V112" s="27">
        <v>138.89833826735617</v>
      </c>
      <c r="W112" s="27">
        <v>138.15510357350749</v>
      </c>
      <c r="X112" s="27">
        <v>0.25086969394171776</v>
      </c>
      <c r="Y112" s="27">
        <v>0.22290912230678067</v>
      </c>
      <c r="Z112" s="27">
        <v>0.22290912230678067</v>
      </c>
      <c r="AA112" s="27">
        <v>0.20055621714055688</v>
      </c>
      <c r="AB112" s="27">
        <v>0.22290912230678067</v>
      </c>
      <c r="AC112" s="27">
        <v>0.20055621714055685</v>
      </c>
    </row>
    <row r="113" spans="4:29" x14ac:dyDescent="0.55000000000000004">
      <c r="D113" s="49">
        <v>40422</v>
      </c>
      <c r="E113" s="92">
        <v>138.85</v>
      </c>
      <c r="L113" s="27">
        <v>139.592903369666</v>
      </c>
      <c r="M113" s="27">
        <v>138.85454917040011</v>
      </c>
      <c r="N113" s="27">
        <v>0.25086969391251474</v>
      </c>
      <c r="O113" s="27">
        <v>0.22290912229075596</v>
      </c>
      <c r="P113" s="27">
        <v>0.22290912229075599</v>
      </c>
      <c r="Q113" s="27">
        <v>0.20055621713176353</v>
      </c>
      <c r="R113" s="27">
        <v>0.22290912229075599</v>
      </c>
      <c r="S113" s="27">
        <v>0.20055621713176358</v>
      </c>
      <c r="T113" s="53"/>
      <c r="U113" s="53"/>
      <c r="V113" s="27">
        <v>139.592903369666</v>
      </c>
      <c r="W113" s="27">
        <v>138.85454917040011</v>
      </c>
      <c r="X113" s="27">
        <v>0.25086969391251474</v>
      </c>
      <c r="Y113" s="27">
        <v>0.22290912229075596</v>
      </c>
      <c r="Z113" s="27">
        <v>0.22290912229075599</v>
      </c>
      <c r="AA113" s="27">
        <v>0.20055621713176353</v>
      </c>
      <c r="AB113" s="27">
        <v>0.22290912229075599</v>
      </c>
      <c r="AC113" s="27">
        <v>0.20055621713176358</v>
      </c>
    </row>
    <row r="114" spans="4:29" x14ac:dyDescent="0.55000000000000004">
      <c r="D114" s="49">
        <v>40452</v>
      </c>
      <c r="E114" s="92">
        <v>138.68</v>
      </c>
      <c r="L114" s="27">
        <v>140.4532103985922</v>
      </c>
      <c r="M114" s="27">
        <v>139.70262700024111</v>
      </c>
      <c r="N114" s="27">
        <v>0.25086969386845143</v>
      </c>
      <c r="O114" s="27">
        <v>0.22290912226207851</v>
      </c>
      <c r="P114" s="27">
        <v>0.22290912226207857</v>
      </c>
      <c r="Q114" s="27">
        <v>0.20055621711309959</v>
      </c>
      <c r="R114" s="27">
        <v>0.22290912226207851</v>
      </c>
      <c r="S114" s="27">
        <v>0.20055621711309959</v>
      </c>
      <c r="T114" s="53"/>
      <c r="U114" s="53"/>
      <c r="V114" s="27">
        <v>140.4532103985922</v>
      </c>
      <c r="W114" s="27">
        <v>139.70262700024111</v>
      </c>
      <c r="X114" s="27">
        <v>0.25086969386845143</v>
      </c>
      <c r="Y114" s="27">
        <v>0.22290912226207851</v>
      </c>
      <c r="Z114" s="27">
        <v>0.22290912226207857</v>
      </c>
      <c r="AA114" s="27">
        <v>0.20055621711309959</v>
      </c>
      <c r="AB114" s="27">
        <v>0.22290912226207851</v>
      </c>
      <c r="AC114" s="27">
        <v>0.20055621711309959</v>
      </c>
    </row>
    <row r="115" spans="4:29" x14ac:dyDescent="0.55000000000000004">
      <c r="D115" s="49">
        <v>40483</v>
      </c>
      <c r="E115" s="92">
        <v>140.13999999999999</v>
      </c>
      <c r="L115" s="27">
        <v>140.80629993225526</v>
      </c>
      <c r="M115" s="27">
        <v>140.09557646678402</v>
      </c>
      <c r="N115" s="27">
        <v>0.25086969381255808</v>
      </c>
      <c r="O115" s="27">
        <v>0.22290912222240444</v>
      </c>
      <c r="P115" s="27">
        <v>0.22290912222240453</v>
      </c>
      <c r="Q115" s="27">
        <v>0.20055621708493826</v>
      </c>
      <c r="R115" s="27">
        <v>0.22290912222240453</v>
      </c>
      <c r="S115" s="27">
        <v>0.20055621708493829</v>
      </c>
      <c r="T115" s="53"/>
      <c r="U115" s="53"/>
      <c r="V115" s="27">
        <v>140.80629993225526</v>
      </c>
      <c r="W115" s="27">
        <v>140.09557646678402</v>
      </c>
      <c r="X115" s="27">
        <v>0.25086969381255808</v>
      </c>
      <c r="Y115" s="27">
        <v>0.22290912222240444</v>
      </c>
      <c r="Z115" s="27">
        <v>0.22290912222240453</v>
      </c>
      <c r="AA115" s="27">
        <v>0.20055621708493826</v>
      </c>
      <c r="AB115" s="27">
        <v>0.22290912222240453</v>
      </c>
      <c r="AC115" s="27">
        <v>0.20055621708493829</v>
      </c>
    </row>
    <row r="116" spans="4:29" x14ac:dyDescent="0.55000000000000004">
      <c r="D116" s="49">
        <v>40513</v>
      </c>
      <c r="E116" s="92">
        <v>138.66999999999999</v>
      </c>
      <c r="L116" s="27">
        <v>141.39524815938336</v>
      </c>
      <c r="M116" s="27">
        <v>140.69673608446789</v>
      </c>
      <c r="N116" s="27">
        <v>0.25086969374889145</v>
      </c>
      <c r="O116" s="27">
        <v>0.2229091221747149</v>
      </c>
      <c r="P116" s="27">
        <v>0.22290912217471492</v>
      </c>
      <c r="Q116" s="27">
        <v>0.20055621704921628</v>
      </c>
      <c r="R116" s="27">
        <v>0.2229091221747149</v>
      </c>
      <c r="S116" s="27">
        <v>0.20055621704921625</v>
      </c>
      <c r="T116" s="53"/>
      <c r="U116" s="53"/>
      <c r="V116" s="27">
        <v>141.39524815938336</v>
      </c>
      <c r="W116" s="27">
        <v>140.69673608446789</v>
      </c>
      <c r="X116" s="27">
        <v>0.25086969374889145</v>
      </c>
      <c r="Y116" s="27">
        <v>0.2229091221747149</v>
      </c>
      <c r="Z116" s="27">
        <v>0.22290912217471492</v>
      </c>
      <c r="AA116" s="27">
        <v>0.20055621704921628</v>
      </c>
      <c r="AB116" s="27">
        <v>0.2229091221747149</v>
      </c>
      <c r="AC116" s="27">
        <v>0.20055621704921625</v>
      </c>
    </row>
    <row r="117" spans="4:29" x14ac:dyDescent="0.55000000000000004">
      <c r="D117" s="49">
        <v>40544</v>
      </c>
      <c r="E117" s="92">
        <v>140.26</v>
      </c>
      <c r="L117" s="27">
        <v>141.99005217552164</v>
      </c>
      <c r="M117" s="27">
        <v>141.30193974856726</v>
      </c>
      <c r="N117" s="27">
        <v>0.25086969368160439</v>
      </c>
      <c r="O117" s="27">
        <v>0.22290912212238981</v>
      </c>
      <c r="P117" s="27">
        <v>0.22290912212238986</v>
      </c>
      <c r="Q117" s="27">
        <v>0.20055621700852627</v>
      </c>
      <c r="R117" s="27">
        <v>0.22290912212238981</v>
      </c>
      <c r="S117" s="27">
        <v>0.20055621700852624</v>
      </c>
      <c r="T117" s="53"/>
      <c r="U117" s="53"/>
      <c r="V117" s="27">
        <v>141.99005217552164</v>
      </c>
      <c r="W117" s="27">
        <v>141.30193974856726</v>
      </c>
      <c r="X117" s="27">
        <v>0.25086969368160439</v>
      </c>
      <c r="Y117" s="27">
        <v>0.22290912212238981</v>
      </c>
      <c r="Z117" s="27">
        <v>0.22290912212238986</v>
      </c>
      <c r="AA117" s="27">
        <v>0.20055621700852627</v>
      </c>
      <c r="AB117" s="27">
        <v>0.22290912212238981</v>
      </c>
      <c r="AC117" s="27">
        <v>0.20055621700852624</v>
      </c>
    </row>
    <row r="118" spans="4:29" x14ac:dyDescent="0.55000000000000004">
      <c r="D118" s="49">
        <v>40575</v>
      </c>
      <c r="E118" s="92">
        <v>140.93</v>
      </c>
      <c r="L118" s="27">
        <v>142.47084748855247</v>
      </c>
      <c r="M118" s="27">
        <v>141.80352442961848</v>
      </c>
      <c r="N118" s="27">
        <v>0.25086969361439104</v>
      </c>
      <c r="O118" s="27">
        <v>0.22290912206862704</v>
      </c>
      <c r="P118" s="27">
        <v>0.22290912206862712</v>
      </c>
      <c r="Q118" s="27">
        <v>0.20055621696552239</v>
      </c>
      <c r="R118" s="27">
        <v>0.22290912206862715</v>
      </c>
      <c r="S118" s="27">
        <v>0.20055621696552239</v>
      </c>
      <c r="T118" s="53"/>
      <c r="U118" s="53"/>
      <c r="V118" s="27">
        <v>142.47084748855247</v>
      </c>
      <c r="W118" s="27">
        <v>141.80352442961848</v>
      </c>
      <c r="X118" s="27">
        <v>0.25086969361439104</v>
      </c>
      <c r="Y118" s="27">
        <v>0.22290912206862704</v>
      </c>
      <c r="Z118" s="27">
        <v>0.22290912206862712</v>
      </c>
      <c r="AA118" s="27">
        <v>0.20055621696552239</v>
      </c>
      <c r="AB118" s="27">
        <v>0.22290912206862715</v>
      </c>
      <c r="AC118" s="27">
        <v>0.20055621696552239</v>
      </c>
    </row>
    <row r="119" spans="4:29" x14ac:dyDescent="0.55000000000000004">
      <c r="D119" s="49">
        <v>40603</v>
      </c>
      <c r="E119" s="92">
        <v>141.06</v>
      </c>
      <c r="L119" s="27">
        <v>142.80361795153311</v>
      </c>
      <c r="M119" s="27">
        <v>142.16984319407064</v>
      </c>
      <c r="N119" s="27">
        <v>0.25086969355020655</v>
      </c>
      <c r="O119" s="27">
        <v>0.22290912201611843</v>
      </c>
      <c r="P119" s="27">
        <v>0.22290912201611848</v>
      </c>
      <c r="Q119" s="27">
        <v>0.20055621692256564</v>
      </c>
      <c r="R119" s="27">
        <v>0.22290912201611851</v>
      </c>
      <c r="S119" s="27">
        <v>0.20055621692256564</v>
      </c>
      <c r="T119" s="53"/>
      <c r="U119" s="53"/>
      <c r="V119" s="27">
        <v>142.80361795153311</v>
      </c>
      <c r="W119" s="27">
        <v>142.16984319407064</v>
      </c>
      <c r="X119" s="27">
        <v>0.25086969355020655</v>
      </c>
      <c r="Y119" s="27">
        <v>0.22290912201611843</v>
      </c>
      <c r="Z119" s="27">
        <v>0.22290912201611848</v>
      </c>
      <c r="AA119" s="27">
        <v>0.20055621692256564</v>
      </c>
      <c r="AB119" s="27">
        <v>0.22290912201611851</v>
      </c>
      <c r="AC119" s="27">
        <v>0.20055621692256564</v>
      </c>
    </row>
    <row r="120" spans="4:29" x14ac:dyDescent="0.55000000000000004">
      <c r="D120" s="49">
        <v>40634</v>
      </c>
      <c r="E120" s="92">
        <v>140.97</v>
      </c>
      <c r="L120" s="27">
        <v>143.07547345700962</v>
      </c>
      <c r="M120" s="27">
        <v>142.47799127751267</v>
      </c>
      <c r="N120" s="27">
        <v>0.25086969349117705</v>
      </c>
      <c r="O120" s="27">
        <v>0.22290912196691026</v>
      </c>
      <c r="P120" s="27">
        <v>0.22290912196691026</v>
      </c>
      <c r="Q120" s="27">
        <v>0.20055621688154468</v>
      </c>
      <c r="R120" s="27">
        <v>0.22290912196691023</v>
      </c>
      <c r="S120" s="27">
        <v>0.20055621688154468</v>
      </c>
      <c r="T120" s="53"/>
      <c r="U120" s="53"/>
      <c r="V120" s="27">
        <v>143.07547345700962</v>
      </c>
      <c r="W120" s="27">
        <v>142.47799127751267</v>
      </c>
      <c r="X120" s="27">
        <v>0.25086969349117705</v>
      </c>
      <c r="Y120" s="27">
        <v>0.22290912196691026</v>
      </c>
      <c r="Z120" s="27">
        <v>0.22290912196691026</v>
      </c>
      <c r="AA120" s="27">
        <v>0.20055621688154468</v>
      </c>
      <c r="AB120" s="27">
        <v>0.22290912196691023</v>
      </c>
      <c r="AC120" s="27">
        <v>0.20055621688154468</v>
      </c>
    </row>
    <row r="121" spans="4:29" x14ac:dyDescent="0.55000000000000004">
      <c r="D121" s="49">
        <v>40664</v>
      </c>
      <c r="E121" s="92">
        <v>141.18</v>
      </c>
      <c r="L121" s="27">
        <v>143.39978642426536</v>
      </c>
      <c r="M121" s="27">
        <v>142.82969713662925</v>
      </c>
      <c r="N121" s="27">
        <v>0.25086969343863275</v>
      </c>
      <c r="O121" s="27">
        <v>0.22290912192238713</v>
      </c>
      <c r="P121" s="27">
        <v>0.22290912192238715</v>
      </c>
      <c r="Q121" s="27">
        <v>0.2005562168438183</v>
      </c>
      <c r="R121" s="27">
        <v>0.22290912192238713</v>
      </c>
      <c r="S121" s="27">
        <v>0.2005562168438183</v>
      </c>
      <c r="T121" s="53"/>
      <c r="U121" s="53"/>
      <c r="V121" s="27">
        <v>143.39978642426536</v>
      </c>
      <c r="W121" s="27">
        <v>142.82969713662925</v>
      </c>
      <c r="X121" s="27">
        <v>0.25086969343863275</v>
      </c>
      <c r="Y121" s="27">
        <v>0.22290912192238713</v>
      </c>
      <c r="Z121" s="27">
        <v>0.22290912192238715</v>
      </c>
      <c r="AA121" s="27">
        <v>0.2005562168438183</v>
      </c>
      <c r="AB121" s="27">
        <v>0.22290912192238713</v>
      </c>
      <c r="AC121" s="27">
        <v>0.2005562168438183</v>
      </c>
    </row>
    <row r="122" spans="4:29" x14ac:dyDescent="0.55000000000000004">
      <c r="D122" s="49">
        <v>40695</v>
      </c>
      <c r="E122" s="92">
        <v>141.85</v>
      </c>
      <c r="L122" s="27">
        <v>143.68014146143258</v>
      </c>
      <c r="M122" s="27">
        <v>143.13910617635338</v>
      </c>
      <c r="N122" s="27">
        <v>0.25086969339321197</v>
      </c>
      <c r="O122" s="27">
        <v>0.22290912188333198</v>
      </c>
      <c r="P122" s="27">
        <v>0.22290912188333203</v>
      </c>
      <c r="Q122" s="27">
        <v>0.20055621681023669</v>
      </c>
      <c r="R122" s="27">
        <v>0.22290912188333206</v>
      </c>
      <c r="S122" s="27">
        <v>0.20055621681023669</v>
      </c>
      <c r="T122" s="53"/>
      <c r="U122" s="53"/>
      <c r="V122" s="27">
        <v>143.68014146143258</v>
      </c>
      <c r="W122" s="27">
        <v>143.13910617635338</v>
      </c>
      <c r="X122" s="27">
        <v>0.25086969339321197</v>
      </c>
      <c r="Y122" s="27">
        <v>0.22290912188333198</v>
      </c>
      <c r="Z122" s="27">
        <v>0.22290912188333203</v>
      </c>
      <c r="AA122" s="27">
        <v>0.20055621681023669</v>
      </c>
      <c r="AB122" s="27">
        <v>0.22290912188333206</v>
      </c>
      <c r="AC122" s="27">
        <v>0.20055621681023669</v>
      </c>
    </row>
    <row r="123" spans="4:29" x14ac:dyDescent="0.55000000000000004">
      <c r="D123" s="49">
        <v>40725</v>
      </c>
      <c r="E123" s="92">
        <v>142.1</v>
      </c>
      <c r="L123" s="27">
        <v>143.83328334144903</v>
      </c>
      <c r="M123" s="27">
        <v>143.33114527326353</v>
      </c>
      <c r="N123" s="27">
        <v>0.25086969335499826</v>
      </c>
      <c r="O123" s="27">
        <v>0.22290912185002579</v>
      </c>
      <c r="P123" s="27">
        <v>0.22290912185002584</v>
      </c>
      <c r="Q123" s="27">
        <v>0.2005562167812078</v>
      </c>
      <c r="R123" s="27">
        <v>0.22290912185002582</v>
      </c>
      <c r="S123" s="27">
        <v>0.2005562167812078</v>
      </c>
      <c r="T123" s="53"/>
      <c r="U123" s="53"/>
      <c r="V123" s="27">
        <v>143.83328334144903</v>
      </c>
      <c r="W123" s="27">
        <v>143.33114527326353</v>
      </c>
      <c r="X123" s="27">
        <v>0.25086969335499826</v>
      </c>
      <c r="Y123" s="27">
        <v>0.22290912185002579</v>
      </c>
      <c r="Z123" s="27">
        <v>0.22290912185002584</v>
      </c>
      <c r="AA123" s="27">
        <v>0.2005562167812078</v>
      </c>
      <c r="AB123" s="27">
        <v>0.22290912185002582</v>
      </c>
      <c r="AC123" s="27">
        <v>0.2005562167812078</v>
      </c>
    </row>
    <row r="124" spans="4:29" x14ac:dyDescent="0.55000000000000004">
      <c r="D124" s="49">
        <v>40756</v>
      </c>
      <c r="E124" s="92">
        <v>141.94</v>
      </c>
      <c r="L124" s="27">
        <v>143.83314399877517</v>
      </c>
      <c r="M124" s="27">
        <v>143.38137335920692</v>
      </c>
      <c r="N124" s="27">
        <v>0.25086969332366471</v>
      </c>
      <c r="O124" s="27">
        <v>0.22290912182236261</v>
      </c>
      <c r="P124" s="27">
        <v>0.22290912182236267</v>
      </c>
      <c r="Q124" s="27">
        <v>0.20055621675678503</v>
      </c>
      <c r="R124" s="27">
        <v>0.22290912182236267</v>
      </c>
      <c r="S124" s="27">
        <v>0.20055621675678503</v>
      </c>
      <c r="T124" s="53"/>
      <c r="U124" s="53"/>
      <c r="V124" s="27">
        <v>143.83314399877517</v>
      </c>
      <c r="W124" s="27">
        <v>143.38137335920692</v>
      </c>
      <c r="X124" s="27">
        <v>0.25086969332366471</v>
      </c>
      <c r="Y124" s="27">
        <v>0.22290912182236261</v>
      </c>
      <c r="Z124" s="27">
        <v>0.22290912182236267</v>
      </c>
      <c r="AA124" s="27">
        <v>0.20055621675678503</v>
      </c>
      <c r="AB124" s="27">
        <v>0.22290912182236267</v>
      </c>
      <c r="AC124" s="27">
        <v>0.20055621675678503</v>
      </c>
    </row>
    <row r="125" spans="4:29" x14ac:dyDescent="0.55000000000000004">
      <c r="D125" s="49">
        <v>40787</v>
      </c>
      <c r="E125" s="92">
        <v>141.58000000000001</v>
      </c>
      <c r="L125" s="27">
        <v>143.78935556194159</v>
      </c>
      <c r="M125" s="27">
        <v>143.38727864911979</v>
      </c>
      <c r="N125" s="27">
        <v>0.25086969329860886</v>
      </c>
      <c r="O125" s="27">
        <v>0.22290912179996264</v>
      </c>
      <c r="P125" s="27">
        <v>0.2229091217999627</v>
      </c>
      <c r="Q125" s="27">
        <v>0.20055621673675944</v>
      </c>
      <c r="R125" s="27">
        <v>0.22290912179996272</v>
      </c>
      <c r="S125" s="27">
        <v>0.20055621673675944</v>
      </c>
      <c r="T125" s="53"/>
      <c r="U125" s="53"/>
      <c r="V125" s="27">
        <v>143.78935556194159</v>
      </c>
      <c r="W125" s="27">
        <v>143.38727864911979</v>
      </c>
      <c r="X125" s="27">
        <v>0.25086969329860886</v>
      </c>
      <c r="Y125" s="27">
        <v>0.22290912179996264</v>
      </c>
      <c r="Z125" s="27">
        <v>0.2229091217999627</v>
      </c>
      <c r="AA125" s="27">
        <v>0.20055621673675944</v>
      </c>
      <c r="AB125" s="27">
        <v>0.22290912179996272</v>
      </c>
      <c r="AC125" s="27">
        <v>0.20055621673675944</v>
      </c>
    </row>
    <row r="126" spans="4:29" x14ac:dyDescent="0.55000000000000004">
      <c r="D126" s="49">
        <v>40817</v>
      </c>
      <c r="E126" s="92">
        <v>141.61000000000001</v>
      </c>
      <c r="L126" s="27">
        <v>143.86167062564726</v>
      </c>
      <c r="M126" s="27">
        <v>143.49266160725378</v>
      </c>
      <c r="N126" s="27">
        <v>0.25086969327906922</v>
      </c>
      <c r="O126" s="27">
        <v>0.22290912178227376</v>
      </c>
      <c r="P126" s="27">
        <v>0.22290912178227379</v>
      </c>
      <c r="Q126" s="27">
        <v>0.200556216720746</v>
      </c>
      <c r="R126" s="27">
        <v>0.22290912178227379</v>
      </c>
      <c r="S126" s="27">
        <v>0.20055621672074597</v>
      </c>
      <c r="T126" s="53"/>
      <c r="U126" s="53"/>
      <c r="V126" s="27">
        <v>143.86167062564726</v>
      </c>
      <c r="W126" s="27">
        <v>143.49266160725378</v>
      </c>
      <c r="X126" s="27">
        <v>0.25086969327906922</v>
      </c>
      <c r="Y126" s="27">
        <v>0.22290912178227376</v>
      </c>
      <c r="Z126" s="27">
        <v>0.22290912178227379</v>
      </c>
      <c r="AA126" s="27">
        <v>0.200556216720746</v>
      </c>
      <c r="AB126" s="27">
        <v>0.22290912178227379</v>
      </c>
      <c r="AC126" s="27">
        <v>0.20055621672074597</v>
      </c>
    </row>
    <row r="127" spans="4:29" x14ac:dyDescent="0.55000000000000004">
      <c r="D127" s="49">
        <v>40848</v>
      </c>
      <c r="E127" s="92">
        <v>142.31</v>
      </c>
      <c r="L127" s="27">
        <v>143.57495442834505</v>
      </c>
      <c r="M127" s="27">
        <v>143.27170029416564</v>
      </c>
      <c r="N127" s="27">
        <v>0.2508696932642181</v>
      </c>
      <c r="O127" s="27">
        <v>0.22290912176865538</v>
      </c>
      <c r="P127" s="27">
        <v>0.2229091217686554</v>
      </c>
      <c r="Q127" s="27">
        <v>0.20055621670825802</v>
      </c>
      <c r="R127" s="27">
        <v>0.2229091217686554</v>
      </c>
      <c r="S127" s="27">
        <v>0.20055621670825799</v>
      </c>
      <c r="T127" s="53"/>
      <c r="U127" s="53"/>
      <c r="V127" s="27">
        <v>143.57495442834505</v>
      </c>
      <c r="W127" s="27">
        <v>143.27170029416564</v>
      </c>
      <c r="X127" s="27">
        <v>0.2508696932642181</v>
      </c>
      <c r="Y127" s="27">
        <v>0.22290912176865538</v>
      </c>
      <c r="Z127" s="27">
        <v>0.2229091217686554</v>
      </c>
      <c r="AA127" s="27">
        <v>0.20055621670825802</v>
      </c>
      <c r="AB127" s="27">
        <v>0.2229091217686554</v>
      </c>
      <c r="AC127" s="27">
        <v>0.20055621670825799</v>
      </c>
    </row>
    <row r="128" spans="4:29" x14ac:dyDescent="0.55000000000000004">
      <c r="D128" s="49">
        <v>40878</v>
      </c>
      <c r="E128" s="92">
        <v>140.91999999999999</v>
      </c>
      <c r="L128" s="27">
        <v>142.8673258536875</v>
      </c>
      <c r="M128" s="27">
        <v>142.66544112529485</v>
      </c>
      <c r="N128" s="27">
        <v>0.25086969325323172</v>
      </c>
      <c r="O128" s="27">
        <v>0.22290912175844377</v>
      </c>
      <c r="P128" s="27">
        <v>0.22290912175844377</v>
      </c>
      <c r="Q128" s="27">
        <v>0.2005562166987665</v>
      </c>
      <c r="R128" s="27">
        <v>0.22290912175844377</v>
      </c>
      <c r="S128" s="27">
        <v>0.2005562166987665</v>
      </c>
      <c r="T128" s="53"/>
      <c r="U128" s="53"/>
      <c r="V128" s="27">
        <v>142.8673258536875</v>
      </c>
      <c r="W128" s="27">
        <v>142.66544112529485</v>
      </c>
      <c r="X128" s="27">
        <v>0.25086969325323172</v>
      </c>
      <c r="Y128" s="27">
        <v>0.22290912175844377</v>
      </c>
      <c r="Z128" s="27">
        <v>0.22290912175844377</v>
      </c>
      <c r="AA128" s="27">
        <v>0.2005562166987665</v>
      </c>
      <c r="AB128" s="27">
        <v>0.22290912175844377</v>
      </c>
      <c r="AC128" s="27">
        <v>0.2005562166987665</v>
      </c>
    </row>
    <row r="129" spans="4:29" x14ac:dyDescent="0.55000000000000004">
      <c r="D129" s="49">
        <v>40909</v>
      </c>
      <c r="E129" s="92">
        <v>139.04</v>
      </c>
      <c r="L129" s="27">
        <v>142.5526575112238</v>
      </c>
      <c r="M129" s="27">
        <v>142.40257174762996</v>
      </c>
      <c r="N129" s="27">
        <v>0.2508696932453387</v>
      </c>
      <c r="O129" s="27">
        <v>0.22290912175099925</v>
      </c>
      <c r="P129" s="27">
        <v>0.22290912175099922</v>
      </c>
      <c r="Q129" s="27">
        <v>0.200556216691745</v>
      </c>
      <c r="R129" s="27">
        <v>0.2229091217509992</v>
      </c>
      <c r="S129" s="27">
        <v>0.20055621669174498</v>
      </c>
      <c r="T129" s="53"/>
      <c r="U129" s="53"/>
      <c r="V129" s="27">
        <v>142.5526575112238</v>
      </c>
      <c r="W129" s="27">
        <v>142.40257174762996</v>
      </c>
      <c r="X129" s="27">
        <v>0.2508696932453387</v>
      </c>
      <c r="Y129" s="27">
        <v>0.22290912175099925</v>
      </c>
      <c r="Z129" s="27">
        <v>0.22290912175099922</v>
      </c>
      <c r="AA129" s="27">
        <v>0.200556216691745</v>
      </c>
      <c r="AB129" s="27">
        <v>0.2229091217509992</v>
      </c>
      <c r="AC129" s="27">
        <v>0.20055621669174498</v>
      </c>
    </row>
    <row r="130" spans="4:29" x14ac:dyDescent="0.55000000000000004">
      <c r="D130" s="49">
        <v>40940</v>
      </c>
      <c r="E130" s="92">
        <v>140.55000000000001</v>
      </c>
      <c r="L130" s="27">
        <v>142.16493990791747</v>
      </c>
      <c r="M130" s="27">
        <v>142.068784048612</v>
      </c>
      <c r="N130" s="27">
        <v>0.25086969323984976</v>
      </c>
      <c r="O130" s="27">
        <v>0.22290912174573718</v>
      </c>
      <c r="P130" s="27">
        <v>0.22290912174573718</v>
      </c>
      <c r="Q130" s="27">
        <v>0.20055621668670043</v>
      </c>
      <c r="R130" s="27">
        <v>0.22290912174573721</v>
      </c>
      <c r="S130" s="27">
        <v>0.20055621668670048</v>
      </c>
      <c r="T130" s="53"/>
      <c r="U130" s="53"/>
      <c r="V130" s="27">
        <v>142.16493990791747</v>
      </c>
      <c r="W130" s="27">
        <v>142.068784048612</v>
      </c>
      <c r="X130" s="27">
        <v>0.25086969323984976</v>
      </c>
      <c r="Y130" s="27">
        <v>0.22290912174573718</v>
      </c>
      <c r="Z130" s="27">
        <v>0.22290912174573718</v>
      </c>
      <c r="AA130" s="27">
        <v>0.20055621668670043</v>
      </c>
      <c r="AB130" s="27">
        <v>0.22290912174573721</v>
      </c>
      <c r="AC130" s="27">
        <v>0.20055621668670048</v>
      </c>
    </row>
    <row r="131" spans="4:29" x14ac:dyDescent="0.55000000000000004">
      <c r="D131" s="49">
        <v>40969</v>
      </c>
      <c r="E131" s="92">
        <v>140.13999999999999</v>
      </c>
      <c r="L131" s="27">
        <v>141.94792184624856</v>
      </c>
      <c r="M131" s="27">
        <v>141.88317047531831</v>
      </c>
      <c r="N131" s="27">
        <v>0.25086969323617303</v>
      </c>
      <c r="O131" s="27">
        <v>0.22290912174214583</v>
      </c>
      <c r="P131" s="27">
        <v>0.22290912174214583</v>
      </c>
      <c r="Q131" s="27">
        <v>0.2005562166831924</v>
      </c>
      <c r="R131" s="27">
        <v>0.22290912174214586</v>
      </c>
      <c r="S131" s="27">
        <v>0.20055621668319243</v>
      </c>
      <c r="T131" s="53"/>
      <c r="U131" s="53"/>
      <c r="V131" s="27">
        <v>141.94792184624856</v>
      </c>
      <c r="W131" s="27">
        <v>141.88317047531831</v>
      </c>
      <c r="X131" s="27">
        <v>0.25086969323617303</v>
      </c>
      <c r="Y131" s="27">
        <v>0.22290912174214583</v>
      </c>
      <c r="Z131" s="27">
        <v>0.22290912174214583</v>
      </c>
      <c r="AA131" s="27">
        <v>0.2005562166831924</v>
      </c>
      <c r="AB131" s="27">
        <v>0.22290912174214586</v>
      </c>
      <c r="AC131" s="27">
        <v>0.20055621668319243</v>
      </c>
    </row>
    <row r="132" spans="4:29" x14ac:dyDescent="0.55000000000000004">
      <c r="D132" s="49">
        <v>41000</v>
      </c>
      <c r="E132" s="92">
        <v>140.76</v>
      </c>
      <c r="L132" s="27">
        <v>142.13573647356327</v>
      </c>
      <c r="M132" s="27">
        <v>142.05864455207708</v>
      </c>
      <c r="N132" s="27">
        <v>0.25086969323381814</v>
      </c>
      <c r="O132" s="27">
        <v>0.22290912173979355</v>
      </c>
      <c r="P132" s="27">
        <v>0.22290912173979349</v>
      </c>
      <c r="Q132" s="27">
        <v>0.20055621668084261</v>
      </c>
      <c r="R132" s="27">
        <v>0.22290912173979346</v>
      </c>
      <c r="S132" s="27">
        <v>0.20055621668084259</v>
      </c>
      <c r="T132" s="53"/>
      <c r="U132" s="53"/>
      <c r="V132" s="27">
        <v>142.13573647356327</v>
      </c>
      <c r="W132" s="27">
        <v>142.05864455207708</v>
      </c>
      <c r="X132" s="27">
        <v>0.25086969323381814</v>
      </c>
      <c r="Y132" s="27">
        <v>0.22290912173979355</v>
      </c>
      <c r="Z132" s="27">
        <v>0.22290912173979349</v>
      </c>
      <c r="AA132" s="27">
        <v>0.20055621668084261</v>
      </c>
      <c r="AB132" s="27">
        <v>0.22290912173979346</v>
      </c>
      <c r="AC132" s="27">
        <v>0.20055621668084259</v>
      </c>
    </row>
    <row r="133" spans="4:29" x14ac:dyDescent="0.55000000000000004">
      <c r="D133" s="49">
        <v>41030</v>
      </c>
      <c r="E133" s="92">
        <v>142.5</v>
      </c>
      <c r="L133" s="27">
        <v>142.52808063563401</v>
      </c>
      <c r="M133" s="27">
        <v>142.419375815813</v>
      </c>
      <c r="N133" s="27">
        <v>0.25086969323239211</v>
      </c>
      <c r="O133" s="27">
        <v>0.2229091217383285</v>
      </c>
      <c r="P133" s="27">
        <v>0.2229091217383285</v>
      </c>
      <c r="Q133" s="27">
        <v>0.2005562166793376</v>
      </c>
      <c r="R133" s="27">
        <v>0.22290912173832844</v>
      </c>
      <c r="S133" s="27">
        <v>0.20055621667933757</v>
      </c>
      <c r="T133" s="53"/>
      <c r="U133" s="53"/>
      <c r="V133" s="27">
        <v>142.52808063563401</v>
      </c>
      <c r="W133" s="27">
        <v>142.419375815813</v>
      </c>
      <c r="X133" s="27">
        <v>0.25086969323239211</v>
      </c>
      <c r="Y133" s="27">
        <v>0.2229091217383285</v>
      </c>
      <c r="Z133" s="27">
        <v>0.2229091217383285</v>
      </c>
      <c r="AA133" s="27">
        <v>0.2005562166793376</v>
      </c>
      <c r="AB133" s="27">
        <v>0.22290912173832844</v>
      </c>
      <c r="AC133" s="27">
        <v>0.20055621667933757</v>
      </c>
    </row>
    <row r="134" spans="4:29" x14ac:dyDescent="0.55000000000000004">
      <c r="D134" s="49">
        <v>41061</v>
      </c>
      <c r="E134" s="92">
        <v>143.55000000000001</v>
      </c>
      <c r="L134" s="27">
        <v>142.9247660663215</v>
      </c>
      <c r="M134" s="27">
        <v>142.78718309560486</v>
      </c>
      <c r="N134" s="27">
        <v>0.25086969323159047</v>
      </c>
      <c r="O134" s="27">
        <v>0.22290912173747379</v>
      </c>
      <c r="P134" s="27">
        <v>0.22290912173747374</v>
      </c>
      <c r="Q134" s="27">
        <v>0.20055621667842619</v>
      </c>
      <c r="R134" s="27">
        <v>0.22290912173747374</v>
      </c>
      <c r="S134" s="27">
        <v>0.20055621667842616</v>
      </c>
      <c r="T134" s="53"/>
      <c r="U134" s="53"/>
      <c r="V134" s="27">
        <v>142.9247660663215</v>
      </c>
      <c r="W134" s="27">
        <v>142.78718309560486</v>
      </c>
      <c r="X134" s="27">
        <v>0.25086969323159047</v>
      </c>
      <c r="Y134" s="27">
        <v>0.22290912173747379</v>
      </c>
      <c r="Z134" s="27">
        <v>0.22290912173747374</v>
      </c>
      <c r="AA134" s="27">
        <v>0.20055621667842619</v>
      </c>
      <c r="AB134" s="27">
        <v>0.22290912173747374</v>
      </c>
      <c r="AC134" s="27">
        <v>0.20055621667842616</v>
      </c>
    </row>
    <row r="135" spans="4:29" x14ac:dyDescent="0.55000000000000004">
      <c r="D135" s="49">
        <v>41091</v>
      </c>
      <c r="E135" s="92">
        <v>143.82</v>
      </c>
      <c r="L135" s="27">
        <v>143.35998486050786</v>
      </c>
      <c r="M135" s="27">
        <v>143.19255553244002</v>
      </c>
      <c r="N135" s="27">
        <v>0.2508696932311853</v>
      </c>
      <c r="O135" s="27">
        <v>0.22290912173701821</v>
      </c>
      <c r="P135" s="27">
        <v>0.22290912173701816</v>
      </c>
      <c r="Q135" s="27">
        <v>0.20055621667791385</v>
      </c>
      <c r="R135" s="27">
        <v>0.22290912173701813</v>
      </c>
      <c r="S135" s="27">
        <v>0.20055621667791382</v>
      </c>
      <c r="T135" s="53"/>
      <c r="U135" s="53"/>
      <c r="V135" s="27">
        <v>143.35998486050786</v>
      </c>
      <c r="W135" s="27">
        <v>143.19255553244002</v>
      </c>
      <c r="X135" s="27">
        <v>0.2508696932311853</v>
      </c>
      <c r="Y135" s="27">
        <v>0.22290912173701821</v>
      </c>
      <c r="Z135" s="27">
        <v>0.22290912173701816</v>
      </c>
      <c r="AA135" s="27">
        <v>0.20055621667791385</v>
      </c>
      <c r="AB135" s="27">
        <v>0.22290912173701813</v>
      </c>
      <c r="AC135" s="27">
        <v>0.20055621667791382</v>
      </c>
    </row>
    <row r="136" spans="4:29" x14ac:dyDescent="0.55000000000000004">
      <c r="D136" s="49">
        <v>41122</v>
      </c>
      <c r="E136" s="92">
        <v>144.26</v>
      </c>
      <c r="L136" s="27">
        <v>143.59429029982763</v>
      </c>
      <c r="M136" s="27">
        <v>143.42015476183042</v>
      </c>
      <c r="N136" s="27">
        <v>0.25086969323101271</v>
      </c>
      <c r="O136" s="27">
        <v>0.2229091217368068</v>
      </c>
      <c r="P136" s="27">
        <v>0.22290912173680677</v>
      </c>
      <c r="Q136" s="27">
        <v>0.20055621667765489</v>
      </c>
      <c r="R136" s="27">
        <v>0.22290912173680674</v>
      </c>
      <c r="S136" s="27">
        <v>0.20055621667765489</v>
      </c>
      <c r="T136" s="53"/>
      <c r="U136" s="53"/>
      <c r="V136" s="27">
        <v>143.59429029982763</v>
      </c>
      <c r="W136" s="27">
        <v>143.42015476183042</v>
      </c>
      <c r="X136" s="27">
        <v>0.25086969323101271</v>
      </c>
      <c r="Y136" s="27">
        <v>0.2229091217368068</v>
      </c>
      <c r="Z136" s="27">
        <v>0.22290912173680677</v>
      </c>
      <c r="AA136" s="27">
        <v>0.20055621667765489</v>
      </c>
      <c r="AB136" s="27">
        <v>0.22290912173680674</v>
      </c>
      <c r="AC136" s="27">
        <v>0.20055621667765489</v>
      </c>
    </row>
    <row r="137" spans="4:29" x14ac:dyDescent="0.55000000000000004">
      <c r="D137" s="49">
        <v>41153</v>
      </c>
      <c r="E137" s="92">
        <v>143.66</v>
      </c>
      <c r="L137" s="27">
        <v>144.04610589302919</v>
      </c>
      <c r="M137" s="27">
        <v>143.84412512437271</v>
      </c>
      <c r="N137" s="27">
        <v>0.25086969323096003</v>
      </c>
      <c r="O137" s="27">
        <v>0.22290912173673064</v>
      </c>
      <c r="P137" s="27">
        <v>0.22290912173673058</v>
      </c>
      <c r="Q137" s="27">
        <v>0.20055621667754461</v>
      </c>
      <c r="R137" s="27">
        <v>0.22290912173673055</v>
      </c>
      <c r="S137" s="27">
        <v>0.20055621667754456</v>
      </c>
      <c r="T137" s="53"/>
      <c r="U137" s="53"/>
      <c r="V137" s="27">
        <v>144.04610589302919</v>
      </c>
      <c r="W137" s="27">
        <v>143.84412512437271</v>
      </c>
      <c r="X137" s="27">
        <v>0.25086969323096003</v>
      </c>
      <c r="Y137" s="27">
        <v>0.22290912173673064</v>
      </c>
      <c r="Z137" s="27">
        <v>0.22290912173673058</v>
      </c>
      <c r="AA137" s="27">
        <v>0.20055621667754461</v>
      </c>
      <c r="AB137" s="27">
        <v>0.22290912173673055</v>
      </c>
      <c r="AC137" s="27">
        <v>0.20055621667754456</v>
      </c>
    </row>
    <row r="138" spans="4:29" x14ac:dyDescent="0.55000000000000004">
      <c r="D138" s="49">
        <v>41183</v>
      </c>
      <c r="E138" s="92">
        <v>144.84</v>
      </c>
      <c r="L138" s="27">
        <v>144.38047107547516</v>
      </c>
      <c r="M138" s="27">
        <v>144.16521504823032</v>
      </c>
      <c r="N138" s="27">
        <v>0.25086969323095409</v>
      </c>
      <c r="O138" s="27">
        <v>0.22290912173671662</v>
      </c>
      <c r="P138" s="27">
        <v>0.22290912173671662</v>
      </c>
      <c r="Q138" s="27">
        <v>0.20055621667751095</v>
      </c>
      <c r="R138" s="27">
        <v>0.22290912173671665</v>
      </c>
      <c r="S138" s="27">
        <v>0.20055621667751092</v>
      </c>
      <c r="T138" s="53"/>
      <c r="U138" s="53"/>
      <c r="V138" s="27">
        <v>144.38047107547516</v>
      </c>
      <c r="W138" s="27">
        <v>144.16521504823032</v>
      </c>
      <c r="X138" s="27">
        <v>0.25086969323095409</v>
      </c>
      <c r="Y138" s="27">
        <v>0.22290912173671662</v>
      </c>
      <c r="Z138" s="27">
        <v>0.22290912173671662</v>
      </c>
      <c r="AA138" s="27">
        <v>0.20055621667751095</v>
      </c>
      <c r="AB138" s="27">
        <v>0.22290912173671665</v>
      </c>
      <c r="AC138" s="27">
        <v>0.20055621667751092</v>
      </c>
    </row>
    <row r="139" spans="4:29" x14ac:dyDescent="0.55000000000000004">
      <c r="D139" s="49">
        <v>41214</v>
      </c>
      <c r="E139" s="92">
        <v>144.63999999999999</v>
      </c>
      <c r="L139" s="27">
        <v>144.54435299770012</v>
      </c>
      <c r="M139" s="27">
        <v>144.33424866852425</v>
      </c>
      <c r="N139" s="27">
        <v>0.25086969323095137</v>
      </c>
      <c r="O139" s="27">
        <v>0.2229091217367194</v>
      </c>
      <c r="P139" s="27">
        <v>0.2229091217367194</v>
      </c>
      <c r="Q139" s="27">
        <v>0.20055621667750712</v>
      </c>
      <c r="R139" s="27">
        <v>0.22290912173671937</v>
      </c>
      <c r="S139" s="27">
        <v>0.20055621667750712</v>
      </c>
      <c r="T139" s="53"/>
      <c r="U139" s="53"/>
      <c r="V139" s="27">
        <v>144.54435299770012</v>
      </c>
      <c r="W139" s="27">
        <v>144.33424866852425</v>
      </c>
      <c r="X139" s="27">
        <v>0.25086969323095137</v>
      </c>
      <c r="Y139" s="27">
        <v>0.2229091217367194</v>
      </c>
      <c r="Z139" s="27">
        <v>0.2229091217367194</v>
      </c>
      <c r="AA139" s="27">
        <v>0.20055621667750712</v>
      </c>
      <c r="AB139" s="27">
        <v>0.22290912173671937</v>
      </c>
      <c r="AC139" s="27">
        <v>0.20055621667750712</v>
      </c>
    </row>
    <row r="140" spans="4:29" x14ac:dyDescent="0.55000000000000004">
      <c r="D140" s="49">
        <v>41244</v>
      </c>
      <c r="E140" s="92">
        <v>144.15</v>
      </c>
      <c r="L140" s="27">
        <v>144.85156701754588</v>
      </c>
      <c r="M140" s="27">
        <v>144.63172471228827</v>
      </c>
      <c r="N140" s="27">
        <v>0.25086969323092911</v>
      </c>
      <c r="O140" s="27">
        <v>0.22290912173671323</v>
      </c>
      <c r="P140" s="27">
        <v>0.22290912173671329</v>
      </c>
      <c r="Q140" s="27">
        <v>0.20055621667750537</v>
      </c>
      <c r="R140" s="27">
        <v>0.22290912173671332</v>
      </c>
      <c r="S140" s="27">
        <v>0.20055621667750539</v>
      </c>
      <c r="T140" s="53"/>
      <c r="U140" s="53"/>
      <c r="V140" s="27">
        <v>144.85156701754588</v>
      </c>
      <c r="W140" s="27">
        <v>144.63172471228827</v>
      </c>
      <c r="X140" s="27">
        <v>0.25086969323092911</v>
      </c>
      <c r="Y140" s="27">
        <v>0.22290912173671323</v>
      </c>
      <c r="Z140" s="27">
        <v>0.22290912173671329</v>
      </c>
      <c r="AA140" s="27">
        <v>0.20055621667750537</v>
      </c>
      <c r="AB140" s="27">
        <v>0.22290912173671332</v>
      </c>
      <c r="AC140" s="27">
        <v>0.20055621667750539</v>
      </c>
    </row>
    <row r="141" spans="4:29" x14ac:dyDescent="0.55000000000000004">
      <c r="D141" s="49">
        <v>41275</v>
      </c>
      <c r="E141" s="92">
        <v>144.97999999999999</v>
      </c>
      <c r="L141" s="27">
        <v>144.84146362490978</v>
      </c>
      <c r="M141" s="27">
        <v>144.64467983925758</v>
      </c>
      <c r="N141" s="27">
        <v>0.25086969323087888</v>
      </c>
      <c r="O141" s="27">
        <v>0.22290912173668653</v>
      </c>
      <c r="P141" s="27">
        <v>0.22290912173668659</v>
      </c>
      <c r="Q141" s="27">
        <v>0.20055621667749116</v>
      </c>
      <c r="R141" s="27">
        <v>0.22290912173668659</v>
      </c>
      <c r="S141" s="27">
        <v>0.20055621667749116</v>
      </c>
      <c r="T141" s="53"/>
      <c r="U141" s="53"/>
      <c r="V141" s="27">
        <v>144.84146362490978</v>
      </c>
      <c r="W141" s="27">
        <v>144.64467983925758</v>
      </c>
      <c r="X141" s="27">
        <v>0.25086969323087888</v>
      </c>
      <c r="Y141" s="27">
        <v>0.22290912173668653</v>
      </c>
      <c r="Z141" s="27">
        <v>0.22290912173668659</v>
      </c>
      <c r="AA141" s="27">
        <v>0.20055621667749116</v>
      </c>
      <c r="AB141" s="27">
        <v>0.22290912173668659</v>
      </c>
      <c r="AC141" s="27">
        <v>0.20055621667749116</v>
      </c>
    </row>
    <row r="142" spans="4:29" x14ac:dyDescent="0.55000000000000004">
      <c r="D142" s="49">
        <v>41306</v>
      </c>
      <c r="E142" s="92">
        <v>143.82</v>
      </c>
      <c r="L142" s="27">
        <v>145.0825029795661</v>
      </c>
      <c r="M142" s="27">
        <v>144.88128132917072</v>
      </c>
      <c r="N142" s="27">
        <v>0.25086969323080094</v>
      </c>
      <c r="O142" s="27">
        <v>0.22290912173663652</v>
      </c>
      <c r="P142" s="27">
        <v>0.22290912173663657</v>
      </c>
      <c r="Q142" s="27">
        <v>0.20055621667745904</v>
      </c>
      <c r="R142" s="27">
        <v>0.22290912173663657</v>
      </c>
      <c r="S142" s="27">
        <v>0.20055621667745904</v>
      </c>
      <c r="T142" s="53"/>
      <c r="U142" s="53"/>
      <c r="V142" s="27">
        <v>145.0825029795661</v>
      </c>
      <c r="W142" s="27">
        <v>144.88128132917072</v>
      </c>
      <c r="X142" s="27">
        <v>0.25086969323080094</v>
      </c>
      <c r="Y142" s="27">
        <v>0.22290912173663652</v>
      </c>
      <c r="Z142" s="27">
        <v>0.22290912173663657</v>
      </c>
      <c r="AA142" s="27">
        <v>0.20055621667745904</v>
      </c>
      <c r="AB142" s="27">
        <v>0.22290912173663657</v>
      </c>
      <c r="AC142" s="27">
        <v>0.20055621667745904</v>
      </c>
    </row>
    <row r="143" spans="4:29" x14ac:dyDescent="0.55000000000000004">
      <c r="D143" s="49">
        <v>41334</v>
      </c>
      <c r="E143" s="92">
        <v>145.04</v>
      </c>
      <c r="L143" s="27">
        <v>145.55065763906856</v>
      </c>
      <c r="M143" s="27">
        <v>145.3226684514668</v>
      </c>
      <c r="N143" s="27">
        <v>0.25086969323070046</v>
      </c>
      <c r="O143" s="27">
        <v>0.22290912173656582</v>
      </c>
      <c r="P143" s="27">
        <v>0.22290912173656585</v>
      </c>
      <c r="Q143" s="27">
        <v>0.20055621667740925</v>
      </c>
      <c r="R143" s="27">
        <v>0.22290912173656582</v>
      </c>
      <c r="S143" s="27">
        <v>0.20055621667740922</v>
      </c>
      <c r="T143" s="53"/>
      <c r="U143" s="53"/>
      <c r="V143" s="27">
        <v>145.55065763906856</v>
      </c>
      <c r="W143" s="27">
        <v>145.3226684514668</v>
      </c>
      <c r="X143" s="27">
        <v>0.25086969323070046</v>
      </c>
      <c r="Y143" s="27">
        <v>0.22290912173656582</v>
      </c>
      <c r="Z143" s="27">
        <v>0.22290912173656585</v>
      </c>
      <c r="AA143" s="27">
        <v>0.20055621667740925</v>
      </c>
      <c r="AB143" s="27">
        <v>0.22290912173656582</v>
      </c>
      <c r="AC143" s="27">
        <v>0.20055621667740922</v>
      </c>
    </row>
    <row r="144" spans="4:29" x14ac:dyDescent="0.55000000000000004">
      <c r="D144" s="49">
        <v>41365</v>
      </c>
      <c r="E144" s="92">
        <v>146.28</v>
      </c>
      <c r="L144" s="27">
        <v>146.05490754387637</v>
      </c>
      <c r="M144" s="27">
        <v>145.79921545414493</v>
      </c>
      <c r="N144" s="27">
        <v>0.25086969323058467</v>
      </c>
      <c r="O144" s="27">
        <v>0.22290912173647959</v>
      </c>
      <c r="P144" s="27">
        <v>0.22290912173647962</v>
      </c>
      <c r="Q144" s="27">
        <v>0.20055621667734502</v>
      </c>
      <c r="R144" s="27">
        <v>0.22290912173647959</v>
      </c>
      <c r="S144" s="27">
        <v>0.20055621667734502</v>
      </c>
      <c r="T144" s="53"/>
      <c r="U144" s="53"/>
      <c r="V144" s="27">
        <v>146.05490754387637</v>
      </c>
      <c r="W144" s="27">
        <v>145.79921545414493</v>
      </c>
      <c r="X144" s="27">
        <v>0.25086969323058467</v>
      </c>
      <c r="Y144" s="27">
        <v>0.22290912173647959</v>
      </c>
      <c r="Z144" s="27">
        <v>0.22290912173647962</v>
      </c>
      <c r="AA144" s="27">
        <v>0.20055621667734502</v>
      </c>
      <c r="AB144" s="27">
        <v>0.22290912173647959</v>
      </c>
      <c r="AC144" s="27">
        <v>0.20055621667734502</v>
      </c>
    </row>
    <row r="145" spans="4:29" x14ac:dyDescent="0.55000000000000004">
      <c r="D145" s="49">
        <v>41395</v>
      </c>
      <c r="E145" s="92">
        <v>146.79</v>
      </c>
      <c r="L145" s="27">
        <v>146.37637843383337</v>
      </c>
      <c r="M145" s="27">
        <v>146.11409017044653</v>
      </c>
      <c r="N145" s="27">
        <v>0.25086969323046115</v>
      </c>
      <c r="O145" s="27">
        <v>0.222909121736384</v>
      </c>
      <c r="P145" s="27">
        <v>0.222909121736384</v>
      </c>
      <c r="Q145" s="27">
        <v>0.20055621667727103</v>
      </c>
      <c r="R145" s="27">
        <v>0.22290912173638402</v>
      </c>
      <c r="S145" s="27">
        <v>0.200556216677271</v>
      </c>
      <c r="T145" s="53"/>
      <c r="U145" s="53"/>
      <c r="V145" s="27">
        <v>146.37637843383337</v>
      </c>
      <c r="W145" s="27">
        <v>146.11409017044653</v>
      </c>
      <c r="X145" s="27">
        <v>0.25086969323046115</v>
      </c>
      <c r="Y145" s="27">
        <v>0.222909121736384</v>
      </c>
      <c r="Z145" s="27">
        <v>0.222909121736384</v>
      </c>
      <c r="AA145" s="27">
        <v>0.20055621667727103</v>
      </c>
      <c r="AB145" s="27">
        <v>0.22290912173638402</v>
      </c>
      <c r="AC145" s="27">
        <v>0.200556216677271</v>
      </c>
    </row>
    <row r="146" spans="4:29" x14ac:dyDescent="0.55000000000000004">
      <c r="D146" s="49">
        <v>41426</v>
      </c>
      <c r="E146" s="92">
        <v>146.35</v>
      </c>
      <c r="L146" s="27">
        <v>146.76207399430868</v>
      </c>
      <c r="M146" s="27">
        <v>146.48741068061466</v>
      </c>
      <c r="N146" s="27">
        <v>0.25086969323033698</v>
      </c>
      <c r="O146" s="27">
        <v>0.22290912173628497</v>
      </c>
      <c r="P146" s="27">
        <v>0.22290912173628497</v>
      </c>
      <c r="Q146" s="27">
        <v>0.20055621667719209</v>
      </c>
      <c r="R146" s="27">
        <v>0.22290912173628497</v>
      </c>
      <c r="S146" s="27">
        <v>0.20055621667719206</v>
      </c>
      <c r="T146" s="53"/>
      <c r="U146" s="53"/>
      <c r="V146" s="27">
        <v>146.76207399430868</v>
      </c>
      <c r="W146" s="27">
        <v>146.48741068061466</v>
      </c>
      <c r="X146" s="27">
        <v>0.25086969323033698</v>
      </c>
      <c r="Y146" s="27">
        <v>0.22290912173628497</v>
      </c>
      <c r="Z146" s="27">
        <v>0.22290912173628497</v>
      </c>
      <c r="AA146" s="27">
        <v>0.20055621667719209</v>
      </c>
      <c r="AB146" s="27">
        <v>0.22290912173628497</v>
      </c>
      <c r="AC146" s="27">
        <v>0.20055621667719206</v>
      </c>
    </row>
    <row r="147" spans="4:29" x14ac:dyDescent="0.55000000000000004">
      <c r="D147" s="49">
        <v>41456</v>
      </c>
      <c r="E147" s="92">
        <v>146.93</v>
      </c>
      <c r="L147" s="27">
        <v>147.12989682688206</v>
      </c>
      <c r="M147" s="27">
        <v>146.8458916528611</v>
      </c>
      <c r="N147" s="27">
        <v>0.25086969323021779</v>
      </c>
      <c r="O147" s="27">
        <v>0.22290912173618774</v>
      </c>
      <c r="P147" s="27">
        <v>0.22290912173618771</v>
      </c>
      <c r="Q147" s="27">
        <v>0.20055621667711271</v>
      </c>
      <c r="R147" s="27">
        <v>0.22290912173618774</v>
      </c>
      <c r="S147" s="27">
        <v>0.20055621667711274</v>
      </c>
      <c r="T147" s="53"/>
      <c r="U147" s="53"/>
      <c r="V147" s="27">
        <v>147.12989682688206</v>
      </c>
      <c r="W147" s="27">
        <v>146.8458916528611</v>
      </c>
      <c r="X147" s="27">
        <v>0.25086969323021779</v>
      </c>
      <c r="Y147" s="27">
        <v>0.22290912173618774</v>
      </c>
      <c r="Z147" s="27">
        <v>0.22290912173618771</v>
      </c>
      <c r="AA147" s="27">
        <v>0.20055621667711271</v>
      </c>
      <c r="AB147" s="27">
        <v>0.22290912173618774</v>
      </c>
      <c r="AC147" s="27">
        <v>0.20055621667711274</v>
      </c>
    </row>
    <row r="148" spans="4:29" x14ac:dyDescent="0.55000000000000004">
      <c r="D148" s="49">
        <v>41487</v>
      </c>
      <c r="E148" s="92">
        <v>147.18</v>
      </c>
      <c r="L148" s="27">
        <v>147.56996138434741</v>
      </c>
      <c r="M148" s="27">
        <v>147.27030687056617</v>
      </c>
      <c r="N148" s="27">
        <v>0.25086969323010772</v>
      </c>
      <c r="O148" s="27">
        <v>0.22290912173609614</v>
      </c>
      <c r="P148" s="27">
        <v>0.22290912173609614</v>
      </c>
      <c r="Q148" s="27">
        <v>0.20055621667703655</v>
      </c>
      <c r="R148" s="27">
        <v>0.22290912173609614</v>
      </c>
      <c r="S148" s="27">
        <v>0.20055621667703652</v>
      </c>
      <c r="T148" s="53"/>
      <c r="U148" s="53"/>
      <c r="V148" s="27">
        <v>147.56996138434741</v>
      </c>
      <c r="W148" s="27">
        <v>147.27030687056617</v>
      </c>
      <c r="X148" s="27">
        <v>0.25086969323010772</v>
      </c>
      <c r="Y148" s="27">
        <v>0.22290912173609614</v>
      </c>
      <c r="Z148" s="27">
        <v>0.22290912173609614</v>
      </c>
      <c r="AA148" s="27">
        <v>0.20055621667703655</v>
      </c>
      <c r="AB148" s="27">
        <v>0.22290912173609614</v>
      </c>
      <c r="AC148" s="27">
        <v>0.20055621667703652</v>
      </c>
    </row>
    <row r="149" spans="4:29" x14ac:dyDescent="0.55000000000000004">
      <c r="D149" s="49">
        <v>41518</v>
      </c>
      <c r="E149" s="92">
        <v>147.83000000000001</v>
      </c>
      <c r="L149" s="27">
        <v>147.96324633703898</v>
      </c>
      <c r="M149" s="27">
        <v>147.65420273996094</v>
      </c>
      <c r="N149" s="27">
        <v>0.25086969323000935</v>
      </c>
      <c r="O149" s="27">
        <v>0.22290912173601296</v>
      </c>
      <c r="P149" s="27">
        <v>0.22290912173601293</v>
      </c>
      <c r="Q149" s="27">
        <v>0.20055621667696619</v>
      </c>
      <c r="R149" s="27">
        <v>0.22290912173601299</v>
      </c>
      <c r="S149" s="27">
        <v>0.20055621667696619</v>
      </c>
      <c r="T149" s="53"/>
      <c r="U149" s="53"/>
      <c r="V149" s="27">
        <v>147.96324633703898</v>
      </c>
      <c r="W149" s="27">
        <v>147.65420273996094</v>
      </c>
      <c r="X149" s="27">
        <v>0.25086969323000935</v>
      </c>
      <c r="Y149" s="27">
        <v>0.22290912173601296</v>
      </c>
      <c r="Z149" s="27">
        <v>0.22290912173601293</v>
      </c>
      <c r="AA149" s="27">
        <v>0.20055621667696619</v>
      </c>
      <c r="AB149" s="27">
        <v>0.22290912173601299</v>
      </c>
      <c r="AC149" s="27">
        <v>0.20055621667696619</v>
      </c>
    </row>
    <row r="150" spans="4:29" x14ac:dyDescent="0.55000000000000004">
      <c r="D150" s="49">
        <v>41548</v>
      </c>
      <c r="E150" s="92">
        <v>147.99</v>
      </c>
      <c r="L150" s="27">
        <v>148.36072994467318</v>
      </c>
      <c r="M150" s="27">
        <v>148.04281775063515</v>
      </c>
      <c r="N150" s="27">
        <v>0.25086969322992397</v>
      </c>
      <c r="O150" s="27">
        <v>0.22290912173593977</v>
      </c>
      <c r="P150" s="27">
        <v>0.22290912173593971</v>
      </c>
      <c r="Q150" s="27">
        <v>0.20055621667690335</v>
      </c>
      <c r="R150" s="27">
        <v>0.22290912173593971</v>
      </c>
      <c r="S150" s="27">
        <v>0.20055621667690332</v>
      </c>
      <c r="T150" s="53"/>
      <c r="U150" s="53"/>
      <c r="V150" s="27">
        <v>148.36072994467318</v>
      </c>
      <c r="W150" s="27">
        <v>148.04281775063515</v>
      </c>
      <c r="X150" s="27">
        <v>0.25086969322992397</v>
      </c>
      <c r="Y150" s="27">
        <v>0.22290912173593977</v>
      </c>
      <c r="Z150" s="27">
        <v>0.22290912173593971</v>
      </c>
      <c r="AA150" s="27">
        <v>0.20055621667690335</v>
      </c>
      <c r="AB150" s="27">
        <v>0.22290912173593971</v>
      </c>
      <c r="AC150" s="27">
        <v>0.20055621667690332</v>
      </c>
    </row>
    <row r="151" spans="4:29" x14ac:dyDescent="0.55000000000000004">
      <c r="D151" s="49">
        <v>41579</v>
      </c>
      <c r="E151" s="92">
        <v>148.36000000000001</v>
      </c>
      <c r="L151" s="27">
        <v>148.76764307607954</v>
      </c>
      <c r="M151" s="27">
        <v>148.44080603640188</v>
      </c>
      <c r="N151" s="27">
        <v>0.25086969322985175</v>
      </c>
      <c r="O151" s="27">
        <v>0.22290912173587699</v>
      </c>
      <c r="P151" s="27">
        <v>0.22290912173587693</v>
      </c>
      <c r="Q151" s="27">
        <v>0.20055621667684875</v>
      </c>
      <c r="R151" s="27">
        <v>0.22290912173587693</v>
      </c>
      <c r="S151" s="27">
        <v>0.20055621667684878</v>
      </c>
      <c r="T151" s="53"/>
      <c r="U151" s="53"/>
      <c r="V151" s="27">
        <v>148.76764307607954</v>
      </c>
      <c r="W151" s="27">
        <v>148.44080603640188</v>
      </c>
      <c r="X151" s="27">
        <v>0.25086969322985175</v>
      </c>
      <c r="Y151" s="27">
        <v>0.22290912173587699</v>
      </c>
      <c r="Z151" s="27">
        <v>0.22290912173587693</v>
      </c>
      <c r="AA151" s="27">
        <v>0.20055621667684875</v>
      </c>
      <c r="AB151" s="27">
        <v>0.22290912173587693</v>
      </c>
      <c r="AC151" s="27">
        <v>0.20055621667684878</v>
      </c>
    </row>
    <row r="152" spans="4:29" x14ac:dyDescent="0.55000000000000004">
      <c r="D152" s="49">
        <v>41609</v>
      </c>
      <c r="E152" s="92">
        <v>148.76</v>
      </c>
      <c r="L152" s="27">
        <v>148.99246729959981</v>
      </c>
      <c r="M152" s="27">
        <v>148.6758599121527</v>
      </c>
      <c r="N152" s="27">
        <v>0.25086969322979225</v>
      </c>
      <c r="O152" s="27">
        <v>0.22290912173582464</v>
      </c>
      <c r="P152" s="27">
        <v>0.22290912173582456</v>
      </c>
      <c r="Q152" s="27">
        <v>0.20055621667680262</v>
      </c>
      <c r="R152" s="27">
        <v>0.22290912173582456</v>
      </c>
      <c r="S152" s="27">
        <v>0.2005562166768026</v>
      </c>
      <c r="T152" s="53"/>
      <c r="U152" s="53"/>
      <c r="V152" s="27">
        <v>148.99246729959981</v>
      </c>
      <c r="W152" s="27">
        <v>148.6758599121527</v>
      </c>
      <c r="X152" s="27">
        <v>0.25086969322979225</v>
      </c>
      <c r="Y152" s="27">
        <v>0.22290912173582464</v>
      </c>
      <c r="Z152" s="27">
        <v>0.22290912173582456</v>
      </c>
      <c r="AA152" s="27">
        <v>0.20055621667680262</v>
      </c>
      <c r="AB152" s="27">
        <v>0.22290912173582456</v>
      </c>
      <c r="AC152" s="27">
        <v>0.2005562166768026</v>
      </c>
    </row>
    <row r="153" spans="4:29" x14ac:dyDescent="0.55000000000000004">
      <c r="D153" s="49">
        <v>41640</v>
      </c>
      <c r="E153" s="92">
        <v>148.31</v>
      </c>
      <c r="L153" s="27">
        <v>149.08784467294163</v>
      </c>
      <c r="M153" s="27">
        <v>148.79342181281666</v>
      </c>
      <c r="N153" s="27">
        <v>0.25086969322974434</v>
      </c>
      <c r="O153" s="27">
        <v>0.22290912173578187</v>
      </c>
      <c r="P153" s="27">
        <v>0.22290912173578181</v>
      </c>
      <c r="Q153" s="27">
        <v>0.20055621667676454</v>
      </c>
      <c r="R153" s="27">
        <v>0.22290912173578181</v>
      </c>
      <c r="S153" s="27">
        <v>0.20055621667676457</v>
      </c>
      <c r="T153" s="53"/>
      <c r="U153" s="53"/>
      <c r="V153" s="27">
        <v>149.08784467294163</v>
      </c>
      <c r="W153" s="27">
        <v>148.79342181281666</v>
      </c>
      <c r="X153" s="27">
        <v>0.25086969322974434</v>
      </c>
      <c r="Y153" s="27">
        <v>0.22290912173578187</v>
      </c>
      <c r="Z153" s="27">
        <v>0.22290912173578181</v>
      </c>
      <c r="AA153" s="27">
        <v>0.20055621667676454</v>
      </c>
      <c r="AB153" s="27">
        <v>0.22290912173578181</v>
      </c>
      <c r="AC153" s="27">
        <v>0.20055621667676457</v>
      </c>
    </row>
    <row r="154" spans="4:29" x14ac:dyDescent="0.55000000000000004">
      <c r="D154" s="49">
        <v>41671</v>
      </c>
      <c r="E154" s="92">
        <v>148</v>
      </c>
      <c r="L154" s="27">
        <v>149.09073702565439</v>
      </c>
      <c r="M154" s="27">
        <v>148.82554829333563</v>
      </c>
      <c r="N154" s="27">
        <v>0.25086969322970698</v>
      </c>
      <c r="O154" s="27">
        <v>0.22290912173574803</v>
      </c>
      <c r="P154" s="27">
        <v>0.22290912173574801</v>
      </c>
      <c r="Q154" s="27">
        <v>0.20055621667673396</v>
      </c>
      <c r="R154" s="27">
        <v>0.22290912173574798</v>
      </c>
      <c r="S154" s="27">
        <v>0.20055621667673396</v>
      </c>
      <c r="T154" s="53"/>
      <c r="U154" s="53"/>
      <c r="V154" s="27">
        <v>149.09073702565439</v>
      </c>
      <c r="W154" s="27">
        <v>148.82554829333563</v>
      </c>
      <c r="X154" s="27">
        <v>0.25086969322970698</v>
      </c>
      <c r="Y154" s="27">
        <v>0.22290912173574803</v>
      </c>
      <c r="Z154" s="27">
        <v>0.22290912173574801</v>
      </c>
      <c r="AA154" s="27">
        <v>0.20055621667673396</v>
      </c>
      <c r="AB154" s="27">
        <v>0.22290912173574798</v>
      </c>
      <c r="AC154" s="27">
        <v>0.20055621667673396</v>
      </c>
    </row>
    <row r="155" spans="4:29" x14ac:dyDescent="0.55000000000000004">
      <c r="D155" s="49">
        <v>41699</v>
      </c>
      <c r="E155" s="92">
        <v>147.78</v>
      </c>
      <c r="L155" s="27">
        <v>148.90548504232567</v>
      </c>
      <c r="M155" s="27">
        <v>148.6854656528906</v>
      </c>
      <c r="N155" s="27">
        <v>0.25086969322967856</v>
      </c>
      <c r="O155" s="27">
        <v>0.222909121735722</v>
      </c>
      <c r="P155" s="27">
        <v>0.22290912173572194</v>
      </c>
      <c r="Q155" s="27">
        <v>0.20055621667671009</v>
      </c>
      <c r="R155" s="27">
        <v>0.22290912173572194</v>
      </c>
      <c r="S155" s="27">
        <v>0.20055621667671009</v>
      </c>
      <c r="T155" s="53"/>
      <c r="U155" s="53"/>
      <c r="V155" s="27">
        <v>148.90548504232567</v>
      </c>
      <c r="W155" s="27">
        <v>148.6854656528906</v>
      </c>
      <c r="X155" s="27">
        <v>0.25086969322967856</v>
      </c>
      <c r="Y155" s="27">
        <v>0.222909121735722</v>
      </c>
      <c r="Z155" s="27">
        <v>0.22290912173572194</v>
      </c>
      <c r="AA155" s="27">
        <v>0.20055621667671009</v>
      </c>
      <c r="AB155" s="27">
        <v>0.22290912173572194</v>
      </c>
      <c r="AC155" s="27">
        <v>0.20055621667671009</v>
      </c>
    </row>
    <row r="156" spans="4:29" x14ac:dyDescent="0.55000000000000004">
      <c r="D156" s="49">
        <v>41730</v>
      </c>
      <c r="E156" s="92">
        <v>147.07</v>
      </c>
      <c r="L156" s="27">
        <v>148.56032168780192</v>
      </c>
      <c r="M156" s="27">
        <v>148.3969777547965</v>
      </c>
      <c r="N156" s="27">
        <v>0.25086969322965758</v>
      </c>
      <c r="O156" s="27">
        <v>0.22290912173570243</v>
      </c>
      <c r="P156" s="27">
        <v>0.2229091217357024</v>
      </c>
      <c r="Q156" s="27">
        <v>0.20055621667669193</v>
      </c>
      <c r="R156" s="27">
        <v>0.2229091217357024</v>
      </c>
      <c r="S156" s="27">
        <v>0.20055621667669191</v>
      </c>
      <c r="T156" s="53"/>
      <c r="U156" s="53"/>
      <c r="V156" s="27">
        <v>148.56032168780192</v>
      </c>
      <c r="W156" s="27">
        <v>148.3969777547965</v>
      </c>
      <c r="X156" s="27">
        <v>0.25086969322965758</v>
      </c>
      <c r="Y156" s="27">
        <v>0.22290912173570243</v>
      </c>
      <c r="Z156" s="27">
        <v>0.2229091217357024</v>
      </c>
      <c r="AA156" s="27">
        <v>0.20055621667669193</v>
      </c>
      <c r="AB156" s="27">
        <v>0.2229091217357024</v>
      </c>
      <c r="AC156" s="27">
        <v>0.20055621667669191</v>
      </c>
    </row>
    <row r="157" spans="4:29" x14ac:dyDescent="0.55000000000000004">
      <c r="D157" s="49">
        <v>41760</v>
      </c>
      <c r="E157" s="92">
        <v>146.37</v>
      </c>
      <c r="L157" s="27">
        <v>147.58007011915785</v>
      </c>
      <c r="M157" s="27">
        <v>147.53140377976206</v>
      </c>
      <c r="N157" s="27">
        <v>0.25086969322964259</v>
      </c>
      <c r="O157" s="27">
        <v>0.22290912173568828</v>
      </c>
      <c r="P157" s="27">
        <v>0.22290912173568822</v>
      </c>
      <c r="Q157" s="27">
        <v>0.2005562166766785</v>
      </c>
      <c r="R157" s="27">
        <v>0.22290912173568825</v>
      </c>
      <c r="S157" s="27">
        <v>0.20055621667667853</v>
      </c>
      <c r="T157" s="53"/>
      <c r="U157" s="53"/>
      <c r="V157" s="27">
        <v>147.58007011915785</v>
      </c>
      <c r="W157" s="27">
        <v>147.53140377976206</v>
      </c>
      <c r="X157" s="27">
        <v>0.25086969322964259</v>
      </c>
      <c r="Y157" s="27">
        <v>0.22290912173568828</v>
      </c>
      <c r="Z157" s="27">
        <v>0.22290912173568822</v>
      </c>
      <c r="AA157" s="27">
        <v>0.2005562166766785</v>
      </c>
      <c r="AB157" s="27">
        <v>0.22290912173568825</v>
      </c>
      <c r="AC157" s="27">
        <v>0.20055621667667853</v>
      </c>
    </row>
    <row r="158" spans="4:29" x14ac:dyDescent="0.55000000000000004">
      <c r="D158" s="49">
        <v>41791</v>
      </c>
      <c r="E158" s="92">
        <v>143.43</v>
      </c>
      <c r="L158" s="27">
        <v>146.98005528410292</v>
      </c>
      <c r="M158" s="27">
        <v>146.99643746579574</v>
      </c>
      <c r="N158" s="27">
        <v>0.25086969322963215</v>
      </c>
      <c r="O158" s="27">
        <v>0.22290912173567828</v>
      </c>
      <c r="P158" s="27">
        <v>0.22290912173567823</v>
      </c>
      <c r="Q158" s="27">
        <v>0.20055621667666892</v>
      </c>
      <c r="R158" s="27">
        <v>0.22290912173567826</v>
      </c>
      <c r="S158" s="27">
        <v>0.20055621667666892</v>
      </c>
      <c r="T158" s="53"/>
      <c r="U158" s="53"/>
      <c r="V158" s="27">
        <v>146.98005528410292</v>
      </c>
      <c r="W158" s="27">
        <v>146.99643746579574</v>
      </c>
      <c r="X158" s="27">
        <v>0.25086969322963215</v>
      </c>
      <c r="Y158" s="27">
        <v>0.22290912173567828</v>
      </c>
      <c r="Z158" s="27">
        <v>0.22290912173567823</v>
      </c>
      <c r="AA158" s="27">
        <v>0.20055621667666892</v>
      </c>
      <c r="AB158" s="27">
        <v>0.22290912173567826</v>
      </c>
      <c r="AC158" s="27">
        <v>0.20055621667666892</v>
      </c>
    </row>
    <row r="159" spans="4:29" x14ac:dyDescent="0.55000000000000004">
      <c r="D159" s="49">
        <v>41821</v>
      </c>
      <c r="E159" s="92">
        <v>144.66999999999999</v>
      </c>
      <c r="L159" s="27">
        <v>146.6694207383882</v>
      </c>
      <c r="M159" s="27">
        <v>146.71530999051919</v>
      </c>
      <c r="N159" s="27">
        <v>0.25086969322962516</v>
      </c>
      <c r="O159" s="27">
        <v>0.22290912173567148</v>
      </c>
      <c r="P159" s="27">
        <v>0.2229091217356714</v>
      </c>
      <c r="Q159" s="27">
        <v>0.20055621667666226</v>
      </c>
      <c r="R159" s="27">
        <v>0.2229091217356714</v>
      </c>
      <c r="S159" s="27">
        <v>0.20055621667666226</v>
      </c>
      <c r="T159" s="53"/>
      <c r="U159" s="53"/>
      <c r="V159" s="27">
        <v>146.6694207383882</v>
      </c>
      <c r="W159" s="27">
        <v>146.71530999051919</v>
      </c>
      <c r="X159" s="27">
        <v>0.25086969322962516</v>
      </c>
      <c r="Y159" s="27">
        <v>0.22290912173567148</v>
      </c>
      <c r="Z159" s="27">
        <v>0.2229091217356714</v>
      </c>
      <c r="AA159" s="27">
        <v>0.20055621667666226</v>
      </c>
      <c r="AB159" s="27">
        <v>0.2229091217356714</v>
      </c>
      <c r="AC159" s="27">
        <v>0.20055621667666226</v>
      </c>
    </row>
    <row r="160" spans="4:29" x14ac:dyDescent="0.55000000000000004">
      <c r="D160" s="49">
        <v>41852</v>
      </c>
      <c r="E160" s="92">
        <v>145.66</v>
      </c>
      <c r="L160" s="27">
        <v>146.52558059539066</v>
      </c>
      <c r="M160" s="27">
        <v>146.5812921775678</v>
      </c>
      <c r="N160" s="27">
        <v>0.25086969322962072</v>
      </c>
      <c r="O160" s="27">
        <v>0.22290912173566702</v>
      </c>
      <c r="P160" s="27">
        <v>0.22290912173566693</v>
      </c>
      <c r="Q160" s="27">
        <v>0.20055621667665779</v>
      </c>
      <c r="R160" s="27">
        <v>0.22290912173566696</v>
      </c>
      <c r="S160" s="27">
        <v>0.20055621667665779</v>
      </c>
      <c r="T160" s="53"/>
      <c r="U160" s="53"/>
      <c r="V160" s="27">
        <v>146.52558059539066</v>
      </c>
      <c r="W160" s="27">
        <v>146.5812921775678</v>
      </c>
      <c r="X160" s="27">
        <v>0.25086969322962072</v>
      </c>
      <c r="Y160" s="27">
        <v>0.22290912173566702</v>
      </c>
      <c r="Z160" s="27">
        <v>0.22290912173566693</v>
      </c>
      <c r="AA160" s="27">
        <v>0.20055621667665779</v>
      </c>
      <c r="AB160" s="27">
        <v>0.22290912173566696</v>
      </c>
      <c r="AC160" s="27">
        <v>0.20055621667665779</v>
      </c>
    </row>
    <row r="161" spans="4:29" x14ac:dyDescent="0.55000000000000004">
      <c r="D161" s="49">
        <v>41883</v>
      </c>
      <c r="E161" s="92">
        <v>146.22999999999999</v>
      </c>
      <c r="L161" s="27">
        <v>146.22119592246963</v>
      </c>
      <c r="M161" s="27">
        <v>146.30184397178121</v>
      </c>
      <c r="N161" s="27">
        <v>0.25086969322961794</v>
      </c>
      <c r="O161" s="27">
        <v>0.22290912173566424</v>
      </c>
      <c r="P161" s="27">
        <v>0.22290912173566413</v>
      </c>
      <c r="Q161" s="27">
        <v>0.20055621667665491</v>
      </c>
      <c r="R161" s="27">
        <v>0.22290912173566418</v>
      </c>
      <c r="S161" s="27">
        <v>0.20055621667665496</v>
      </c>
      <c r="T161" s="53"/>
      <c r="U161" s="53"/>
      <c r="V161" s="27">
        <v>146.22119592246963</v>
      </c>
      <c r="W161" s="27">
        <v>146.30184397178121</v>
      </c>
      <c r="X161" s="27">
        <v>0.25086969322961794</v>
      </c>
      <c r="Y161" s="27">
        <v>0.22290912173566424</v>
      </c>
      <c r="Z161" s="27">
        <v>0.22290912173566413</v>
      </c>
      <c r="AA161" s="27">
        <v>0.20055621667665491</v>
      </c>
      <c r="AB161" s="27">
        <v>0.22290912173566418</v>
      </c>
      <c r="AC161" s="27">
        <v>0.20055621667665496</v>
      </c>
    </row>
    <row r="162" spans="4:29" x14ac:dyDescent="0.55000000000000004">
      <c r="D162" s="49">
        <v>41913</v>
      </c>
      <c r="E162" s="92">
        <v>145.41</v>
      </c>
      <c r="L162" s="27">
        <v>146.00653581808928</v>
      </c>
      <c r="M162" s="27">
        <v>146.10062234277768</v>
      </c>
      <c r="N162" s="27">
        <v>0.25086969322961633</v>
      </c>
      <c r="O162" s="27">
        <v>0.22290912173566252</v>
      </c>
      <c r="P162" s="27">
        <v>0.22290912173566246</v>
      </c>
      <c r="Q162" s="27">
        <v>0.20055621667665319</v>
      </c>
      <c r="R162" s="27">
        <v>0.22290912173566244</v>
      </c>
      <c r="S162" s="27">
        <v>0.20055621667665316</v>
      </c>
      <c r="T162" s="53"/>
      <c r="U162" s="53"/>
      <c r="V162" s="27">
        <v>146.00653581808928</v>
      </c>
      <c r="W162" s="27">
        <v>146.10062234277768</v>
      </c>
      <c r="X162" s="27">
        <v>0.25086969322961633</v>
      </c>
      <c r="Y162" s="27">
        <v>0.22290912173566252</v>
      </c>
      <c r="Z162" s="27">
        <v>0.22290912173566246</v>
      </c>
      <c r="AA162" s="27">
        <v>0.20055621667665319</v>
      </c>
      <c r="AB162" s="27">
        <v>0.22290912173566244</v>
      </c>
      <c r="AC162" s="27">
        <v>0.20055621667665316</v>
      </c>
    </row>
    <row r="163" spans="4:29" x14ac:dyDescent="0.55000000000000004">
      <c r="D163" s="49">
        <v>41944</v>
      </c>
      <c r="E163" s="92">
        <v>145.62</v>
      </c>
      <c r="L163" s="27">
        <v>145.97340695401675</v>
      </c>
      <c r="M163" s="27">
        <v>146.06138075980988</v>
      </c>
      <c r="N163" s="27">
        <v>0.2508696932296155</v>
      </c>
      <c r="O163" s="27">
        <v>0.2229091217356616</v>
      </c>
      <c r="P163" s="27">
        <v>0.22290912173566152</v>
      </c>
      <c r="Q163" s="27">
        <v>0.20055621667665216</v>
      </c>
      <c r="R163" s="27">
        <v>0.22290912173566152</v>
      </c>
      <c r="S163" s="27">
        <v>0.20055621667665213</v>
      </c>
      <c r="T163" s="53"/>
      <c r="U163" s="53"/>
      <c r="V163" s="27">
        <v>145.97340695401675</v>
      </c>
      <c r="W163" s="27">
        <v>146.06138075980988</v>
      </c>
      <c r="X163" s="27">
        <v>0.2508696932296155</v>
      </c>
      <c r="Y163" s="27">
        <v>0.2229091217356616</v>
      </c>
      <c r="Z163" s="27">
        <v>0.22290912173566152</v>
      </c>
      <c r="AA163" s="27">
        <v>0.20055621667665216</v>
      </c>
      <c r="AB163" s="27">
        <v>0.22290912173566152</v>
      </c>
      <c r="AC163" s="27">
        <v>0.20055621667665213</v>
      </c>
    </row>
    <row r="164" spans="4:29" x14ac:dyDescent="0.55000000000000004">
      <c r="D164" s="49">
        <v>41974</v>
      </c>
      <c r="E164" s="92">
        <v>146.28</v>
      </c>
      <c r="L164" s="27">
        <v>145.69297186240328</v>
      </c>
      <c r="M164" s="27">
        <v>145.80024532186684</v>
      </c>
      <c r="N164" s="27">
        <v>0.25086969322961511</v>
      </c>
      <c r="O164" s="27">
        <v>0.22290912173566116</v>
      </c>
      <c r="P164" s="27">
        <v>0.22290912173566108</v>
      </c>
      <c r="Q164" s="27">
        <v>0.20055621667665163</v>
      </c>
      <c r="R164" s="27">
        <v>0.2229091217356611</v>
      </c>
      <c r="S164" s="27">
        <v>0.20055621667665161</v>
      </c>
      <c r="T164" s="53"/>
      <c r="U164" s="53"/>
      <c r="V164" s="27">
        <v>145.69297186240328</v>
      </c>
      <c r="W164" s="27">
        <v>145.80024532186684</v>
      </c>
      <c r="X164" s="27">
        <v>0.25086969322961511</v>
      </c>
      <c r="Y164" s="27">
        <v>0.22290912173566116</v>
      </c>
      <c r="Z164" s="27">
        <v>0.22290912173566108</v>
      </c>
      <c r="AA164" s="27">
        <v>0.20055621667665163</v>
      </c>
      <c r="AB164" s="27">
        <v>0.2229091217356611</v>
      </c>
      <c r="AC164" s="27">
        <v>0.20055621667665161</v>
      </c>
    </row>
    <row r="165" spans="4:29" x14ac:dyDescent="0.55000000000000004">
      <c r="D165" s="49">
        <v>42005</v>
      </c>
      <c r="E165" s="92">
        <v>145.11000000000001</v>
      </c>
      <c r="L165" s="27">
        <v>145.21946498805502</v>
      </c>
      <c r="M165" s="27">
        <v>145.3634636415735</v>
      </c>
      <c r="N165" s="27">
        <v>0.25086969322961494</v>
      </c>
      <c r="O165" s="27">
        <v>0.22290912173566094</v>
      </c>
      <c r="P165" s="27">
        <v>0.22290912173566091</v>
      </c>
      <c r="Q165" s="27">
        <v>0.20055621667665138</v>
      </c>
      <c r="R165" s="27">
        <v>0.22290912173566091</v>
      </c>
      <c r="S165" s="27">
        <v>0.20055621667665138</v>
      </c>
      <c r="T165" s="53"/>
      <c r="U165" s="53"/>
      <c r="V165" s="27">
        <v>145.21946498805502</v>
      </c>
      <c r="W165" s="27">
        <v>145.3634636415735</v>
      </c>
      <c r="X165" s="27">
        <v>0.25086969322961494</v>
      </c>
      <c r="Y165" s="27">
        <v>0.22290912173566094</v>
      </c>
      <c r="Z165" s="27">
        <v>0.22290912173566091</v>
      </c>
      <c r="AA165" s="27">
        <v>0.20055621667665138</v>
      </c>
      <c r="AB165" s="27">
        <v>0.22290912173566091</v>
      </c>
      <c r="AC165" s="27">
        <v>0.20055621667665138</v>
      </c>
    </row>
    <row r="166" spans="4:29" x14ac:dyDescent="0.55000000000000004">
      <c r="D166" s="49">
        <v>42036</v>
      </c>
      <c r="E166" s="92">
        <v>144.05000000000001</v>
      </c>
      <c r="L166" s="27">
        <v>144.74345100219318</v>
      </c>
      <c r="M166" s="27">
        <v>144.92074352517838</v>
      </c>
      <c r="N166" s="27">
        <v>0.25086969322961494</v>
      </c>
      <c r="O166" s="27">
        <v>0.22290912173566091</v>
      </c>
      <c r="P166" s="27">
        <v>0.22290912173566085</v>
      </c>
      <c r="Q166" s="27">
        <v>0.20055621667665127</v>
      </c>
      <c r="R166" s="27">
        <v>0.22290912173566088</v>
      </c>
      <c r="S166" s="27">
        <v>0.20055621667665127</v>
      </c>
      <c r="T166" s="53"/>
      <c r="U166" s="53"/>
      <c r="V166" s="27">
        <v>144.74345100219318</v>
      </c>
      <c r="W166" s="27">
        <v>144.92074352517838</v>
      </c>
      <c r="X166" s="27">
        <v>0.25086969322961494</v>
      </c>
      <c r="Y166" s="27">
        <v>0.22290912173566091</v>
      </c>
      <c r="Z166" s="27">
        <v>0.22290912173566085</v>
      </c>
      <c r="AA166" s="27">
        <v>0.20055621667665127</v>
      </c>
      <c r="AB166" s="27">
        <v>0.22290912173566088</v>
      </c>
      <c r="AC166" s="27">
        <v>0.20055621667665127</v>
      </c>
    </row>
    <row r="167" spans="4:29" x14ac:dyDescent="0.55000000000000004">
      <c r="D167" s="49">
        <v>42064</v>
      </c>
      <c r="E167" s="92">
        <v>143.72999999999999</v>
      </c>
      <c r="L167" s="27">
        <v>143.959076408219</v>
      </c>
      <c r="M167" s="27">
        <v>144.19724597288908</v>
      </c>
      <c r="N167" s="27">
        <v>0.25086969322961494</v>
      </c>
      <c r="O167" s="27">
        <v>0.22290912173566094</v>
      </c>
      <c r="P167" s="27">
        <v>0.22290912173566088</v>
      </c>
      <c r="Q167" s="27">
        <v>0.20055621667665127</v>
      </c>
      <c r="R167" s="27">
        <v>0.22290912173566088</v>
      </c>
      <c r="S167" s="27">
        <v>0.20055621667665127</v>
      </c>
      <c r="T167" s="53"/>
      <c r="U167" s="53"/>
      <c r="V167" s="27">
        <v>143.959076408219</v>
      </c>
      <c r="W167" s="27">
        <v>144.19724597288908</v>
      </c>
      <c r="X167" s="27">
        <v>0.25086969322961494</v>
      </c>
      <c r="Y167" s="27">
        <v>0.22290912173566094</v>
      </c>
      <c r="Z167" s="27">
        <v>0.22290912173566088</v>
      </c>
      <c r="AA167" s="27">
        <v>0.20055621667665127</v>
      </c>
      <c r="AB167" s="27">
        <v>0.22290912173566088</v>
      </c>
      <c r="AC167" s="27">
        <v>0.20055621667665127</v>
      </c>
    </row>
    <row r="168" spans="4:29" x14ac:dyDescent="0.55000000000000004">
      <c r="D168" s="49">
        <v>42095</v>
      </c>
      <c r="E168" s="92">
        <v>142.02000000000001</v>
      </c>
      <c r="L168" s="27">
        <v>143.0769053587656</v>
      </c>
      <c r="M168" s="27">
        <v>143.37965417409683</v>
      </c>
      <c r="N168" s="27">
        <v>0.25086969322961489</v>
      </c>
      <c r="O168" s="27">
        <v>0.22290912173566094</v>
      </c>
      <c r="P168" s="27">
        <v>0.22290912173566085</v>
      </c>
      <c r="Q168" s="27">
        <v>0.20055621667665127</v>
      </c>
      <c r="R168" s="27">
        <v>0.22290912173566088</v>
      </c>
      <c r="S168" s="27">
        <v>0.20055621667665127</v>
      </c>
      <c r="T168" s="53"/>
      <c r="U168" s="53"/>
      <c r="V168" s="27">
        <v>143.0769053587656</v>
      </c>
      <c r="W168" s="27">
        <v>143.37965417409683</v>
      </c>
      <c r="X168" s="27">
        <v>0.25086969322961489</v>
      </c>
      <c r="Y168" s="27">
        <v>0.22290912173566094</v>
      </c>
      <c r="Z168" s="27">
        <v>0.22290912173566085</v>
      </c>
      <c r="AA168" s="27">
        <v>0.20055621667665127</v>
      </c>
      <c r="AB168" s="27">
        <v>0.22290912173566088</v>
      </c>
      <c r="AC168" s="27">
        <v>0.20055621667665127</v>
      </c>
    </row>
    <row r="169" spans="4:29" x14ac:dyDescent="0.55000000000000004">
      <c r="D169" s="49">
        <v>42125</v>
      </c>
      <c r="E169" s="92">
        <v>141.07</v>
      </c>
      <c r="L169" s="27">
        <v>141.98797716746714</v>
      </c>
      <c r="M169" s="27">
        <v>142.36956256343495</v>
      </c>
      <c r="N169" s="27">
        <v>0.25086969322961478</v>
      </c>
      <c r="O169" s="27">
        <v>0.22290912173566085</v>
      </c>
      <c r="P169" s="27">
        <v>0.22290912173566077</v>
      </c>
      <c r="Q169" s="27">
        <v>0.20055621667665122</v>
      </c>
      <c r="R169" s="27">
        <v>0.22290912173566077</v>
      </c>
      <c r="S169" s="27">
        <v>0.20055621667665124</v>
      </c>
      <c r="T169" s="53"/>
      <c r="U169" s="53"/>
      <c r="V169" s="27">
        <v>141.98797716746714</v>
      </c>
      <c r="W169" s="27">
        <v>142.36956256343495</v>
      </c>
      <c r="X169" s="27">
        <v>0.25086969322961478</v>
      </c>
      <c r="Y169" s="27">
        <v>0.22290912173566085</v>
      </c>
      <c r="Z169" s="27">
        <v>0.22290912173566077</v>
      </c>
      <c r="AA169" s="27">
        <v>0.20055621667665122</v>
      </c>
      <c r="AB169" s="27">
        <v>0.22290912173566077</v>
      </c>
      <c r="AC169" s="27">
        <v>0.20055621667665124</v>
      </c>
    </row>
    <row r="170" spans="4:29" x14ac:dyDescent="0.55000000000000004">
      <c r="D170" s="49">
        <v>42156</v>
      </c>
      <c r="E170" s="92">
        <v>139.55000000000001</v>
      </c>
      <c r="L170" s="27">
        <v>140.81105711472634</v>
      </c>
      <c r="M170" s="27">
        <v>141.27239716557125</v>
      </c>
      <c r="N170" s="27">
        <v>0.2508696932296145</v>
      </c>
      <c r="O170" s="27">
        <v>0.22290912173566074</v>
      </c>
      <c r="P170" s="27">
        <v>0.22290912173566063</v>
      </c>
      <c r="Q170" s="27">
        <v>0.20055621667665116</v>
      </c>
      <c r="R170" s="27">
        <v>0.22290912173566066</v>
      </c>
      <c r="S170" s="27">
        <v>0.20055621667665113</v>
      </c>
      <c r="T170" s="53"/>
      <c r="U170" s="53"/>
      <c r="V170" s="27">
        <v>140.81105711472634</v>
      </c>
      <c r="W170" s="27">
        <v>141.27239716557125</v>
      </c>
      <c r="X170" s="27">
        <v>0.2508696932296145</v>
      </c>
      <c r="Y170" s="27">
        <v>0.22290912173566074</v>
      </c>
      <c r="Z170" s="27">
        <v>0.22290912173566063</v>
      </c>
      <c r="AA170" s="27">
        <v>0.20055621667665116</v>
      </c>
      <c r="AB170" s="27">
        <v>0.22290912173566066</v>
      </c>
      <c r="AC170" s="27">
        <v>0.20055621667665113</v>
      </c>
    </row>
    <row r="171" spans="4:29" x14ac:dyDescent="0.55000000000000004">
      <c r="D171" s="49">
        <v>42186</v>
      </c>
      <c r="E171" s="92">
        <v>138.41999999999999</v>
      </c>
      <c r="L171" s="27">
        <v>139.90812136232961</v>
      </c>
      <c r="M171" s="27">
        <v>140.41374379477645</v>
      </c>
      <c r="N171" s="27">
        <v>0.25086969322961405</v>
      </c>
      <c r="O171" s="27">
        <v>0.22290912173566041</v>
      </c>
      <c r="P171" s="27">
        <v>0.2229091217356603</v>
      </c>
      <c r="Q171" s="27">
        <v>0.20055621667665097</v>
      </c>
      <c r="R171" s="27">
        <v>0.22290912173566038</v>
      </c>
      <c r="S171" s="27">
        <v>0.20055621667665099</v>
      </c>
      <c r="T171" s="53"/>
      <c r="U171" s="53"/>
      <c r="V171" s="27">
        <v>139.90812136232961</v>
      </c>
      <c r="W171" s="27">
        <v>140.41374379477645</v>
      </c>
      <c r="X171" s="27">
        <v>0.25086969322961405</v>
      </c>
      <c r="Y171" s="27">
        <v>0.22290912173566041</v>
      </c>
      <c r="Z171" s="27">
        <v>0.2229091217356603</v>
      </c>
      <c r="AA171" s="27">
        <v>0.20055621667665097</v>
      </c>
      <c r="AB171" s="27">
        <v>0.22290912173566038</v>
      </c>
      <c r="AC171" s="27">
        <v>0.20055621667665099</v>
      </c>
    </row>
    <row r="172" spans="4:29" x14ac:dyDescent="0.55000000000000004">
      <c r="D172" s="49">
        <v>42217</v>
      </c>
      <c r="E172" s="92">
        <v>138.83000000000001</v>
      </c>
      <c r="L172" s="27">
        <v>138.91251762753748</v>
      </c>
      <c r="M172" s="27">
        <v>139.46727445810467</v>
      </c>
      <c r="N172" s="27">
        <v>0.25086969322961367</v>
      </c>
      <c r="O172" s="27">
        <v>0.22290912173566008</v>
      </c>
      <c r="P172" s="27">
        <v>0.22290912173565999</v>
      </c>
      <c r="Q172" s="27">
        <v>0.20055621667665069</v>
      </c>
      <c r="R172" s="27">
        <v>0.22290912173565999</v>
      </c>
      <c r="S172" s="27">
        <v>0.20055621667665072</v>
      </c>
      <c r="T172" s="53"/>
      <c r="U172" s="53"/>
      <c r="V172" s="27">
        <v>138.91251762753748</v>
      </c>
      <c r="W172" s="27">
        <v>139.46727445810467</v>
      </c>
      <c r="X172" s="27">
        <v>0.25086969322961367</v>
      </c>
      <c r="Y172" s="27">
        <v>0.22290912173566008</v>
      </c>
      <c r="Z172" s="27">
        <v>0.22290912173565999</v>
      </c>
      <c r="AA172" s="27">
        <v>0.20055621667665069</v>
      </c>
      <c r="AB172" s="27">
        <v>0.22290912173565999</v>
      </c>
      <c r="AC172" s="27">
        <v>0.20055621667665072</v>
      </c>
    </row>
    <row r="173" spans="4:29" x14ac:dyDescent="0.55000000000000004">
      <c r="D173" s="49">
        <v>42248</v>
      </c>
      <c r="E173" s="92">
        <v>137.71</v>
      </c>
      <c r="L173" s="27">
        <v>138.32822140900143</v>
      </c>
      <c r="M173" s="27">
        <v>138.8859403935156</v>
      </c>
      <c r="N173" s="27">
        <v>0.25086969322961333</v>
      </c>
      <c r="O173" s="27">
        <v>0.22290912173565974</v>
      </c>
      <c r="P173" s="27">
        <v>0.22290912173565969</v>
      </c>
      <c r="Q173" s="27">
        <v>0.20055621667665044</v>
      </c>
      <c r="R173" s="27">
        <v>0.22290912173565969</v>
      </c>
      <c r="S173" s="27">
        <v>0.20055621667665044</v>
      </c>
      <c r="T173" s="53"/>
      <c r="U173" s="53"/>
      <c r="V173" s="27">
        <v>138.32822140900143</v>
      </c>
      <c r="W173" s="27">
        <v>138.8859403935156</v>
      </c>
      <c r="X173" s="27">
        <v>0.25086969322961333</v>
      </c>
      <c r="Y173" s="27">
        <v>0.22290912173565974</v>
      </c>
      <c r="Z173" s="27">
        <v>0.22290912173565969</v>
      </c>
      <c r="AA173" s="27">
        <v>0.20055621667665044</v>
      </c>
      <c r="AB173" s="27">
        <v>0.22290912173565969</v>
      </c>
      <c r="AC173" s="27">
        <v>0.20055621667665044</v>
      </c>
    </row>
    <row r="174" spans="4:29" x14ac:dyDescent="0.55000000000000004">
      <c r="D174" s="49">
        <v>42278</v>
      </c>
      <c r="E174" s="92">
        <v>138.78</v>
      </c>
      <c r="L174" s="27">
        <v>137.43207702360647</v>
      </c>
      <c r="M174" s="27">
        <v>138.02373266713462</v>
      </c>
      <c r="N174" s="27">
        <v>0.25086969322961306</v>
      </c>
      <c r="O174" s="27">
        <v>0.22290912173565952</v>
      </c>
      <c r="P174" s="27">
        <v>0.22290912173565947</v>
      </c>
      <c r="Q174" s="27">
        <v>0.20055621667665025</v>
      </c>
      <c r="R174" s="27">
        <v>0.22290912173565949</v>
      </c>
      <c r="S174" s="27">
        <v>0.20055621667665025</v>
      </c>
      <c r="T174" s="53"/>
      <c r="U174" s="53"/>
      <c r="V174" s="27">
        <v>137.43207702360647</v>
      </c>
      <c r="W174" s="27">
        <v>138.02373266713462</v>
      </c>
      <c r="X174" s="27">
        <v>0.25086969322961306</v>
      </c>
      <c r="Y174" s="27">
        <v>0.22290912173565952</v>
      </c>
      <c r="Z174" s="27">
        <v>0.22290912173565947</v>
      </c>
      <c r="AA174" s="27">
        <v>0.20055621667665025</v>
      </c>
      <c r="AB174" s="27">
        <v>0.22290912173565949</v>
      </c>
      <c r="AC174" s="27">
        <v>0.20055621667665025</v>
      </c>
    </row>
    <row r="175" spans="4:29" x14ac:dyDescent="0.55000000000000004">
      <c r="D175" s="49">
        <v>42309</v>
      </c>
      <c r="E175" s="92">
        <v>136.81</v>
      </c>
      <c r="L175" s="27">
        <v>136.62819472692149</v>
      </c>
      <c r="M175" s="27">
        <v>137.24113205776717</v>
      </c>
      <c r="N175" s="27">
        <v>0.25086969322961283</v>
      </c>
      <c r="O175" s="27">
        <v>0.2229091217356593</v>
      </c>
      <c r="P175" s="27">
        <v>0.22290912173565924</v>
      </c>
      <c r="Q175" s="27">
        <v>0.20055621667665008</v>
      </c>
      <c r="R175" s="27">
        <v>0.22290912173565927</v>
      </c>
      <c r="S175" s="27">
        <v>0.20055621667665005</v>
      </c>
      <c r="T175" s="53"/>
      <c r="U175" s="53"/>
      <c r="V175" s="27">
        <v>136.62819472692149</v>
      </c>
      <c r="W175" s="27">
        <v>137.24113205776717</v>
      </c>
      <c r="X175" s="27">
        <v>0.25086969322961283</v>
      </c>
      <c r="Y175" s="27">
        <v>0.2229091217356593</v>
      </c>
      <c r="Z175" s="27">
        <v>0.22290912173565924</v>
      </c>
      <c r="AA175" s="27">
        <v>0.20055621667665008</v>
      </c>
      <c r="AB175" s="27">
        <v>0.22290912173565927</v>
      </c>
      <c r="AC175" s="27">
        <v>0.20055621667665005</v>
      </c>
    </row>
    <row r="176" spans="4:29" x14ac:dyDescent="0.55000000000000004">
      <c r="D176" s="49">
        <v>42339</v>
      </c>
      <c r="E176" s="92">
        <v>136.47999999999999</v>
      </c>
      <c r="L176" s="27">
        <v>135.78160523008978</v>
      </c>
      <c r="M176" s="27">
        <v>136.41797275814972</v>
      </c>
      <c r="N176" s="27">
        <v>0.25086969322961278</v>
      </c>
      <c r="O176" s="27">
        <v>0.22290912173565916</v>
      </c>
      <c r="P176" s="27">
        <v>0.22290912173565913</v>
      </c>
      <c r="Q176" s="27">
        <v>0.20055621667664991</v>
      </c>
      <c r="R176" s="27">
        <v>0.22290912173565913</v>
      </c>
      <c r="S176" s="27">
        <v>0.20055621667664991</v>
      </c>
      <c r="T176" s="53"/>
      <c r="U176" s="53"/>
      <c r="V176" s="27">
        <v>135.78160523008978</v>
      </c>
      <c r="W176" s="27">
        <v>136.41797275814972</v>
      </c>
      <c r="X176" s="27">
        <v>0.25086969322961278</v>
      </c>
      <c r="Y176" s="27">
        <v>0.22290912173565916</v>
      </c>
      <c r="Z176" s="27">
        <v>0.22290912173565913</v>
      </c>
      <c r="AA176" s="27">
        <v>0.20055621667664991</v>
      </c>
      <c r="AB176" s="27">
        <v>0.22290912173565913</v>
      </c>
      <c r="AC176" s="27">
        <v>0.20055621667664991</v>
      </c>
    </row>
    <row r="177" spans="4:29" x14ac:dyDescent="0.55000000000000004">
      <c r="D177" s="49">
        <v>42370</v>
      </c>
      <c r="E177" s="92">
        <v>135.58000000000001</v>
      </c>
      <c r="L177" s="27">
        <v>135.0646325977755</v>
      </c>
      <c r="M177" s="27">
        <v>135.70908305321248</v>
      </c>
      <c r="N177" s="27">
        <v>0.25086969322961283</v>
      </c>
      <c r="O177" s="27">
        <v>0.22290912173565919</v>
      </c>
      <c r="P177" s="27">
        <v>0.22290912173565916</v>
      </c>
      <c r="Q177" s="27">
        <v>0.20055621667664986</v>
      </c>
      <c r="R177" s="27">
        <v>0.22290912173565919</v>
      </c>
      <c r="S177" s="27">
        <v>0.20055621667664986</v>
      </c>
      <c r="T177" s="53"/>
      <c r="U177" s="53"/>
      <c r="V177" s="27">
        <v>135.0646325977755</v>
      </c>
      <c r="W177" s="27">
        <v>135.70908305321248</v>
      </c>
      <c r="X177" s="27">
        <v>0.25086969322961283</v>
      </c>
      <c r="Y177" s="27">
        <v>0.22290912173565919</v>
      </c>
      <c r="Z177" s="27">
        <v>0.22290912173565916</v>
      </c>
      <c r="AA177" s="27">
        <v>0.20055621667664986</v>
      </c>
      <c r="AB177" s="27">
        <v>0.22290912173565919</v>
      </c>
      <c r="AC177" s="27">
        <v>0.20055621667664986</v>
      </c>
    </row>
    <row r="178" spans="4:29" x14ac:dyDescent="0.55000000000000004">
      <c r="D178" s="49">
        <v>42401</v>
      </c>
      <c r="E178" s="92">
        <v>135.41999999999999</v>
      </c>
      <c r="L178" s="27">
        <v>134.287633112213</v>
      </c>
      <c r="M178" s="27">
        <v>134.94537533365303</v>
      </c>
      <c r="N178" s="27">
        <v>0.25086969322961294</v>
      </c>
      <c r="O178" s="27">
        <v>0.22290912173565924</v>
      </c>
      <c r="P178" s="27">
        <v>0.22290912173565924</v>
      </c>
      <c r="Q178" s="27">
        <v>0.20055621667664991</v>
      </c>
      <c r="R178" s="27">
        <v>0.22290912173565922</v>
      </c>
      <c r="S178" s="27">
        <v>0.20055621667664991</v>
      </c>
      <c r="T178" s="53"/>
      <c r="U178" s="53"/>
      <c r="V178" s="27">
        <v>134.287633112213</v>
      </c>
      <c r="W178" s="27">
        <v>134.94537533365303</v>
      </c>
      <c r="X178" s="27">
        <v>0.25086969322961294</v>
      </c>
      <c r="Y178" s="27">
        <v>0.22290912173565924</v>
      </c>
      <c r="Z178" s="27">
        <v>0.22290912173565924</v>
      </c>
      <c r="AA178" s="27">
        <v>0.20055621667664991</v>
      </c>
      <c r="AB178" s="27">
        <v>0.22290912173565922</v>
      </c>
      <c r="AC178" s="27">
        <v>0.20055621667664991</v>
      </c>
    </row>
    <row r="179" spans="4:29" x14ac:dyDescent="0.55000000000000004">
      <c r="D179" s="49">
        <v>42430</v>
      </c>
      <c r="E179" s="92">
        <v>134.47</v>
      </c>
      <c r="L179" s="27">
        <v>133.67500031599795</v>
      </c>
      <c r="M179" s="27">
        <v>134.32821904960818</v>
      </c>
      <c r="N179" s="27">
        <v>0.25086969322961311</v>
      </c>
      <c r="O179" s="27">
        <v>0.22290912173565933</v>
      </c>
      <c r="P179" s="27">
        <v>0.22290912173565935</v>
      </c>
      <c r="Q179" s="27">
        <v>0.20055621667665002</v>
      </c>
      <c r="R179" s="27">
        <v>0.22290912173565933</v>
      </c>
      <c r="S179" s="27">
        <v>0.20055621667664997</v>
      </c>
      <c r="T179" s="53"/>
      <c r="U179" s="53"/>
      <c r="V179" s="27">
        <v>133.67500031599795</v>
      </c>
      <c r="W179" s="27">
        <v>134.32821904960818</v>
      </c>
      <c r="X179" s="27">
        <v>0.25086969322961311</v>
      </c>
      <c r="Y179" s="27">
        <v>0.22290912173565933</v>
      </c>
      <c r="Z179" s="27">
        <v>0.22290912173565935</v>
      </c>
      <c r="AA179" s="27">
        <v>0.20055621667665002</v>
      </c>
      <c r="AB179" s="27">
        <v>0.22290912173565933</v>
      </c>
      <c r="AC179" s="27">
        <v>0.20055621667664997</v>
      </c>
    </row>
    <row r="180" spans="4:29" x14ac:dyDescent="0.55000000000000004">
      <c r="D180" s="49">
        <v>42461</v>
      </c>
      <c r="E180" s="92">
        <v>134.49</v>
      </c>
      <c r="L180" s="27">
        <v>133.10983061503447</v>
      </c>
      <c r="M180" s="27">
        <v>133.75421995820986</v>
      </c>
      <c r="N180" s="27">
        <v>0.25086969322961328</v>
      </c>
      <c r="O180" s="27">
        <v>0.22290912173565947</v>
      </c>
      <c r="P180" s="27">
        <v>0.22290912173565947</v>
      </c>
      <c r="Q180" s="27">
        <v>0.20055621667665008</v>
      </c>
      <c r="R180" s="27">
        <v>0.22290912173565949</v>
      </c>
      <c r="S180" s="27">
        <v>0.20055621667665011</v>
      </c>
      <c r="T180" s="53"/>
      <c r="U180" s="53"/>
      <c r="V180" s="27">
        <v>133.10983061503447</v>
      </c>
      <c r="W180" s="27">
        <v>133.75421995820986</v>
      </c>
      <c r="X180" s="27">
        <v>0.25086969322961328</v>
      </c>
      <c r="Y180" s="27">
        <v>0.22290912173565947</v>
      </c>
      <c r="Z180" s="27">
        <v>0.22290912173565947</v>
      </c>
      <c r="AA180" s="27">
        <v>0.20055621667665008</v>
      </c>
      <c r="AB180" s="27">
        <v>0.22290912173565949</v>
      </c>
      <c r="AC180" s="27">
        <v>0.20055621667665011</v>
      </c>
    </row>
    <row r="181" spans="4:29" x14ac:dyDescent="0.55000000000000004">
      <c r="D181" s="49">
        <v>42491</v>
      </c>
      <c r="E181" s="92">
        <v>134.07</v>
      </c>
      <c r="L181" s="27">
        <v>132.79092634704705</v>
      </c>
      <c r="M181" s="27">
        <v>133.40267666259024</v>
      </c>
      <c r="N181" s="27">
        <v>0.2508696932296135</v>
      </c>
      <c r="O181" s="27">
        <v>0.22290912173565969</v>
      </c>
      <c r="P181" s="27">
        <v>0.22290912173565963</v>
      </c>
      <c r="Q181" s="27">
        <v>0.20055621667665025</v>
      </c>
      <c r="R181" s="27">
        <v>0.22290912173565963</v>
      </c>
      <c r="S181" s="27">
        <v>0.20055621667665019</v>
      </c>
      <c r="T181" s="53"/>
      <c r="U181" s="53"/>
      <c r="V181" s="27">
        <v>132.79092634704705</v>
      </c>
      <c r="W181" s="27">
        <v>133.40267666259024</v>
      </c>
      <c r="X181" s="27">
        <v>0.2508696932296135</v>
      </c>
      <c r="Y181" s="27">
        <v>0.22290912173565969</v>
      </c>
      <c r="Z181" s="27">
        <v>0.22290912173565963</v>
      </c>
      <c r="AA181" s="27">
        <v>0.20055621667665025</v>
      </c>
      <c r="AB181" s="27">
        <v>0.22290912173565963</v>
      </c>
      <c r="AC181" s="27">
        <v>0.20055621667665019</v>
      </c>
    </row>
    <row r="182" spans="4:29" x14ac:dyDescent="0.55000000000000004">
      <c r="D182" s="49">
        <v>42522</v>
      </c>
      <c r="E182" s="92">
        <v>134.57</v>
      </c>
      <c r="L182" s="27">
        <v>132.54454049994365</v>
      </c>
      <c r="M182" s="27">
        <v>133.11965275773767</v>
      </c>
      <c r="N182" s="27">
        <v>0.25086969322961361</v>
      </c>
      <c r="O182" s="27">
        <v>0.22290912173565977</v>
      </c>
      <c r="P182" s="27">
        <v>0.22290912173565974</v>
      </c>
      <c r="Q182" s="27">
        <v>0.2005562166766503</v>
      </c>
      <c r="R182" s="27">
        <v>0.22290912173565977</v>
      </c>
      <c r="S182" s="27">
        <v>0.20055621667665033</v>
      </c>
      <c r="T182" s="53"/>
      <c r="U182" s="53"/>
      <c r="V182" s="27">
        <v>132.54454049994365</v>
      </c>
      <c r="W182" s="27">
        <v>133.11965275773767</v>
      </c>
      <c r="X182" s="27">
        <v>0.25086969322961361</v>
      </c>
      <c r="Y182" s="27">
        <v>0.22290912173565977</v>
      </c>
      <c r="Z182" s="27">
        <v>0.22290912173565974</v>
      </c>
      <c r="AA182" s="27">
        <v>0.2005562166766503</v>
      </c>
      <c r="AB182" s="27">
        <v>0.22290912173565977</v>
      </c>
      <c r="AC182" s="27">
        <v>0.20055621667665033</v>
      </c>
    </row>
    <row r="183" spans="4:29" x14ac:dyDescent="0.55000000000000004">
      <c r="D183" s="49">
        <v>42552</v>
      </c>
      <c r="E183" s="92">
        <v>134.43</v>
      </c>
      <c r="L183" s="27">
        <v>132.23144888694304</v>
      </c>
      <c r="M183" s="27">
        <v>132.78028621013158</v>
      </c>
      <c r="N183" s="27">
        <v>0.25086969322961378</v>
      </c>
      <c r="O183" s="27">
        <v>0.22290912173565991</v>
      </c>
      <c r="P183" s="27">
        <v>0.22290912173565991</v>
      </c>
      <c r="Q183" s="27">
        <v>0.20055621667665044</v>
      </c>
      <c r="R183" s="27">
        <v>0.22290912173565985</v>
      </c>
      <c r="S183" s="27">
        <v>0.20055621667665041</v>
      </c>
      <c r="T183" s="53"/>
      <c r="U183" s="53"/>
      <c r="V183" s="27">
        <v>132.23144888694304</v>
      </c>
      <c r="W183" s="27">
        <v>132.78028621013158</v>
      </c>
      <c r="X183" s="27">
        <v>0.25086969322961378</v>
      </c>
      <c r="Y183" s="27">
        <v>0.22290912173565991</v>
      </c>
      <c r="Z183" s="27">
        <v>0.22290912173565991</v>
      </c>
      <c r="AA183" s="27">
        <v>0.20055621667665044</v>
      </c>
      <c r="AB183" s="27">
        <v>0.22290912173565985</v>
      </c>
      <c r="AC183" s="27">
        <v>0.20055621667665041</v>
      </c>
    </row>
    <row r="184" spans="4:29" x14ac:dyDescent="0.55000000000000004">
      <c r="D184" s="49">
        <v>42583</v>
      </c>
      <c r="E184" s="92">
        <v>133.72</v>
      </c>
      <c r="L184" s="27">
        <v>131.99659045528583</v>
      </c>
      <c r="M184" s="27">
        <v>132.51394256917342</v>
      </c>
      <c r="N184" s="27">
        <v>0.25086969322961383</v>
      </c>
      <c r="O184" s="27">
        <v>0.22290912173565997</v>
      </c>
      <c r="P184" s="27">
        <v>0.22290912173565994</v>
      </c>
      <c r="Q184" s="27">
        <v>0.20055621667665047</v>
      </c>
      <c r="R184" s="27">
        <v>0.22290912173565999</v>
      </c>
      <c r="S184" s="27">
        <v>0.20055621667665052</v>
      </c>
      <c r="T184" s="53"/>
      <c r="U184" s="53"/>
      <c r="V184" s="27">
        <v>131.99659045528583</v>
      </c>
      <c r="W184" s="27">
        <v>132.51394256917342</v>
      </c>
      <c r="X184" s="27">
        <v>0.25086969322961383</v>
      </c>
      <c r="Y184" s="27">
        <v>0.22290912173565997</v>
      </c>
      <c r="Z184" s="27">
        <v>0.22290912173565994</v>
      </c>
      <c r="AA184" s="27">
        <v>0.20055621667665047</v>
      </c>
      <c r="AB184" s="27">
        <v>0.22290912173565999</v>
      </c>
      <c r="AC184" s="27">
        <v>0.20055621667665052</v>
      </c>
    </row>
    <row r="185" spans="4:29" x14ac:dyDescent="0.55000000000000004">
      <c r="D185" s="49">
        <v>42614</v>
      </c>
      <c r="E185" s="92">
        <v>133.63999999999999</v>
      </c>
      <c r="L185" s="27">
        <v>131.77869658314177</v>
      </c>
      <c r="M185" s="27">
        <v>132.26601959102101</v>
      </c>
      <c r="N185" s="27">
        <v>0.25086969322961383</v>
      </c>
      <c r="O185" s="27">
        <v>0.22290912173566005</v>
      </c>
      <c r="P185" s="27">
        <v>0.22290912173565999</v>
      </c>
      <c r="Q185" s="27">
        <v>0.20055621667665052</v>
      </c>
      <c r="R185" s="27">
        <v>0.22290912173565999</v>
      </c>
      <c r="S185" s="27">
        <v>0.20055621667665052</v>
      </c>
      <c r="T185" s="53"/>
      <c r="U185" s="53"/>
      <c r="V185" s="27">
        <v>131.77869658314177</v>
      </c>
      <c r="W185" s="27">
        <v>132.26601959102101</v>
      </c>
      <c r="X185" s="27">
        <v>0.25086969322961383</v>
      </c>
      <c r="Y185" s="27">
        <v>0.22290912173566005</v>
      </c>
      <c r="Z185" s="27">
        <v>0.22290912173565999</v>
      </c>
      <c r="AA185" s="27">
        <v>0.20055621667665052</v>
      </c>
      <c r="AB185" s="27">
        <v>0.22290912173565999</v>
      </c>
      <c r="AC185" s="27">
        <v>0.20055621667665052</v>
      </c>
    </row>
    <row r="186" spans="4:29" x14ac:dyDescent="0.55000000000000004">
      <c r="D186" s="49">
        <v>42644</v>
      </c>
      <c r="E186" s="92">
        <v>133.34</v>
      </c>
      <c r="L186" s="27">
        <v>131.59482052433015</v>
      </c>
      <c r="M186" s="27">
        <v>132.05171444617585</v>
      </c>
      <c r="N186" s="27">
        <v>0.25086969322961367</v>
      </c>
      <c r="O186" s="27">
        <v>0.22290912173566002</v>
      </c>
      <c r="P186" s="27">
        <v>0.22290912173565994</v>
      </c>
      <c r="Q186" s="27">
        <v>0.20055621667665052</v>
      </c>
      <c r="R186" s="27">
        <v>0.22290912173565997</v>
      </c>
      <c r="S186" s="27">
        <v>0.20055621667665052</v>
      </c>
      <c r="T186" s="53"/>
      <c r="U186" s="53"/>
      <c r="V186" s="27">
        <v>131.59482052433015</v>
      </c>
      <c r="W186" s="27">
        <v>132.05171444617585</v>
      </c>
      <c r="X186" s="27">
        <v>0.25086969322961367</v>
      </c>
      <c r="Y186" s="27">
        <v>0.22290912173566002</v>
      </c>
      <c r="Z186" s="27">
        <v>0.22290912173565994</v>
      </c>
      <c r="AA186" s="27">
        <v>0.20055621667665052</v>
      </c>
      <c r="AB186" s="27">
        <v>0.22290912173565997</v>
      </c>
      <c r="AC186" s="27">
        <v>0.20055621667665052</v>
      </c>
    </row>
    <row r="187" spans="4:29" x14ac:dyDescent="0.55000000000000004">
      <c r="D187" s="49">
        <v>42675</v>
      </c>
      <c r="E187" s="92">
        <v>133.13999999999999</v>
      </c>
      <c r="L187" s="27">
        <v>131.34861572928858</v>
      </c>
      <c r="M187" s="27">
        <v>131.78438214405091</v>
      </c>
      <c r="N187" s="27">
        <v>0.25086969322961328</v>
      </c>
      <c r="O187" s="27">
        <v>0.2229091217356598</v>
      </c>
      <c r="P187" s="27">
        <v>0.22290912173565974</v>
      </c>
      <c r="Q187" s="27">
        <v>0.20055621667665044</v>
      </c>
      <c r="R187" s="27">
        <v>0.22290912173565974</v>
      </c>
      <c r="S187" s="27">
        <v>0.20055621667665044</v>
      </c>
      <c r="T187" s="53"/>
      <c r="U187" s="53"/>
      <c r="V187" s="27">
        <v>131.34861572928858</v>
      </c>
      <c r="W187" s="27">
        <v>131.78438214405091</v>
      </c>
      <c r="X187" s="27">
        <v>0.25086969322961328</v>
      </c>
      <c r="Y187" s="27">
        <v>0.2229091217356598</v>
      </c>
      <c r="Z187" s="27">
        <v>0.22290912173565974</v>
      </c>
      <c r="AA187" s="27">
        <v>0.20055621667665044</v>
      </c>
      <c r="AB187" s="27">
        <v>0.22290912173565974</v>
      </c>
      <c r="AC187" s="27">
        <v>0.20055621667665044</v>
      </c>
    </row>
    <row r="188" spans="4:29" x14ac:dyDescent="0.55000000000000004">
      <c r="D188" s="49">
        <v>42705</v>
      </c>
      <c r="E188" s="92">
        <v>132.54</v>
      </c>
      <c r="L188" s="27">
        <v>131.41693249621738</v>
      </c>
      <c r="M188" s="27">
        <v>131.80215040307456</v>
      </c>
      <c r="N188" s="27">
        <v>0.25086969322961278</v>
      </c>
      <c r="O188" s="27">
        <v>0.22290912173565941</v>
      </c>
      <c r="P188" s="27">
        <v>0.22290912173565935</v>
      </c>
      <c r="Q188" s="27">
        <v>0.20055621667665025</v>
      </c>
      <c r="R188" s="27">
        <v>0.22290912173565938</v>
      </c>
      <c r="S188" s="27">
        <v>0.20055621667665019</v>
      </c>
      <c r="T188" s="53"/>
      <c r="U188" s="53"/>
      <c r="V188" s="27">
        <v>131.41693249621738</v>
      </c>
      <c r="W188" s="27">
        <v>131.80215040307456</v>
      </c>
      <c r="X188" s="27">
        <v>0.25086969322961278</v>
      </c>
      <c r="Y188" s="27">
        <v>0.22290912173565941</v>
      </c>
      <c r="Z188" s="27">
        <v>0.22290912173565935</v>
      </c>
      <c r="AA188" s="27">
        <v>0.20055621667665025</v>
      </c>
      <c r="AB188" s="27">
        <v>0.22290912173565938</v>
      </c>
      <c r="AC188" s="27">
        <v>0.20055621667665019</v>
      </c>
    </row>
    <row r="189" spans="4:29" x14ac:dyDescent="0.55000000000000004">
      <c r="D189" s="49">
        <v>42736</v>
      </c>
      <c r="E189" s="92">
        <v>133.61000000000001</v>
      </c>
      <c r="L189" s="27">
        <v>131.95301303670257</v>
      </c>
      <c r="M189" s="27">
        <v>132.24584487804523</v>
      </c>
      <c r="N189" s="27">
        <v>0.25086969322961233</v>
      </c>
      <c r="O189" s="27">
        <v>0.22290912173565897</v>
      </c>
      <c r="P189" s="27">
        <v>0.22290912173565897</v>
      </c>
      <c r="Q189" s="27">
        <v>0.20055621667664986</v>
      </c>
      <c r="R189" s="27">
        <v>0.22290912173565897</v>
      </c>
      <c r="S189" s="27">
        <v>0.20055621667664986</v>
      </c>
      <c r="T189" s="53"/>
      <c r="U189" s="53"/>
      <c r="V189" s="27">
        <v>131.95301303670257</v>
      </c>
      <c r="W189" s="27">
        <v>132.24584487804523</v>
      </c>
      <c r="X189" s="27">
        <v>0.25086969322961233</v>
      </c>
      <c r="Y189" s="27">
        <v>0.22290912173565897</v>
      </c>
      <c r="Z189" s="27">
        <v>0.22290912173565897</v>
      </c>
      <c r="AA189" s="27">
        <v>0.20055621667664986</v>
      </c>
      <c r="AB189" s="27">
        <v>0.22290912173565897</v>
      </c>
      <c r="AC189" s="27">
        <v>0.20055621667664986</v>
      </c>
    </row>
    <row r="190" spans="4:29" x14ac:dyDescent="0.55000000000000004">
      <c r="D190" s="49">
        <v>42767</v>
      </c>
      <c r="E190" s="92">
        <v>135.55000000000001</v>
      </c>
      <c r="L190" s="27">
        <v>132.41517148467867</v>
      </c>
      <c r="M190" s="27">
        <v>132.63229432799463</v>
      </c>
      <c r="N190" s="27">
        <v>0.25086969322961206</v>
      </c>
      <c r="O190" s="27">
        <v>0.22290912173565863</v>
      </c>
      <c r="P190" s="27">
        <v>0.22290912173565869</v>
      </c>
      <c r="Q190" s="27">
        <v>0.20055621667664958</v>
      </c>
      <c r="R190" s="27">
        <v>0.22290912173565869</v>
      </c>
      <c r="S190" s="27">
        <v>0.20055621667664958</v>
      </c>
      <c r="T190" s="53"/>
      <c r="U190" s="53"/>
      <c r="V190" s="27">
        <v>132.41517148467867</v>
      </c>
      <c r="W190" s="27">
        <v>132.63229432799463</v>
      </c>
      <c r="X190" s="27">
        <v>0.25086969322961206</v>
      </c>
      <c r="Y190" s="27">
        <v>0.22290912173565863</v>
      </c>
      <c r="Z190" s="27">
        <v>0.22290912173565869</v>
      </c>
      <c r="AA190" s="27">
        <v>0.20055621667664958</v>
      </c>
      <c r="AB190" s="27">
        <v>0.22290912173565869</v>
      </c>
      <c r="AC190" s="27">
        <v>0.20055621667664958</v>
      </c>
    </row>
    <row r="191" spans="4:29" x14ac:dyDescent="0.55000000000000004">
      <c r="D191" s="49">
        <v>42795</v>
      </c>
      <c r="E191" s="92">
        <v>135.34</v>
      </c>
      <c r="L191" s="27">
        <v>132.83887414085362</v>
      </c>
      <c r="M191" s="27">
        <v>132.99173621530565</v>
      </c>
      <c r="N191" s="27">
        <v>0.250869693229612</v>
      </c>
      <c r="O191" s="27">
        <v>0.22290912173565861</v>
      </c>
      <c r="P191" s="27">
        <v>0.22290912173565858</v>
      </c>
      <c r="Q191" s="27">
        <v>0.20055621667664944</v>
      </c>
      <c r="R191" s="27">
        <v>0.22290912173565855</v>
      </c>
      <c r="S191" s="27">
        <v>0.20055621667664938</v>
      </c>
      <c r="T191" s="53"/>
      <c r="U191" s="53"/>
      <c r="V191" s="27">
        <v>132.83887414085362</v>
      </c>
      <c r="W191" s="27">
        <v>132.99173621530565</v>
      </c>
      <c r="X191" s="27">
        <v>0.250869693229612</v>
      </c>
      <c r="Y191" s="27">
        <v>0.22290912173565861</v>
      </c>
      <c r="Z191" s="27">
        <v>0.22290912173565858</v>
      </c>
      <c r="AA191" s="27">
        <v>0.20055621667664944</v>
      </c>
      <c r="AB191" s="27">
        <v>0.22290912173565855</v>
      </c>
      <c r="AC191" s="27">
        <v>0.20055621667664938</v>
      </c>
    </row>
    <row r="192" spans="4:29" x14ac:dyDescent="0.55000000000000004">
      <c r="D192" s="49">
        <v>42826</v>
      </c>
      <c r="E192" s="92">
        <v>135.29</v>
      </c>
      <c r="L192" s="27">
        <v>133.18112128092827</v>
      </c>
      <c r="M192" s="27">
        <v>133.28433473992669</v>
      </c>
      <c r="N192" s="27">
        <v>0.25086969322961195</v>
      </c>
      <c r="O192" s="27">
        <v>0.22290912173565858</v>
      </c>
      <c r="P192" s="27">
        <v>0.22290912173565852</v>
      </c>
      <c r="Q192" s="27">
        <v>0.20055621667664938</v>
      </c>
      <c r="R192" s="27">
        <v>0.22290912173565855</v>
      </c>
      <c r="S192" s="27">
        <v>0.20055621667664938</v>
      </c>
      <c r="T192" s="53"/>
      <c r="U192" s="53"/>
      <c r="V192" s="27">
        <v>133.18112128092827</v>
      </c>
      <c r="W192" s="27">
        <v>133.28433473992669</v>
      </c>
      <c r="X192" s="27">
        <v>0.25086969322961195</v>
      </c>
      <c r="Y192" s="27">
        <v>0.22290912173565858</v>
      </c>
      <c r="Z192" s="27">
        <v>0.22290912173565852</v>
      </c>
      <c r="AA192" s="27">
        <v>0.20055621667664938</v>
      </c>
      <c r="AB192" s="27">
        <v>0.22290912173565855</v>
      </c>
      <c r="AC192" s="27">
        <v>0.20055621667664938</v>
      </c>
    </row>
    <row r="193" spans="4:29" x14ac:dyDescent="0.55000000000000004">
      <c r="D193" s="49">
        <v>42856</v>
      </c>
      <c r="E193" s="92">
        <v>135.06</v>
      </c>
      <c r="L193" s="27">
        <v>133.69511614539067</v>
      </c>
      <c r="M193" s="27">
        <v>133.73643712126179</v>
      </c>
      <c r="N193" s="27">
        <v>0.25086969322961189</v>
      </c>
      <c r="O193" s="27">
        <v>0.22290912173565847</v>
      </c>
      <c r="P193" s="27">
        <v>0.22290912173565847</v>
      </c>
      <c r="Q193" s="27">
        <v>0.20055621667664933</v>
      </c>
      <c r="R193" s="27">
        <v>0.22290912173565847</v>
      </c>
      <c r="S193" s="27">
        <v>0.20055621667664933</v>
      </c>
      <c r="T193" s="53"/>
      <c r="U193" s="53"/>
      <c r="V193" s="27">
        <v>133.69511614539067</v>
      </c>
      <c r="W193" s="27">
        <v>133.73643712126179</v>
      </c>
      <c r="X193" s="27">
        <v>0.25086969322961189</v>
      </c>
      <c r="Y193" s="27">
        <v>0.22290912173565847</v>
      </c>
      <c r="Z193" s="27">
        <v>0.22290912173565847</v>
      </c>
      <c r="AA193" s="27">
        <v>0.20055621667664933</v>
      </c>
      <c r="AB193" s="27">
        <v>0.22290912173565847</v>
      </c>
      <c r="AC193" s="27">
        <v>0.20055621667664933</v>
      </c>
    </row>
    <row r="194" spans="4:29" x14ac:dyDescent="0.55000000000000004">
      <c r="D194" s="49">
        <v>42887</v>
      </c>
      <c r="E194" s="92">
        <v>135.94999999999999</v>
      </c>
      <c r="L194" s="27">
        <v>134.24336390664334</v>
      </c>
      <c r="M194" s="27">
        <v>134.22556404482026</v>
      </c>
      <c r="N194" s="27">
        <v>0.25086969322961195</v>
      </c>
      <c r="O194" s="27">
        <v>0.22290912173565847</v>
      </c>
      <c r="P194" s="27">
        <v>0.22290912173565847</v>
      </c>
      <c r="Q194" s="27">
        <v>0.20055621667664933</v>
      </c>
      <c r="R194" s="27">
        <v>0.22290912173565847</v>
      </c>
      <c r="S194" s="27">
        <v>0.2005562166766493</v>
      </c>
      <c r="T194" s="53"/>
      <c r="U194" s="53"/>
      <c r="V194" s="27">
        <v>134.24336390664334</v>
      </c>
      <c r="W194" s="27">
        <v>134.22556404482026</v>
      </c>
      <c r="X194" s="27">
        <v>0.25086969322961195</v>
      </c>
      <c r="Y194" s="27">
        <v>0.22290912173565847</v>
      </c>
      <c r="Z194" s="27">
        <v>0.22290912173565847</v>
      </c>
      <c r="AA194" s="27">
        <v>0.20055621667664933</v>
      </c>
      <c r="AB194" s="27">
        <v>0.22290912173565847</v>
      </c>
      <c r="AC194" s="27">
        <v>0.2005562166766493</v>
      </c>
    </row>
    <row r="195" spans="4:29" x14ac:dyDescent="0.55000000000000004">
      <c r="D195" s="49">
        <v>42917</v>
      </c>
      <c r="E195" s="92">
        <v>136.34</v>
      </c>
      <c r="L195" s="27">
        <v>134.57248669342087</v>
      </c>
      <c r="M195" s="27">
        <v>134.52346795760101</v>
      </c>
      <c r="N195" s="27">
        <v>0.25086969322961211</v>
      </c>
      <c r="O195" s="27">
        <v>0.22290912173565852</v>
      </c>
      <c r="P195" s="27">
        <v>0.22290912173565855</v>
      </c>
      <c r="Q195" s="27">
        <v>0.20055621667664933</v>
      </c>
      <c r="R195" s="27">
        <v>0.22290912173565855</v>
      </c>
      <c r="S195" s="27">
        <v>0.20055621667664933</v>
      </c>
      <c r="T195" s="53"/>
      <c r="U195" s="53"/>
      <c r="V195" s="27">
        <v>134.57248669342087</v>
      </c>
      <c r="W195" s="27">
        <v>134.52346795760101</v>
      </c>
      <c r="X195" s="27">
        <v>0.25086969322961211</v>
      </c>
      <c r="Y195" s="27">
        <v>0.22290912173565852</v>
      </c>
      <c r="Z195" s="27">
        <v>0.22290912173565855</v>
      </c>
      <c r="AA195" s="27">
        <v>0.20055621667664933</v>
      </c>
      <c r="AB195" s="27">
        <v>0.22290912173565855</v>
      </c>
      <c r="AC195" s="27">
        <v>0.20055621667664933</v>
      </c>
    </row>
    <row r="196" spans="4:29" x14ac:dyDescent="0.55000000000000004">
      <c r="D196" s="49">
        <v>42948</v>
      </c>
      <c r="E196" s="92">
        <v>135.63999999999999</v>
      </c>
      <c r="L196" s="27">
        <v>134.8594638828514</v>
      </c>
      <c r="M196" s="27">
        <v>134.78658312344035</v>
      </c>
      <c r="N196" s="27">
        <v>0.25086969322961239</v>
      </c>
      <c r="O196" s="27">
        <v>0.22290912173565869</v>
      </c>
      <c r="P196" s="27">
        <v>0.22290912173565874</v>
      </c>
      <c r="Q196" s="27">
        <v>0.20055621667664944</v>
      </c>
      <c r="R196" s="27">
        <v>0.22290912173565872</v>
      </c>
      <c r="S196" s="27">
        <v>0.20055621667664944</v>
      </c>
      <c r="T196" s="53"/>
      <c r="U196" s="53"/>
      <c r="V196" s="27">
        <v>134.8594638828514</v>
      </c>
      <c r="W196" s="27">
        <v>134.78658312344035</v>
      </c>
      <c r="X196" s="27">
        <v>0.25086969322961239</v>
      </c>
      <c r="Y196" s="27">
        <v>0.22290912173565869</v>
      </c>
      <c r="Z196" s="27">
        <v>0.22290912173565874</v>
      </c>
      <c r="AA196" s="27">
        <v>0.20055621667664944</v>
      </c>
      <c r="AB196" s="27">
        <v>0.22290912173565872</v>
      </c>
      <c r="AC196" s="27">
        <v>0.20055621667664944</v>
      </c>
    </row>
    <row r="197" spans="4:29" x14ac:dyDescent="0.55000000000000004">
      <c r="D197" s="49">
        <v>42979</v>
      </c>
      <c r="E197" s="92">
        <v>135.63999999999999</v>
      </c>
      <c r="L197" s="27">
        <v>135.19549691131326</v>
      </c>
      <c r="M197" s="27">
        <v>135.09622774015688</v>
      </c>
      <c r="N197" s="27">
        <v>0.25086969322961278</v>
      </c>
      <c r="O197" s="27">
        <v>0.22290912173565894</v>
      </c>
      <c r="P197" s="27">
        <v>0.22290912173565899</v>
      </c>
      <c r="Q197" s="27">
        <v>0.20055621667664958</v>
      </c>
      <c r="R197" s="27">
        <v>0.22290912173565899</v>
      </c>
      <c r="S197" s="27">
        <v>0.20055621667664963</v>
      </c>
      <c r="T197" s="53"/>
      <c r="U197" s="53"/>
      <c r="V197" s="27">
        <v>135.19549691131326</v>
      </c>
      <c r="W197" s="27">
        <v>135.09622774015688</v>
      </c>
      <c r="X197" s="27">
        <v>0.25086969322961278</v>
      </c>
      <c r="Y197" s="27">
        <v>0.22290912173565894</v>
      </c>
      <c r="Z197" s="27">
        <v>0.22290912173565899</v>
      </c>
      <c r="AA197" s="27">
        <v>0.20055621667664958</v>
      </c>
      <c r="AB197" s="27">
        <v>0.22290912173565899</v>
      </c>
      <c r="AC197" s="27">
        <v>0.20055621667664963</v>
      </c>
    </row>
    <row r="198" spans="4:29" x14ac:dyDescent="0.55000000000000004">
      <c r="D198" s="49">
        <v>43009</v>
      </c>
      <c r="E198" s="92">
        <v>136.04</v>
      </c>
      <c r="L198" s="27">
        <v>135.47186806818507</v>
      </c>
      <c r="M198" s="27">
        <v>135.35483944491818</v>
      </c>
      <c r="N198" s="27">
        <v>0.25086969322961317</v>
      </c>
      <c r="O198" s="27">
        <v>0.22290912173565927</v>
      </c>
      <c r="P198" s="27">
        <v>0.2229091217356593</v>
      </c>
      <c r="Q198" s="27">
        <v>0.20055621667664986</v>
      </c>
      <c r="R198" s="27">
        <v>0.22290912173565935</v>
      </c>
      <c r="S198" s="27">
        <v>0.20055621667664986</v>
      </c>
      <c r="T198" s="53"/>
      <c r="U198" s="53"/>
      <c r="V198" s="27">
        <v>135.47186806818507</v>
      </c>
      <c r="W198" s="27">
        <v>135.35483944491818</v>
      </c>
      <c r="X198" s="27">
        <v>0.25086969322961317</v>
      </c>
      <c r="Y198" s="27">
        <v>0.22290912173565927</v>
      </c>
      <c r="Z198" s="27">
        <v>0.2229091217356593</v>
      </c>
      <c r="AA198" s="27">
        <v>0.20055621667664986</v>
      </c>
      <c r="AB198" s="27">
        <v>0.22290912173565935</v>
      </c>
      <c r="AC198" s="27">
        <v>0.20055621667664986</v>
      </c>
    </row>
    <row r="199" spans="4:29" x14ac:dyDescent="0.55000000000000004">
      <c r="D199" s="49">
        <v>43040</v>
      </c>
      <c r="E199" s="92">
        <v>135.99</v>
      </c>
      <c r="L199" s="27">
        <v>136.17696036339564</v>
      </c>
      <c r="M199" s="27">
        <v>136.00096182752375</v>
      </c>
      <c r="N199" s="27">
        <v>0.25086969322961356</v>
      </c>
      <c r="O199" s="27">
        <v>0.22290912173565955</v>
      </c>
      <c r="P199" s="27">
        <v>0.22290912173565963</v>
      </c>
      <c r="Q199" s="27">
        <v>0.20055621667665011</v>
      </c>
      <c r="R199" s="27">
        <v>0.22290912173565969</v>
      </c>
      <c r="S199" s="27">
        <v>0.20055621667665013</v>
      </c>
      <c r="T199" s="53"/>
      <c r="U199" s="53"/>
      <c r="V199" s="27">
        <v>136.17696036339564</v>
      </c>
      <c r="W199" s="27">
        <v>136.00096182752375</v>
      </c>
      <c r="X199" s="27">
        <v>0.25086969322961356</v>
      </c>
      <c r="Y199" s="27">
        <v>0.22290912173565955</v>
      </c>
      <c r="Z199" s="27">
        <v>0.22290912173565963</v>
      </c>
      <c r="AA199" s="27">
        <v>0.20055621667665011</v>
      </c>
      <c r="AB199" s="27">
        <v>0.22290912173565969</v>
      </c>
      <c r="AC199" s="27">
        <v>0.20055621667665013</v>
      </c>
    </row>
    <row r="200" spans="4:29" x14ac:dyDescent="0.55000000000000004">
      <c r="D200" s="49">
        <v>43070</v>
      </c>
      <c r="E200" s="92">
        <v>138.11000000000001</v>
      </c>
      <c r="L200" s="27">
        <v>136.63004377294561</v>
      </c>
      <c r="M200" s="27">
        <v>136.42625969009211</v>
      </c>
      <c r="N200" s="27">
        <v>0.25086969322961389</v>
      </c>
      <c r="O200" s="27">
        <v>0.22290912173565988</v>
      </c>
      <c r="P200" s="27">
        <v>0.22290912173565994</v>
      </c>
      <c r="Q200" s="27">
        <v>0.20055621667665041</v>
      </c>
      <c r="R200" s="27">
        <v>0.22290912173565994</v>
      </c>
      <c r="S200" s="27">
        <v>0.20055621667665038</v>
      </c>
      <c r="T200" s="53"/>
      <c r="U200" s="53"/>
      <c r="V200" s="27">
        <v>136.63004377294561</v>
      </c>
      <c r="W200" s="27">
        <v>136.42625969009211</v>
      </c>
      <c r="X200" s="27">
        <v>0.25086969322961389</v>
      </c>
      <c r="Y200" s="27">
        <v>0.22290912173565988</v>
      </c>
      <c r="Z200" s="27">
        <v>0.22290912173565994</v>
      </c>
      <c r="AA200" s="27">
        <v>0.20055621667665041</v>
      </c>
      <c r="AB200" s="27">
        <v>0.22290912173565994</v>
      </c>
      <c r="AC200" s="27">
        <v>0.20055621667665038</v>
      </c>
    </row>
    <row r="201" spans="4:29" x14ac:dyDescent="0.55000000000000004">
      <c r="D201" s="49">
        <v>43101</v>
      </c>
      <c r="E201" s="92">
        <v>137.41999999999999</v>
      </c>
      <c r="L201" s="27">
        <v>136.87839992275738</v>
      </c>
      <c r="M201" s="27">
        <v>136.67014623734457</v>
      </c>
      <c r="N201" s="27">
        <v>0.25086969322961417</v>
      </c>
      <c r="O201" s="27">
        <v>0.2229091217356601</v>
      </c>
      <c r="P201" s="27">
        <v>0.22290912173566016</v>
      </c>
      <c r="Q201" s="27">
        <v>0.20055621667665058</v>
      </c>
      <c r="R201" s="27">
        <v>0.22290912173566013</v>
      </c>
      <c r="S201" s="27">
        <v>0.20055621667665058</v>
      </c>
      <c r="T201" s="53"/>
      <c r="U201" s="53"/>
      <c r="V201" s="27">
        <v>136.87839992275738</v>
      </c>
      <c r="W201" s="27">
        <v>136.67014623734457</v>
      </c>
      <c r="X201" s="27">
        <v>0.25086969322961417</v>
      </c>
      <c r="Y201" s="27">
        <v>0.2229091217356601</v>
      </c>
      <c r="Z201" s="27">
        <v>0.22290912173566016</v>
      </c>
      <c r="AA201" s="27">
        <v>0.20055621667665058</v>
      </c>
      <c r="AB201" s="27">
        <v>0.22290912173566013</v>
      </c>
      <c r="AC201" s="27">
        <v>0.20055621667665058</v>
      </c>
    </row>
    <row r="202" spans="4:29" x14ac:dyDescent="0.55000000000000004">
      <c r="D202" s="49">
        <v>43132</v>
      </c>
      <c r="E202" s="92">
        <v>136.83000000000001</v>
      </c>
      <c r="L202" s="27">
        <v>137.02236663467971</v>
      </c>
      <c r="M202" s="27">
        <v>136.82055952535933</v>
      </c>
      <c r="N202" s="27">
        <v>0.2508696932296145</v>
      </c>
      <c r="O202" s="27">
        <v>0.22290912173566035</v>
      </c>
      <c r="P202" s="27">
        <v>0.22290912173566041</v>
      </c>
      <c r="Q202" s="27">
        <v>0.20055621667665074</v>
      </c>
      <c r="R202" s="27">
        <v>0.22290912173566035</v>
      </c>
      <c r="S202" s="27">
        <v>0.20055621667665077</v>
      </c>
      <c r="T202" s="53"/>
      <c r="U202" s="53"/>
      <c r="V202" s="27">
        <v>137.02236663467971</v>
      </c>
      <c r="W202" s="27">
        <v>136.82055952535933</v>
      </c>
      <c r="X202" s="27">
        <v>0.2508696932296145</v>
      </c>
      <c r="Y202" s="27">
        <v>0.22290912173566035</v>
      </c>
      <c r="Z202" s="27">
        <v>0.22290912173566041</v>
      </c>
      <c r="AA202" s="27">
        <v>0.20055621667665074</v>
      </c>
      <c r="AB202" s="27">
        <v>0.22290912173566035</v>
      </c>
      <c r="AC202" s="27">
        <v>0.20055621667665077</v>
      </c>
    </row>
    <row r="203" spans="4:29" x14ac:dyDescent="0.55000000000000004">
      <c r="D203" s="49">
        <v>43160</v>
      </c>
      <c r="E203" s="92">
        <v>136.59</v>
      </c>
      <c r="L203" s="27">
        <v>137.28160257119345</v>
      </c>
      <c r="M203" s="27">
        <v>137.07403660771803</v>
      </c>
      <c r="N203" s="27">
        <v>0.25086969322961472</v>
      </c>
      <c r="O203" s="27">
        <v>0.22290912173566063</v>
      </c>
      <c r="P203" s="27">
        <v>0.22290912173566063</v>
      </c>
      <c r="Q203" s="27">
        <v>0.20055621667665097</v>
      </c>
      <c r="R203" s="27">
        <v>0.22290912173566069</v>
      </c>
      <c r="S203" s="27">
        <v>0.20055621667665099</v>
      </c>
      <c r="T203" s="53"/>
      <c r="U203" s="53"/>
      <c r="V203" s="27">
        <v>137.28160257119345</v>
      </c>
      <c r="W203" s="27">
        <v>137.07403660771803</v>
      </c>
      <c r="X203" s="27">
        <v>0.25086969322961472</v>
      </c>
      <c r="Y203" s="27">
        <v>0.22290912173566063</v>
      </c>
      <c r="Z203" s="27">
        <v>0.22290912173566063</v>
      </c>
      <c r="AA203" s="27">
        <v>0.20055621667665097</v>
      </c>
      <c r="AB203" s="27">
        <v>0.22290912173566069</v>
      </c>
      <c r="AC203" s="27">
        <v>0.20055621667665099</v>
      </c>
    </row>
    <row r="204" spans="4:29" x14ac:dyDescent="0.55000000000000004">
      <c r="D204" s="49">
        <v>43191</v>
      </c>
      <c r="E204" s="92">
        <v>137.28</v>
      </c>
      <c r="L204" s="27">
        <v>136.55036390442447</v>
      </c>
      <c r="M204" s="27">
        <v>136.43693949336924</v>
      </c>
      <c r="N204" s="27">
        <v>0.25086969322961489</v>
      </c>
      <c r="O204" s="27">
        <v>0.22290912173566074</v>
      </c>
      <c r="P204" s="27">
        <v>0.2229091217356608</v>
      </c>
      <c r="Q204" s="27">
        <v>0.20055621667665111</v>
      </c>
      <c r="R204" s="27">
        <v>0.22290912173566074</v>
      </c>
      <c r="S204" s="27">
        <v>0.20055621667665111</v>
      </c>
      <c r="T204" s="53"/>
      <c r="U204" s="53"/>
      <c r="V204" s="27">
        <v>136.55036390442447</v>
      </c>
      <c r="W204" s="27">
        <v>136.43693949336924</v>
      </c>
      <c r="X204" s="27">
        <v>0.25086969322961489</v>
      </c>
      <c r="Y204" s="27">
        <v>0.22290912173566074</v>
      </c>
      <c r="Z204" s="27">
        <v>0.2229091217356608</v>
      </c>
      <c r="AA204" s="27">
        <v>0.20055621667665111</v>
      </c>
      <c r="AB204" s="27">
        <v>0.22290912173566074</v>
      </c>
      <c r="AC204" s="27">
        <v>0.20055621667665111</v>
      </c>
    </row>
    <row r="205" spans="4:29" x14ac:dyDescent="0.55000000000000004">
      <c r="D205" s="49">
        <v>43221</v>
      </c>
      <c r="E205" s="92">
        <v>133.07</v>
      </c>
      <c r="L205" s="27">
        <v>136.850950860122</v>
      </c>
      <c r="M205" s="27">
        <v>136.71875814313825</v>
      </c>
      <c r="N205" s="27">
        <v>0.25086969322961494</v>
      </c>
      <c r="O205" s="27">
        <v>0.22290912173566088</v>
      </c>
      <c r="P205" s="27">
        <v>0.22290912173566091</v>
      </c>
      <c r="Q205" s="27">
        <v>0.20055621667665122</v>
      </c>
      <c r="R205" s="27">
        <v>0.22290912173566091</v>
      </c>
      <c r="S205" s="27">
        <v>0.20055621667665124</v>
      </c>
      <c r="T205" s="53"/>
      <c r="U205" s="53"/>
      <c r="V205" s="27">
        <v>136.850950860122</v>
      </c>
      <c r="W205" s="27">
        <v>136.71875814313825</v>
      </c>
      <c r="X205" s="27">
        <v>0.25086969322961494</v>
      </c>
      <c r="Y205" s="27">
        <v>0.22290912173566088</v>
      </c>
      <c r="Z205" s="27">
        <v>0.22290912173566091</v>
      </c>
      <c r="AA205" s="27">
        <v>0.20055621667665122</v>
      </c>
      <c r="AB205" s="27">
        <v>0.22290912173566091</v>
      </c>
      <c r="AC205" s="27">
        <v>0.20055621667665124</v>
      </c>
    </row>
    <row r="206" spans="4:29" x14ac:dyDescent="0.55000000000000004">
      <c r="D206" s="49">
        <v>43252</v>
      </c>
      <c r="E206" s="92">
        <v>137.38999999999999</v>
      </c>
      <c r="L206" s="27">
        <v>137.22144438196821</v>
      </c>
      <c r="M206" s="27">
        <v>137.06535531105735</v>
      </c>
      <c r="N206" s="27">
        <v>0.25086969322961483</v>
      </c>
      <c r="O206" s="27">
        <v>0.22290912173566091</v>
      </c>
      <c r="P206" s="27">
        <v>0.22290912173566088</v>
      </c>
      <c r="Q206" s="27">
        <v>0.20055621667665127</v>
      </c>
      <c r="R206" s="27">
        <v>0.22290912173566088</v>
      </c>
      <c r="S206" s="27">
        <v>0.20055621667665127</v>
      </c>
      <c r="T206" s="53"/>
      <c r="U206" s="53"/>
      <c r="V206" s="27">
        <v>137.22144438196821</v>
      </c>
      <c r="W206" s="27">
        <v>137.06535531105735</v>
      </c>
      <c r="X206" s="27">
        <v>0.25086969322961483</v>
      </c>
      <c r="Y206" s="27">
        <v>0.22290912173566091</v>
      </c>
      <c r="Z206" s="27">
        <v>0.22290912173566088</v>
      </c>
      <c r="AA206" s="27">
        <v>0.20055621667665127</v>
      </c>
      <c r="AB206" s="27">
        <v>0.22290912173566088</v>
      </c>
      <c r="AC206" s="27">
        <v>0.20055621667665127</v>
      </c>
    </row>
    <row r="207" spans="4:29" x14ac:dyDescent="0.55000000000000004">
      <c r="D207" s="49">
        <v>43282</v>
      </c>
      <c r="E207" s="92">
        <v>137.91999999999999</v>
      </c>
      <c r="L207" s="27">
        <v>137.76284426756578</v>
      </c>
      <c r="M207" s="27">
        <v>137.56811695703584</v>
      </c>
      <c r="N207" s="27">
        <v>0.2508696932296145</v>
      </c>
      <c r="O207" s="27">
        <v>0.22290912173566071</v>
      </c>
      <c r="P207" s="27">
        <v>0.22290912173566069</v>
      </c>
      <c r="Q207" s="27">
        <v>0.20055621667665116</v>
      </c>
      <c r="R207" s="27">
        <v>0.22290912173566069</v>
      </c>
      <c r="S207" s="27">
        <v>0.20055621667665119</v>
      </c>
      <c r="T207" s="53"/>
      <c r="U207" s="53"/>
      <c r="V207" s="27">
        <v>137.76284426756578</v>
      </c>
      <c r="W207" s="27">
        <v>137.56811695703584</v>
      </c>
      <c r="X207" s="27">
        <v>0.2508696932296145</v>
      </c>
      <c r="Y207" s="27">
        <v>0.22290912173566071</v>
      </c>
      <c r="Z207" s="27">
        <v>0.22290912173566069</v>
      </c>
      <c r="AA207" s="27">
        <v>0.20055621667665116</v>
      </c>
      <c r="AB207" s="27">
        <v>0.22290912173566069</v>
      </c>
      <c r="AC207" s="27">
        <v>0.20055621667665119</v>
      </c>
    </row>
    <row r="208" spans="4:29" x14ac:dyDescent="0.55000000000000004">
      <c r="D208" s="49">
        <v>43313</v>
      </c>
      <c r="E208" s="92">
        <v>138.94999999999999</v>
      </c>
      <c r="L208" s="27">
        <v>138.05947576090907</v>
      </c>
      <c r="M208" s="27">
        <v>137.85452969169484</v>
      </c>
      <c r="N208" s="27">
        <v>0.25086969322961394</v>
      </c>
      <c r="O208" s="27">
        <v>0.22290912173566035</v>
      </c>
      <c r="P208" s="27">
        <v>0.22290912173566033</v>
      </c>
      <c r="Q208" s="27">
        <v>0.20055621667665097</v>
      </c>
      <c r="R208" s="27">
        <v>0.22290912173566041</v>
      </c>
      <c r="S208" s="27">
        <v>0.20055621667665099</v>
      </c>
      <c r="T208" s="53"/>
      <c r="U208" s="53"/>
      <c r="V208" s="27">
        <v>138.05947576090907</v>
      </c>
      <c r="W208" s="27">
        <v>137.85452969169484</v>
      </c>
      <c r="X208" s="27">
        <v>0.25086969322961394</v>
      </c>
      <c r="Y208" s="27">
        <v>0.22290912173566035</v>
      </c>
      <c r="Z208" s="27">
        <v>0.22290912173566033</v>
      </c>
      <c r="AA208" s="27">
        <v>0.20055621667665097</v>
      </c>
      <c r="AB208" s="27">
        <v>0.22290912173566041</v>
      </c>
      <c r="AC208" s="27">
        <v>0.20055621667665099</v>
      </c>
    </row>
    <row r="209" spans="4:29" x14ac:dyDescent="0.55000000000000004">
      <c r="D209" s="49">
        <v>43344</v>
      </c>
      <c r="E209" s="92">
        <v>138.22</v>
      </c>
      <c r="L209" s="27">
        <v>138.3492441540582</v>
      </c>
      <c r="M209" s="27">
        <v>138.13579226265492</v>
      </c>
      <c r="N209" s="27">
        <v>0.2508696932296135</v>
      </c>
      <c r="O209" s="27">
        <v>0.22290912173565991</v>
      </c>
      <c r="P209" s="27">
        <v>0.22290912173565991</v>
      </c>
      <c r="Q209" s="27">
        <v>0.20055621667665063</v>
      </c>
      <c r="R209" s="27">
        <v>0.22290912173565988</v>
      </c>
      <c r="S209" s="27">
        <v>0.20055621667665061</v>
      </c>
      <c r="T209" s="53"/>
      <c r="U209" s="53"/>
      <c r="V209" s="27">
        <v>138.3492441540582</v>
      </c>
      <c r="W209" s="27">
        <v>138.13579226265492</v>
      </c>
      <c r="X209" s="27">
        <v>0.2508696932296135</v>
      </c>
      <c r="Y209" s="27">
        <v>0.22290912173565991</v>
      </c>
      <c r="Z209" s="27">
        <v>0.22290912173565991</v>
      </c>
      <c r="AA209" s="27">
        <v>0.20055621667665063</v>
      </c>
      <c r="AB209" s="27">
        <v>0.22290912173565988</v>
      </c>
      <c r="AC209" s="27">
        <v>0.20055621667665061</v>
      </c>
    </row>
    <row r="210" spans="4:29" x14ac:dyDescent="0.55000000000000004">
      <c r="D210" s="49">
        <v>43374</v>
      </c>
      <c r="E210" s="92">
        <v>138.44</v>
      </c>
      <c r="L210" s="27">
        <v>138.62082090206781</v>
      </c>
      <c r="M210" s="27">
        <v>138.4015403599966</v>
      </c>
      <c r="N210" s="27">
        <v>0.25086969322961311</v>
      </c>
      <c r="O210" s="27">
        <v>0.22290912173565958</v>
      </c>
      <c r="P210" s="27">
        <v>0.22290912173565958</v>
      </c>
      <c r="Q210" s="27">
        <v>0.2005562166766503</v>
      </c>
      <c r="R210" s="27">
        <v>0.2229091217356596</v>
      </c>
      <c r="S210" s="27">
        <v>0.20055621667665033</v>
      </c>
      <c r="T210" s="53"/>
      <c r="U210" s="53"/>
      <c r="V210" s="27">
        <v>138.62082090206781</v>
      </c>
      <c r="W210" s="27">
        <v>138.4015403599966</v>
      </c>
      <c r="X210" s="27">
        <v>0.25086969322961311</v>
      </c>
      <c r="Y210" s="27">
        <v>0.22290912173565958</v>
      </c>
      <c r="Z210" s="27">
        <v>0.22290912173565958</v>
      </c>
      <c r="AA210" s="27">
        <v>0.2005562166766503</v>
      </c>
      <c r="AB210" s="27">
        <v>0.2229091217356596</v>
      </c>
      <c r="AC210" s="27">
        <v>0.20055621667665033</v>
      </c>
    </row>
    <row r="211" spans="4:29" x14ac:dyDescent="0.55000000000000004">
      <c r="D211" s="49">
        <v>43405</v>
      </c>
      <c r="E211" s="92">
        <v>138.61000000000001</v>
      </c>
      <c r="L211" s="27">
        <v>138.96474756575202</v>
      </c>
      <c r="M211" s="27">
        <v>138.73296774639374</v>
      </c>
      <c r="N211" s="27">
        <v>0.25086969322961278</v>
      </c>
      <c r="O211" s="27">
        <v>0.2229091217356593</v>
      </c>
      <c r="P211" s="27">
        <v>0.2229091217356593</v>
      </c>
      <c r="Q211" s="27">
        <v>0.20055621667665008</v>
      </c>
      <c r="R211" s="27">
        <v>0.22290912173565933</v>
      </c>
      <c r="S211" s="27">
        <v>0.20055621667665011</v>
      </c>
      <c r="T211" s="53"/>
      <c r="U211" s="53"/>
      <c r="V211" s="27">
        <v>138.96474756575202</v>
      </c>
      <c r="W211" s="27">
        <v>138.73296774639374</v>
      </c>
      <c r="X211" s="27">
        <v>0.25086969322961278</v>
      </c>
      <c r="Y211" s="27">
        <v>0.2229091217356593</v>
      </c>
      <c r="Z211" s="27">
        <v>0.2229091217356593</v>
      </c>
      <c r="AA211" s="27">
        <v>0.20055621667665008</v>
      </c>
      <c r="AB211" s="27">
        <v>0.22290912173565933</v>
      </c>
      <c r="AC211" s="27">
        <v>0.20055621667665011</v>
      </c>
    </row>
    <row r="212" spans="4:29" x14ac:dyDescent="0.55000000000000004">
      <c r="D212" s="49">
        <v>43435</v>
      </c>
      <c r="E212" s="92">
        <v>139.18</v>
      </c>
      <c r="L212" s="27">
        <v>139.26680002835354</v>
      </c>
      <c r="M212" s="27">
        <v>139.0279734012629</v>
      </c>
      <c r="N212" s="27">
        <v>0.25086969322961244</v>
      </c>
      <c r="O212" s="27">
        <v>0.22290912173565902</v>
      </c>
      <c r="P212" s="27">
        <v>0.22290912173565902</v>
      </c>
      <c r="Q212" s="27">
        <v>0.20055621667664986</v>
      </c>
      <c r="R212" s="27">
        <v>0.22290912173565905</v>
      </c>
      <c r="S212" s="27">
        <v>0.20055621667664986</v>
      </c>
      <c r="T212" s="53"/>
      <c r="U212" s="53"/>
      <c r="V212" s="27">
        <v>139.26680002835354</v>
      </c>
      <c r="W212" s="27">
        <v>139.0279734012629</v>
      </c>
      <c r="X212" s="27">
        <v>0.25086969322961244</v>
      </c>
      <c r="Y212" s="27">
        <v>0.22290912173565902</v>
      </c>
      <c r="Z212" s="27">
        <v>0.22290912173565902</v>
      </c>
      <c r="AA212" s="27">
        <v>0.20055621667664986</v>
      </c>
      <c r="AB212" s="27">
        <v>0.22290912173565905</v>
      </c>
      <c r="AC212" s="27">
        <v>0.20055621667664986</v>
      </c>
    </row>
    <row r="213" spans="4:29" x14ac:dyDescent="0.55000000000000004">
      <c r="D213" s="49">
        <v>43466</v>
      </c>
      <c r="E213" s="92">
        <v>139.28</v>
      </c>
      <c r="L213" s="27">
        <v>139.15414354597115</v>
      </c>
      <c r="M213" s="27">
        <v>138.95056298021132</v>
      </c>
      <c r="N213" s="27">
        <v>0.25086969322961222</v>
      </c>
      <c r="O213" s="27">
        <v>0.2229091217356588</v>
      </c>
      <c r="P213" s="27">
        <v>0.2229091217356588</v>
      </c>
      <c r="Q213" s="27">
        <v>0.20055621667664966</v>
      </c>
      <c r="R213" s="27">
        <v>0.22290912173565883</v>
      </c>
      <c r="S213" s="27">
        <v>0.20055621667664966</v>
      </c>
      <c r="T213" s="53"/>
      <c r="U213" s="53"/>
      <c r="V213" s="27">
        <v>139.15414354597115</v>
      </c>
      <c r="W213" s="27">
        <v>138.95056298021132</v>
      </c>
      <c r="X213" s="27">
        <v>0.25086969322961222</v>
      </c>
      <c r="Y213" s="27">
        <v>0.2229091217356588</v>
      </c>
      <c r="Z213" s="27">
        <v>0.2229091217356588</v>
      </c>
      <c r="AA213" s="27">
        <v>0.20055621667664966</v>
      </c>
      <c r="AB213" s="27">
        <v>0.22290912173565883</v>
      </c>
      <c r="AC213" s="27">
        <v>0.20055621667664966</v>
      </c>
    </row>
    <row r="214" spans="4:29" x14ac:dyDescent="0.55000000000000004">
      <c r="D214" s="49">
        <v>43497</v>
      </c>
      <c r="E214" s="92">
        <v>137.69</v>
      </c>
      <c r="L214" s="27">
        <v>138.87754586580601</v>
      </c>
      <c r="M214" s="27">
        <v>138.72211666621274</v>
      </c>
      <c r="N214" s="27">
        <v>0.25086969322961211</v>
      </c>
      <c r="O214" s="27">
        <v>0.22290912173565869</v>
      </c>
      <c r="P214" s="27">
        <v>0.22290912173565872</v>
      </c>
      <c r="Q214" s="27">
        <v>0.20055621667664952</v>
      </c>
      <c r="R214" s="27">
        <v>0.22290912173565869</v>
      </c>
      <c r="S214" s="27">
        <v>0.20055621667664952</v>
      </c>
      <c r="T214" s="53"/>
      <c r="U214" s="53"/>
      <c r="V214" s="27">
        <v>138.87754586580601</v>
      </c>
      <c r="W214" s="27">
        <v>138.72211666621274</v>
      </c>
      <c r="X214" s="27">
        <v>0.25086969322961211</v>
      </c>
      <c r="Y214" s="27">
        <v>0.22290912173565869</v>
      </c>
      <c r="Z214" s="27">
        <v>0.22290912173565872</v>
      </c>
      <c r="AA214" s="27">
        <v>0.20055621667664952</v>
      </c>
      <c r="AB214" s="27">
        <v>0.22290912173565869</v>
      </c>
      <c r="AC214" s="27">
        <v>0.20055621667664952</v>
      </c>
    </row>
    <row r="215" spans="4:29" x14ac:dyDescent="0.55000000000000004">
      <c r="D215" s="49">
        <v>43525</v>
      </c>
      <c r="E215" s="92">
        <v>137</v>
      </c>
      <c r="L215" s="27">
        <v>138.5854747796084</v>
      </c>
      <c r="M215" s="27">
        <v>138.47492006215512</v>
      </c>
      <c r="N215" s="27">
        <v>0.250869693229612</v>
      </c>
      <c r="O215" s="27">
        <v>0.22290912173565863</v>
      </c>
      <c r="P215" s="27">
        <v>0.22290912173565863</v>
      </c>
      <c r="Q215" s="27">
        <v>0.20055621667664944</v>
      </c>
      <c r="R215" s="27">
        <v>0.22290912173565858</v>
      </c>
      <c r="S215" s="27">
        <v>0.20055621667664944</v>
      </c>
      <c r="T215" s="53"/>
      <c r="U215" s="53"/>
      <c r="V215" s="27">
        <v>138.5854747796084</v>
      </c>
      <c r="W215" s="27">
        <v>138.47492006215512</v>
      </c>
      <c r="X215" s="27">
        <v>0.250869693229612</v>
      </c>
      <c r="Y215" s="27">
        <v>0.22290912173565863</v>
      </c>
      <c r="Z215" s="27">
        <v>0.22290912173565863</v>
      </c>
      <c r="AA215" s="27">
        <v>0.20055621667664944</v>
      </c>
      <c r="AB215" s="27">
        <v>0.22290912173565858</v>
      </c>
      <c r="AC215" s="27">
        <v>0.20055621667664944</v>
      </c>
    </row>
    <row r="216" spans="4:29" x14ac:dyDescent="0.55000000000000004">
      <c r="D216" s="49">
        <v>43556</v>
      </c>
      <c r="E216" s="92">
        <v>136.87</v>
      </c>
      <c r="L216" s="27">
        <v>138.70818366605161</v>
      </c>
      <c r="M216" s="27">
        <v>138.5964101515236</v>
      </c>
      <c r="N216" s="27">
        <v>0.25086969322961178</v>
      </c>
      <c r="O216" s="27">
        <v>0.22290912173565849</v>
      </c>
      <c r="P216" s="27">
        <v>0.22290912173565847</v>
      </c>
      <c r="Q216" s="27">
        <v>0.20055621667664938</v>
      </c>
      <c r="R216" s="27">
        <v>0.22290912173565849</v>
      </c>
      <c r="S216" s="27">
        <v>0.20055621667664938</v>
      </c>
      <c r="T216" s="53"/>
      <c r="U216" s="53"/>
      <c r="V216" s="27">
        <v>138.70818366605161</v>
      </c>
      <c r="W216" s="27">
        <v>138.5964101515236</v>
      </c>
      <c r="X216" s="27">
        <v>0.25086969322961178</v>
      </c>
      <c r="Y216" s="27">
        <v>0.22290912173565849</v>
      </c>
      <c r="Z216" s="27">
        <v>0.22290912173565847</v>
      </c>
      <c r="AA216" s="27">
        <v>0.20055621667664938</v>
      </c>
      <c r="AB216" s="27">
        <v>0.22290912173565849</v>
      </c>
      <c r="AC216" s="27">
        <v>0.20055621667664938</v>
      </c>
    </row>
    <row r="217" spans="4:29" x14ac:dyDescent="0.55000000000000004">
      <c r="D217" s="49">
        <v>43586</v>
      </c>
      <c r="E217" s="92">
        <v>138.63999999999999</v>
      </c>
      <c r="L217" s="27">
        <v>138.85379842624519</v>
      </c>
      <c r="M217" s="27">
        <v>138.73863137561801</v>
      </c>
      <c r="N217" s="27">
        <v>0.25086969322961161</v>
      </c>
      <c r="O217" s="27">
        <v>0.22290912173565833</v>
      </c>
      <c r="P217" s="27">
        <v>0.22290912173565827</v>
      </c>
      <c r="Q217" s="27">
        <v>0.20055621667664925</v>
      </c>
      <c r="R217" s="27">
        <v>0.22290912173565833</v>
      </c>
      <c r="S217" s="27">
        <v>0.20055621667664925</v>
      </c>
      <c r="T217" s="53"/>
      <c r="U217" s="53"/>
      <c r="V217" s="27">
        <v>138.85379842624519</v>
      </c>
      <c r="W217" s="27">
        <v>138.73863137561801</v>
      </c>
      <c r="X217" s="27">
        <v>0.25086969322961161</v>
      </c>
      <c r="Y217" s="27">
        <v>0.22290912173565833</v>
      </c>
      <c r="Z217" s="27">
        <v>0.22290912173565827</v>
      </c>
      <c r="AA217" s="27">
        <v>0.20055621667664925</v>
      </c>
      <c r="AB217" s="27">
        <v>0.22290912173565833</v>
      </c>
      <c r="AC217" s="27">
        <v>0.20055621667664925</v>
      </c>
    </row>
    <row r="218" spans="4:29" x14ac:dyDescent="0.55000000000000004">
      <c r="D218" s="49">
        <v>43617</v>
      </c>
      <c r="E218" s="92">
        <v>138.86000000000001</v>
      </c>
      <c r="L218" s="27">
        <v>138.8432896648421</v>
      </c>
      <c r="M218" s="27">
        <v>138.7407251469092</v>
      </c>
      <c r="N218" s="27">
        <v>0.25086969322961161</v>
      </c>
      <c r="O218" s="27">
        <v>0.2229091217356583</v>
      </c>
      <c r="P218" s="27">
        <v>0.22290912173565819</v>
      </c>
      <c r="Q218" s="27">
        <v>0.20055621667664913</v>
      </c>
      <c r="R218" s="27">
        <v>0.22290912173565813</v>
      </c>
      <c r="S218" s="27">
        <v>0.20055621667664911</v>
      </c>
      <c r="T218" s="53"/>
      <c r="U218" s="53"/>
      <c r="V218" s="27">
        <v>138.8432896648421</v>
      </c>
      <c r="W218" s="27">
        <v>138.7407251469092</v>
      </c>
      <c r="X218" s="27">
        <v>0.25086969322961161</v>
      </c>
      <c r="Y218" s="27">
        <v>0.2229091217356583</v>
      </c>
      <c r="Z218" s="27">
        <v>0.22290912173565819</v>
      </c>
      <c r="AA218" s="27">
        <v>0.20055621667664913</v>
      </c>
      <c r="AB218" s="27">
        <v>0.22290912173565813</v>
      </c>
      <c r="AC218" s="27">
        <v>0.20055621667664911</v>
      </c>
    </row>
    <row r="219" spans="4:29" x14ac:dyDescent="0.55000000000000004">
      <c r="D219" s="49">
        <v>43647</v>
      </c>
      <c r="E219" s="92">
        <v>138.29</v>
      </c>
      <c r="L219" s="27">
        <v>138.83589541682377</v>
      </c>
      <c r="M219" s="27">
        <v>138.74435735593568</v>
      </c>
      <c r="N219" s="27">
        <v>0.25086969322961161</v>
      </c>
      <c r="O219" s="27">
        <v>0.2229091217356583</v>
      </c>
      <c r="P219" s="27">
        <v>0.22290912173565819</v>
      </c>
      <c r="Q219" s="27">
        <v>0.20055621667664913</v>
      </c>
      <c r="R219" s="27">
        <v>0.22290912173565819</v>
      </c>
      <c r="S219" s="27">
        <v>0.20055621667664911</v>
      </c>
      <c r="T219" s="53"/>
      <c r="U219" s="53"/>
      <c r="V219" s="27">
        <v>138.83589541682377</v>
      </c>
      <c r="W219" s="27">
        <v>138.74435735593568</v>
      </c>
      <c r="X219" s="27">
        <v>0.25086969322961161</v>
      </c>
      <c r="Y219" s="27">
        <v>0.2229091217356583</v>
      </c>
      <c r="Z219" s="27">
        <v>0.22290912173565819</v>
      </c>
      <c r="AA219" s="27">
        <v>0.20055621667664913</v>
      </c>
      <c r="AB219" s="27">
        <v>0.22290912173565819</v>
      </c>
      <c r="AC219" s="27">
        <v>0.20055621667664911</v>
      </c>
    </row>
    <row r="220" spans="4:29" x14ac:dyDescent="0.55000000000000004">
      <c r="D220" s="49">
        <v>43678</v>
      </c>
      <c r="E220" s="92">
        <v>138.35</v>
      </c>
      <c r="L220" s="27">
        <v>138.99967934569818</v>
      </c>
      <c r="M220" s="27">
        <v>138.90089660583317</v>
      </c>
      <c r="N220" s="27">
        <v>0.25086969322961161</v>
      </c>
      <c r="O220" s="27">
        <v>0.2229091217356583</v>
      </c>
      <c r="P220" s="27">
        <v>0.22290912173565819</v>
      </c>
      <c r="Q220" s="27">
        <v>0.20055621667664913</v>
      </c>
      <c r="R220" s="27">
        <v>0.22290912173565819</v>
      </c>
      <c r="S220" s="27">
        <v>0.20055621667664911</v>
      </c>
      <c r="T220" s="53"/>
      <c r="U220" s="53"/>
      <c r="V220" s="27">
        <v>138.99967934569818</v>
      </c>
      <c r="W220" s="27">
        <v>138.90089660583317</v>
      </c>
      <c r="X220" s="27">
        <v>0.25086969322961161</v>
      </c>
      <c r="Y220" s="27">
        <v>0.2229091217356583</v>
      </c>
      <c r="Z220" s="27">
        <v>0.22290912173565819</v>
      </c>
      <c r="AA220" s="27">
        <v>0.20055621667664913</v>
      </c>
      <c r="AB220" s="27">
        <v>0.22290912173565819</v>
      </c>
      <c r="AC220" s="27">
        <v>0.20055621667664911</v>
      </c>
    </row>
    <row r="221" spans="4:29" x14ac:dyDescent="0.55000000000000004">
      <c r="D221" s="49">
        <v>43709</v>
      </c>
      <c r="E221" s="92">
        <v>139.16</v>
      </c>
      <c r="L221" s="27">
        <v>139.44627179223963</v>
      </c>
      <c r="M221" s="27">
        <v>139.31261135292738</v>
      </c>
      <c r="N221" s="27">
        <v>0.25086969322961161</v>
      </c>
      <c r="O221" s="27">
        <v>0.2229091217356583</v>
      </c>
      <c r="P221" s="27">
        <v>0.22290912173565819</v>
      </c>
      <c r="Q221" s="27">
        <v>0.20055621667664913</v>
      </c>
      <c r="R221" s="27">
        <v>0.22290912173565819</v>
      </c>
      <c r="S221" s="27">
        <v>0.20055621667664911</v>
      </c>
      <c r="T221" s="53"/>
      <c r="U221" s="53"/>
      <c r="V221" s="27">
        <v>139.44627179223963</v>
      </c>
      <c r="W221" s="27">
        <v>139.31261135292738</v>
      </c>
      <c r="X221" s="27">
        <v>0.25086969322961161</v>
      </c>
      <c r="Y221" s="27">
        <v>0.2229091217356583</v>
      </c>
      <c r="Z221" s="27">
        <v>0.22290912173565819</v>
      </c>
      <c r="AA221" s="27">
        <v>0.20055621667664913</v>
      </c>
      <c r="AB221" s="27">
        <v>0.22290912173565819</v>
      </c>
      <c r="AC221" s="27">
        <v>0.20055621667664911</v>
      </c>
    </row>
    <row r="222" spans="4:29" x14ac:dyDescent="0.55000000000000004">
      <c r="D222" s="49">
        <v>43739</v>
      </c>
      <c r="E222" s="92">
        <v>140.56</v>
      </c>
      <c r="L222" s="27">
        <v>139.67661420541572</v>
      </c>
      <c r="M222" s="27">
        <v>139.533258680654</v>
      </c>
      <c r="N222" s="27">
        <v>0.25086969322961161</v>
      </c>
      <c r="O222" s="27">
        <v>0.2229091217356583</v>
      </c>
      <c r="P222" s="27">
        <v>0.22290912173565819</v>
      </c>
      <c r="Q222" s="27">
        <v>0.20055621667664913</v>
      </c>
      <c r="R222" s="27">
        <v>0.22290912173565819</v>
      </c>
      <c r="S222" s="27">
        <v>0.20055621667664911</v>
      </c>
      <c r="T222" s="53"/>
      <c r="U222" s="53"/>
      <c r="V222" s="27">
        <v>139.67661420541572</v>
      </c>
      <c r="W222" s="27">
        <v>139.533258680654</v>
      </c>
      <c r="X222" s="27">
        <v>0.25086969322961161</v>
      </c>
      <c r="Y222" s="27">
        <v>0.2229091217356583</v>
      </c>
      <c r="Z222" s="27">
        <v>0.22290912173565819</v>
      </c>
      <c r="AA222" s="27">
        <v>0.20055621667664913</v>
      </c>
      <c r="AB222" s="27">
        <v>0.22290912173565819</v>
      </c>
      <c r="AC222" s="27">
        <v>0.20055621667664911</v>
      </c>
    </row>
    <row r="223" spans="4:29" x14ac:dyDescent="0.55000000000000004">
      <c r="D223" s="49">
        <v>43770</v>
      </c>
      <c r="E223" s="92">
        <v>139.88</v>
      </c>
      <c r="L223" s="27">
        <v>139.73156080598034</v>
      </c>
      <c r="M223" s="27">
        <v>139.59707076089734</v>
      </c>
      <c r="N223" s="27">
        <v>0.25086969322961161</v>
      </c>
      <c r="O223" s="27">
        <v>0.2229091217356583</v>
      </c>
      <c r="P223" s="27">
        <v>0.22290912173565819</v>
      </c>
      <c r="Q223" s="27">
        <v>0.20055621667664913</v>
      </c>
      <c r="R223" s="27">
        <v>0.22290912173565819</v>
      </c>
      <c r="S223" s="27">
        <v>0.20055621667664911</v>
      </c>
      <c r="T223" s="53"/>
      <c r="U223" s="53"/>
      <c r="V223" s="27">
        <v>139.73156080598034</v>
      </c>
      <c r="W223" s="27">
        <v>139.59707076089734</v>
      </c>
      <c r="X223" s="27">
        <v>0.25086969322961161</v>
      </c>
      <c r="Y223" s="27">
        <v>0.2229091217356583</v>
      </c>
      <c r="Z223" s="27">
        <v>0.22290912173565819</v>
      </c>
      <c r="AA223" s="27">
        <v>0.20055621667664913</v>
      </c>
      <c r="AB223" s="27">
        <v>0.22290912173565819</v>
      </c>
      <c r="AC223" s="27">
        <v>0.20055621667664911</v>
      </c>
    </row>
    <row r="224" spans="4:29" x14ac:dyDescent="0.55000000000000004">
      <c r="D224" s="49">
        <v>43800</v>
      </c>
      <c r="E224" s="92">
        <v>139.28</v>
      </c>
      <c r="L224" s="27">
        <v>139.93703385212848</v>
      </c>
      <c r="M224" s="27">
        <v>139.79542576597447</v>
      </c>
      <c r="N224" s="27">
        <v>0.25086969322961161</v>
      </c>
      <c r="O224" s="27">
        <v>0.2229091217356583</v>
      </c>
      <c r="P224" s="27">
        <v>0.22290912173565819</v>
      </c>
      <c r="Q224" s="27">
        <v>0.20055621667664913</v>
      </c>
      <c r="R224" s="27">
        <v>0.22290912173565819</v>
      </c>
      <c r="S224" s="27">
        <v>0.20055621667664911</v>
      </c>
      <c r="T224" s="53"/>
      <c r="U224" s="53"/>
      <c r="V224" s="27">
        <v>139.93703385212848</v>
      </c>
      <c r="W224" s="27">
        <v>139.79542576597447</v>
      </c>
      <c r="X224" s="27">
        <v>0.25086969322961161</v>
      </c>
      <c r="Y224" s="27">
        <v>0.2229091217356583</v>
      </c>
      <c r="Z224" s="27">
        <v>0.22290912173565819</v>
      </c>
      <c r="AA224" s="27">
        <v>0.20055621667664913</v>
      </c>
      <c r="AB224" s="27">
        <v>0.22290912173565819</v>
      </c>
      <c r="AC224" s="27">
        <v>0.20055621667664911</v>
      </c>
    </row>
    <row r="225" spans="4:29" x14ac:dyDescent="0.55000000000000004">
      <c r="D225" s="49">
        <v>43831</v>
      </c>
      <c r="E225" s="92">
        <v>140.05000000000001</v>
      </c>
      <c r="L225" s="27">
        <v>140.01465947439613</v>
      </c>
      <c r="M225" s="27">
        <v>139.87946742868746</v>
      </c>
      <c r="N225" s="27">
        <v>0.25086969322961161</v>
      </c>
      <c r="O225" s="27">
        <v>0.2229091217356583</v>
      </c>
      <c r="P225" s="27">
        <v>0.22290912173565819</v>
      </c>
      <c r="Q225" s="27">
        <v>0.20055621667664913</v>
      </c>
      <c r="R225" s="27">
        <v>0.22290912173565819</v>
      </c>
      <c r="S225" s="27">
        <v>0.20055621667664911</v>
      </c>
      <c r="T225" s="53"/>
      <c r="U225" s="53"/>
      <c r="V225" s="27">
        <v>140.01465947439613</v>
      </c>
      <c r="W225" s="27">
        <v>139.87946742868746</v>
      </c>
      <c r="X225" s="27">
        <v>0.25086969322961161</v>
      </c>
      <c r="Y225" s="27">
        <v>0.2229091217356583</v>
      </c>
      <c r="Z225" s="27">
        <v>0.22290912173565819</v>
      </c>
      <c r="AA225" s="27">
        <v>0.20055621667664913</v>
      </c>
      <c r="AB225" s="27">
        <v>0.22290912173565819</v>
      </c>
      <c r="AC225" s="27">
        <v>0.20055621667664911</v>
      </c>
    </row>
    <row r="226" spans="4:29" x14ac:dyDescent="0.55000000000000004">
      <c r="D226" s="49">
        <v>43862</v>
      </c>
      <c r="E226" s="92">
        <v>139.65</v>
      </c>
      <c r="L226" s="27">
        <v>137.85284892688213</v>
      </c>
      <c r="M226" s="27">
        <v>137.94799595607006</v>
      </c>
      <c r="N226" s="27">
        <v>0.25086969322961161</v>
      </c>
      <c r="O226" s="27">
        <v>0.2229091217356583</v>
      </c>
      <c r="P226" s="27">
        <v>0.22290912173565819</v>
      </c>
      <c r="Q226" s="27">
        <v>0.20055621667664913</v>
      </c>
      <c r="R226" s="27">
        <v>0.22290912173565819</v>
      </c>
      <c r="S226" s="27">
        <v>0.20055621667664911</v>
      </c>
      <c r="T226" s="53"/>
      <c r="U226" s="53"/>
      <c r="V226" s="27">
        <v>137.85284892688213</v>
      </c>
      <c r="W226" s="27">
        <v>137.94799595607006</v>
      </c>
      <c r="X226" s="27">
        <v>0.25086969322961161</v>
      </c>
      <c r="Y226" s="27">
        <v>0.2229091217356583</v>
      </c>
      <c r="Z226" s="27">
        <v>0.22290912173565819</v>
      </c>
      <c r="AA226" s="27">
        <v>0.20055621667664913</v>
      </c>
      <c r="AB226" s="27">
        <v>0.22290912173565819</v>
      </c>
      <c r="AC226" s="27">
        <v>0.20055621667664911</v>
      </c>
    </row>
    <row r="227" spans="4:29" x14ac:dyDescent="0.55000000000000004">
      <c r="D227" s="49">
        <v>43891</v>
      </c>
      <c r="E227" s="92">
        <v>129.71</v>
      </c>
      <c r="L227" s="27">
        <v>133.15176439084632</v>
      </c>
      <c r="M227" s="27">
        <v>133.70878612034548</v>
      </c>
      <c r="N227" s="27">
        <v>0.25086969322961161</v>
      </c>
      <c r="O227" s="27">
        <v>0.2229091217356583</v>
      </c>
      <c r="P227" s="27">
        <v>0.22290912173565819</v>
      </c>
      <c r="Q227" s="27">
        <v>0.20055621667664913</v>
      </c>
      <c r="R227" s="27">
        <v>0.22290912173565819</v>
      </c>
      <c r="S227" s="27">
        <v>0.20055621667664911</v>
      </c>
      <c r="T227" s="53"/>
      <c r="U227" s="53"/>
      <c r="V227" s="27">
        <v>133.15176439084632</v>
      </c>
      <c r="W227" s="27">
        <v>133.70878612034548</v>
      </c>
      <c r="X227" s="27">
        <v>0.25086969322961161</v>
      </c>
      <c r="Y227" s="27">
        <v>0.2229091217356583</v>
      </c>
      <c r="Z227" s="27">
        <v>0.22290912173565819</v>
      </c>
      <c r="AA227" s="27">
        <v>0.20055621667664913</v>
      </c>
      <c r="AB227" s="27">
        <v>0.22290912173565819</v>
      </c>
      <c r="AC227" s="27">
        <v>0.20055621667664911</v>
      </c>
    </row>
    <row r="228" spans="4:29" x14ac:dyDescent="0.55000000000000004">
      <c r="D228" s="49">
        <v>43922</v>
      </c>
      <c r="E228" s="92">
        <v>117.19</v>
      </c>
      <c r="L228" s="27">
        <v>129.89269080709704</v>
      </c>
      <c r="M228" s="27">
        <v>130.72066918517245</v>
      </c>
      <c r="N228" s="27">
        <v>0.25086969322961161</v>
      </c>
      <c r="O228" s="27">
        <v>0.2229091217356583</v>
      </c>
      <c r="P228" s="27">
        <v>0.22290912173565819</v>
      </c>
      <c r="Q228" s="27">
        <v>0.20055621667664913</v>
      </c>
      <c r="R228" s="27">
        <v>0.22290912173565819</v>
      </c>
      <c r="S228" s="27">
        <v>0.20055621667664911</v>
      </c>
      <c r="T228" s="53"/>
      <c r="U228" s="53"/>
      <c r="V228" s="27">
        <v>129.89269080709704</v>
      </c>
      <c r="W228" s="27">
        <v>130.72066918517245</v>
      </c>
      <c r="X228" s="27">
        <v>0.25086969322961161</v>
      </c>
      <c r="Y228" s="27">
        <v>0.2229091217356583</v>
      </c>
      <c r="Z228" s="27">
        <v>0.22290912173565819</v>
      </c>
      <c r="AA228" s="27">
        <v>0.20055621667664913</v>
      </c>
      <c r="AB228" s="27">
        <v>0.22290912173565819</v>
      </c>
      <c r="AC228" s="27">
        <v>0.20055621667664911</v>
      </c>
    </row>
    <row r="229" spans="4:29" x14ac:dyDescent="0.55000000000000004">
      <c r="D229" s="49">
        <v>43952</v>
      </c>
      <c r="E229" s="92">
        <v>121.03</v>
      </c>
      <c r="L229" s="27">
        <v>128.43327980906295</v>
      </c>
      <c r="M229" s="27">
        <v>129.32457705581095</v>
      </c>
      <c r="N229" s="27">
        <v>0.25086969322961161</v>
      </c>
      <c r="O229" s="27">
        <v>0.2229091217356583</v>
      </c>
      <c r="P229" s="27">
        <v>0.22290912173565819</v>
      </c>
      <c r="Q229" s="27">
        <v>0.20055621667664913</v>
      </c>
      <c r="R229" s="27">
        <v>0.22290912173565819</v>
      </c>
      <c r="S229" s="27">
        <v>0.20055621667664911</v>
      </c>
      <c r="T229" s="53"/>
      <c r="U229" s="53"/>
      <c r="V229" s="27">
        <v>128.43327980906295</v>
      </c>
      <c r="W229" s="27">
        <v>129.32457705581095</v>
      </c>
      <c r="X229" s="27">
        <v>0.25086969322961161</v>
      </c>
      <c r="Y229" s="27">
        <v>0.2229091217356583</v>
      </c>
      <c r="Z229" s="27">
        <v>0.22290912173565819</v>
      </c>
      <c r="AA229" s="27">
        <v>0.20055621667664913</v>
      </c>
      <c r="AB229" s="27">
        <v>0.22290912173565819</v>
      </c>
      <c r="AC229" s="27">
        <v>0.20055621667664911</v>
      </c>
    </row>
    <row r="230" spans="4:29" x14ac:dyDescent="0.55000000000000004">
      <c r="D230" s="49">
        <v>43983</v>
      </c>
      <c r="E230" s="92">
        <v>127.06</v>
      </c>
      <c r="L230" s="27">
        <v>128.11189881460055</v>
      </c>
      <c r="M230" s="27">
        <v>128.94604593765808</v>
      </c>
      <c r="N230" s="27">
        <v>0.25086969322961161</v>
      </c>
      <c r="O230" s="27">
        <v>0.2229091217356583</v>
      </c>
      <c r="P230" s="27">
        <v>0.22290912173565819</v>
      </c>
      <c r="Q230" s="27">
        <v>0.20055621667664913</v>
      </c>
      <c r="R230" s="27">
        <v>0.22290912173565819</v>
      </c>
      <c r="S230" s="27">
        <v>0.20055621667664911</v>
      </c>
      <c r="T230" s="53"/>
      <c r="U230" s="53"/>
      <c r="V230" s="27">
        <v>128.11189881460055</v>
      </c>
      <c r="W230" s="27">
        <v>128.94604593765808</v>
      </c>
      <c r="X230" s="27">
        <v>0.25086969322961161</v>
      </c>
      <c r="Y230" s="27">
        <v>0.2229091217356583</v>
      </c>
      <c r="Z230" s="27">
        <v>0.22290912173565819</v>
      </c>
      <c r="AA230" s="27">
        <v>0.20055621667664913</v>
      </c>
      <c r="AB230" s="27">
        <v>0.22290912173565819</v>
      </c>
      <c r="AC230" s="27">
        <v>0.20055621667664911</v>
      </c>
    </row>
    <row r="231" spans="4:29" x14ac:dyDescent="0.55000000000000004">
      <c r="D231" s="49">
        <v>44013</v>
      </c>
      <c r="E231" s="92">
        <v>130.99</v>
      </c>
      <c r="L231" s="27">
        <v>128.5590558784281</v>
      </c>
      <c r="M231" s="27">
        <v>129.26471624141882</v>
      </c>
      <c r="N231" s="27">
        <v>0.25086969322961161</v>
      </c>
      <c r="O231" s="27">
        <v>0.2229091217356583</v>
      </c>
      <c r="P231" s="27">
        <v>0.22290912173565819</v>
      </c>
      <c r="Q231" s="27">
        <v>0.20055621667664913</v>
      </c>
      <c r="R231" s="27">
        <v>0.22290912173565819</v>
      </c>
      <c r="S231" s="27">
        <v>0.20055621667664911</v>
      </c>
      <c r="T231" s="53"/>
      <c r="U231" s="53"/>
      <c r="V231" s="27">
        <v>128.5590558784281</v>
      </c>
      <c r="W231" s="27">
        <v>129.26471624141882</v>
      </c>
      <c r="X231" s="27">
        <v>0.25086969322961161</v>
      </c>
      <c r="Y231" s="27">
        <v>0.2229091217356583</v>
      </c>
      <c r="Z231" s="27">
        <v>0.22290912173565819</v>
      </c>
      <c r="AA231" s="27">
        <v>0.20055621667664913</v>
      </c>
      <c r="AB231" s="27">
        <v>0.22290912173565819</v>
      </c>
      <c r="AC231" s="27">
        <v>0.20055621667664911</v>
      </c>
    </row>
    <row r="232" spans="4:29" x14ac:dyDescent="0.55000000000000004">
      <c r="D232" s="49">
        <v>44044</v>
      </c>
      <c r="E232" s="92">
        <v>133.86000000000001</v>
      </c>
      <c r="L232" s="27">
        <v>129.69929349671904</v>
      </c>
      <c r="M232" s="27">
        <v>130.21985070196129</v>
      </c>
      <c r="N232" s="27">
        <v>0.25086969322961161</v>
      </c>
      <c r="O232" s="27">
        <v>0.2229091217356583</v>
      </c>
      <c r="P232" s="27">
        <v>0.22290912173565819</v>
      </c>
      <c r="Q232" s="27">
        <v>0.20055621667664913</v>
      </c>
      <c r="R232" s="27">
        <v>0.22290912173565819</v>
      </c>
      <c r="S232" s="27">
        <v>0.20055621667664911</v>
      </c>
      <c r="T232" s="53"/>
      <c r="U232" s="53"/>
      <c r="V232" s="27">
        <v>129.69929349671904</v>
      </c>
      <c r="W232" s="27">
        <v>130.21985070196129</v>
      </c>
      <c r="X232" s="27">
        <v>0.25086969322961161</v>
      </c>
      <c r="Y232" s="27">
        <v>0.2229091217356583</v>
      </c>
      <c r="Z232" s="27">
        <v>0.22290912173565819</v>
      </c>
      <c r="AA232" s="27">
        <v>0.20055621667664913</v>
      </c>
      <c r="AB232" s="27">
        <v>0.22290912173565819</v>
      </c>
      <c r="AC232" s="27">
        <v>0.20055621667664911</v>
      </c>
    </row>
    <row r="233" spans="4:29" x14ac:dyDescent="0.55000000000000004">
      <c r="D233" s="49">
        <v>44075</v>
      </c>
      <c r="E233" s="92">
        <v>136.84</v>
      </c>
      <c r="L233" s="27">
        <v>131.32327952859967</v>
      </c>
      <c r="M233" s="27">
        <v>131.62878599477349</v>
      </c>
      <c r="N233" s="27">
        <v>0.25086969322961161</v>
      </c>
      <c r="O233" s="27">
        <v>0.2229091217356583</v>
      </c>
      <c r="P233" s="27">
        <v>0.22290912173565819</v>
      </c>
      <c r="Q233" s="27">
        <v>0.20055621667664913</v>
      </c>
      <c r="R233" s="27">
        <v>0.22290912173565819</v>
      </c>
      <c r="S233" s="27">
        <v>0.20055621667664911</v>
      </c>
      <c r="T233" s="53"/>
      <c r="U233" s="53"/>
      <c r="V233" s="27">
        <v>131.32327952859967</v>
      </c>
      <c r="W233" s="27">
        <v>131.62878599477349</v>
      </c>
      <c r="X233" s="27">
        <v>0.25086969322961161</v>
      </c>
      <c r="Y233" s="27">
        <v>0.2229091217356583</v>
      </c>
      <c r="Z233" s="27">
        <v>0.22290912173565819</v>
      </c>
      <c r="AA233" s="27">
        <v>0.20055621667664913</v>
      </c>
      <c r="AB233" s="27">
        <v>0.22290912173565819</v>
      </c>
      <c r="AC233" s="27">
        <v>0.20055621667664911</v>
      </c>
    </row>
    <row r="234" spans="4:29" x14ac:dyDescent="0.55000000000000004">
      <c r="D234" s="49">
        <v>44105</v>
      </c>
      <c r="E234" s="92">
        <v>139.32</v>
      </c>
      <c r="L234" s="27">
        <v>132.78248226973241</v>
      </c>
      <c r="M234" s="27">
        <v>132.91102703483031</v>
      </c>
      <c r="N234" s="27">
        <v>0.25086969322961161</v>
      </c>
      <c r="O234" s="27">
        <v>0.2229091217356583</v>
      </c>
      <c r="P234" s="27">
        <v>0.22290912173565819</v>
      </c>
      <c r="Q234" s="27">
        <v>0.20055621667664913</v>
      </c>
      <c r="R234" s="27">
        <v>0.22290912173565819</v>
      </c>
      <c r="S234" s="27">
        <v>0.20055621667664911</v>
      </c>
      <c r="T234" s="53"/>
      <c r="U234" s="53"/>
      <c r="V234" s="27">
        <v>132.78248226973241</v>
      </c>
      <c r="W234" s="27">
        <v>132.91102703483031</v>
      </c>
      <c r="X234" s="27">
        <v>0.25086969322961161</v>
      </c>
      <c r="Y234" s="27">
        <v>0.2229091217356583</v>
      </c>
      <c r="Z234" s="27">
        <v>0.22290912173565819</v>
      </c>
      <c r="AA234" s="27">
        <v>0.20055621667664913</v>
      </c>
      <c r="AB234" s="27">
        <v>0.22290912173565819</v>
      </c>
      <c r="AC234" s="27">
        <v>0.20055621667664911</v>
      </c>
    </row>
    <row r="235" spans="4:29" x14ac:dyDescent="0.55000000000000004">
      <c r="D235" s="49">
        <v>44136</v>
      </c>
      <c r="E235" s="92">
        <v>139.24</v>
      </c>
      <c r="L235" s="27">
        <v>134.16024984700161</v>
      </c>
      <c r="M235" s="27">
        <v>134.13774445984026</v>
      </c>
      <c r="N235" s="27">
        <v>0.25086969322961161</v>
      </c>
      <c r="O235" s="27">
        <v>0.2229091217356583</v>
      </c>
      <c r="P235" s="27">
        <v>0.22290912173565819</v>
      </c>
      <c r="Q235" s="27">
        <v>0.20055621667664913</v>
      </c>
      <c r="R235" s="27">
        <v>0.22290912173565819</v>
      </c>
      <c r="S235" s="27">
        <v>0.20055621667664911</v>
      </c>
      <c r="T235" s="53"/>
      <c r="U235" s="53"/>
      <c r="V235" s="27">
        <v>134.16024984700161</v>
      </c>
      <c r="W235" s="27">
        <v>134.13774445984026</v>
      </c>
      <c r="X235" s="27">
        <v>0.25086969322961161</v>
      </c>
      <c r="Y235" s="27">
        <v>0.2229091217356583</v>
      </c>
      <c r="Z235" s="27">
        <v>0.22290912173565819</v>
      </c>
      <c r="AA235" s="27">
        <v>0.20055621667664913</v>
      </c>
      <c r="AB235" s="27">
        <v>0.22290912173565819</v>
      </c>
      <c r="AC235" s="27">
        <v>0.20055621667664911</v>
      </c>
    </row>
    <row r="236" spans="4:29" x14ac:dyDescent="0.55000000000000004">
      <c r="D236" s="49">
        <v>44166</v>
      </c>
      <c r="E236" s="92">
        <v>139.54</v>
      </c>
      <c r="L236" s="27">
        <v>135.51346699774913</v>
      </c>
      <c r="M236" s="27">
        <v>135.35752035219181</v>
      </c>
      <c r="N236" s="27">
        <v>0.25086969322961161</v>
      </c>
      <c r="O236" s="27">
        <v>0.2229091217356583</v>
      </c>
      <c r="P236" s="27">
        <v>0.22290912173565819</v>
      </c>
      <c r="Q236" s="27">
        <v>0.20055621667664913</v>
      </c>
      <c r="R236" s="27">
        <v>0.22290912173565819</v>
      </c>
      <c r="S236" s="27">
        <v>0.20055621667664911</v>
      </c>
      <c r="T236" s="53"/>
      <c r="U236" s="53"/>
      <c r="V236" s="27">
        <v>135.51346699774913</v>
      </c>
      <c r="W236" s="27">
        <v>135.35752035219181</v>
      </c>
      <c r="X236" s="27">
        <v>0.25086969322961161</v>
      </c>
      <c r="Y236" s="27">
        <v>0.2229091217356583</v>
      </c>
      <c r="Z236" s="27">
        <v>0.22290912173565819</v>
      </c>
      <c r="AA236" s="27">
        <v>0.20055621667664913</v>
      </c>
      <c r="AB236" s="27">
        <v>0.22290912173565819</v>
      </c>
      <c r="AC236" s="27">
        <v>0.20055621667664911</v>
      </c>
    </row>
    <row r="237" spans="4:29" x14ac:dyDescent="0.55000000000000004">
      <c r="D237" s="49">
        <v>44197</v>
      </c>
      <c r="E237" s="92">
        <v>140.13</v>
      </c>
      <c r="L237" s="27">
        <v>136.88795371377719</v>
      </c>
      <c r="M237" s="27">
        <v>136.60981417501861</v>
      </c>
      <c r="N237" s="27">
        <v>0.25086969322961161</v>
      </c>
      <c r="O237" s="27">
        <v>0.2229091217356583</v>
      </c>
      <c r="P237" s="27">
        <v>0.22290912173565819</v>
      </c>
      <c r="Q237" s="27">
        <v>0.20055621667664913</v>
      </c>
      <c r="R237" s="27">
        <v>0.22290912173565819</v>
      </c>
      <c r="S237" s="27">
        <v>0.20055621667664911</v>
      </c>
      <c r="T237" s="53"/>
      <c r="U237" s="53"/>
      <c r="V237" s="27">
        <v>136.88795371377719</v>
      </c>
      <c r="W237" s="27">
        <v>136.60981417501861</v>
      </c>
      <c r="X237" s="27">
        <v>0.25086969322961161</v>
      </c>
      <c r="Y237" s="27">
        <v>0.2229091217356583</v>
      </c>
      <c r="Z237" s="27">
        <v>0.22290912173565819</v>
      </c>
      <c r="AA237" s="27">
        <v>0.20055621667664913</v>
      </c>
      <c r="AB237" s="27">
        <v>0.22290912173565819</v>
      </c>
      <c r="AC237" s="27">
        <v>0.20055621667664911</v>
      </c>
    </row>
    <row r="238" spans="4:29" x14ac:dyDescent="0.55000000000000004">
      <c r="D238" s="49">
        <v>44228</v>
      </c>
      <c r="E238" s="92">
        <v>140.97999999999999</v>
      </c>
      <c r="L238" s="27">
        <v>136.9057457159698</v>
      </c>
      <c r="M238" s="27">
        <v>136.65371333568859</v>
      </c>
      <c r="N238" s="27">
        <v>0.25086969322961161</v>
      </c>
      <c r="O238" s="27">
        <v>0.2229091217356583</v>
      </c>
      <c r="P238" s="27">
        <v>0.22290912173565819</v>
      </c>
      <c r="Q238" s="27">
        <v>0.20055621667664913</v>
      </c>
      <c r="R238" s="27">
        <v>0.22290912173565819</v>
      </c>
      <c r="S238" s="27">
        <v>0.20055621667664911</v>
      </c>
      <c r="T238" s="53"/>
      <c r="U238" s="53"/>
      <c r="V238" s="27">
        <v>136.9057457159698</v>
      </c>
      <c r="W238" s="27">
        <v>136.65371333568859</v>
      </c>
      <c r="X238" s="27">
        <v>0.25086969322961161</v>
      </c>
      <c r="Y238" s="27">
        <v>0.2229091217356583</v>
      </c>
      <c r="Z238" s="27">
        <v>0.22290912173565819</v>
      </c>
      <c r="AA238" s="27">
        <v>0.20055621667664913</v>
      </c>
      <c r="AB238" s="27">
        <v>0.22290912173565819</v>
      </c>
      <c r="AC238" s="27">
        <v>0.20055621667664911</v>
      </c>
    </row>
    <row r="239" spans="4:29" x14ac:dyDescent="0.55000000000000004">
      <c r="D239" s="49">
        <v>44256</v>
      </c>
      <c r="E239" s="92">
        <v>135.72</v>
      </c>
      <c r="L239" s="27">
        <v>137.27686824948771</v>
      </c>
      <c r="M239" s="27">
        <v>137.01289373391819</v>
      </c>
      <c r="N239" s="27">
        <v>0.25086969322961161</v>
      </c>
      <c r="O239" s="27">
        <v>0.2229091217356583</v>
      </c>
      <c r="P239" s="27">
        <v>0.22290912173565819</v>
      </c>
      <c r="Q239" s="27">
        <v>0.20055621667664913</v>
      </c>
      <c r="R239" s="27">
        <v>0.22290912173565819</v>
      </c>
      <c r="S239" s="27">
        <v>0.20055621667664911</v>
      </c>
      <c r="T239" s="53"/>
      <c r="U239" s="53"/>
      <c r="V239" s="27">
        <v>137.27686824948771</v>
      </c>
      <c r="W239" s="27">
        <v>137.01289373391819</v>
      </c>
      <c r="X239" s="27">
        <v>0.25086969322961161</v>
      </c>
      <c r="Y239" s="27">
        <v>0.2229091217356583</v>
      </c>
      <c r="Z239" s="27">
        <v>0.22290912173565819</v>
      </c>
      <c r="AA239" s="27">
        <v>0.20055621667664913</v>
      </c>
      <c r="AB239" s="27">
        <v>0.22290912173565819</v>
      </c>
      <c r="AC239" s="27">
        <v>0.20055621667664911</v>
      </c>
    </row>
    <row r="240" spans="4:29" x14ac:dyDescent="0.55000000000000004">
      <c r="D240" s="49">
        <v>44287</v>
      </c>
      <c r="E240" s="92">
        <v>137.44</v>
      </c>
      <c r="L240" s="27">
        <v>137.86698817854747</v>
      </c>
      <c r="M240" s="27">
        <v>137.57030841786994</v>
      </c>
      <c r="N240" s="27">
        <v>0.25086969322961161</v>
      </c>
      <c r="O240" s="27">
        <v>0.2229091217356583</v>
      </c>
      <c r="P240" s="27">
        <v>0.22290912173565819</v>
      </c>
      <c r="Q240" s="27">
        <v>0.20055621667664913</v>
      </c>
      <c r="R240" s="27">
        <v>0.22290912173565819</v>
      </c>
      <c r="S240" s="27">
        <v>0.20055621667664911</v>
      </c>
      <c r="T240" s="53"/>
      <c r="U240" s="53"/>
      <c r="V240" s="27">
        <v>137.86698817854747</v>
      </c>
      <c r="W240" s="27">
        <v>137.57030841786994</v>
      </c>
      <c r="X240" s="27">
        <v>0.25086969322961161</v>
      </c>
      <c r="Y240" s="27">
        <v>0.2229091217356583</v>
      </c>
      <c r="Z240" s="27">
        <v>0.22290912173565819</v>
      </c>
      <c r="AA240" s="27">
        <v>0.20055621667664913</v>
      </c>
      <c r="AB240" s="27">
        <v>0.22290912173565819</v>
      </c>
      <c r="AC240" s="27">
        <v>0.20055621667664911</v>
      </c>
    </row>
    <row r="241" spans="4:29" x14ac:dyDescent="0.55000000000000004">
      <c r="D241" s="49">
        <v>44317</v>
      </c>
      <c r="E241" s="92">
        <v>138.74</v>
      </c>
      <c r="L241" s="27">
        <v>138.40508115317434</v>
      </c>
      <c r="M241" s="27">
        <v>138.08419293207407</v>
      </c>
      <c r="N241" s="27">
        <v>0.25086969322961161</v>
      </c>
      <c r="O241" s="27">
        <v>0.2229091217356583</v>
      </c>
      <c r="P241" s="27">
        <v>0.22290912173565819</v>
      </c>
      <c r="Q241" s="27">
        <v>0.20055621667664913</v>
      </c>
      <c r="R241" s="27">
        <v>0.22290912173565819</v>
      </c>
      <c r="S241" s="27">
        <v>0.20055621667664911</v>
      </c>
      <c r="T241" s="53"/>
      <c r="U241" s="53"/>
      <c r="V241" s="27">
        <v>138.40508115317434</v>
      </c>
      <c r="W241" s="27">
        <v>138.08419293207407</v>
      </c>
      <c r="X241" s="27">
        <v>0.25086969322961161</v>
      </c>
      <c r="Y241" s="27">
        <v>0.2229091217356583</v>
      </c>
      <c r="Z241" s="27">
        <v>0.22290912173565819</v>
      </c>
      <c r="AA241" s="27">
        <v>0.20055621667664913</v>
      </c>
      <c r="AB241" s="27">
        <v>0.22290912173565819</v>
      </c>
      <c r="AC241" s="27">
        <v>0.20055621667664911</v>
      </c>
    </row>
    <row r="242" spans="4:29" x14ac:dyDescent="0.55000000000000004">
      <c r="D242" s="49">
        <v>44348</v>
      </c>
      <c r="E242" s="92">
        <v>138.94999999999999</v>
      </c>
      <c r="L242" s="27">
        <v>138.74489855983933</v>
      </c>
      <c r="M242" s="27">
        <v>138.42211215581824</v>
      </c>
      <c r="N242" s="27">
        <v>0.25086969322961161</v>
      </c>
      <c r="O242" s="27">
        <v>0.2229091217356583</v>
      </c>
      <c r="P242" s="27">
        <v>0.22290912173565819</v>
      </c>
      <c r="Q242" s="27">
        <v>0.20055621667664913</v>
      </c>
      <c r="R242" s="27">
        <v>0.22290912173565819</v>
      </c>
      <c r="S242" s="27">
        <v>0.20055621667664911</v>
      </c>
      <c r="T242" s="53"/>
      <c r="U242" s="53"/>
      <c r="V242" s="27">
        <v>138.74489855983933</v>
      </c>
      <c r="W242" s="27">
        <v>138.42211215581824</v>
      </c>
      <c r="X242" s="27">
        <v>0.25086969322961161</v>
      </c>
      <c r="Y242" s="27">
        <v>0.2229091217356583</v>
      </c>
      <c r="Z242" s="27">
        <v>0.22290912173565819</v>
      </c>
      <c r="AA242" s="27">
        <v>0.20055621667664913</v>
      </c>
      <c r="AB242" s="27">
        <v>0.22290912173565819</v>
      </c>
      <c r="AC242" s="27">
        <v>0.20055621667664911</v>
      </c>
    </row>
    <row r="243" spans="4:29" x14ac:dyDescent="0.55000000000000004">
      <c r="D243" s="49">
        <v>44378</v>
      </c>
      <c r="E243" s="92">
        <v>138.49</v>
      </c>
      <c r="L243" s="27">
        <v>139.10671667210127</v>
      </c>
      <c r="M243" s="27">
        <v>138.78001624221258</v>
      </c>
      <c r="N243" s="27">
        <v>0.25086969322961161</v>
      </c>
      <c r="O243" s="27">
        <v>0.2229091217356583</v>
      </c>
      <c r="P243" s="27">
        <v>0.22290912173565819</v>
      </c>
      <c r="Q243" s="27">
        <v>0.20055621667664913</v>
      </c>
      <c r="R243" s="27">
        <v>0.22290912173565819</v>
      </c>
      <c r="S243" s="27">
        <v>0.20055621667664911</v>
      </c>
      <c r="T243" s="53"/>
      <c r="U243" s="53"/>
      <c r="V243" s="27">
        <v>139.10671667210127</v>
      </c>
      <c r="W243" s="27">
        <v>138.78001624221258</v>
      </c>
      <c r="X243" s="27">
        <v>0.25086969322961161</v>
      </c>
      <c r="Y243" s="27">
        <v>0.2229091217356583</v>
      </c>
      <c r="Z243" s="27">
        <v>0.22290912173565819</v>
      </c>
      <c r="AA243" s="27">
        <v>0.20055621667664913</v>
      </c>
      <c r="AB243" s="27">
        <v>0.22290912173565819</v>
      </c>
      <c r="AC243" s="27">
        <v>0.20055621667664911</v>
      </c>
    </row>
    <row r="244" spans="4:29" x14ac:dyDescent="0.55000000000000004">
      <c r="D244" s="49">
        <v>44409</v>
      </c>
      <c r="E244" s="92">
        <v>138.91999999999999</v>
      </c>
      <c r="L244" s="27">
        <v>139.37842170529433</v>
      </c>
      <c r="M244" s="27">
        <v>139.0572361097536</v>
      </c>
      <c r="N244" s="27">
        <v>0.25086969322961161</v>
      </c>
      <c r="O244" s="27">
        <v>0.2229091217356583</v>
      </c>
      <c r="P244" s="27">
        <v>0.22290912173565819</v>
      </c>
      <c r="Q244" s="27">
        <v>0.20055621667664913</v>
      </c>
      <c r="R244" s="27">
        <v>0.22290912173565819</v>
      </c>
      <c r="S244" s="27">
        <v>0.20055621667664911</v>
      </c>
      <c r="T244" s="53"/>
      <c r="U244" s="53"/>
      <c r="V244" s="27">
        <v>139.37842170529433</v>
      </c>
      <c r="W244" s="27">
        <v>139.0572361097536</v>
      </c>
      <c r="X244" s="27">
        <v>0.25086969322961161</v>
      </c>
      <c r="Y244" s="27">
        <v>0.2229091217356583</v>
      </c>
      <c r="Z244" s="27">
        <v>0.22290912173565819</v>
      </c>
      <c r="AA244" s="27">
        <v>0.20055621667664913</v>
      </c>
      <c r="AB244" s="27">
        <v>0.22290912173565819</v>
      </c>
      <c r="AC244" s="27">
        <v>0.20055621667664911</v>
      </c>
    </row>
    <row r="245" spans="4:29" x14ac:dyDescent="0.55000000000000004">
      <c r="D245" s="49">
        <v>44440</v>
      </c>
      <c r="E245" s="92">
        <v>138.86000000000001</v>
      </c>
      <c r="L245" s="27">
        <v>139.7534573063383</v>
      </c>
      <c r="M245" s="27">
        <v>139.4268717341117</v>
      </c>
      <c r="N245" s="27">
        <v>0.25086969322961161</v>
      </c>
      <c r="O245" s="27">
        <v>0.2229091217356583</v>
      </c>
      <c r="P245" s="27">
        <v>0.22290912173565819</v>
      </c>
      <c r="Q245" s="27">
        <v>0.20055621667664913</v>
      </c>
      <c r="R245" s="27">
        <v>0.22290912173565819</v>
      </c>
      <c r="S245" s="27">
        <v>0.20055621667664911</v>
      </c>
      <c r="T245" s="53"/>
      <c r="U245" s="53"/>
      <c r="V245" s="27">
        <v>139.7534573063383</v>
      </c>
      <c r="W245" s="27">
        <v>139.4268717341117</v>
      </c>
      <c r="X245" s="27">
        <v>0.25086969322961161</v>
      </c>
      <c r="Y245" s="27">
        <v>0.2229091217356583</v>
      </c>
      <c r="Z245" s="27">
        <v>0.22290912173565819</v>
      </c>
      <c r="AA245" s="27">
        <v>0.20055621667664913</v>
      </c>
      <c r="AB245" s="27">
        <v>0.22290912173565819</v>
      </c>
      <c r="AC245" s="27">
        <v>0.20055621667664911</v>
      </c>
    </row>
    <row r="246" spans="4:29" x14ac:dyDescent="0.55000000000000004">
      <c r="D246" s="49">
        <v>44470</v>
      </c>
      <c r="E246" s="92">
        <v>139.62</v>
      </c>
      <c r="L246" s="27">
        <v>140.36905407170184</v>
      </c>
      <c r="M246" s="27">
        <v>140.01348700373885</v>
      </c>
      <c r="N246" s="27">
        <v>0.25086969322961161</v>
      </c>
      <c r="O246" s="27">
        <v>0.2229091217356583</v>
      </c>
      <c r="P246" s="27">
        <v>0.22290912173565819</v>
      </c>
      <c r="Q246" s="27">
        <v>0.20055621667664913</v>
      </c>
      <c r="R246" s="27">
        <v>0.22290912173565819</v>
      </c>
      <c r="S246" s="27">
        <v>0.20055621667664911</v>
      </c>
      <c r="T246" s="53"/>
      <c r="U246" s="53"/>
      <c r="V246" s="27">
        <v>140.36905407170184</v>
      </c>
      <c r="W246" s="27">
        <v>140.01348700373885</v>
      </c>
      <c r="X246" s="27">
        <v>0.25086969322961161</v>
      </c>
      <c r="Y246" s="27">
        <v>0.2229091217356583</v>
      </c>
      <c r="Z246" s="27">
        <v>0.22290912173565819</v>
      </c>
      <c r="AA246" s="27">
        <v>0.20055621667664913</v>
      </c>
      <c r="AB246" s="27">
        <v>0.22290912173565819</v>
      </c>
      <c r="AC246" s="27">
        <v>0.20055621667664911</v>
      </c>
    </row>
    <row r="247" spans="4:29" x14ac:dyDescent="0.55000000000000004">
      <c r="D247" s="49">
        <v>44501</v>
      </c>
      <c r="E247" s="92">
        <v>141.05000000000001</v>
      </c>
      <c r="L247" s="27">
        <v>140.9143047491863</v>
      </c>
      <c r="M247" s="27">
        <v>140.53971656767771</v>
      </c>
      <c r="N247" s="27">
        <v>0.25086969322961161</v>
      </c>
      <c r="O247" s="27">
        <v>0.2229091217356583</v>
      </c>
      <c r="P247" s="27">
        <v>0.22290912173565819</v>
      </c>
      <c r="Q247" s="27">
        <v>0.20055621667664913</v>
      </c>
      <c r="R247" s="27">
        <v>0.22290912173565819</v>
      </c>
      <c r="S247" s="27">
        <v>0.20055621667664911</v>
      </c>
      <c r="T247" s="53"/>
      <c r="U247" s="53"/>
      <c r="V247" s="27">
        <v>140.9143047491863</v>
      </c>
      <c r="W247" s="27">
        <v>140.53971656767771</v>
      </c>
      <c r="X247" s="27">
        <v>0.25086969322961161</v>
      </c>
      <c r="Y247" s="27">
        <v>0.2229091217356583</v>
      </c>
      <c r="Z247" s="27">
        <v>0.22290912173565819</v>
      </c>
      <c r="AA247" s="27">
        <v>0.20055621667664913</v>
      </c>
      <c r="AB247" s="27">
        <v>0.22290912173565819</v>
      </c>
      <c r="AC247" s="27">
        <v>0.20055621667664911</v>
      </c>
    </row>
    <row r="248" spans="4:29" x14ac:dyDescent="0.55000000000000004">
      <c r="D248" s="49">
        <v>44531</v>
      </c>
      <c r="E248" s="92">
        <v>141.22</v>
      </c>
      <c r="L248" s="27">
        <v>141.14304243370628</v>
      </c>
      <c r="M248" s="27">
        <v>140.78307986413594</v>
      </c>
      <c r="N248" s="27">
        <v>0.25086969322961161</v>
      </c>
      <c r="O248" s="27">
        <v>0.2229091217356583</v>
      </c>
      <c r="P248" s="27">
        <v>0.22290912173565819</v>
      </c>
      <c r="Q248" s="27">
        <v>0.20055621667664913</v>
      </c>
      <c r="R248" s="27">
        <v>0.22290912173565819</v>
      </c>
      <c r="S248" s="27">
        <v>0.20055621667664911</v>
      </c>
      <c r="T248" s="53"/>
      <c r="U248" s="53"/>
      <c r="V248" s="27">
        <v>141.14304243370628</v>
      </c>
      <c r="W248" s="27">
        <v>140.78307986413594</v>
      </c>
      <c r="X248" s="27">
        <v>0.25086969322961161</v>
      </c>
      <c r="Y248" s="27">
        <v>0.2229091217356583</v>
      </c>
      <c r="Z248" s="27">
        <v>0.22290912173565819</v>
      </c>
      <c r="AA248" s="27">
        <v>0.20055621667664913</v>
      </c>
      <c r="AB248" s="27">
        <v>0.22290912173565819</v>
      </c>
      <c r="AC248" s="27">
        <v>0.20055621667664911</v>
      </c>
    </row>
    <row r="249" spans="4:29" x14ac:dyDescent="0.55000000000000004">
      <c r="D249" s="49">
        <v>44562</v>
      </c>
      <c r="E249" s="92">
        <v>140.26</v>
      </c>
      <c r="L249" s="27">
        <v>141.4309958980958</v>
      </c>
      <c r="M249" s="27">
        <v>141.07825426537613</v>
      </c>
      <c r="N249" s="27">
        <v>0.25086969322961161</v>
      </c>
      <c r="O249" s="27">
        <v>0.2229091217356583</v>
      </c>
      <c r="P249" s="27">
        <v>0.22290912173565819</v>
      </c>
      <c r="Q249" s="27">
        <v>0.20055621667664913</v>
      </c>
      <c r="R249" s="27">
        <v>0.22290912173565819</v>
      </c>
      <c r="S249" s="27">
        <v>0.20055621667664911</v>
      </c>
      <c r="T249" s="53"/>
      <c r="U249" s="53"/>
      <c r="V249" s="27">
        <v>141.4309958980958</v>
      </c>
      <c r="W249" s="27">
        <v>141.07825426537613</v>
      </c>
      <c r="X249" s="27">
        <v>0.25086969322961161</v>
      </c>
      <c r="Y249" s="27">
        <v>0.2229091217356583</v>
      </c>
      <c r="Z249" s="27">
        <v>0.22290912173565819</v>
      </c>
      <c r="AA249" s="27">
        <v>0.20055621667664913</v>
      </c>
      <c r="AB249" s="27">
        <v>0.22290912173565819</v>
      </c>
      <c r="AC249" s="27">
        <v>0.20055621667664911</v>
      </c>
    </row>
    <row r="250" spans="4:29" x14ac:dyDescent="0.55000000000000004">
      <c r="D250" s="49">
        <v>44593</v>
      </c>
      <c r="E250" s="92">
        <v>140.82</v>
      </c>
      <c r="L250" s="27">
        <v>141.89719918813077</v>
      </c>
      <c r="M250" s="27">
        <v>141.53307983504661</v>
      </c>
      <c r="N250" s="27">
        <v>0.25086969322961161</v>
      </c>
      <c r="O250" s="27">
        <v>0.2229091217356583</v>
      </c>
      <c r="P250" s="27">
        <v>0.22290912173565819</v>
      </c>
      <c r="Q250" s="27">
        <v>0.20055621667664913</v>
      </c>
      <c r="R250" s="27">
        <v>0.22290912173565819</v>
      </c>
      <c r="S250" s="27">
        <v>0.20055621667664911</v>
      </c>
      <c r="V250" s="27">
        <v>141.89719918813077</v>
      </c>
      <c r="W250" s="27">
        <v>141.53307983504661</v>
      </c>
      <c r="X250" s="27">
        <v>0.25086969322961161</v>
      </c>
      <c r="Y250" s="27">
        <v>0.2229091217356583</v>
      </c>
      <c r="Z250" s="27">
        <v>0.22290912173565819</v>
      </c>
      <c r="AA250" s="27">
        <v>0.20055621667664913</v>
      </c>
      <c r="AB250" s="27">
        <v>0.22290912173565819</v>
      </c>
      <c r="AC250" s="27">
        <v>0.20055621667664911</v>
      </c>
    </row>
    <row r="251" spans="4:29" x14ac:dyDescent="0.55000000000000004">
      <c r="D251" s="49">
        <v>44621</v>
      </c>
      <c r="E251" s="92">
        <v>141.94</v>
      </c>
      <c r="L251" s="27">
        <v>142.3265865130322</v>
      </c>
      <c r="M251" s="27">
        <v>141.95592221119912</v>
      </c>
      <c r="N251" s="27">
        <v>0.25086969322961161</v>
      </c>
      <c r="O251" s="27">
        <v>0.2229091217356583</v>
      </c>
      <c r="P251" s="27">
        <v>0.22290912173565819</v>
      </c>
      <c r="Q251" s="27">
        <v>0.20055621667664913</v>
      </c>
      <c r="R251" s="27">
        <v>0.22290912173565819</v>
      </c>
      <c r="S251" s="27">
        <v>0.20055621667664911</v>
      </c>
      <c r="V251" s="27">
        <v>142.3265865130322</v>
      </c>
      <c r="W251" s="27">
        <v>141.95592221119912</v>
      </c>
      <c r="X251" s="27">
        <v>0.25086969322961161</v>
      </c>
      <c r="Y251" s="27">
        <v>0.2229091217356583</v>
      </c>
      <c r="Z251" s="27">
        <v>0.22290912173565819</v>
      </c>
      <c r="AA251" s="27">
        <v>0.20055621667664913</v>
      </c>
      <c r="AB251" s="27">
        <v>0.22290912173565819</v>
      </c>
      <c r="AC251" s="27">
        <v>0.20055621667664911</v>
      </c>
    </row>
    <row r="252" spans="4:29" x14ac:dyDescent="0.55000000000000004">
      <c r="D252" s="49">
        <v>44652</v>
      </c>
      <c r="E252" s="92">
        <v>142.19</v>
      </c>
      <c r="L252" s="27">
        <v>142.65788807033491</v>
      </c>
      <c r="M252" s="27">
        <v>142.29117099006234</v>
      </c>
      <c r="N252" s="27">
        <v>0.25086969322961161</v>
      </c>
      <c r="O252" s="27">
        <v>0.2229091217356583</v>
      </c>
      <c r="P252" s="27">
        <v>0.22290912173565819</v>
      </c>
      <c r="Q252" s="27">
        <v>0.20055621667664913</v>
      </c>
      <c r="R252" s="27">
        <v>0.22290912173565819</v>
      </c>
      <c r="S252" s="27">
        <v>0.20055621667664911</v>
      </c>
      <c r="V252" s="27">
        <v>142.65788807033491</v>
      </c>
      <c r="W252" s="27">
        <v>142.29117099006234</v>
      </c>
      <c r="X252" s="27">
        <v>0.25086969322961161</v>
      </c>
      <c r="Y252" s="27">
        <v>0.2229091217356583</v>
      </c>
      <c r="Z252" s="27">
        <v>0.22290912173565819</v>
      </c>
      <c r="AA252" s="27">
        <v>0.20055621667664913</v>
      </c>
      <c r="AB252" s="27">
        <v>0.22290912173565819</v>
      </c>
      <c r="AC252" s="27">
        <v>0.20055621667664911</v>
      </c>
    </row>
    <row r="253" spans="4:29" x14ac:dyDescent="0.55000000000000004">
      <c r="D253" s="49">
        <v>44682</v>
      </c>
      <c r="E253" s="92">
        <v>142.15</v>
      </c>
      <c r="L253" s="27">
        <v>143.07634501699349</v>
      </c>
      <c r="M253" s="27">
        <v>142.70443956079404</v>
      </c>
      <c r="N253" s="27">
        <v>0.25086969322961161</v>
      </c>
      <c r="O253" s="27">
        <v>0.2229091217356583</v>
      </c>
      <c r="P253" s="27">
        <v>0.22290912173565819</v>
      </c>
      <c r="Q253" s="27">
        <v>0.20055621667664913</v>
      </c>
      <c r="R253" s="27">
        <v>0.22290912173565819</v>
      </c>
      <c r="S253" s="27">
        <v>0.20055621667664911</v>
      </c>
      <c r="V253" s="27">
        <v>143.07634501699349</v>
      </c>
      <c r="W253" s="27">
        <v>142.70443956079404</v>
      </c>
      <c r="X253" s="27">
        <v>0.25086969322961161</v>
      </c>
      <c r="Y253" s="27">
        <v>0.2229091217356583</v>
      </c>
      <c r="Z253" s="27">
        <v>0.22290912173565819</v>
      </c>
      <c r="AA253" s="27">
        <v>0.20055621667664913</v>
      </c>
      <c r="AB253" s="27">
        <v>0.22290912173565819</v>
      </c>
      <c r="AC253" s="27">
        <v>0.20055621667664911</v>
      </c>
    </row>
    <row r="254" spans="4:29" x14ac:dyDescent="0.55000000000000004">
      <c r="D254" s="49">
        <v>44713</v>
      </c>
      <c r="E254" s="92">
        <v>142.88999999999999</v>
      </c>
      <c r="L254" s="27">
        <v>143.97067254710632</v>
      </c>
      <c r="M254" s="27">
        <v>143.54637959358064</v>
      </c>
      <c r="N254" s="27">
        <v>0.25086969322961161</v>
      </c>
      <c r="O254" s="27">
        <v>0.2229091217356583</v>
      </c>
      <c r="P254" s="27">
        <v>0.22290912173565819</v>
      </c>
      <c r="Q254" s="27">
        <v>0.20055621667664913</v>
      </c>
      <c r="R254" s="27">
        <v>0.22290912173565819</v>
      </c>
      <c r="S254" s="27">
        <v>0.20055621667664911</v>
      </c>
      <c r="V254" s="27">
        <v>143.97067254710632</v>
      </c>
      <c r="W254" s="27">
        <v>143.54637959358064</v>
      </c>
      <c r="X254" s="27">
        <v>0.25086969322961161</v>
      </c>
      <c r="Y254" s="27">
        <v>0.2229091217356583</v>
      </c>
      <c r="Z254" s="27">
        <v>0.22290912173565819</v>
      </c>
      <c r="AA254" s="27">
        <v>0.20055621667664913</v>
      </c>
      <c r="AB254" s="27">
        <v>0.22290912173565819</v>
      </c>
      <c r="AC254" s="27">
        <v>0.20055621667664911</v>
      </c>
    </row>
    <row r="255" spans="4:29" x14ac:dyDescent="0.55000000000000004">
      <c r="D255" s="49">
        <v>44743</v>
      </c>
      <c r="E255" s="92">
        <v>145.41999999999999</v>
      </c>
      <c r="L255" s="27">
        <v>144.50849923583237</v>
      </c>
      <c r="M255" s="27">
        <v>144.07282133410823</v>
      </c>
      <c r="N255" s="27">
        <v>0.25086969322961161</v>
      </c>
      <c r="O255" s="27">
        <v>0.2229091217356583</v>
      </c>
      <c r="P255" s="27">
        <v>0.22290912173565819</v>
      </c>
      <c r="Q255" s="27">
        <v>0.20055621667664913</v>
      </c>
      <c r="R255" s="27">
        <v>0.22290912173565819</v>
      </c>
      <c r="S255" s="27">
        <v>0.20055621667664911</v>
      </c>
      <c r="V255" s="27">
        <v>144.50849923583237</v>
      </c>
      <c r="W255" s="27">
        <v>144.07282133410823</v>
      </c>
      <c r="X255" s="27">
        <v>0.25086969322961161</v>
      </c>
      <c r="Y255" s="27">
        <v>0.2229091217356583</v>
      </c>
      <c r="Z255" s="27">
        <v>0.22290912173565819</v>
      </c>
      <c r="AA255" s="27">
        <v>0.20055621667664913</v>
      </c>
      <c r="AB255" s="27">
        <v>0.22290912173565819</v>
      </c>
      <c r="AC255" s="27">
        <v>0.20055621667664911</v>
      </c>
    </row>
    <row r="256" spans="4:29" x14ac:dyDescent="0.55000000000000004">
      <c r="D256" s="49">
        <v>44774</v>
      </c>
      <c r="E256" s="92">
        <v>144.47999999999999</v>
      </c>
      <c r="L256" s="27">
        <v>144.94005348914436</v>
      </c>
      <c r="M256" s="27">
        <v>144.50478909908242</v>
      </c>
      <c r="N256" s="27">
        <v>0.25086969322961161</v>
      </c>
      <c r="O256" s="27">
        <v>0.2229091217356583</v>
      </c>
      <c r="P256" s="27">
        <v>0.22290912173565819</v>
      </c>
      <c r="Q256" s="27">
        <v>0.20055621667664913</v>
      </c>
      <c r="R256" s="27">
        <v>0.22290912173565819</v>
      </c>
      <c r="S256" s="27">
        <v>0.20055621667664911</v>
      </c>
      <c r="V256" s="27">
        <v>144.94005348914436</v>
      </c>
      <c r="W256" s="27">
        <v>144.50478909908242</v>
      </c>
      <c r="X256" s="27">
        <v>0.25086969322961161</v>
      </c>
      <c r="Y256" s="27">
        <v>0.2229091217356583</v>
      </c>
      <c r="Z256" s="27">
        <v>0.22290912173565819</v>
      </c>
      <c r="AA256" s="27">
        <v>0.20055621667664913</v>
      </c>
      <c r="AB256" s="27">
        <v>0.22290912173565819</v>
      </c>
      <c r="AC256" s="27">
        <v>0.20055621667664911</v>
      </c>
    </row>
    <row r="257" spans="4:29" x14ac:dyDescent="0.55000000000000004">
      <c r="D257" s="49">
        <v>44805</v>
      </c>
      <c r="E257" s="92">
        <v>144.49</v>
      </c>
      <c r="L257" s="27">
        <v>145.31734958433685</v>
      </c>
      <c r="M257" s="27">
        <v>144.88789814522801</v>
      </c>
      <c r="N257" s="27">
        <v>0.25086969322961161</v>
      </c>
      <c r="O257" s="27">
        <v>0.2229091217356583</v>
      </c>
      <c r="P257" s="27">
        <v>0.22290912173565819</v>
      </c>
      <c r="Q257" s="27">
        <v>0.20055621667664913</v>
      </c>
      <c r="R257" s="27">
        <v>0.22290912173565819</v>
      </c>
      <c r="S257" s="27">
        <v>0.20055621667664911</v>
      </c>
      <c r="V257" s="27">
        <v>145.31734958433685</v>
      </c>
      <c r="W257" s="27">
        <v>144.88789814522801</v>
      </c>
      <c r="X257" s="27">
        <v>0.25086969322961161</v>
      </c>
      <c r="Y257" s="27">
        <v>0.2229091217356583</v>
      </c>
      <c r="Z257" s="27">
        <v>0.22290912173565819</v>
      </c>
      <c r="AA257" s="27">
        <v>0.20055621667664913</v>
      </c>
      <c r="AB257" s="27">
        <v>0.22290912173565819</v>
      </c>
      <c r="AC257" s="27">
        <v>0.20055621667664911</v>
      </c>
    </row>
    <row r="258" spans="4:29" x14ac:dyDescent="0.55000000000000004">
      <c r="D258" s="49">
        <v>44835</v>
      </c>
      <c r="E258" s="92">
        <v>144.68</v>
      </c>
      <c r="L258" s="27">
        <v>145.17228629119541</v>
      </c>
      <c r="M258" s="27">
        <v>144.80044610264912</v>
      </c>
      <c r="N258" s="27">
        <v>0.25086969322961161</v>
      </c>
      <c r="O258" s="27">
        <v>0.2229091217356583</v>
      </c>
      <c r="P258" s="27">
        <v>0.22290912173565819</v>
      </c>
      <c r="Q258" s="27">
        <v>0.20055621667664913</v>
      </c>
      <c r="R258" s="27">
        <v>0.22290912173565819</v>
      </c>
      <c r="S258" s="27">
        <v>0.20055621667664911</v>
      </c>
      <c r="V258" s="27">
        <v>145.17228629119541</v>
      </c>
      <c r="W258" s="27">
        <v>144.80044610264912</v>
      </c>
      <c r="X258" s="27">
        <v>0.25086969322961161</v>
      </c>
      <c r="Y258" s="27">
        <v>0.2229091217356583</v>
      </c>
      <c r="Z258" s="27">
        <v>0.22290912173565819</v>
      </c>
      <c r="AA258" s="27">
        <v>0.20055621667664913</v>
      </c>
      <c r="AB258" s="27">
        <v>0.22290912173565819</v>
      </c>
      <c r="AC258" s="27">
        <v>0.20055621667664911</v>
      </c>
    </row>
    <row r="259" spans="4:29" x14ac:dyDescent="0.55000000000000004">
      <c r="D259" s="49">
        <v>44866</v>
      </c>
      <c r="E259" s="92">
        <v>142.74</v>
      </c>
      <c r="L259" s="27">
        <v>144.90386766519796</v>
      </c>
      <c r="M259" s="27">
        <v>144.59623141942106</v>
      </c>
      <c r="N259" s="27">
        <v>0.25086969322961161</v>
      </c>
      <c r="O259" s="27">
        <v>0.2229091217356583</v>
      </c>
      <c r="P259" s="27">
        <v>0.22290912173565819</v>
      </c>
      <c r="Q259" s="27">
        <v>0.20055621667664913</v>
      </c>
      <c r="R259" s="27">
        <v>0.22290912173565819</v>
      </c>
      <c r="S259" s="27">
        <v>0.20055621667664911</v>
      </c>
      <c r="V259" s="27">
        <v>144.90386766519796</v>
      </c>
      <c r="W259" s="27">
        <v>144.59623141942106</v>
      </c>
      <c r="X259" s="27">
        <v>0.25086969322961161</v>
      </c>
      <c r="Y259" s="27">
        <v>0.2229091217356583</v>
      </c>
      <c r="Z259" s="27">
        <v>0.22290912173565819</v>
      </c>
      <c r="AA259" s="27">
        <v>0.20055621667664913</v>
      </c>
      <c r="AB259" s="27">
        <v>0.22290912173565819</v>
      </c>
      <c r="AC259" s="27">
        <v>0.20055621667664911</v>
      </c>
    </row>
    <row r="260" spans="4:29" x14ac:dyDescent="0.55000000000000004">
      <c r="D260" s="49">
        <v>44896</v>
      </c>
      <c r="E260" s="92">
        <v>142.30000000000001</v>
      </c>
      <c r="L260" s="27">
        <v>144.89411082025779</v>
      </c>
      <c r="M260" s="27">
        <v>144.61830215321766</v>
      </c>
      <c r="N260" s="27">
        <v>0.25086969322961161</v>
      </c>
      <c r="O260" s="27">
        <v>0.2229091217356583</v>
      </c>
      <c r="P260" s="27">
        <v>0.22290912173565819</v>
      </c>
      <c r="Q260" s="27">
        <v>0.20055621667664913</v>
      </c>
      <c r="R260" s="27">
        <v>0.22290912173565819</v>
      </c>
      <c r="S260" s="27">
        <v>0.20055621667664911</v>
      </c>
      <c r="V260" s="27">
        <v>144.89411082025779</v>
      </c>
      <c r="W260" s="27">
        <v>144.61830215321766</v>
      </c>
      <c r="X260" s="27">
        <v>0.25086969322961161</v>
      </c>
      <c r="Y260" s="27">
        <v>0.2229091217356583</v>
      </c>
      <c r="Z260" s="27">
        <v>0.22290912173565819</v>
      </c>
      <c r="AA260" s="27">
        <v>0.20055621667664913</v>
      </c>
      <c r="AB260" s="27">
        <v>0.22290912173565819</v>
      </c>
      <c r="AC260" s="27">
        <v>0.20055621667664911</v>
      </c>
    </row>
    <row r="261" spans="4:29" x14ac:dyDescent="0.55000000000000004">
      <c r="D261" s="49">
        <v>44927</v>
      </c>
      <c r="E261" s="92">
        <v>143.47999999999999</v>
      </c>
      <c r="L261" s="27">
        <v>145.75525413812943</v>
      </c>
      <c r="M261" s="27">
        <v>145.42074921955904</v>
      </c>
      <c r="N261" s="27">
        <v>0.25086969322961161</v>
      </c>
      <c r="O261" s="27">
        <v>0.2229091217356583</v>
      </c>
      <c r="P261" s="27">
        <v>0.22290912173565819</v>
      </c>
      <c r="Q261" s="27">
        <v>0.20055621667664913</v>
      </c>
      <c r="R261" s="27">
        <v>0.22290912173565819</v>
      </c>
      <c r="S261" s="27">
        <v>0.20055621667664911</v>
      </c>
      <c r="V261" s="27">
        <v>145.75525413812943</v>
      </c>
      <c r="W261" s="27">
        <v>145.42074921955904</v>
      </c>
      <c r="X261" s="27">
        <v>0.25086969322961161</v>
      </c>
      <c r="Y261" s="27">
        <v>0.2229091217356583</v>
      </c>
      <c r="Z261" s="27">
        <v>0.22290912173565819</v>
      </c>
      <c r="AA261" s="27">
        <v>0.20055621667664913</v>
      </c>
      <c r="AB261" s="27">
        <v>0.22290912173565819</v>
      </c>
      <c r="AC261" s="27">
        <v>0.20055621667664911</v>
      </c>
    </row>
    <row r="262" spans="4:29" x14ac:dyDescent="0.55000000000000004">
      <c r="D262" s="49">
        <v>44958</v>
      </c>
      <c r="E262" s="92">
        <v>147.52000000000001</v>
      </c>
      <c r="L262" s="27">
        <v>146.3716824459882</v>
      </c>
      <c r="M262" s="27">
        <v>146.00890678324365</v>
      </c>
      <c r="N262" s="27">
        <v>0.25086969322961161</v>
      </c>
      <c r="O262" s="27">
        <v>0.2229091217356583</v>
      </c>
      <c r="P262" s="27">
        <v>0.22290912173565819</v>
      </c>
      <c r="Q262" s="27">
        <v>0.20055621667664913</v>
      </c>
      <c r="R262" s="27">
        <v>0.22290912173565819</v>
      </c>
      <c r="S262" s="27">
        <v>0.20055621667664911</v>
      </c>
      <c r="V262" s="27">
        <v>146.3716824459882</v>
      </c>
      <c r="W262" s="27">
        <v>146.00890678324365</v>
      </c>
      <c r="X262" s="27">
        <v>0.25086969322961161</v>
      </c>
      <c r="Y262" s="27">
        <v>0.2229091217356583</v>
      </c>
      <c r="Z262" s="27">
        <v>0.22290912173565819</v>
      </c>
      <c r="AA262" s="27">
        <v>0.20055621667664913</v>
      </c>
      <c r="AB262" s="27">
        <v>0.22290912173565819</v>
      </c>
      <c r="AC262" s="27">
        <v>0.20055621667664911</v>
      </c>
    </row>
    <row r="263" spans="4:29" x14ac:dyDescent="0.55000000000000004">
      <c r="D263" s="49">
        <v>44986</v>
      </c>
      <c r="E263" s="92">
        <v>147.02000000000001</v>
      </c>
      <c r="L263" s="27">
        <v>147.29358497173166</v>
      </c>
      <c r="M263" s="27">
        <v>146.87474112484443</v>
      </c>
      <c r="N263" s="27">
        <v>0.25086969322961161</v>
      </c>
      <c r="O263" s="27">
        <v>0.2229091217356583</v>
      </c>
      <c r="P263" s="27">
        <v>0.22290912173565819</v>
      </c>
      <c r="Q263" s="27">
        <v>0.20055621667664913</v>
      </c>
      <c r="R263" s="27">
        <v>0.22290912173565819</v>
      </c>
      <c r="S263" s="27">
        <v>0.20055621667664911</v>
      </c>
      <c r="V263" s="27">
        <v>147.29358497173166</v>
      </c>
      <c r="W263" s="27">
        <v>146.87474112484443</v>
      </c>
      <c r="X263" s="27">
        <v>0.25086969322961161</v>
      </c>
      <c r="Y263" s="27">
        <v>0.2229091217356583</v>
      </c>
      <c r="Z263" s="27">
        <v>0.22290912173565819</v>
      </c>
      <c r="AA263" s="27">
        <v>0.20055621667664913</v>
      </c>
      <c r="AB263" s="27">
        <v>0.22290912173565819</v>
      </c>
      <c r="AC263" s="27">
        <v>0.20055621667664911</v>
      </c>
    </row>
    <row r="264" spans="4:29" x14ac:dyDescent="0.55000000000000004">
      <c r="D264" s="49">
        <v>45017</v>
      </c>
      <c r="E264" s="92">
        <v>148.88</v>
      </c>
      <c r="L264" s="27">
        <v>147.45974238815745</v>
      </c>
      <c r="M264" s="27">
        <v>147.06623745851965</v>
      </c>
      <c r="N264" s="27">
        <v>0.25086969322961161</v>
      </c>
      <c r="O264" s="27">
        <v>0.2229091217356583</v>
      </c>
      <c r="P264" s="27">
        <v>0.22290912173565819</v>
      </c>
      <c r="Q264" s="27">
        <v>0.20055621667664913</v>
      </c>
      <c r="R264" s="27">
        <v>0.22290912173565819</v>
      </c>
      <c r="S264" s="27">
        <v>0.20055621667664911</v>
      </c>
      <c r="V264" s="27">
        <v>147.45974238815745</v>
      </c>
      <c r="W264" s="27">
        <v>147.06623745851965</v>
      </c>
      <c r="X264" s="27">
        <v>0.25086969322961161</v>
      </c>
      <c r="Y264" s="27">
        <v>0.2229091217356583</v>
      </c>
      <c r="Z264" s="27">
        <v>0.22290912173565819</v>
      </c>
      <c r="AA264" s="27">
        <v>0.20055621667664913</v>
      </c>
      <c r="AB264" s="27">
        <v>0.22290912173565819</v>
      </c>
      <c r="AC264" s="27">
        <v>0.20055621667664911</v>
      </c>
    </row>
    <row r="265" spans="4:29" x14ac:dyDescent="0.55000000000000004">
      <c r="D265" s="49">
        <v>45047</v>
      </c>
      <c r="E265" s="92">
        <v>146.16</v>
      </c>
      <c r="L265" s="27">
        <v>147.65045744104538</v>
      </c>
      <c r="M265" s="27">
        <v>147.27728789663823</v>
      </c>
      <c r="N265" s="27">
        <v>0.25086969322961161</v>
      </c>
      <c r="O265" s="27">
        <v>0.2229091217356583</v>
      </c>
      <c r="P265" s="27">
        <v>0.22290912173565819</v>
      </c>
      <c r="Q265" s="27">
        <v>0.20055621667664913</v>
      </c>
      <c r="R265" s="27">
        <v>0.22290912173565819</v>
      </c>
      <c r="S265" s="27">
        <v>0.20055621667664911</v>
      </c>
      <c r="V265" s="27">
        <v>147.65045744104538</v>
      </c>
      <c r="W265" s="27">
        <v>147.27728789663823</v>
      </c>
      <c r="X265" s="27">
        <v>0.25086969322961161</v>
      </c>
      <c r="Y265" s="27">
        <v>0.2229091217356583</v>
      </c>
      <c r="Z265" s="27">
        <v>0.22290912173565819</v>
      </c>
      <c r="AA265" s="27">
        <v>0.20055621667664913</v>
      </c>
      <c r="AB265" s="27">
        <v>0.22290912173565819</v>
      </c>
      <c r="AC265" s="27">
        <v>0.20055621667664911</v>
      </c>
    </row>
    <row r="266" spans="4:29" x14ac:dyDescent="0.55000000000000004">
      <c r="D266" s="49">
        <v>45078</v>
      </c>
      <c r="E266" s="92">
        <v>146.55000000000001</v>
      </c>
      <c r="L266" s="27">
        <v>147.87417590610795</v>
      </c>
      <c r="M266" s="27">
        <v>147.51599303322661</v>
      </c>
      <c r="N266" s="27">
        <v>0.25086969322961161</v>
      </c>
      <c r="O266" s="27">
        <v>0.2229091217356583</v>
      </c>
      <c r="P266" s="27">
        <v>0.22290912173565819</v>
      </c>
      <c r="Q266" s="27">
        <v>0.20055621667664913</v>
      </c>
      <c r="R266" s="27">
        <v>0.22290912173565819</v>
      </c>
      <c r="S266" s="27">
        <v>0.20055621667664911</v>
      </c>
      <c r="V266" s="27">
        <v>147.87417590610795</v>
      </c>
      <c r="W266" s="27">
        <v>147.51599303322661</v>
      </c>
      <c r="X266" s="27">
        <v>0.25086969322961161</v>
      </c>
      <c r="Y266" s="27">
        <v>0.2229091217356583</v>
      </c>
      <c r="Z266" s="27">
        <v>0.22290912173565819</v>
      </c>
      <c r="AA266" s="27">
        <v>0.20055621667664913</v>
      </c>
      <c r="AB266" s="27">
        <v>0.22290912173565819</v>
      </c>
      <c r="AC266" s="27">
        <v>0.20055621667664911</v>
      </c>
    </row>
    <row r="267" spans="4:29" x14ac:dyDescent="0.55000000000000004">
      <c r="D267" s="49">
        <v>45108</v>
      </c>
      <c r="E267" s="92">
        <v>146.97999999999999</v>
      </c>
      <c r="L267" s="27">
        <v>147.84579515082362</v>
      </c>
      <c r="M267" s="27">
        <v>147.52637614732714</v>
      </c>
      <c r="N267" s="27">
        <v>0.25086969322961161</v>
      </c>
      <c r="O267" s="27">
        <v>0.2229091217356583</v>
      </c>
      <c r="P267" s="27">
        <v>0.22290912173565819</v>
      </c>
      <c r="Q267" s="27">
        <v>0.20055621667664913</v>
      </c>
      <c r="R267" s="27">
        <v>0.22290912173565819</v>
      </c>
      <c r="S267" s="27">
        <v>0.20055621667664911</v>
      </c>
      <c r="V267" s="27">
        <v>147.84579515082362</v>
      </c>
      <c r="W267" s="27">
        <v>147.52637614732714</v>
      </c>
      <c r="X267" s="27">
        <v>0.25086969322961161</v>
      </c>
      <c r="Y267" s="27">
        <v>0.2229091217356583</v>
      </c>
      <c r="Z267" s="27">
        <v>0.22290912173565819</v>
      </c>
      <c r="AA267" s="27">
        <v>0.20055621667664913</v>
      </c>
      <c r="AB267" s="27">
        <v>0.22290912173565819</v>
      </c>
      <c r="AC267" s="27">
        <v>0.20055621667664911</v>
      </c>
    </row>
    <row r="268" spans="4:29" x14ac:dyDescent="0.55000000000000004">
      <c r="D268" s="49">
        <v>45139</v>
      </c>
      <c r="E268" s="92">
        <v>146.13999999999999</v>
      </c>
      <c r="L268" s="27">
        <v>147.79612231147584</v>
      </c>
      <c r="M268" s="27">
        <v>147.5137151397829</v>
      </c>
      <c r="N268" s="27">
        <v>0.25086969322961161</v>
      </c>
      <c r="O268" s="27">
        <v>0.2229091217356583</v>
      </c>
      <c r="P268" s="27">
        <v>0.22290912173565819</v>
      </c>
      <c r="Q268" s="27">
        <v>0.20055621667664913</v>
      </c>
      <c r="R268" s="27">
        <v>0.22290912173565819</v>
      </c>
      <c r="S268" s="27">
        <v>0.20055621667664911</v>
      </c>
      <c r="V268" s="27">
        <v>147.79612231147584</v>
      </c>
      <c r="W268" s="27">
        <v>147.5137151397829</v>
      </c>
      <c r="X268" s="27">
        <v>0.25086969322961161</v>
      </c>
      <c r="Y268" s="27">
        <v>0.2229091217356583</v>
      </c>
      <c r="Z268" s="27">
        <v>0.22290912173565819</v>
      </c>
      <c r="AA268" s="27">
        <v>0.20055621667664913</v>
      </c>
      <c r="AB268" s="27">
        <v>0.22290912173565819</v>
      </c>
      <c r="AC268" s="27">
        <v>0.20055621667664911</v>
      </c>
    </row>
    <row r="269" spans="4:29" x14ac:dyDescent="0.55000000000000004">
      <c r="D269" s="49">
        <v>45170</v>
      </c>
      <c r="E269" s="92">
        <v>146.19</v>
      </c>
      <c r="L269" s="27">
        <v>147.73611380783916</v>
      </c>
      <c r="M269" s="27">
        <v>147.48804343233365</v>
      </c>
      <c r="N269" s="27">
        <v>0.25086969322961161</v>
      </c>
      <c r="O269" s="27">
        <v>0.2229091217356583</v>
      </c>
      <c r="P269" s="27">
        <v>0.22290912173565819</v>
      </c>
      <c r="Q269" s="27">
        <v>0.20055621667664913</v>
      </c>
      <c r="R269" s="27">
        <v>0.22290912173565819</v>
      </c>
      <c r="S269" s="27">
        <v>0.20055621667664911</v>
      </c>
      <c r="V269" s="27">
        <v>147.73611380783916</v>
      </c>
      <c r="W269" s="27">
        <v>147.48804343233365</v>
      </c>
      <c r="X269" s="27">
        <v>0.25086969322961161</v>
      </c>
      <c r="Y269" s="27">
        <v>0.2229091217356583</v>
      </c>
      <c r="Z269" s="27">
        <v>0.22290912173565819</v>
      </c>
      <c r="AA269" s="27">
        <v>0.20055621667664913</v>
      </c>
      <c r="AB269" s="27">
        <v>0.22290912173565819</v>
      </c>
      <c r="AC269" s="27">
        <v>0.20055621667664911</v>
      </c>
    </row>
    <row r="270" spans="4:29" x14ac:dyDescent="0.55000000000000004">
      <c r="D270" s="49">
        <v>45200</v>
      </c>
      <c r="E270" s="92">
        <v>146.26</v>
      </c>
      <c r="L270" s="27">
        <v>147.6885813191177</v>
      </c>
      <c r="M270" s="27">
        <v>147.47015343965629</v>
      </c>
      <c r="N270" s="27">
        <v>0.25086969322961161</v>
      </c>
      <c r="O270" s="27">
        <v>0.2229091217356583</v>
      </c>
      <c r="P270" s="27">
        <v>0.22290912173565819</v>
      </c>
      <c r="Q270" s="27">
        <v>0.20055621667664913</v>
      </c>
      <c r="R270" s="27">
        <v>0.22290912173565819</v>
      </c>
      <c r="S270" s="27">
        <v>0.20055621667664911</v>
      </c>
      <c r="V270" s="27">
        <v>147.6885813191177</v>
      </c>
      <c r="W270" s="27">
        <v>147.47015343965629</v>
      </c>
      <c r="X270" s="27">
        <v>0.25086969322961161</v>
      </c>
      <c r="Y270" s="27">
        <v>0.2229091217356583</v>
      </c>
      <c r="Z270" s="27">
        <v>0.22290912173565819</v>
      </c>
      <c r="AA270" s="27">
        <v>0.20055621667664913</v>
      </c>
      <c r="AB270" s="27">
        <v>0.22290912173565819</v>
      </c>
      <c r="AC270" s="27">
        <v>0.20055621667664911</v>
      </c>
    </row>
    <row r="271" spans="4:29" x14ac:dyDescent="0.55000000000000004">
      <c r="D271" s="49">
        <v>45231</v>
      </c>
      <c r="E271" s="92">
        <v>146.41</v>
      </c>
      <c r="L271" s="27">
        <v>147.88949270574977</v>
      </c>
      <c r="M271" s="27">
        <v>147.672821347054</v>
      </c>
      <c r="N271" s="27">
        <v>0.25086969322961161</v>
      </c>
      <c r="O271" s="27">
        <v>0.2229091217356583</v>
      </c>
      <c r="P271" s="27">
        <v>0.22290912173565819</v>
      </c>
      <c r="Q271" s="27">
        <v>0.20055621667664913</v>
      </c>
      <c r="R271" s="27">
        <v>0.22290912173565819</v>
      </c>
      <c r="S271" s="27">
        <v>0.20055621667664911</v>
      </c>
      <c r="V271" s="27">
        <v>147.88949270574977</v>
      </c>
      <c r="W271" s="27">
        <v>147.672821347054</v>
      </c>
      <c r="X271" s="27">
        <v>0.25086969322961161</v>
      </c>
      <c r="Y271" s="27">
        <v>0.2229091217356583</v>
      </c>
      <c r="Z271" s="27">
        <v>0.22290912173565819</v>
      </c>
      <c r="AA271" s="27">
        <v>0.20055621667664913</v>
      </c>
      <c r="AB271" s="27">
        <v>0.22290912173565819</v>
      </c>
      <c r="AC271" s="27">
        <v>0.20055621667664911</v>
      </c>
    </row>
    <row r="272" spans="4:29" x14ac:dyDescent="0.55000000000000004">
      <c r="D272" s="49">
        <v>45261</v>
      </c>
      <c r="E272" s="92">
        <v>147.61000000000001</v>
      </c>
      <c r="L272" s="27">
        <v>148.24225170922008</v>
      </c>
      <c r="M272" s="27">
        <v>148.0119337389381</v>
      </c>
      <c r="N272" s="27">
        <v>0.25086969322961161</v>
      </c>
      <c r="O272" s="27">
        <v>0.2229091217356583</v>
      </c>
      <c r="P272" s="27">
        <v>0.22290912173565819</v>
      </c>
      <c r="Q272" s="27">
        <v>0.20055621667664913</v>
      </c>
      <c r="R272" s="27">
        <v>0.22290912173565819</v>
      </c>
      <c r="S272" s="27">
        <v>0.20055621667664911</v>
      </c>
      <c r="V272" s="27">
        <v>148.24225170922008</v>
      </c>
      <c r="W272" s="27">
        <v>148.0119337389381</v>
      </c>
      <c r="X272" s="27">
        <v>0.25086969322961161</v>
      </c>
      <c r="Y272" s="27">
        <v>0.2229091217356583</v>
      </c>
      <c r="Z272" s="27">
        <v>0.22290912173565819</v>
      </c>
      <c r="AA272" s="27">
        <v>0.20055621667664913</v>
      </c>
      <c r="AB272" s="27">
        <v>0.22290912173565819</v>
      </c>
      <c r="AC272" s="27">
        <v>0.20055621667664911</v>
      </c>
    </row>
    <row r="273" spans="4:5" x14ac:dyDescent="0.55000000000000004">
      <c r="D273" s="49">
        <v>45292</v>
      </c>
      <c r="E273" s="92">
        <v>148.5</v>
      </c>
    </row>
  </sheetData>
  <mergeCells count="1">
    <mergeCell ref="A4:K4"/>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AB0E2-7E83-4F1E-91F4-ED82E1D80B01}">
  <sheetPr codeName="Planilha96">
    <tabColor theme="9" tint="0.59999389629810485"/>
  </sheetPr>
  <dimension ref="A1:Y249"/>
  <sheetViews>
    <sheetView showGridLines="0" zoomScaleNormal="100" workbookViewId="0">
      <selection activeCell="L20" sqref="L20"/>
    </sheetView>
  </sheetViews>
  <sheetFormatPr defaultColWidth="8.796875" defaultRowHeight="18" x14ac:dyDescent="0.55000000000000004"/>
  <cols>
    <col min="1" max="1" width="12.6640625" style="17" customWidth="1"/>
    <col min="2" max="2" width="51" customWidth="1"/>
    <col min="4" max="4" width="8.6640625" customWidth="1"/>
    <col min="5" max="5" width="8.6640625" bestFit="1" customWidth="1"/>
    <col min="6" max="6" width="7.1328125" bestFit="1" customWidth="1"/>
    <col min="7" max="7" width="10.33203125" bestFit="1" customWidth="1"/>
    <col min="8" max="8" width="12.1328125" customWidth="1"/>
    <col min="9" max="9" width="11.6640625" customWidth="1"/>
    <col min="10" max="10" width="10.33203125" customWidth="1"/>
    <col min="11" max="11" width="3.6640625" customWidth="1"/>
    <col min="12" max="12" width="9" style="15" customWidth="1"/>
    <col min="13" max="14" width="15.6640625" style="15" bestFit="1" customWidth="1"/>
    <col min="15" max="16" width="9" style="15" customWidth="1"/>
    <col min="17" max="25" width="8.796875" style="15"/>
  </cols>
  <sheetData>
    <row r="1" spans="1:25" x14ac:dyDescent="0.55000000000000004">
      <c r="A1" s="83" t="s">
        <v>1139</v>
      </c>
      <c r="L1" s="14"/>
      <c r="M1" s="14"/>
      <c r="N1" s="14"/>
      <c r="O1" s="14"/>
      <c r="P1" s="14"/>
      <c r="Q1" s="14"/>
      <c r="R1" s="14"/>
      <c r="S1" s="14"/>
      <c r="T1" s="14"/>
      <c r="U1" s="14"/>
      <c r="V1" s="14"/>
      <c r="W1" s="14"/>
      <c r="X1" s="14"/>
      <c r="Y1" s="14"/>
    </row>
    <row r="2" spans="1:25" x14ac:dyDescent="0.55000000000000004">
      <c r="A2" s="17" t="s">
        <v>1140</v>
      </c>
      <c r="L2" s="14"/>
      <c r="M2" s="14"/>
      <c r="N2" s="14"/>
      <c r="O2" s="14"/>
      <c r="P2" s="14"/>
      <c r="Q2" s="14"/>
      <c r="R2" s="14"/>
      <c r="S2" s="14"/>
      <c r="T2" s="14"/>
      <c r="U2" s="14"/>
      <c r="V2" s="14"/>
      <c r="W2" s="14"/>
      <c r="X2" s="14"/>
      <c r="Y2" s="14"/>
    </row>
    <row r="4" spans="1:25" ht="42" customHeight="1" x14ac:dyDescent="0.45">
      <c r="A4" s="172" t="s">
        <v>1133</v>
      </c>
      <c r="B4" s="172"/>
      <c r="C4" s="172"/>
      <c r="D4" s="172"/>
      <c r="E4" s="172"/>
      <c r="F4" s="172"/>
      <c r="G4" s="172"/>
      <c r="H4" s="172"/>
      <c r="I4" s="172"/>
      <c r="J4" s="172"/>
      <c r="K4" s="172"/>
    </row>
    <row r="6" spans="1:25" ht="15.75" x14ac:dyDescent="0.5">
      <c r="A6" s="2" t="s">
        <v>15</v>
      </c>
      <c r="B6" s="2" t="s">
        <v>16</v>
      </c>
    </row>
    <row r="7" spans="1:25" ht="15.75" x14ac:dyDescent="0.45">
      <c r="A7" s="23" t="s">
        <v>1135</v>
      </c>
      <c r="B7" s="26" t="s">
        <v>1148</v>
      </c>
    </row>
    <row r="8" spans="1:25" ht="15.75" x14ac:dyDescent="0.45">
      <c r="A8" s="23" t="s">
        <v>1136</v>
      </c>
      <c r="B8" s="26" t="s">
        <v>1149</v>
      </c>
    </row>
    <row r="9" spans="1:25" ht="31.5" x14ac:dyDescent="0.45">
      <c r="A9" s="23" t="s">
        <v>848</v>
      </c>
      <c r="B9" s="26" t="s">
        <v>1150</v>
      </c>
    </row>
    <row r="10" spans="1:25" ht="15.75" x14ac:dyDescent="0.45">
      <c r="A10" s="23" t="s">
        <v>1137</v>
      </c>
      <c r="B10" s="26" t="s">
        <v>1151</v>
      </c>
    </row>
    <row r="11" spans="1:25" ht="15.75" x14ac:dyDescent="0.45">
      <c r="A11" s="23" t="s">
        <v>1138</v>
      </c>
      <c r="B11" s="26" t="s">
        <v>1279</v>
      </c>
    </row>
    <row r="12" spans="1:25" ht="31.5" x14ac:dyDescent="0.45">
      <c r="A12" s="23" t="s">
        <v>1272</v>
      </c>
      <c r="B12" s="26" t="s">
        <v>1275</v>
      </c>
    </row>
    <row r="13" spans="1:25" ht="31.5" x14ac:dyDescent="0.45">
      <c r="A13" s="23" t="s">
        <v>1273</v>
      </c>
      <c r="B13" s="26" t="s">
        <v>1277</v>
      </c>
    </row>
    <row r="14" spans="1:25" ht="50.25" customHeight="1" x14ac:dyDescent="0.45">
      <c r="A14" s="23" t="s">
        <v>990</v>
      </c>
      <c r="B14" s="26" t="s">
        <v>1152</v>
      </c>
    </row>
    <row r="16" spans="1:25" x14ac:dyDescent="0.55000000000000004">
      <c r="G16" s="1" t="s">
        <v>1145</v>
      </c>
    </row>
    <row r="17" spans="7:25" x14ac:dyDescent="0.55000000000000004">
      <c r="H17" s="1" t="s">
        <v>1143</v>
      </c>
    </row>
    <row r="18" spans="7:25" x14ac:dyDescent="0.55000000000000004">
      <c r="H18" s="1" t="s">
        <v>1144</v>
      </c>
    </row>
    <row r="19" spans="7:25" ht="18.399999999999999" thickBot="1" x14ac:dyDescent="0.6">
      <c r="L19" s="60" t="s">
        <v>192</v>
      </c>
      <c r="M19" s="60"/>
      <c r="N19" s="60"/>
      <c r="O19" s="60"/>
      <c r="Q19" s="60" t="s">
        <v>1141</v>
      </c>
      <c r="R19" s="60"/>
    </row>
    <row r="20" spans="7:25" ht="18.75" customHeight="1" thickTop="1" thickBot="1" x14ac:dyDescent="0.6">
      <c r="G20" s="149" t="s">
        <v>1135</v>
      </c>
      <c r="H20" s="12">
        <v>2</v>
      </c>
      <c r="I20" s="12">
        <v>-1</v>
      </c>
      <c r="L20" s="27" cm="1">
        <f t="array" ref="L20:O21">_xlfn.LAMBDA(_xlpm.F,_xlpm.h,_xlpm.Q,_xlpm.r,_xlpm.obs,_xlop.x,_xlop.P,_xlop.return, _xlfn.LET(_xlpm.x, IF(OR(_xlfn.ISOMITTED(_xlpm.x), ISBLANK(_xlpm.x)), ZEROS(ROWS(_xlpm.F), 1), _xlpm.x), _xlpm.P, IF(OR(_xlfn.ISOMITTED(_xlpm.P), ISBLANK(_xlpm.P)), 10000 * EYE(ROWS(_xlpm.F)), _xlpm.P), _xlpm.return, IF(OR(_xlfn.ISOMITTED(_xlpm.return), ISBLANK(_xlpm.return)), "ALL", _xlpm.return), _xlpm.s, MMULT(MMULT(_xlpm.h, _xlpm.P), TRANSPOSE(_xlpm.h)) + _xlpm.r, _xlpm.k, MMULT(MMULT(_xlpm.F, _xlpm.P), TRANSPOSE(_xlpm.h)), _xlpm.Kgain, _xlpm.k / _xlpm.s, _xlpm.x_, MMULT(_xlpm.F, _xlpm.x) + MMULT(_xlpm.Kgain, (_xlpm.obs - MMULT(_xlpm.h, _xlpm.x))), _xlpm.Temp, _xlpm.F - MMULT(_xlpm.Kgain, _xlpm.h), _xlpm.P_, MMULT(MMULT(_xlpm.Temp, _xlpm.P), TRANSPOSE(_xlpm.Temp)), _xlpm.Pmse, _xlpm.P_ + _xlpm.Q + MMULT(MMULT(_xlpm.Kgain, _xlpm.r), TRANSPOSE(_xlpm.Kgain)), _xlpm.final, _xlfn.SWITCH(_xlpm.return, "ALL", _xlfn.HSTACK(_xlpm.x_, _xlpm.Pmse, _xlpm.Kgain), "xP", _xlfn.HSTACK(_xlpm.x_, _xlpm.Pmse), "x", _xlpm.x_, "P", _xlpm.Pmse, "Kgain", _xlpm.Kgain, "# return must be either ALL, xP, x, P, or Kgain"), _xlpm.final))($H$20:$I$21, $H$23:$I$23, $H$26:$I$27, $H$29, $H$32, $H$35:$H$36, $H$38:$I$39, $H$41)</f>
        <v>103.55968603139686</v>
      </c>
      <c r="M20" s="27">
        <v>10004.000225039998</v>
      </c>
      <c r="N20" s="27">
        <v>1.9998000199980002</v>
      </c>
      <c r="O20" s="27">
        <v>1.9998000199980002</v>
      </c>
      <c r="Q20" s="27" cm="1">
        <f t="array" ref="Q20:T21">KFILTER_UPDATE($H$20:$I$21,$H$23:$I$23,$H$26:$I$27,$H$29,$H$32,$H$35:$H$36,$H$38:$I$39,$H$41)</f>
        <v>103.55968603139686</v>
      </c>
      <c r="R20" s="27">
        <v>10004.000225039998</v>
      </c>
      <c r="S20" s="27">
        <v>1.9998000199980002</v>
      </c>
      <c r="T20" s="27">
        <v>1.9998000199980002</v>
      </c>
      <c r="U20" s="27"/>
      <c r="V20" s="27"/>
      <c r="W20" s="27"/>
      <c r="X20" s="27"/>
      <c r="Y20" s="27"/>
    </row>
    <row r="21" spans="7:25" ht="18.399999999999999" thickTop="1" x14ac:dyDescent="0.55000000000000004">
      <c r="H21" s="12">
        <v>1</v>
      </c>
      <c r="I21" s="12">
        <v>0</v>
      </c>
      <c r="L21" s="27">
        <v>100.41984301569843</v>
      </c>
      <c r="M21" s="27">
        <v>1.9998000199980002</v>
      </c>
      <c r="N21" s="27">
        <v>0.99990000999900008</v>
      </c>
      <c r="O21" s="27">
        <v>0.99990000999900008</v>
      </c>
      <c r="Q21" s="27">
        <v>100.41984301569843</v>
      </c>
      <c r="R21" s="27">
        <v>1.9998000199980002</v>
      </c>
      <c r="S21" s="27">
        <v>0.99990000999900008</v>
      </c>
      <c r="T21" s="27">
        <v>0.99990000999900008</v>
      </c>
      <c r="U21" s="27"/>
      <c r="V21" s="27"/>
      <c r="W21" s="27"/>
      <c r="X21" s="27"/>
      <c r="Y21" s="27"/>
    </row>
    <row r="22" spans="7:25" ht="18.399999999999999" thickBot="1" x14ac:dyDescent="0.6">
      <c r="L22" s="27"/>
      <c r="M22" s="53"/>
      <c r="N22" s="53"/>
      <c r="O22" s="53"/>
      <c r="P22" s="53"/>
    </row>
    <row r="23" spans="7:25" ht="18.75" thickTop="1" thickBot="1" x14ac:dyDescent="0.6">
      <c r="G23" s="149" t="s">
        <v>1136</v>
      </c>
      <c r="H23" s="12">
        <v>1</v>
      </c>
      <c r="I23" s="12">
        <v>0</v>
      </c>
      <c r="L23" s="27"/>
      <c r="M23" s="53"/>
      <c r="N23" s="53"/>
      <c r="O23" s="53"/>
      <c r="P23" s="53"/>
    </row>
    <row r="24" spans="7:25" ht="18.399999999999999" thickTop="1" x14ac:dyDescent="0.55000000000000004">
      <c r="L24" s="27"/>
      <c r="M24" s="53"/>
      <c r="N24" s="53"/>
      <c r="O24" s="53"/>
      <c r="P24" s="53"/>
    </row>
    <row r="25" spans="7:25" ht="18.399999999999999" thickBot="1" x14ac:dyDescent="0.6">
      <c r="L25" s="27"/>
      <c r="M25" s="53"/>
      <c r="N25" s="53"/>
      <c r="O25" s="53"/>
      <c r="P25" s="53"/>
    </row>
    <row r="26" spans="7:25" ht="18.75" thickTop="1" thickBot="1" x14ac:dyDescent="0.6">
      <c r="G26" s="149" t="s">
        <v>848</v>
      </c>
      <c r="H26" s="150">
        <f>1/1600</f>
        <v>6.2500000000000001E-4</v>
      </c>
      <c r="I26" s="12">
        <v>0</v>
      </c>
      <c r="L26" s="27"/>
      <c r="M26" s="53"/>
      <c r="N26" s="53"/>
      <c r="O26" s="53"/>
      <c r="P26" s="53"/>
    </row>
    <row r="27" spans="7:25" ht="18.399999999999999" thickTop="1" x14ac:dyDescent="0.55000000000000004">
      <c r="H27" s="12">
        <v>0</v>
      </c>
      <c r="I27" s="12">
        <v>0</v>
      </c>
      <c r="L27" s="27"/>
      <c r="M27" s="53"/>
      <c r="N27" s="53"/>
      <c r="O27" s="53"/>
      <c r="P27" s="53"/>
    </row>
    <row r="28" spans="7:25" ht="18.399999999999999" thickBot="1" x14ac:dyDescent="0.6">
      <c r="L28" s="27"/>
      <c r="M28" s="53"/>
      <c r="N28" s="53"/>
      <c r="O28" s="53"/>
      <c r="P28" s="53"/>
    </row>
    <row r="29" spans="7:25" ht="18.75" thickTop="1" thickBot="1" x14ac:dyDescent="0.6">
      <c r="G29" s="149" t="s">
        <v>1137</v>
      </c>
      <c r="H29" s="12">
        <v>1</v>
      </c>
      <c r="L29" s="27"/>
      <c r="M29" s="53"/>
      <c r="N29" s="53"/>
      <c r="O29" s="53"/>
      <c r="P29" s="53"/>
    </row>
    <row r="30" spans="7:25" ht="18.399999999999999" thickTop="1" x14ac:dyDescent="0.55000000000000004">
      <c r="L30" s="27"/>
      <c r="M30" s="53"/>
      <c r="N30" s="53"/>
      <c r="O30" s="53"/>
      <c r="P30" s="53"/>
    </row>
    <row r="31" spans="7:25" ht="18.399999999999999" thickBot="1" x14ac:dyDescent="0.6">
      <c r="L31" s="27"/>
      <c r="M31" s="53"/>
      <c r="N31" s="53"/>
      <c r="O31" s="53"/>
      <c r="P31" s="53"/>
    </row>
    <row r="32" spans="7:25" ht="18.75" thickTop="1" thickBot="1" x14ac:dyDescent="0.6">
      <c r="G32" s="149" t="s">
        <v>1138</v>
      </c>
      <c r="H32" s="12">
        <v>100.42</v>
      </c>
      <c r="L32" s="27"/>
      <c r="M32" s="53"/>
      <c r="N32" s="53"/>
      <c r="O32" s="53"/>
      <c r="P32" s="53"/>
    </row>
    <row r="33" spans="7:16" ht="18.399999999999999" thickTop="1" x14ac:dyDescent="0.55000000000000004">
      <c r="L33" s="27"/>
      <c r="M33" s="53"/>
      <c r="N33" s="53"/>
      <c r="O33" s="53"/>
      <c r="P33" s="53"/>
    </row>
    <row r="34" spans="7:16" ht="18.399999999999999" thickBot="1" x14ac:dyDescent="0.6">
      <c r="L34" s="27"/>
      <c r="M34" s="53"/>
      <c r="N34" s="53"/>
      <c r="O34" s="53"/>
      <c r="P34" s="53"/>
    </row>
    <row r="35" spans="7:16" ht="18.75" thickTop="1" thickBot="1" x14ac:dyDescent="0.6">
      <c r="G35" s="149" t="s">
        <v>1272</v>
      </c>
      <c r="H35" s="12">
        <v>98.85</v>
      </c>
      <c r="L35" s="27"/>
      <c r="M35" s="53"/>
      <c r="N35" s="53"/>
      <c r="O35" s="53"/>
      <c r="P35" s="53"/>
    </row>
    <row r="36" spans="7:16" ht="18.399999999999999" thickTop="1" x14ac:dyDescent="0.55000000000000004">
      <c r="H36" s="12">
        <v>97.28</v>
      </c>
      <c r="L36" s="27"/>
      <c r="M36" s="53"/>
      <c r="N36" s="53"/>
      <c r="O36" s="53"/>
      <c r="P36" s="53"/>
    </row>
    <row r="37" spans="7:16" ht="18.399999999999999" thickBot="1" x14ac:dyDescent="0.6">
      <c r="L37" s="27"/>
      <c r="M37" s="53"/>
      <c r="N37" s="53"/>
      <c r="O37" s="53"/>
      <c r="P37" s="53"/>
    </row>
    <row r="38" spans="7:16" ht="18.75" thickTop="1" thickBot="1" x14ac:dyDescent="0.6">
      <c r="G38" s="149" t="s">
        <v>1273</v>
      </c>
      <c r="H38" s="12">
        <v>10000</v>
      </c>
      <c r="I38" s="12">
        <v>0</v>
      </c>
      <c r="L38" s="27"/>
      <c r="M38" s="53"/>
      <c r="N38" s="53"/>
      <c r="O38" s="53"/>
      <c r="P38" s="53"/>
    </row>
    <row r="39" spans="7:16" ht="18.399999999999999" thickTop="1" x14ac:dyDescent="0.55000000000000004">
      <c r="H39" s="12">
        <v>0</v>
      </c>
      <c r="I39" s="12">
        <v>10000</v>
      </c>
      <c r="L39" s="27"/>
      <c r="M39" s="53"/>
      <c r="N39" s="53"/>
      <c r="O39" s="53"/>
      <c r="P39" s="53"/>
    </row>
    <row r="40" spans="7:16" ht="18.399999999999999" thickBot="1" x14ac:dyDescent="0.6">
      <c r="L40" s="27"/>
      <c r="M40" s="53"/>
      <c r="N40" s="53"/>
      <c r="O40" s="53"/>
      <c r="P40" s="53"/>
    </row>
    <row r="41" spans="7:16" ht="18.75" thickTop="1" thickBot="1" x14ac:dyDescent="0.6">
      <c r="G41" s="149" t="s">
        <v>990</v>
      </c>
      <c r="H41" s="79" t="s">
        <v>83</v>
      </c>
      <c r="L41" s="27"/>
      <c r="M41" s="53"/>
      <c r="N41" s="53"/>
      <c r="O41" s="53"/>
      <c r="P41" s="53"/>
    </row>
    <row r="42" spans="7:16" ht="18.399999999999999" thickTop="1" x14ac:dyDescent="0.55000000000000004">
      <c r="L42" s="27"/>
      <c r="M42" s="53"/>
      <c r="N42" s="53"/>
      <c r="O42" s="53"/>
      <c r="P42" s="53"/>
    </row>
    <row r="43" spans="7:16" x14ac:dyDescent="0.55000000000000004">
      <c r="L43" s="27"/>
      <c r="M43" s="53"/>
      <c r="N43" s="53"/>
      <c r="O43" s="53"/>
      <c r="P43" s="53"/>
    </row>
    <row r="44" spans="7:16" x14ac:dyDescent="0.55000000000000004">
      <c r="L44" s="27"/>
      <c r="M44" s="53"/>
      <c r="N44" s="53"/>
      <c r="O44" s="53"/>
      <c r="P44" s="53"/>
    </row>
    <row r="45" spans="7:16" x14ac:dyDescent="0.55000000000000004">
      <c r="L45" s="27"/>
      <c r="M45" s="53"/>
      <c r="N45" s="53"/>
      <c r="O45" s="53"/>
      <c r="P45" s="53"/>
    </row>
    <row r="46" spans="7:16" x14ac:dyDescent="0.55000000000000004">
      <c r="L46" s="27"/>
      <c r="M46" s="53"/>
      <c r="N46" s="53"/>
      <c r="O46" s="53"/>
      <c r="P46" s="53"/>
    </row>
    <row r="47" spans="7:16" x14ac:dyDescent="0.55000000000000004">
      <c r="L47" s="27"/>
      <c r="M47" s="53"/>
      <c r="N47" s="53"/>
      <c r="O47" s="53"/>
      <c r="P47" s="53"/>
    </row>
    <row r="48" spans="7:16" x14ac:dyDescent="0.55000000000000004">
      <c r="L48" s="27"/>
      <c r="M48" s="53"/>
      <c r="N48" s="53"/>
      <c r="O48" s="53"/>
      <c r="P48" s="53"/>
    </row>
    <row r="49" spans="12:16" x14ac:dyDescent="0.55000000000000004">
      <c r="L49" s="27"/>
      <c r="M49" s="53"/>
      <c r="N49" s="53"/>
      <c r="O49" s="53"/>
      <c r="P49" s="53"/>
    </row>
    <row r="50" spans="12:16" x14ac:dyDescent="0.55000000000000004">
      <c r="L50" s="27"/>
      <c r="M50" s="53"/>
      <c r="N50" s="53"/>
      <c r="O50" s="53"/>
      <c r="P50" s="53"/>
    </row>
    <row r="51" spans="12:16" x14ac:dyDescent="0.55000000000000004">
      <c r="L51" s="27"/>
      <c r="M51" s="53"/>
      <c r="N51" s="53"/>
      <c r="O51" s="53"/>
      <c r="P51" s="53"/>
    </row>
    <row r="52" spans="12:16" x14ac:dyDescent="0.55000000000000004">
      <c r="L52" s="27"/>
      <c r="M52" s="53"/>
      <c r="N52" s="53"/>
      <c r="O52" s="53"/>
      <c r="P52" s="53"/>
    </row>
    <row r="53" spans="12:16" x14ac:dyDescent="0.55000000000000004">
      <c r="L53" s="27"/>
      <c r="M53" s="53"/>
      <c r="N53" s="53"/>
      <c r="O53" s="53"/>
      <c r="P53" s="53"/>
    </row>
    <row r="54" spans="12:16" x14ac:dyDescent="0.55000000000000004">
      <c r="L54" s="27"/>
      <c r="M54" s="53"/>
      <c r="N54" s="53"/>
      <c r="O54" s="53"/>
      <c r="P54" s="53"/>
    </row>
    <row r="55" spans="12:16" x14ac:dyDescent="0.55000000000000004">
      <c r="L55" s="27"/>
      <c r="M55" s="53"/>
      <c r="N55" s="53"/>
      <c r="O55" s="53"/>
      <c r="P55" s="53"/>
    </row>
    <row r="56" spans="12:16" x14ac:dyDescent="0.55000000000000004">
      <c r="L56" s="27"/>
      <c r="M56" s="53"/>
      <c r="N56" s="53"/>
      <c r="O56" s="53"/>
      <c r="P56" s="53"/>
    </row>
    <row r="57" spans="12:16" x14ac:dyDescent="0.55000000000000004">
      <c r="L57" s="27"/>
      <c r="M57" s="53"/>
      <c r="N57" s="53"/>
      <c r="O57" s="53"/>
      <c r="P57" s="53"/>
    </row>
    <row r="58" spans="12:16" x14ac:dyDescent="0.55000000000000004">
      <c r="L58" s="27"/>
      <c r="M58" s="53"/>
      <c r="N58" s="53"/>
      <c r="O58" s="53"/>
      <c r="P58" s="53"/>
    </row>
    <row r="59" spans="12:16" x14ac:dyDescent="0.55000000000000004">
      <c r="L59" s="27"/>
      <c r="M59" s="53"/>
      <c r="N59" s="53"/>
      <c r="O59" s="53"/>
      <c r="P59" s="53"/>
    </row>
    <row r="60" spans="12:16" x14ac:dyDescent="0.55000000000000004">
      <c r="L60" s="27"/>
      <c r="M60" s="53"/>
      <c r="N60" s="53"/>
      <c r="O60" s="53"/>
      <c r="P60" s="53"/>
    </row>
    <row r="61" spans="12:16" x14ac:dyDescent="0.55000000000000004">
      <c r="L61" s="27"/>
      <c r="M61" s="53"/>
      <c r="N61" s="53"/>
      <c r="O61" s="53"/>
      <c r="P61" s="53"/>
    </row>
    <row r="62" spans="12:16" x14ac:dyDescent="0.55000000000000004">
      <c r="L62" s="27"/>
      <c r="M62" s="53"/>
      <c r="N62" s="53"/>
      <c r="O62" s="53"/>
      <c r="P62" s="53"/>
    </row>
    <row r="63" spans="12:16" x14ac:dyDescent="0.55000000000000004">
      <c r="L63" s="27"/>
      <c r="M63" s="53"/>
      <c r="N63" s="53"/>
      <c r="O63" s="53"/>
      <c r="P63" s="53"/>
    </row>
    <row r="64" spans="12:16" x14ac:dyDescent="0.55000000000000004">
      <c r="L64" s="27"/>
      <c r="M64" s="53"/>
      <c r="N64" s="53"/>
      <c r="O64" s="53"/>
      <c r="P64" s="53"/>
    </row>
    <row r="65" spans="12:16" x14ac:dyDescent="0.55000000000000004">
      <c r="L65" s="27"/>
      <c r="M65" s="53"/>
      <c r="N65" s="53"/>
      <c r="O65" s="53"/>
      <c r="P65" s="53"/>
    </row>
    <row r="66" spans="12:16" x14ac:dyDescent="0.55000000000000004">
      <c r="L66" s="27"/>
      <c r="M66" s="53"/>
      <c r="N66" s="53"/>
      <c r="O66" s="53"/>
      <c r="P66" s="53"/>
    </row>
    <row r="67" spans="12:16" x14ac:dyDescent="0.55000000000000004">
      <c r="L67" s="27"/>
      <c r="M67" s="53"/>
      <c r="N67" s="53"/>
      <c r="O67" s="53"/>
      <c r="P67" s="53"/>
    </row>
    <row r="68" spans="12:16" x14ac:dyDescent="0.55000000000000004">
      <c r="L68" s="27"/>
      <c r="M68" s="53"/>
      <c r="N68" s="53"/>
      <c r="O68" s="53"/>
      <c r="P68" s="53"/>
    </row>
    <row r="69" spans="12:16" x14ac:dyDescent="0.55000000000000004">
      <c r="L69" s="27"/>
      <c r="M69" s="53"/>
      <c r="N69" s="53"/>
      <c r="O69" s="53"/>
      <c r="P69" s="53"/>
    </row>
    <row r="70" spans="12:16" x14ac:dyDescent="0.55000000000000004">
      <c r="L70" s="27"/>
      <c r="M70" s="53"/>
      <c r="N70" s="53"/>
      <c r="O70" s="53"/>
      <c r="P70" s="53"/>
    </row>
    <row r="71" spans="12:16" x14ac:dyDescent="0.55000000000000004">
      <c r="L71" s="27"/>
      <c r="M71" s="53"/>
      <c r="N71" s="53"/>
      <c r="O71" s="53"/>
      <c r="P71" s="53"/>
    </row>
    <row r="72" spans="12:16" x14ac:dyDescent="0.55000000000000004">
      <c r="L72" s="27"/>
      <c r="M72" s="53"/>
      <c r="N72" s="53"/>
      <c r="O72" s="53"/>
      <c r="P72" s="53"/>
    </row>
    <row r="73" spans="12:16" x14ac:dyDescent="0.55000000000000004">
      <c r="L73" s="27"/>
      <c r="M73" s="53"/>
      <c r="N73" s="53"/>
      <c r="O73" s="53"/>
      <c r="P73" s="53"/>
    </row>
    <row r="74" spans="12:16" x14ac:dyDescent="0.55000000000000004">
      <c r="L74" s="27"/>
      <c r="M74" s="53"/>
      <c r="N74" s="53"/>
      <c r="O74" s="53"/>
      <c r="P74" s="53"/>
    </row>
    <row r="75" spans="12:16" x14ac:dyDescent="0.55000000000000004">
      <c r="L75" s="27"/>
      <c r="M75" s="53"/>
      <c r="N75" s="53"/>
      <c r="O75" s="53"/>
      <c r="P75" s="53"/>
    </row>
    <row r="76" spans="12:16" x14ac:dyDescent="0.55000000000000004">
      <c r="L76" s="27"/>
      <c r="M76" s="53"/>
      <c r="N76" s="53"/>
      <c r="O76" s="53"/>
      <c r="P76" s="53"/>
    </row>
    <row r="77" spans="12:16" x14ac:dyDescent="0.55000000000000004">
      <c r="L77" s="27"/>
      <c r="M77" s="53"/>
      <c r="N77" s="53"/>
      <c r="O77" s="53"/>
      <c r="P77" s="53"/>
    </row>
    <row r="78" spans="12:16" x14ac:dyDescent="0.55000000000000004">
      <c r="L78" s="27"/>
      <c r="M78" s="53"/>
      <c r="N78" s="53"/>
      <c r="O78" s="53"/>
      <c r="P78" s="53"/>
    </row>
    <row r="79" spans="12:16" x14ac:dyDescent="0.55000000000000004">
      <c r="L79" s="27"/>
      <c r="M79" s="53"/>
      <c r="N79" s="53"/>
      <c r="O79" s="53"/>
      <c r="P79" s="53"/>
    </row>
    <row r="80" spans="12:16" x14ac:dyDescent="0.55000000000000004">
      <c r="L80" s="27"/>
      <c r="M80" s="53"/>
      <c r="N80" s="53"/>
      <c r="O80" s="53"/>
      <c r="P80" s="53"/>
    </row>
    <row r="81" spans="12:16" x14ac:dyDescent="0.55000000000000004">
      <c r="L81" s="27"/>
      <c r="M81" s="53"/>
      <c r="N81" s="53"/>
      <c r="O81" s="53"/>
      <c r="P81" s="53"/>
    </row>
    <row r="82" spans="12:16" x14ac:dyDescent="0.55000000000000004">
      <c r="L82" s="27"/>
      <c r="M82" s="53"/>
      <c r="N82" s="53"/>
      <c r="O82" s="53"/>
      <c r="P82" s="53"/>
    </row>
    <row r="83" spans="12:16" x14ac:dyDescent="0.55000000000000004">
      <c r="L83" s="27"/>
      <c r="M83" s="53"/>
      <c r="N83" s="53"/>
      <c r="O83" s="53"/>
      <c r="P83" s="53"/>
    </row>
    <row r="84" spans="12:16" x14ac:dyDescent="0.55000000000000004">
      <c r="L84" s="27"/>
      <c r="M84" s="53"/>
      <c r="N84" s="53"/>
      <c r="O84" s="53"/>
      <c r="P84" s="53"/>
    </row>
    <row r="85" spans="12:16" x14ac:dyDescent="0.55000000000000004">
      <c r="L85" s="27"/>
      <c r="M85" s="53"/>
      <c r="N85" s="53"/>
      <c r="O85" s="53"/>
      <c r="P85" s="53"/>
    </row>
    <row r="86" spans="12:16" x14ac:dyDescent="0.55000000000000004">
      <c r="L86" s="27"/>
      <c r="M86" s="53"/>
      <c r="N86" s="53"/>
      <c r="O86" s="53"/>
      <c r="P86" s="53"/>
    </row>
    <row r="87" spans="12:16" x14ac:dyDescent="0.55000000000000004">
      <c r="L87" s="27"/>
      <c r="M87" s="53"/>
      <c r="N87" s="53"/>
      <c r="O87" s="53"/>
      <c r="P87" s="53"/>
    </row>
    <row r="88" spans="12:16" x14ac:dyDescent="0.55000000000000004">
      <c r="L88" s="27"/>
      <c r="M88" s="53"/>
      <c r="N88" s="53"/>
      <c r="O88" s="53"/>
      <c r="P88" s="53"/>
    </row>
    <row r="89" spans="12:16" x14ac:dyDescent="0.55000000000000004">
      <c r="L89" s="27"/>
      <c r="M89" s="53"/>
      <c r="N89" s="53"/>
      <c r="O89" s="53"/>
      <c r="P89" s="53"/>
    </row>
    <row r="90" spans="12:16" x14ac:dyDescent="0.55000000000000004">
      <c r="L90" s="27"/>
      <c r="M90" s="53"/>
      <c r="N90" s="53"/>
      <c r="O90" s="53"/>
      <c r="P90" s="53"/>
    </row>
    <row r="91" spans="12:16" x14ac:dyDescent="0.55000000000000004">
      <c r="L91" s="27"/>
      <c r="M91" s="53"/>
      <c r="N91" s="53"/>
      <c r="O91" s="53"/>
      <c r="P91" s="53"/>
    </row>
    <row r="92" spans="12:16" x14ac:dyDescent="0.55000000000000004">
      <c r="L92" s="27"/>
      <c r="M92" s="53"/>
      <c r="N92" s="53"/>
      <c r="O92" s="53"/>
      <c r="P92" s="53"/>
    </row>
    <row r="93" spans="12:16" x14ac:dyDescent="0.55000000000000004">
      <c r="L93" s="27"/>
      <c r="M93" s="53"/>
      <c r="N93" s="53"/>
      <c r="O93" s="53"/>
      <c r="P93" s="53"/>
    </row>
    <row r="94" spans="12:16" x14ac:dyDescent="0.55000000000000004">
      <c r="L94" s="27"/>
      <c r="M94" s="53"/>
      <c r="N94" s="53"/>
      <c r="O94" s="53"/>
      <c r="P94" s="53"/>
    </row>
    <row r="95" spans="12:16" x14ac:dyDescent="0.55000000000000004">
      <c r="L95" s="27"/>
      <c r="M95" s="53"/>
      <c r="N95" s="53"/>
      <c r="O95" s="53"/>
      <c r="P95" s="53"/>
    </row>
    <row r="96" spans="12:16" x14ac:dyDescent="0.55000000000000004">
      <c r="L96" s="27"/>
      <c r="M96" s="53"/>
      <c r="N96" s="53"/>
      <c r="O96" s="53"/>
      <c r="P96" s="53"/>
    </row>
    <row r="97" spans="12:16" x14ac:dyDescent="0.55000000000000004">
      <c r="L97" s="27"/>
      <c r="M97" s="53"/>
      <c r="N97" s="53"/>
      <c r="O97" s="53"/>
      <c r="P97" s="53"/>
    </row>
    <row r="98" spans="12:16" x14ac:dyDescent="0.55000000000000004">
      <c r="L98" s="27"/>
      <c r="M98" s="53"/>
      <c r="N98" s="53"/>
      <c r="O98" s="53"/>
      <c r="P98" s="53"/>
    </row>
    <row r="99" spans="12:16" x14ac:dyDescent="0.55000000000000004">
      <c r="L99" s="27"/>
      <c r="M99" s="53"/>
      <c r="N99" s="53"/>
      <c r="O99" s="53"/>
      <c r="P99" s="53"/>
    </row>
    <row r="100" spans="12:16" x14ac:dyDescent="0.55000000000000004">
      <c r="L100" s="27"/>
      <c r="M100" s="53"/>
      <c r="N100" s="53"/>
      <c r="O100" s="53"/>
      <c r="P100" s="53"/>
    </row>
    <row r="101" spans="12:16" x14ac:dyDescent="0.55000000000000004">
      <c r="L101" s="27"/>
      <c r="M101" s="53"/>
      <c r="N101" s="53"/>
      <c r="O101" s="53"/>
      <c r="P101" s="53"/>
    </row>
    <row r="102" spans="12:16" x14ac:dyDescent="0.55000000000000004">
      <c r="L102" s="27"/>
      <c r="M102" s="53"/>
      <c r="N102" s="53"/>
      <c r="O102" s="53"/>
      <c r="P102" s="53"/>
    </row>
    <row r="103" spans="12:16" x14ac:dyDescent="0.55000000000000004">
      <c r="L103" s="27"/>
      <c r="M103" s="53"/>
      <c r="N103" s="53"/>
      <c r="O103" s="53"/>
      <c r="P103" s="53"/>
    </row>
    <row r="104" spans="12:16" x14ac:dyDescent="0.55000000000000004">
      <c r="L104" s="27"/>
      <c r="M104" s="53"/>
      <c r="N104" s="53"/>
      <c r="O104" s="53"/>
      <c r="P104" s="53"/>
    </row>
    <row r="105" spans="12:16" x14ac:dyDescent="0.55000000000000004">
      <c r="L105" s="27"/>
      <c r="M105" s="53"/>
      <c r="N105" s="53"/>
      <c r="O105" s="53"/>
      <c r="P105" s="53"/>
    </row>
    <row r="106" spans="12:16" x14ac:dyDescent="0.55000000000000004">
      <c r="L106" s="27"/>
      <c r="M106" s="53"/>
      <c r="N106" s="53"/>
      <c r="O106" s="53"/>
      <c r="P106" s="53"/>
    </row>
    <row r="107" spans="12:16" x14ac:dyDescent="0.55000000000000004">
      <c r="L107" s="27"/>
      <c r="M107" s="53"/>
      <c r="N107" s="53"/>
      <c r="O107" s="53"/>
      <c r="P107" s="53"/>
    </row>
    <row r="108" spans="12:16" x14ac:dyDescent="0.55000000000000004">
      <c r="L108" s="27"/>
      <c r="M108" s="53"/>
      <c r="N108" s="53"/>
      <c r="O108" s="53"/>
      <c r="P108" s="53"/>
    </row>
    <row r="109" spans="12:16" x14ac:dyDescent="0.55000000000000004">
      <c r="L109" s="27"/>
      <c r="M109" s="53"/>
      <c r="N109" s="53"/>
      <c r="O109" s="53"/>
      <c r="P109" s="53"/>
    </row>
    <row r="110" spans="12:16" x14ac:dyDescent="0.55000000000000004">
      <c r="L110" s="27"/>
      <c r="M110" s="53"/>
      <c r="N110" s="53"/>
      <c r="O110" s="53"/>
      <c r="P110" s="53"/>
    </row>
    <row r="111" spans="12:16" x14ac:dyDescent="0.55000000000000004">
      <c r="L111" s="27"/>
      <c r="M111" s="53"/>
      <c r="N111" s="53"/>
      <c r="O111" s="53"/>
      <c r="P111" s="53"/>
    </row>
    <row r="112" spans="12:16" x14ac:dyDescent="0.55000000000000004">
      <c r="L112" s="27"/>
      <c r="M112" s="53"/>
      <c r="N112" s="53"/>
      <c r="O112" s="53"/>
      <c r="P112" s="53"/>
    </row>
    <row r="113" spans="12:16" x14ac:dyDescent="0.55000000000000004">
      <c r="L113" s="27"/>
      <c r="M113" s="53"/>
      <c r="N113" s="53"/>
      <c r="O113" s="53"/>
      <c r="P113" s="53"/>
    </row>
    <row r="114" spans="12:16" x14ac:dyDescent="0.55000000000000004">
      <c r="L114" s="27"/>
      <c r="M114" s="53"/>
      <c r="N114" s="53"/>
      <c r="O114" s="53"/>
      <c r="P114" s="53"/>
    </row>
    <row r="115" spans="12:16" x14ac:dyDescent="0.55000000000000004">
      <c r="L115" s="27"/>
      <c r="M115" s="53"/>
      <c r="N115" s="53"/>
      <c r="O115" s="53"/>
      <c r="P115" s="53"/>
    </row>
    <row r="116" spans="12:16" x14ac:dyDescent="0.55000000000000004">
      <c r="L116" s="27"/>
      <c r="M116" s="53"/>
      <c r="N116" s="53"/>
      <c r="O116" s="53"/>
      <c r="P116" s="53"/>
    </row>
    <row r="117" spans="12:16" x14ac:dyDescent="0.55000000000000004">
      <c r="L117" s="27"/>
      <c r="M117" s="53"/>
      <c r="N117" s="53"/>
      <c r="O117" s="53"/>
      <c r="P117" s="53"/>
    </row>
    <row r="118" spans="12:16" x14ac:dyDescent="0.55000000000000004">
      <c r="L118" s="27"/>
      <c r="M118" s="53"/>
      <c r="N118" s="53"/>
      <c r="O118" s="53"/>
      <c r="P118" s="53"/>
    </row>
    <row r="119" spans="12:16" x14ac:dyDescent="0.55000000000000004">
      <c r="L119" s="27"/>
      <c r="M119" s="53"/>
      <c r="N119" s="53"/>
      <c r="O119" s="53"/>
      <c r="P119" s="53"/>
    </row>
    <row r="120" spans="12:16" x14ac:dyDescent="0.55000000000000004">
      <c r="L120" s="27"/>
      <c r="M120" s="53"/>
      <c r="N120" s="53"/>
      <c r="O120" s="53"/>
      <c r="P120" s="53"/>
    </row>
    <row r="121" spans="12:16" x14ac:dyDescent="0.55000000000000004">
      <c r="L121" s="27"/>
      <c r="M121" s="53"/>
      <c r="N121" s="53"/>
      <c r="O121" s="53"/>
      <c r="P121" s="53"/>
    </row>
    <row r="122" spans="12:16" x14ac:dyDescent="0.55000000000000004">
      <c r="L122" s="27"/>
      <c r="M122" s="53"/>
      <c r="N122" s="53"/>
      <c r="O122" s="53"/>
      <c r="P122" s="53"/>
    </row>
    <row r="123" spans="12:16" x14ac:dyDescent="0.55000000000000004">
      <c r="L123" s="27"/>
      <c r="M123" s="53"/>
      <c r="N123" s="53"/>
      <c r="O123" s="53"/>
      <c r="P123" s="53"/>
    </row>
    <row r="124" spans="12:16" x14ac:dyDescent="0.55000000000000004">
      <c r="L124" s="27"/>
      <c r="M124" s="53"/>
      <c r="N124" s="53"/>
      <c r="O124" s="53"/>
      <c r="P124" s="53"/>
    </row>
    <row r="125" spans="12:16" x14ac:dyDescent="0.55000000000000004">
      <c r="L125" s="27"/>
      <c r="M125" s="53"/>
      <c r="N125" s="53"/>
      <c r="O125" s="53"/>
      <c r="P125" s="53"/>
    </row>
    <row r="126" spans="12:16" x14ac:dyDescent="0.55000000000000004">
      <c r="L126" s="27"/>
      <c r="M126" s="53"/>
      <c r="N126" s="53"/>
      <c r="O126" s="53"/>
      <c r="P126" s="53"/>
    </row>
    <row r="127" spans="12:16" x14ac:dyDescent="0.55000000000000004">
      <c r="L127" s="27"/>
      <c r="M127" s="53"/>
      <c r="N127" s="53"/>
      <c r="O127" s="53"/>
      <c r="P127" s="53"/>
    </row>
    <row r="128" spans="12:16" x14ac:dyDescent="0.55000000000000004">
      <c r="L128" s="27"/>
      <c r="M128" s="53"/>
      <c r="N128" s="53"/>
      <c r="O128" s="53"/>
      <c r="P128" s="53"/>
    </row>
    <row r="129" spans="12:16" x14ac:dyDescent="0.55000000000000004">
      <c r="L129" s="27"/>
      <c r="M129" s="53"/>
      <c r="N129" s="53"/>
      <c r="O129" s="53"/>
      <c r="P129" s="53"/>
    </row>
    <row r="130" spans="12:16" x14ac:dyDescent="0.55000000000000004">
      <c r="L130" s="27"/>
      <c r="M130" s="53"/>
      <c r="N130" s="53"/>
      <c r="O130" s="53"/>
      <c r="P130" s="53"/>
    </row>
    <row r="131" spans="12:16" x14ac:dyDescent="0.55000000000000004">
      <c r="L131" s="27"/>
      <c r="M131" s="53"/>
      <c r="N131" s="53"/>
      <c r="O131" s="53"/>
      <c r="P131" s="53"/>
    </row>
    <row r="132" spans="12:16" x14ac:dyDescent="0.55000000000000004">
      <c r="L132" s="27"/>
      <c r="M132" s="53"/>
      <c r="N132" s="53"/>
      <c r="O132" s="53"/>
      <c r="P132" s="53"/>
    </row>
    <row r="133" spans="12:16" x14ac:dyDescent="0.55000000000000004">
      <c r="L133" s="27"/>
      <c r="M133" s="53"/>
      <c r="N133" s="53"/>
      <c r="O133" s="53"/>
      <c r="P133" s="53"/>
    </row>
    <row r="134" spans="12:16" x14ac:dyDescent="0.55000000000000004">
      <c r="L134" s="27"/>
      <c r="M134" s="53"/>
      <c r="N134" s="53"/>
      <c r="O134" s="53"/>
      <c r="P134" s="53"/>
    </row>
    <row r="135" spans="12:16" x14ac:dyDescent="0.55000000000000004">
      <c r="L135" s="27"/>
      <c r="M135" s="53"/>
      <c r="N135" s="53"/>
      <c r="O135" s="53"/>
      <c r="P135" s="53"/>
    </row>
    <row r="136" spans="12:16" x14ac:dyDescent="0.55000000000000004">
      <c r="L136" s="27"/>
      <c r="M136" s="53"/>
      <c r="N136" s="53"/>
      <c r="O136" s="53"/>
      <c r="P136" s="53"/>
    </row>
    <row r="137" spans="12:16" x14ac:dyDescent="0.55000000000000004">
      <c r="L137" s="27"/>
      <c r="M137" s="53"/>
      <c r="N137" s="53"/>
      <c r="O137" s="53"/>
      <c r="P137" s="53"/>
    </row>
    <row r="138" spans="12:16" x14ac:dyDescent="0.55000000000000004">
      <c r="L138" s="27"/>
      <c r="M138" s="53"/>
      <c r="N138" s="53"/>
      <c r="O138" s="53"/>
      <c r="P138" s="53"/>
    </row>
    <row r="139" spans="12:16" x14ac:dyDescent="0.55000000000000004">
      <c r="L139" s="27"/>
      <c r="M139" s="53"/>
      <c r="N139" s="53"/>
      <c r="O139" s="53"/>
      <c r="P139" s="53"/>
    </row>
    <row r="140" spans="12:16" x14ac:dyDescent="0.55000000000000004">
      <c r="L140" s="27"/>
      <c r="M140" s="53"/>
      <c r="N140" s="53"/>
      <c r="O140" s="53"/>
      <c r="P140" s="53"/>
    </row>
    <row r="141" spans="12:16" x14ac:dyDescent="0.55000000000000004">
      <c r="L141" s="27"/>
      <c r="M141" s="53"/>
      <c r="N141" s="53"/>
      <c r="O141" s="53"/>
      <c r="P141" s="53"/>
    </row>
    <row r="142" spans="12:16" x14ac:dyDescent="0.55000000000000004">
      <c r="L142" s="27"/>
      <c r="M142" s="53"/>
      <c r="N142" s="53"/>
      <c r="O142" s="53"/>
      <c r="P142" s="53"/>
    </row>
    <row r="143" spans="12:16" x14ac:dyDescent="0.55000000000000004">
      <c r="L143" s="27"/>
      <c r="M143" s="53"/>
      <c r="N143" s="53"/>
      <c r="O143" s="53"/>
      <c r="P143" s="53"/>
    </row>
    <row r="144" spans="12:16" x14ac:dyDescent="0.55000000000000004">
      <c r="L144" s="27"/>
      <c r="M144" s="53"/>
      <c r="N144" s="53"/>
      <c r="O144" s="53"/>
      <c r="P144" s="53"/>
    </row>
    <row r="145" spans="12:16" x14ac:dyDescent="0.55000000000000004">
      <c r="L145" s="27"/>
      <c r="M145" s="53"/>
      <c r="N145" s="53"/>
      <c r="O145" s="53"/>
      <c r="P145" s="53"/>
    </row>
    <row r="146" spans="12:16" x14ac:dyDescent="0.55000000000000004">
      <c r="L146" s="27"/>
      <c r="M146" s="53"/>
      <c r="N146" s="53"/>
      <c r="O146" s="53"/>
      <c r="P146" s="53"/>
    </row>
    <row r="147" spans="12:16" x14ac:dyDescent="0.55000000000000004">
      <c r="L147" s="27"/>
      <c r="M147" s="53"/>
      <c r="N147" s="53"/>
      <c r="O147" s="53"/>
      <c r="P147" s="53"/>
    </row>
    <row r="148" spans="12:16" x14ac:dyDescent="0.55000000000000004">
      <c r="L148" s="27"/>
      <c r="M148" s="53"/>
      <c r="N148" s="53"/>
      <c r="O148" s="53"/>
      <c r="P148" s="53"/>
    </row>
    <row r="149" spans="12:16" x14ac:dyDescent="0.55000000000000004">
      <c r="L149" s="27"/>
      <c r="M149" s="53"/>
      <c r="N149" s="53"/>
      <c r="O149" s="53"/>
      <c r="P149" s="53"/>
    </row>
    <row r="150" spans="12:16" x14ac:dyDescent="0.55000000000000004">
      <c r="L150" s="27"/>
      <c r="M150" s="53"/>
      <c r="N150" s="53"/>
      <c r="O150" s="53"/>
      <c r="P150" s="53"/>
    </row>
    <row r="151" spans="12:16" x14ac:dyDescent="0.55000000000000004">
      <c r="L151" s="27"/>
      <c r="M151" s="53"/>
      <c r="N151" s="53"/>
      <c r="O151" s="53"/>
      <c r="P151" s="53"/>
    </row>
    <row r="152" spans="12:16" x14ac:dyDescent="0.55000000000000004">
      <c r="L152" s="27"/>
      <c r="M152" s="53"/>
      <c r="N152" s="53"/>
      <c r="O152" s="53"/>
      <c r="P152" s="53"/>
    </row>
    <row r="153" spans="12:16" x14ac:dyDescent="0.55000000000000004">
      <c r="L153" s="27"/>
      <c r="M153" s="53"/>
      <c r="N153" s="53"/>
      <c r="O153" s="53"/>
      <c r="P153" s="53"/>
    </row>
    <row r="154" spans="12:16" x14ac:dyDescent="0.55000000000000004">
      <c r="L154" s="27"/>
      <c r="M154" s="53"/>
      <c r="N154" s="53"/>
      <c r="O154" s="53"/>
      <c r="P154" s="53"/>
    </row>
    <row r="155" spans="12:16" x14ac:dyDescent="0.55000000000000004">
      <c r="L155" s="27"/>
      <c r="M155" s="53"/>
      <c r="N155" s="53"/>
      <c r="O155" s="53"/>
      <c r="P155" s="53"/>
    </row>
    <row r="156" spans="12:16" x14ac:dyDescent="0.55000000000000004">
      <c r="L156" s="27"/>
      <c r="M156" s="53"/>
      <c r="N156" s="53"/>
      <c r="O156" s="53"/>
      <c r="P156" s="53"/>
    </row>
    <row r="157" spans="12:16" x14ac:dyDescent="0.55000000000000004">
      <c r="L157" s="27"/>
      <c r="M157" s="53"/>
      <c r="N157" s="53"/>
      <c r="O157" s="53"/>
      <c r="P157" s="53"/>
    </row>
    <row r="158" spans="12:16" x14ac:dyDescent="0.55000000000000004">
      <c r="L158" s="27"/>
      <c r="M158" s="53"/>
      <c r="N158" s="53"/>
      <c r="O158" s="53"/>
      <c r="P158" s="53"/>
    </row>
    <row r="159" spans="12:16" x14ac:dyDescent="0.55000000000000004">
      <c r="L159" s="27"/>
      <c r="M159" s="53"/>
      <c r="N159" s="53"/>
      <c r="O159" s="53"/>
      <c r="P159" s="53"/>
    </row>
    <row r="160" spans="12:16" x14ac:dyDescent="0.55000000000000004">
      <c r="L160" s="27"/>
      <c r="M160" s="53"/>
      <c r="N160" s="53"/>
      <c r="O160" s="53"/>
      <c r="P160" s="53"/>
    </row>
    <row r="161" spans="12:16" x14ac:dyDescent="0.55000000000000004">
      <c r="L161" s="27"/>
      <c r="M161" s="53"/>
      <c r="N161" s="53"/>
      <c r="O161" s="53"/>
      <c r="P161" s="53"/>
    </row>
    <row r="162" spans="12:16" x14ac:dyDescent="0.55000000000000004">
      <c r="L162" s="27"/>
      <c r="M162" s="53"/>
      <c r="N162" s="53"/>
      <c r="O162" s="53"/>
      <c r="P162" s="53"/>
    </row>
    <row r="163" spans="12:16" x14ac:dyDescent="0.55000000000000004">
      <c r="L163" s="27"/>
      <c r="M163" s="53"/>
      <c r="N163" s="53"/>
      <c r="O163" s="53"/>
      <c r="P163" s="53"/>
    </row>
    <row r="164" spans="12:16" x14ac:dyDescent="0.55000000000000004">
      <c r="L164" s="27"/>
      <c r="M164" s="53"/>
      <c r="N164" s="53"/>
      <c r="O164" s="53"/>
      <c r="P164" s="53"/>
    </row>
    <row r="165" spans="12:16" x14ac:dyDescent="0.55000000000000004">
      <c r="L165" s="27"/>
      <c r="M165" s="53"/>
      <c r="N165" s="53"/>
      <c r="O165" s="53"/>
      <c r="P165" s="53"/>
    </row>
    <row r="166" spans="12:16" x14ac:dyDescent="0.55000000000000004">
      <c r="L166" s="27"/>
      <c r="M166" s="53"/>
      <c r="N166" s="53"/>
      <c r="O166" s="53"/>
      <c r="P166" s="53"/>
    </row>
    <row r="167" spans="12:16" x14ac:dyDescent="0.55000000000000004">
      <c r="L167" s="27"/>
      <c r="M167" s="53"/>
      <c r="N167" s="53"/>
      <c r="O167" s="53"/>
      <c r="P167" s="53"/>
    </row>
    <row r="168" spans="12:16" x14ac:dyDescent="0.55000000000000004">
      <c r="L168" s="27"/>
      <c r="M168" s="53"/>
      <c r="N168" s="53"/>
      <c r="O168" s="53"/>
      <c r="P168" s="53"/>
    </row>
    <row r="169" spans="12:16" x14ac:dyDescent="0.55000000000000004">
      <c r="L169" s="27"/>
      <c r="M169" s="53"/>
      <c r="N169" s="53"/>
      <c r="O169" s="53"/>
      <c r="P169" s="53"/>
    </row>
    <row r="170" spans="12:16" x14ac:dyDescent="0.55000000000000004">
      <c r="L170" s="27"/>
      <c r="M170" s="53"/>
      <c r="N170" s="53"/>
      <c r="O170" s="53"/>
      <c r="P170" s="53"/>
    </row>
    <row r="171" spans="12:16" x14ac:dyDescent="0.55000000000000004">
      <c r="L171" s="27"/>
      <c r="M171" s="53"/>
      <c r="N171" s="53"/>
      <c r="O171" s="53"/>
      <c r="P171" s="53"/>
    </row>
    <row r="172" spans="12:16" x14ac:dyDescent="0.55000000000000004">
      <c r="L172" s="27"/>
      <c r="M172" s="53"/>
      <c r="N172" s="53"/>
      <c r="O172" s="53"/>
      <c r="P172" s="53"/>
    </row>
    <row r="173" spans="12:16" x14ac:dyDescent="0.55000000000000004">
      <c r="L173" s="27"/>
      <c r="M173" s="53"/>
      <c r="N173" s="53"/>
      <c r="O173" s="53"/>
      <c r="P173" s="53"/>
    </row>
    <row r="174" spans="12:16" x14ac:dyDescent="0.55000000000000004">
      <c r="L174" s="27"/>
      <c r="M174" s="53"/>
      <c r="N174" s="53"/>
      <c r="O174" s="53"/>
      <c r="P174" s="53"/>
    </row>
    <row r="175" spans="12:16" x14ac:dyDescent="0.55000000000000004">
      <c r="L175" s="27"/>
      <c r="M175" s="53"/>
      <c r="N175" s="53"/>
      <c r="O175" s="53"/>
      <c r="P175" s="53"/>
    </row>
    <row r="176" spans="12:16" x14ac:dyDescent="0.55000000000000004">
      <c r="L176" s="27"/>
      <c r="M176" s="53"/>
      <c r="N176" s="53"/>
      <c r="O176" s="53"/>
      <c r="P176" s="53"/>
    </row>
    <row r="177" spans="12:16" x14ac:dyDescent="0.55000000000000004">
      <c r="L177" s="27"/>
      <c r="M177" s="53"/>
      <c r="N177" s="53"/>
      <c r="O177" s="53"/>
      <c r="P177" s="53"/>
    </row>
    <row r="178" spans="12:16" x14ac:dyDescent="0.55000000000000004">
      <c r="L178" s="27"/>
      <c r="M178" s="53"/>
      <c r="N178" s="53"/>
      <c r="O178" s="53"/>
      <c r="P178" s="53"/>
    </row>
    <row r="179" spans="12:16" x14ac:dyDescent="0.55000000000000004">
      <c r="L179" s="27"/>
      <c r="M179" s="53"/>
      <c r="N179" s="53"/>
      <c r="O179" s="53"/>
      <c r="P179" s="53"/>
    </row>
    <row r="180" spans="12:16" x14ac:dyDescent="0.55000000000000004">
      <c r="L180" s="27"/>
      <c r="M180" s="53"/>
      <c r="N180" s="53"/>
      <c r="O180" s="53"/>
      <c r="P180" s="53"/>
    </row>
    <row r="181" spans="12:16" x14ac:dyDescent="0.55000000000000004">
      <c r="L181" s="27"/>
      <c r="M181" s="53"/>
      <c r="N181" s="53"/>
      <c r="O181" s="53"/>
      <c r="P181" s="53"/>
    </row>
    <row r="182" spans="12:16" x14ac:dyDescent="0.55000000000000004">
      <c r="L182" s="27"/>
      <c r="M182" s="53"/>
      <c r="N182" s="53"/>
      <c r="O182" s="53"/>
      <c r="P182" s="53"/>
    </row>
    <row r="183" spans="12:16" x14ac:dyDescent="0.55000000000000004">
      <c r="L183" s="27"/>
      <c r="M183" s="53"/>
      <c r="N183" s="53"/>
      <c r="O183" s="53"/>
      <c r="P183" s="53"/>
    </row>
    <row r="184" spans="12:16" x14ac:dyDescent="0.55000000000000004">
      <c r="L184" s="27"/>
      <c r="M184" s="53"/>
      <c r="N184" s="53"/>
      <c r="O184" s="53"/>
      <c r="P184" s="53"/>
    </row>
    <row r="185" spans="12:16" x14ac:dyDescent="0.55000000000000004">
      <c r="L185" s="27"/>
      <c r="M185" s="53"/>
      <c r="N185" s="53"/>
      <c r="O185" s="53"/>
      <c r="P185" s="53"/>
    </row>
    <row r="186" spans="12:16" x14ac:dyDescent="0.55000000000000004">
      <c r="L186" s="27"/>
      <c r="M186" s="53"/>
      <c r="N186" s="53"/>
      <c r="O186" s="53"/>
      <c r="P186" s="53"/>
    </row>
    <row r="187" spans="12:16" x14ac:dyDescent="0.55000000000000004">
      <c r="L187" s="27"/>
      <c r="M187" s="53"/>
      <c r="N187" s="53"/>
      <c r="O187" s="53"/>
      <c r="P187" s="53"/>
    </row>
    <row r="188" spans="12:16" x14ac:dyDescent="0.55000000000000004">
      <c r="L188" s="27"/>
      <c r="M188" s="53"/>
      <c r="N188" s="53"/>
      <c r="O188" s="53"/>
      <c r="P188" s="53"/>
    </row>
    <row r="189" spans="12:16" x14ac:dyDescent="0.55000000000000004">
      <c r="L189" s="27"/>
      <c r="M189" s="53"/>
      <c r="N189" s="53"/>
      <c r="O189" s="53"/>
      <c r="P189" s="53"/>
    </row>
    <row r="190" spans="12:16" x14ac:dyDescent="0.55000000000000004">
      <c r="L190" s="27"/>
      <c r="M190" s="53"/>
      <c r="N190" s="53"/>
      <c r="O190" s="53"/>
      <c r="P190" s="53"/>
    </row>
    <row r="191" spans="12:16" x14ac:dyDescent="0.55000000000000004">
      <c r="L191" s="27"/>
      <c r="M191" s="53"/>
      <c r="N191" s="53"/>
      <c r="O191" s="53"/>
      <c r="P191" s="53"/>
    </row>
    <row r="192" spans="12:16" x14ac:dyDescent="0.55000000000000004">
      <c r="L192" s="27"/>
      <c r="M192" s="53"/>
      <c r="N192" s="53"/>
      <c r="O192" s="53"/>
      <c r="P192" s="53"/>
    </row>
    <row r="193" spans="12:16" x14ac:dyDescent="0.55000000000000004">
      <c r="L193" s="27"/>
      <c r="M193" s="53"/>
      <c r="N193" s="53"/>
      <c r="O193" s="53"/>
      <c r="P193" s="53"/>
    </row>
    <row r="194" spans="12:16" x14ac:dyDescent="0.55000000000000004">
      <c r="L194" s="27"/>
      <c r="M194" s="53"/>
      <c r="N194" s="53"/>
      <c r="O194" s="53"/>
      <c r="P194" s="53"/>
    </row>
    <row r="195" spans="12:16" x14ac:dyDescent="0.55000000000000004">
      <c r="L195" s="27"/>
      <c r="M195" s="53"/>
      <c r="N195" s="53"/>
      <c r="O195" s="53"/>
      <c r="P195" s="53"/>
    </row>
    <row r="196" spans="12:16" x14ac:dyDescent="0.55000000000000004">
      <c r="L196" s="27"/>
      <c r="M196" s="53"/>
      <c r="N196" s="53"/>
      <c r="O196" s="53"/>
      <c r="P196" s="53"/>
    </row>
    <row r="197" spans="12:16" x14ac:dyDescent="0.55000000000000004">
      <c r="L197" s="27"/>
      <c r="M197" s="53"/>
      <c r="N197" s="53"/>
      <c r="O197" s="53"/>
      <c r="P197" s="53"/>
    </row>
    <row r="198" spans="12:16" x14ac:dyDescent="0.55000000000000004">
      <c r="L198" s="27"/>
      <c r="M198" s="53"/>
      <c r="N198" s="53"/>
      <c r="O198" s="53"/>
      <c r="P198" s="53"/>
    </row>
    <row r="199" spans="12:16" x14ac:dyDescent="0.55000000000000004">
      <c r="L199" s="27"/>
      <c r="M199" s="53"/>
      <c r="N199" s="53"/>
      <c r="O199" s="53"/>
      <c r="P199" s="53"/>
    </row>
    <row r="200" spans="12:16" x14ac:dyDescent="0.55000000000000004">
      <c r="L200" s="27"/>
      <c r="M200" s="53"/>
      <c r="N200" s="53"/>
      <c r="O200" s="53"/>
      <c r="P200" s="53"/>
    </row>
    <row r="201" spans="12:16" x14ac:dyDescent="0.55000000000000004">
      <c r="L201" s="27"/>
      <c r="M201" s="53"/>
      <c r="N201" s="53"/>
      <c r="O201" s="53"/>
      <c r="P201" s="53"/>
    </row>
    <row r="202" spans="12:16" x14ac:dyDescent="0.55000000000000004">
      <c r="L202" s="27"/>
      <c r="M202" s="53"/>
      <c r="N202" s="53"/>
      <c r="O202" s="53"/>
      <c r="P202" s="53"/>
    </row>
    <row r="203" spans="12:16" x14ac:dyDescent="0.55000000000000004">
      <c r="L203" s="27"/>
      <c r="M203" s="53"/>
      <c r="N203" s="53"/>
      <c r="O203" s="53"/>
      <c r="P203" s="53"/>
    </row>
    <row r="204" spans="12:16" x14ac:dyDescent="0.55000000000000004">
      <c r="L204" s="27"/>
      <c r="M204" s="53"/>
      <c r="N204" s="53"/>
      <c r="O204" s="53"/>
      <c r="P204" s="53"/>
    </row>
    <row r="205" spans="12:16" x14ac:dyDescent="0.55000000000000004">
      <c r="L205" s="27"/>
      <c r="M205" s="53"/>
      <c r="N205" s="53"/>
      <c r="O205" s="53"/>
      <c r="P205" s="53"/>
    </row>
    <row r="206" spans="12:16" x14ac:dyDescent="0.55000000000000004">
      <c r="L206" s="27"/>
      <c r="M206" s="53"/>
      <c r="N206" s="53"/>
      <c r="O206" s="53"/>
      <c r="P206" s="53"/>
    </row>
    <row r="207" spans="12:16" x14ac:dyDescent="0.55000000000000004">
      <c r="L207" s="27"/>
      <c r="M207" s="53"/>
      <c r="N207" s="53"/>
      <c r="O207" s="53"/>
      <c r="P207" s="53"/>
    </row>
    <row r="208" spans="12:16" x14ac:dyDescent="0.55000000000000004">
      <c r="L208" s="27"/>
      <c r="M208" s="53"/>
      <c r="N208" s="53"/>
      <c r="O208" s="53"/>
      <c r="P208" s="53"/>
    </row>
    <row r="209" spans="12:16" x14ac:dyDescent="0.55000000000000004">
      <c r="L209" s="27"/>
      <c r="M209" s="53"/>
      <c r="N209" s="53"/>
      <c r="O209" s="53"/>
      <c r="P209" s="53"/>
    </row>
    <row r="210" spans="12:16" x14ac:dyDescent="0.55000000000000004">
      <c r="L210" s="27"/>
      <c r="M210" s="53"/>
      <c r="N210" s="53"/>
      <c r="O210" s="53"/>
      <c r="P210" s="53"/>
    </row>
    <row r="211" spans="12:16" x14ac:dyDescent="0.55000000000000004">
      <c r="L211" s="27"/>
      <c r="M211" s="53"/>
      <c r="N211" s="53"/>
      <c r="O211" s="53"/>
      <c r="P211" s="53"/>
    </row>
    <row r="212" spans="12:16" x14ac:dyDescent="0.55000000000000004">
      <c r="L212" s="27"/>
      <c r="M212" s="53"/>
      <c r="N212" s="53"/>
      <c r="O212" s="53"/>
      <c r="P212" s="53"/>
    </row>
    <row r="213" spans="12:16" x14ac:dyDescent="0.55000000000000004">
      <c r="L213" s="27"/>
      <c r="M213" s="53"/>
      <c r="N213" s="53"/>
      <c r="O213" s="53"/>
      <c r="P213" s="53"/>
    </row>
    <row r="214" spans="12:16" x14ac:dyDescent="0.55000000000000004">
      <c r="L214" s="27"/>
      <c r="M214" s="53"/>
      <c r="N214" s="53"/>
      <c r="O214" s="53"/>
      <c r="P214" s="53"/>
    </row>
    <row r="215" spans="12:16" x14ac:dyDescent="0.55000000000000004">
      <c r="L215" s="27"/>
      <c r="M215" s="53"/>
      <c r="N215" s="53"/>
      <c r="O215" s="53"/>
      <c r="P215" s="53"/>
    </row>
    <row r="216" spans="12:16" x14ac:dyDescent="0.55000000000000004">
      <c r="L216" s="27"/>
      <c r="M216" s="53"/>
      <c r="N216" s="53"/>
      <c r="O216" s="53"/>
      <c r="P216" s="53"/>
    </row>
    <row r="217" spans="12:16" x14ac:dyDescent="0.55000000000000004">
      <c r="L217" s="27"/>
      <c r="M217" s="53"/>
      <c r="N217" s="53"/>
      <c r="O217" s="53"/>
      <c r="P217" s="53"/>
    </row>
    <row r="218" spans="12:16" x14ac:dyDescent="0.55000000000000004">
      <c r="L218" s="27"/>
      <c r="M218" s="53"/>
      <c r="N218" s="53"/>
      <c r="O218" s="53"/>
      <c r="P218" s="53"/>
    </row>
    <row r="219" spans="12:16" x14ac:dyDescent="0.55000000000000004">
      <c r="L219" s="27"/>
      <c r="M219" s="53"/>
      <c r="N219" s="53"/>
      <c r="O219" s="53"/>
      <c r="P219" s="53"/>
    </row>
    <row r="220" spans="12:16" x14ac:dyDescent="0.55000000000000004">
      <c r="L220" s="27"/>
      <c r="M220" s="53"/>
      <c r="N220" s="53"/>
      <c r="O220" s="53"/>
      <c r="P220" s="53"/>
    </row>
    <row r="221" spans="12:16" x14ac:dyDescent="0.55000000000000004">
      <c r="L221" s="27"/>
      <c r="M221" s="53"/>
      <c r="N221" s="53"/>
      <c r="O221" s="53"/>
      <c r="P221" s="53"/>
    </row>
    <row r="222" spans="12:16" x14ac:dyDescent="0.55000000000000004">
      <c r="L222" s="27"/>
      <c r="M222" s="53"/>
      <c r="N222" s="53"/>
      <c r="O222" s="53"/>
      <c r="P222" s="53"/>
    </row>
    <row r="223" spans="12:16" x14ac:dyDescent="0.55000000000000004">
      <c r="L223" s="27"/>
      <c r="M223" s="53"/>
      <c r="N223" s="53"/>
      <c r="O223" s="53"/>
      <c r="P223" s="53"/>
    </row>
    <row r="224" spans="12:16" x14ac:dyDescent="0.55000000000000004">
      <c r="L224" s="27"/>
      <c r="M224" s="53"/>
      <c r="N224" s="53"/>
      <c r="O224" s="53"/>
      <c r="P224" s="53"/>
    </row>
    <row r="225" spans="12:16" x14ac:dyDescent="0.55000000000000004">
      <c r="L225" s="27"/>
      <c r="M225" s="53"/>
      <c r="N225" s="53"/>
      <c r="O225" s="53"/>
      <c r="P225" s="53"/>
    </row>
    <row r="226" spans="12:16" x14ac:dyDescent="0.55000000000000004">
      <c r="L226" s="27"/>
      <c r="M226" s="53"/>
      <c r="N226" s="53"/>
      <c r="O226" s="53"/>
      <c r="P226" s="53"/>
    </row>
    <row r="227" spans="12:16" x14ac:dyDescent="0.55000000000000004">
      <c r="L227" s="27"/>
      <c r="M227" s="53"/>
      <c r="N227" s="53"/>
      <c r="O227" s="53"/>
      <c r="P227" s="53"/>
    </row>
    <row r="228" spans="12:16" x14ac:dyDescent="0.55000000000000004">
      <c r="L228" s="27"/>
      <c r="M228" s="53"/>
      <c r="N228" s="53"/>
      <c r="O228" s="53"/>
      <c r="P228" s="53"/>
    </row>
    <row r="229" spans="12:16" x14ac:dyDescent="0.55000000000000004">
      <c r="L229" s="27"/>
      <c r="M229" s="53"/>
      <c r="N229" s="53"/>
      <c r="O229" s="53"/>
      <c r="P229" s="53"/>
    </row>
    <row r="230" spans="12:16" x14ac:dyDescent="0.55000000000000004">
      <c r="L230" s="27"/>
      <c r="M230" s="53"/>
      <c r="N230" s="53"/>
      <c r="O230" s="53"/>
      <c r="P230" s="53"/>
    </row>
    <row r="231" spans="12:16" x14ac:dyDescent="0.55000000000000004">
      <c r="L231" s="27"/>
      <c r="M231" s="53"/>
      <c r="N231" s="53"/>
      <c r="O231" s="53"/>
      <c r="P231" s="53"/>
    </row>
    <row r="232" spans="12:16" x14ac:dyDescent="0.55000000000000004">
      <c r="L232" s="27"/>
      <c r="M232" s="53"/>
      <c r="N232" s="53"/>
      <c r="O232" s="53"/>
      <c r="P232" s="53"/>
    </row>
    <row r="233" spans="12:16" x14ac:dyDescent="0.55000000000000004">
      <c r="L233" s="27"/>
      <c r="M233" s="53"/>
      <c r="N233" s="53"/>
      <c r="O233" s="53"/>
      <c r="P233" s="53"/>
    </row>
    <row r="234" spans="12:16" x14ac:dyDescent="0.55000000000000004">
      <c r="L234" s="27"/>
      <c r="M234" s="53"/>
      <c r="N234" s="53"/>
      <c r="O234" s="53"/>
      <c r="P234" s="53"/>
    </row>
    <row r="235" spans="12:16" x14ac:dyDescent="0.55000000000000004">
      <c r="L235" s="27"/>
      <c r="M235" s="53"/>
      <c r="N235" s="53"/>
      <c r="O235" s="53"/>
      <c r="P235" s="53"/>
    </row>
    <row r="236" spans="12:16" x14ac:dyDescent="0.55000000000000004">
      <c r="L236" s="27"/>
      <c r="M236" s="53"/>
      <c r="N236" s="53"/>
      <c r="O236" s="53"/>
      <c r="P236" s="53"/>
    </row>
    <row r="237" spans="12:16" x14ac:dyDescent="0.55000000000000004">
      <c r="L237" s="27"/>
      <c r="M237" s="53"/>
      <c r="N237" s="53"/>
      <c r="O237" s="53"/>
      <c r="P237" s="53"/>
    </row>
    <row r="238" spans="12:16" x14ac:dyDescent="0.55000000000000004">
      <c r="L238" s="27"/>
      <c r="M238" s="53"/>
      <c r="N238" s="53"/>
      <c r="O238" s="53"/>
      <c r="P238" s="53"/>
    </row>
    <row r="239" spans="12:16" x14ac:dyDescent="0.55000000000000004">
      <c r="L239" s="27"/>
      <c r="M239" s="53"/>
      <c r="N239" s="53"/>
      <c r="O239" s="53"/>
      <c r="P239" s="53"/>
    </row>
    <row r="240" spans="12:16" x14ac:dyDescent="0.55000000000000004">
      <c r="L240" s="27"/>
      <c r="M240" s="53"/>
      <c r="N240" s="53"/>
      <c r="O240" s="53"/>
      <c r="P240" s="53"/>
    </row>
    <row r="241" spans="12:16" x14ac:dyDescent="0.55000000000000004">
      <c r="L241" s="27"/>
      <c r="M241" s="53"/>
      <c r="N241" s="53"/>
      <c r="O241" s="53"/>
      <c r="P241" s="53"/>
    </row>
    <row r="242" spans="12:16" x14ac:dyDescent="0.55000000000000004">
      <c r="L242" s="27"/>
      <c r="M242" s="53"/>
      <c r="N242" s="53"/>
      <c r="O242" s="53"/>
      <c r="P242" s="53"/>
    </row>
    <row r="243" spans="12:16" x14ac:dyDescent="0.55000000000000004">
      <c r="L243" s="27"/>
      <c r="M243" s="53"/>
      <c r="N243" s="53"/>
      <c r="O243" s="53"/>
      <c r="P243" s="53"/>
    </row>
    <row r="244" spans="12:16" x14ac:dyDescent="0.55000000000000004">
      <c r="L244" s="27"/>
      <c r="M244" s="53"/>
      <c r="N244" s="53"/>
      <c r="O244" s="53"/>
      <c r="P244" s="53"/>
    </row>
    <row r="245" spans="12:16" x14ac:dyDescent="0.55000000000000004">
      <c r="L245" s="27"/>
      <c r="M245" s="53"/>
      <c r="N245" s="53"/>
      <c r="O245" s="53"/>
      <c r="P245" s="53"/>
    </row>
    <row r="246" spans="12:16" x14ac:dyDescent="0.55000000000000004">
      <c r="L246" s="27"/>
      <c r="M246" s="53"/>
      <c r="N246" s="53"/>
      <c r="O246" s="53"/>
      <c r="P246" s="53"/>
    </row>
    <row r="247" spans="12:16" x14ac:dyDescent="0.55000000000000004">
      <c r="L247" s="27"/>
      <c r="M247" s="53"/>
      <c r="N247" s="53"/>
      <c r="O247" s="53"/>
      <c r="P247" s="53"/>
    </row>
    <row r="248" spans="12:16" x14ac:dyDescent="0.55000000000000004">
      <c r="L248" s="27"/>
      <c r="M248" s="53"/>
      <c r="N248" s="53"/>
      <c r="O248" s="53"/>
      <c r="P248" s="53"/>
    </row>
    <row r="249" spans="12:16" x14ac:dyDescent="0.55000000000000004">
      <c r="L249" s="27"/>
      <c r="M249" s="53"/>
      <c r="N249" s="53"/>
      <c r="O249" s="53"/>
      <c r="P249" s="53"/>
    </row>
  </sheetData>
  <mergeCells count="1">
    <mergeCell ref="A4:K4"/>
  </mergeCells>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DA9B3-C60C-4FC1-8F91-948FA37C8C93}">
  <sheetPr codeName="Planilha94">
    <tabColor theme="9" tint="0.59999389629810485"/>
  </sheetPr>
  <dimension ref="A1:U31"/>
  <sheetViews>
    <sheetView showGridLines="0" workbookViewId="0">
      <selection activeCell="M7" sqref="M7"/>
    </sheetView>
  </sheetViews>
  <sheetFormatPr defaultColWidth="8.796875" defaultRowHeight="18" x14ac:dyDescent="0.55000000000000004"/>
  <cols>
    <col min="1" max="1" width="12.6640625" style="17" customWidth="1"/>
    <col min="2" max="2" width="43.1328125" customWidth="1"/>
    <col min="13" max="21" width="8.796875" style="15"/>
  </cols>
  <sheetData>
    <row r="1" spans="1:21" x14ac:dyDescent="0.55000000000000004">
      <c r="A1" s="16" t="s">
        <v>1114</v>
      </c>
      <c r="M1" s="14"/>
      <c r="N1" s="14"/>
      <c r="O1" s="14"/>
      <c r="P1" s="14"/>
      <c r="Q1" s="14"/>
      <c r="R1" s="14"/>
      <c r="S1" s="14"/>
      <c r="T1" s="14"/>
      <c r="U1" s="14"/>
    </row>
    <row r="2" spans="1:21" x14ac:dyDescent="0.55000000000000004">
      <c r="A2" s="17" t="s">
        <v>1115</v>
      </c>
      <c r="M2" s="14"/>
      <c r="N2" s="14"/>
      <c r="O2" s="14"/>
      <c r="P2" s="14"/>
      <c r="Q2" s="14"/>
      <c r="R2" s="14"/>
      <c r="S2" s="14"/>
      <c r="T2" s="14"/>
      <c r="U2" s="14"/>
    </row>
    <row r="4" spans="1:21" x14ac:dyDescent="0.55000000000000004">
      <c r="A4" s="17" t="s">
        <v>1124</v>
      </c>
    </row>
    <row r="6" spans="1:21" ht="15.75" x14ac:dyDescent="0.5">
      <c r="A6" s="2" t="s">
        <v>15</v>
      </c>
      <c r="B6" s="2" t="s">
        <v>16</v>
      </c>
    </row>
    <row r="7" spans="1:21" ht="15.75" x14ac:dyDescent="0.45">
      <c r="A7" s="23" t="s">
        <v>244</v>
      </c>
      <c r="B7" s="26" t="s">
        <v>1122</v>
      </c>
    </row>
    <row r="8" spans="1:21" ht="15.75" x14ac:dyDescent="0.45">
      <c r="A8" s="23" t="s">
        <v>42</v>
      </c>
      <c r="B8" s="26" t="s">
        <v>1123</v>
      </c>
    </row>
    <row r="9" spans="1:21" ht="63" x14ac:dyDescent="0.45">
      <c r="A9" s="23" t="s">
        <v>84</v>
      </c>
      <c r="B9" s="26" t="s">
        <v>1125</v>
      </c>
    </row>
    <row r="10" spans="1:21" ht="15.75" x14ac:dyDescent="0.5">
      <c r="A10" s="19"/>
      <c r="B10" s="18"/>
    </row>
    <row r="11" spans="1:21" x14ac:dyDescent="0.55000000000000004">
      <c r="J11" s="48" t="s">
        <v>42</v>
      </c>
      <c r="K11" s="48" t="s">
        <v>84</v>
      </c>
    </row>
    <row r="12" spans="1:21" x14ac:dyDescent="0.55000000000000004">
      <c r="D12" s="1" t="s">
        <v>17</v>
      </c>
      <c r="E12" s="13" t="s">
        <v>244</v>
      </c>
      <c r="F12" s="12">
        <v>1</v>
      </c>
      <c r="G12" s="12">
        <v>2</v>
      </c>
      <c r="H12" s="12">
        <v>3</v>
      </c>
      <c r="J12" s="12">
        <v>2</v>
      </c>
      <c r="K12" s="12">
        <v>1</v>
      </c>
      <c r="M12" s="15" cm="1">
        <f t="array" ref="M12:O14">_xlfn.LAMBDA(_xlpm.a,_xlpm.k,_xlop.dim, _xlfn.LET(
_xlpm.N, ROWS(_xlpm.a), _xlpm.m, COLUMNS(_xlpm.a),
_xlpm.dim, IF(OR(_xlfn.ISOMITTED(_xlpm.dim), ISBLANK(_xlpm.dim)), IF(_xlpm.N&gt;1, 1, 2), _xlpm.dim),
_xlpm.t, IF(_xlpm.dim=1, _xlpm.N, _xlpm.m),
_xlpm.shift, IF(_xlpm.dim=1, 1+MOD(INT(_xlpm.k)-1, _xlpm.N), 1+MOD(INT(_xlpm.k)-1, _xlpm.m)),
_xlpm.indices, _xlfn.VSTACK(_xlfn.SEQUENCE(_xlpm.shift, 1, _xlpm.t-_xlpm.shift+1), _xlfn.SEQUENCE(_xlpm.t-_xlpm.shift,1)),
_xlpm.final, IF(_xlpm.t=_xlpm.shift, _xlpm.a, IF(_xlpm.dim=1, _xlfn.CHOOSEROWS(_xlpm.a, _xlpm.indices), _xlfn.CHOOSECOLS(_xlpm.a, _xlpm.indices)) ),
_xlpm.final
))($F$12:$H$14,$J$12,$K$12)</f>
        <v>4</v>
      </c>
      <c r="N12" s="15">
        <v>5</v>
      </c>
      <c r="O12" s="15">
        <v>6</v>
      </c>
    </row>
    <row r="13" spans="1:21" x14ac:dyDescent="0.55000000000000004">
      <c r="F13" s="12">
        <v>4</v>
      </c>
      <c r="G13" s="12">
        <v>5</v>
      </c>
      <c r="H13" s="12">
        <v>6</v>
      </c>
      <c r="M13" s="15">
        <v>7</v>
      </c>
      <c r="N13" s="15">
        <v>8</v>
      </c>
      <c r="O13" s="15">
        <v>9</v>
      </c>
    </row>
    <row r="14" spans="1:21" x14ac:dyDescent="0.55000000000000004">
      <c r="F14" s="12">
        <v>7</v>
      </c>
      <c r="G14" s="12">
        <v>8</v>
      </c>
      <c r="H14" s="12">
        <v>9</v>
      </c>
      <c r="M14" s="15">
        <v>1</v>
      </c>
      <c r="N14" s="15">
        <v>2</v>
      </c>
      <c r="O14" s="15">
        <v>3</v>
      </c>
    </row>
    <row r="15" spans="1:21" ht="14.25" x14ac:dyDescent="0.45">
      <c r="A15"/>
    </row>
    <row r="18" spans="1:21" x14ac:dyDescent="0.55000000000000004">
      <c r="J18" s="48" t="s">
        <v>42</v>
      </c>
      <c r="K18" s="48" t="s">
        <v>84</v>
      </c>
    </row>
    <row r="19" spans="1:21" x14ac:dyDescent="0.55000000000000004">
      <c r="D19" s="1" t="s">
        <v>17</v>
      </c>
      <c r="E19" s="13" t="s">
        <v>244</v>
      </c>
      <c r="F19" s="12">
        <v>1</v>
      </c>
      <c r="G19" s="12">
        <v>2</v>
      </c>
      <c r="H19" s="12">
        <v>3</v>
      </c>
      <c r="J19" s="12">
        <v>2</v>
      </c>
      <c r="K19" s="12">
        <v>1</v>
      </c>
      <c r="M19" s="15" cm="1">
        <f t="array" ref="M19:O21">CIRCSHIFT($F$19:$H$21,$J$19,$K$19)</f>
        <v>4</v>
      </c>
      <c r="N19" s="15">
        <v>5</v>
      </c>
      <c r="O19" s="15">
        <v>6</v>
      </c>
    </row>
    <row r="20" spans="1:21" x14ac:dyDescent="0.55000000000000004">
      <c r="F20" s="12">
        <v>4</v>
      </c>
      <c r="G20" s="12">
        <v>5</v>
      </c>
      <c r="H20" s="12">
        <v>6</v>
      </c>
      <c r="M20" s="15">
        <v>7</v>
      </c>
      <c r="N20" s="15">
        <v>8</v>
      </c>
      <c r="O20" s="15">
        <v>9</v>
      </c>
    </row>
    <row r="21" spans="1:21" x14ac:dyDescent="0.55000000000000004">
      <c r="F21" s="12">
        <v>7</v>
      </c>
      <c r="G21" s="12">
        <v>8</v>
      </c>
      <c r="H21" s="12">
        <v>9</v>
      </c>
      <c r="M21" s="15">
        <v>1</v>
      </c>
      <c r="N21" s="15">
        <v>2</v>
      </c>
      <c r="O21" s="15">
        <v>3</v>
      </c>
    </row>
    <row r="22" spans="1:21" ht="14.25" x14ac:dyDescent="0.45">
      <c r="A22"/>
    </row>
    <row r="27" spans="1:21" s="21" customFormat="1" x14ac:dyDescent="0.55000000000000004">
      <c r="A27" s="17"/>
      <c r="B27"/>
      <c r="C27"/>
      <c r="D27"/>
      <c r="E27"/>
      <c r="F27"/>
      <c r="G27"/>
      <c r="H27"/>
      <c r="I27"/>
      <c r="J27"/>
      <c r="K27"/>
      <c r="L27"/>
      <c r="M27" s="15"/>
      <c r="N27" s="15"/>
      <c r="O27" s="15"/>
      <c r="P27" s="15"/>
      <c r="Q27" s="15"/>
      <c r="R27" s="15"/>
      <c r="S27" s="15"/>
      <c r="T27" s="15"/>
      <c r="U27" s="15"/>
    </row>
    <row r="28" spans="1:21" s="21" customFormat="1" x14ac:dyDescent="0.55000000000000004">
      <c r="A28" s="17"/>
      <c r="B28"/>
      <c r="C28"/>
      <c r="D28"/>
      <c r="E28"/>
      <c r="F28"/>
      <c r="G28"/>
      <c r="H28"/>
      <c r="I28"/>
      <c r="J28"/>
      <c r="K28"/>
      <c r="L28"/>
      <c r="M28" s="15"/>
      <c r="N28" s="15"/>
      <c r="O28" s="15"/>
      <c r="P28" s="15"/>
      <c r="Q28" s="15"/>
      <c r="R28" s="15"/>
      <c r="S28" s="15"/>
      <c r="T28" s="15"/>
      <c r="U28" s="15"/>
    </row>
    <row r="29" spans="1:21" s="21" customFormat="1" x14ac:dyDescent="0.55000000000000004">
      <c r="A29" s="17"/>
      <c r="B29"/>
      <c r="C29"/>
      <c r="D29"/>
      <c r="E29"/>
      <c r="F29"/>
      <c r="G29"/>
      <c r="H29"/>
      <c r="I29"/>
      <c r="J29"/>
      <c r="K29"/>
      <c r="L29"/>
      <c r="M29" s="15"/>
      <c r="N29" s="15"/>
      <c r="O29" s="15"/>
      <c r="P29" s="15"/>
      <c r="Q29" s="15"/>
      <c r="R29" s="15"/>
      <c r="S29" s="15"/>
      <c r="T29" s="15"/>
      <c r="U29" s="15"/>
    </row>
    <row r="30" spans="1:21" s="21" customFormat="1" x14ac:dyDescent="0.55000000000000004">
      <c r="A30" s="17"/>
      <c r="B30"/>
      <c r="C30"/>
      <c r="D30"/>
      <c r="E30"/>
      <c r="F30"/>
      <c r="G30"/>
      <c r="H30"/>
      <c r="I30"/>
      <c r="J30"/>
      <c r="K30"/>
      <c r="L30"/>
      <c r="M30" s="15"/>
      <c r="N30" s="15"/>
      <c r="O30" s="15"/>
      <c r="P30" s="15"/>
      <c r="Q30" s="15"/>
      <c r="R30" s="15"/>
      <c r="S30" s="15"/>
      <c r="T30" s="15"/>
      <c r="U30" s="15"/>
    </row>
    <row r="31" spans="1:21" s="21" customFormat="1" x14ac:dyDescent="0.55000000000000004">
      <c r="A31" s="17"/>
      <c r="B31"/>
      <c r="C31"/>
      <c r="D31"/>
      <c r="E31"/>
      <c r="F31"/>
      <c r="G31"/>
      <c r="H31"/>
      <c r="I31"/>
      <c r="J31"/>
      <c r="K31"/>
      <c r="L31"/>
      <c r="M31" s="15"/>
      <c r="N31" s="15"/>
      <c r="O31" s="15"/>
      <c r="P31" s="15"/>
      <c r="Q31" s="15"/>
      <c r="R31" s="15"/>
      <c r="S31" s="15"/>
      <c r="T31" s="15"/>
      <c r="U31" s="15"/>
    </row>
  </sheetData>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83D4-6306-4E64-B2EF-1A08880A01DA}">
  <sheetPr codeName="Planilha100">
    <tabColor theme="9" tint="0.59999389629810485"/>
  </sheetPr>
  <dimension ref="A1:V31"/>
  <sheetViews>
    <sheetView showGridLines="0" workbookViewId="0">
      <selection activeCell="Q10" sqref="Q10"/>
    </sheetView>
  </sheetViews>
  <sheetFormatPr defaultColWidth="8.796875" defaultRowHeight="18" x14ac:dyDescent="0.55000000000000004"/>
  <cols>
    <col min="1" max="1" width="12.6640625" style="17" customWidth="1"/>
    <col min="2" max="2" width="43.1328125" customWidth="1"/>
    <col min="10" max="12" width="11.1328125" customWidth="1"/>
    <col min="14" max="22" width="8.796875" style="15"/>
  </cols>
  <sheetData>
    <row r="1" spans="1:22" x14ac:dyDescent="0.55000000000000004">
      <c r="A1" s="16" t="s">
        <v>1168</v>
      </c>
      <c r="N1" s="14"/>
      <c r="O1" s="14"/>
      <c r="P1" s="14"/>
      <c r="Q1" s="14"/>
      <c r="R1" s="14"/>
      <c r="S1" s="14"/>
      <c r="T1" s="14"/>
      <c r="U1" s="14"/>
      <c r="V1" s="14"/>
    </row>
    <row r="2" spans="1:22" x14ac:dyDescent="0.55000000000000004">
      <c r="A2" s="17" t="s">
        <v>1171</v>
      </c>
      <c r="N2" s="14"/>
      <c r="O2" s="14"/>
      <c r="P2" s="14"/>
      <c r="Q2" s="14"/>
      <c r="R2" s="14"/>
      <c r="S2" s="14"/>
      <c r="T2" s="14"/>
      <c r="U2" s="14"/>
      <c r="V2" s="14"/>
    </row>
    <row r="5" spans="1:22" ht="15.75" x14ac:dyDescent="0.5">
      <c r="A5" s="2" t="s">
        <v>15</v>
      </c>
      <c r="B5" s="2" t="s">
        <v>16</v>
      </c>
    </row>
    <row r="6" spans="1:22" ht="15.75" x14ac:dyDescent="0.45">
      <c r="A6" s="23" t="s">
        <v>244</v>
      </c>
      <c r="B6" s="26" t="s">
        <v>1174</v>
      </c>
    </row>
    <row r="7" spans="1:22" ht="47.25" x14ac:dyDescent="0.45">
      <c r="A7" s="23" t="s">
        <v>1169</v>
      </c>
      <c r="B7" s="26" t="s">
        <v>1175</v>
      </c>
    </row>
    <row r="8" spans="1:22" ht="47.25" x14ac:dyDescent="0.45">
      <c r="A8" s="23" t="s">
        <v>1170</v>
      </c>
      <c r="B8" s="26" t="s">
        <v>1176</v>
      </c>
    </row>
    <row r="9" spans="1:22" ht="31.5" x14ac:dyDescent="0.45">
      <c r="A9" s="23" t="s">
        <v>1172</v>
      </c>
      <c r="B9" s="26" t="s">
        <v>1173</v>
      </c>
    </row>
    <row r="10" spans="1:22" ht="15.75" x14ac:dyDescent="0.5">
      <c r="A10" s="19"/>
      <c r="B10" s="18"/>
    </row>
    <row r="11" spans="1:22" x14ac:dyDescent="0.55000000000000004">
      <c r="J11" s="48" t="s">
        <v>1169</v>
      </c>
      <c r="K11" s="48" t="s">
        <v>1170</v>
      </c>
      <c r="L11" s="48" t="s">
        <v>1172</v>
      </c>
    </row>
    <row r="12" spans="1:22" x14ac:dyDescent="0.55000000000000004">
      <c r="D12" s="1" t="s">
        <v>17</v>
      </c>
      <c r="E12" s="13" t="s">
        <v>244</v>
      </c>
      <c r="F12" s="12">
        <v>1</v>
      </c>
      <c r="G12" s="12">
        <v>2</v>
      </c>
      <c r="H12" s="12">
        <v>3</v>
      </c>
      <c r="J12" s="12">
        <v>2</v>
      </c>
      <c r="K12" s="12">
        <v>1</v>
      </c>
      <c r="L12" s="12">
        <v>0</v>
      </c>
      <c r="N12" s="15" cm="1">
        <f t="array" ref="N12:P14">_xlfn.LAMBDA(_xlpm.a,_xlop.shiftRows,_xlop.shiftCols,_xlop.fill, _xlfn.LET(_xlpm.fill, IF(OR(_xlfn.ISOMITTED(_xlpm.fill), ISBLANK(_xlpm.fill)), 0, _xlpm.fill), _xlpm.shiftRows, IF(OR(_xlfn.ISOMITTED(_xlpm.shiftRows), ISBLANK(_xlpm.shiftRows)), 0, _xlpm.shiftRows), _xlpm.shiftCols, IF(OR(_xlfn.ISOMITTED(_xlpm.shiftCols), ISBLANK(_xlpm.shiftCols)), 0, _xlpm.shiftCols), _xlpm.shiftRowsAbs, ABS(_xlpm.shiftRows), _xlpm.shiftColsAbs, ABS(_xlpm.shiftCols), _xlpm.N, ROWS(_xlpm.a), _xlpm.m, COLUMNS(_xlpm.a), _xlpm.Arow, IF(_xlpm.shiftRows = 0, _xlpm.a, IF(_xlpm.shiftRows &gt; 0, _xlfn.VSTACK(_xlfn.EXPAND(_xlpm.fill, _xlpm.shiftRowsAbs, _xlpm.m, _xlpm.fill), _xlpm.a), _xlfn.VSTACK(_xlpm.a, _xlfn.EXPAND(_xlpm.fill, _xlpm.shiftRowsAbs, _xlpm.m, _xlpm.fill)))), _xlpm.Acol, IF(_xlpm.shiftCols = 0, _xlpm.Arow, IF(_xlpm.shiftCols &gt; 0, _xlfn.HSTACK(_xlfn.EXPAND(_xlpm.fill, _xlpm.N + _xlpm.shiftRowsAbs, _xlpm.shiftColsAbs, _xlpm.fill), _xlpm.Arow), _xlfn.HSTACK(_xlpm.Arow, _xlfn.EXPAND(_xlpm.fill, _xlpm.N + _xlpm.shiftRowsAbs, _xlpm.shiftColsAbs, _xlpm.fill)))), _xlfn.TAKE(_xlpm.Acol, IF(_xlpm.shiftRows &gt;= 0, _xlpm.N, -_xlpm.N), IF(_xlpm.shiftCols &gt;= 0, _xlpm.m, -_xlpm.m))))($F$12:$H$14, $J$12, $K$12, $L$12)</f>
        <v>0</v>
      </c>
      <c r="O12" s="15">
        <v>0</v>
      </c>
      <c r="P12" s="15">
        <v>0</v>
      </c>
    </row>
    <row r="13" spans="1:22" x14ac:dyDescent="0.55000000000000004">
      <c r="F13" s="12">
        <v>4</v>
      </c>
      <c r="G13" s="12">
        <v>5</v>
      </c>
      <c r="H13" s="12">
        <v>6</v>
      </c>
      <c r="N13" s="15">
        <v>0</v>
      </c>
      <c r="O13" s="15">
        <v>0</v>
      </c>
      <c r="P13" s="15">
        <v>0</v>
      </c>
    </row>
    <row r="14" spans="1:22" x14ac:dyDescent="0.55000000000000004">
      <c r="F14" s="12">
        <v>7</v>
      </c>
      <c r="G14" s="12">
        <v>8</v>
      </c>
      <c r="H14" s="12">
        <v>9</v>
      </c>
      <c r="N14" s="15">
        <v>0</v>
      </c>
      <c r="O14" s="15">
        <v>1</v>
      </c>
      <c r="P14" s="15">
        <v>2</v>
      </c>
    </row>
    <row r="15" spans="1:22" ht="14.25" x14ac:dyDescent="0.45">
      <c r="A15"/>
    </row>
    <row r="18" spans="1:22" x14ac:dyDescent="0.55000000000000004">
      <c r="J18" s="48" t="s">
        <v>1169</v>
      </c>
      <c r="K18" s="48" t="s">
        <v>1170</v>
      </c>
      <c r="L18" s="48" t="s">
        <v>1172</v>
      </c>
    </row>
    <row r="19" spans="1:22" x14ac:dyDescent="0.55000000000000004">
      <c r="D19" s="1" t="s">
        <v>17</v>
      </c>
      <c r="E19" s="13" t="s">
        <v>244</v>
      </c>
      <c r="F19" s="12">
        <v>1</v>
      </c>
      <c r="G19" s="12">
        <v>2</v>
      </c>
      <c r="H19" s="12">
        <v>3</v>
      </c>
      <c r="J19" s="12">
        <v>2</v>
      </c>
      <c r="K19" s="12">
        <v>1</v>
      </c>
      <c r="L19" s="12">
        <v>0</v>
      </c>
      <c r="N19" s="15" cm="1">
        <f t="array" ref="N19:P21">SHIFT($F$19:$H$21,$J$19,$K$19,$L$19)</f>
        <v>0</v>
      </c>
      <c r="O19" s="15">
        <v>0</v>
      </c>
      <c r="P19" s="15">
        <v>0</v>
      </c>
    </row>
    <row r="20" spans="1:22" x14ac:dyDescent="0.55000000000000004">
      <c r="F20" s="12">
        <v>4</v>
      </c>
      <c r="G20" s="12">
        <v>5</v>
      </c>
      <c r="H20" s="12">
        <v>6</v>
      </c>
      <c r="N20" s="15">
        <v>0</v>
      </c>
      <c r="O20" s="15">
        <v>0</v>
      </c>
      <c r="P20" s="15">
        <v>0</v>
      </c>
    </row>
    <row r="21" spans="1:22" x14ac:dyDescent="0.55000000000000004">
      <c r="F21" s="12">
        <v>7</v>
      </c>
      <c r="G21" s="12">
        <v>8</v>
      </c>
      <c r="H21" s="12">
        <v>9</v>
      </c>
      <c r="N21" s="15">
        <v>0</v>
      </c>
      <c r="O21" s="15">
        <v>1</v>
      </c>
      <c r="P21" s="15">
        <v>2</v>
      </c>
    </row>
    <row r="22" spans="1:22" ht="14.25" x14ac:dyDescent="0.45">
      <c r="A22"/>
    </row>
    <row r="27" spans="1:22" s="21" customFormat="1" x14ac:dyDescent="0.55000000000000004">
      <c r="A27" s="17"/>
      <c r="B27"/>
      <c r="C27"/>
      <c r="D27"/>
      <c r="E27"/>
      <c r="F27"/>
      <c r="G27"/>
      <c r="H27"/>
      <c r="I27"/>
      <c r="J27"/>
      <c r="K27"/>
      <c r="L27"/>
      <c r="M27"/>
      <c r="N27" s="15"/>
      <c r="O27" s="15"/>
      <c r="P27" s="15"/>
      <c r="Q27" s="15"/>
      <c r="R27" s="15"/>
      <c r="S27" s="15"/>
      <c r="T27" s="15"/>
      <c r="U27" s="15"/>
      <c r="V27" s="15"/>
    </row>
    <row r="28" spans="1:22" s="21" customFormat="1" x14ac:dyDescent="0.55000000000000004">
      <c r="A28" s="17"/>
      <c r="B28"/>
      <c r="C28"/>
      <c r="D28"/>
      <c r="E28"/>
      <c r="F28"/>
      <c r="G28"/>
      <c r="H28"/>
      <c r="I28"/>
      <c r="J28"/>
      <c r="K28"/>
      <c r="L28"/>
      <c r="M28"/>
      <c r="N28" s="15"/>
      <c r="O28" s="15"/>
      <c r="P28" s="15"/>
      <c r="Q28" s="15"/>
      <c r="R28" s="15"/>
      <c r="S28" s="15"/>
      <c r="T28" s="15"/>
      <c r="U28" s="15"/>
      <c r="V28" s="15"/>
    </row>
    <row r="29" spans="1:22" s="21" customFormat="1" x14ac:dyDescent="0.55000000000000004">
      <c r="A29" s="17"/>
      <c r="B29"/>
      <c r="C29"/>
      <c r="D29"/>
      <c r="E29"/>
      <c r="F29"/>
      <c r="G29"/>
      <c r="H29"/>
      <c r="I29"/>
      <c r="J29"/>
      <c r="K29"/>
      <c r="L29"/>
      <c r="M29"/>
      <c r="N29" s="15"/>
      <c r="O29" s="15"/>
      <c r="P29" s="15"/>
      <c r="Q29" s="15"/>
      <c r="R29" s="15"/>
      <c r="S29" s="15"/>
      <c r="T29" s="15"/>
      <c r="U29" s="15"/>
      <c r="V29" s="15"/>
    </row>
    <row r="30" spans="1:22" s="21" customFormat="1" x14ac:dyDescent="0.55000000000000004">
      <c r="A30" s="17"/>
      <c r="B30"/>
      <c r="C30"/>
      <c r="D30"/>
      <c r="E30"/>
      <c r="F30"/>
      <c r="G30"/>
      <c r="H30"/>
      <c r="I30"/>
      <c r="J30"/>
      <c r="K30"/>
      <c r="L30"/>
      <c r="M30"/>
      <c r="N30" s="15"/>
      <c r="O30" s="15"/>
      <c r="P30" s="15"/>
      <c r="Q30" s="15"/>
      <c r="R30" s="15"/>
      <c r="S30" s="15"/>
      <c r="T30" s="15"/>
      <c r="U30" s="15"/>
      <c r="V30" s="15"/>
    </row>
    <row r="31" spans="1:22" s="21" customFormat="1" x14ac:dyDescent="0.55000000000000004">
      <c r="A31" s="17"/>
      <c r="B31"/>
      <c r="C31"/>
      <c r="D31"/>
      <c r="E31"/>
      <c r="F31"/>
      <c r="G31"/>
      <c r="H31"/>
      <c r="I31"/>
      <c r="J31"/>
      <c r="K31"/>
      <c r="L31"/>
      <c r="M31"/>
      <c r="N31" s="15"/>
      <c r="O31" s="15"/>
      <c r="P31" s="15"/>
      <c r="Q31" s="15"/>
      <c r="R31" s="15"/>
      <c r="S31" s="15"/>
      <c r="T31" s="15"/>
      <c r="U31" s="15"/>
      <c r="V31" s="15"/>
    </row>
  </sheetData>
  <pageMargins left="0.511811024" right="0.511811024" top="0.78740157499999996" bottom="0.78740157499999996" header="0.31496062000000002" footer="0.314960620000000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4166A-1E8F-480A-803D-0D44472BAB59}">
  <sheetPr codeName="Planilha40">
    <tabColor theme="9" tint="0.59999389629810485"/>
  </sheetPr>
  <dimension ref="A1:V248"/>
  <sheetViews>
    <sheetView showGridLines="0" workbookViewId="0">
      <selection activeCell="K9" sqref="K9"/>
    </sheetView>
  </sheetViews>
  <sheetFormatPr defaultColWidth="8.796875" defaultRowHeight="18" x14ac:dyDescent="0.55000000000000004"/>
  <cols>
    <col min="1" max="1" width="12.6640625" style="17" customWidth="1"/>
    <col min="2" max="2" width="29" customWidth="1"/>
    <col min="4" max="4" width="44.33203125" bestFit="1" customWidth="1"/>
    <col min="5" max="5" width="4.6640625" customWidth="1"/>
    <col min="6" max="7" width="7.1328125" bestFit="1" customWidth="1"/>
    <col min="8" max="9" width="9.33203125" bestFit="1" customWidth="1"/>
    <col min="11" max="22" width="14.796875" style="15" customWidth="1"/>
  </cols>
  <sheetData>
    <row r="1" spans="1:22" x14ac:dyDescent="0.55000000000000004">
      <c r="A1" s="16" t="s">
        <v>349</v>
      </c>
      <c r="K1" s="14"/>
      <c r="L1" s="14"/>
      <c r="M1" s="14"/>
      <c r="N1" s="14"/>
      <c r="O1" s="14"/>
      <c r="P1" s="14"/>
      <c r="Q1" s="14"/>
      <c r="R1" s="14"/>
      <c r="S1" s="14"/>
      <c r="T1" s="14"/>
      <c r="U1" s="14"/>
      <c r="V1" s="14"/>
    </row>
    <row r="2" spans="1:22" x14ac:dyDescent="0.55000000000000004">
      <c r="A2" s="17" t="s">
        <v>350</v>
      </c>
      <c r="K2" s="14"/>
      <c r="L2" s="14"/>
      <c r="M2" s="14"/>
      <c r="N2" s="14"/>
      <c r="O2" s="14"/>
      <c r="P2" s="14"/>
      <c r="Q2" s="14"/>
      <c r="R2" s="14"/>
      <c r="S2" s="14"/>
      <c r="T2" s="14"/>
      <c r="U2" s="14"/>
      <c r="V2" s="14"/>
    </row>
    <row r="4" spans="1:22" ht="15.75" x14ac:dyDescent="0.5">
      <c r="A4" s="2" t="s">
        <v>15</v>
      </c>
      <c r="B4" s="2" t="s">
        <v>16</v>
      </c>
    </row>
    <row r="5" spans="1:22" ht="15.75" x14ac:dyDescent="0.5">
      <c r="A5" s="23" t="s">
        <v>165</v>
      </c>
      <c r="B5" s="24" t="s">
        <v>167</v>
      </c>
    </row>
    <row r="6" spans="1:22" ht="47.25" x14ac:dyDescent="0.5">
      <c r="A6" s="23" t="s">
        <v>54</v>
      </c>
      <c r="B6" s="24" t="s">
        <v>351</v>
      </c>
    </row>
    <row r="7" spans="1:22" ht="47.25" x14ac:dyDescent="0.5">
      <c r="A7" s="23" t="s">
        <v>84</v>
      </c>
      <c r="B7" s="24" t="s">
        <v>352</v>
      </c>
    </row>
    <row r="8" spans="1:22" x14ac:dyDescent="0.55000000000000004">
      <c r="D8" s="1" t="s">
        <v>17</v>
      </c>
      <c r="G8" s="13" t="s">
        <v>165</v>
      </c>
      <c r="H8" s="13" t="s">
        <v>35</v>
      </c>
      <c r="I8" s="13" t="s">
        <v>136</v>
      </c>
    </row>
    <row r="9" spans="1:22" x14ac:dyDescent="0.55000000000000004">
      <c r="D9" t="s">
        <v>176</v>
      </c>
      <c r="F9" s="49">
        <v>37257</v>
      </c>
      <c r="G9" s="52">
        <v>72.400000000000006</v>
      </c>
      <c r="H9" s="54">
        <v>1</v>
      </c>
      <c r="I9" s="54">
        <v>1</v>
      </c>
      <c r="K9" s="53" cm="1">
        <f t="array" ref="K9:K247">_xlfn.LAMBDA(_xlpm.values,_xlop.n,_xlop.dim,
_xlfn.LET(
_xlpm.N, IF( OR( _xlfn.ISOMITTED(_xlpm.n), ISBLANK(_xlpm.n) ), 1, _xlpm.n),
_xlpm.dim, IF( OR( _xlfn.ISOMITTED(_xlpm.dim), ISBLANK(_xlpm.dim) ), 1, _xlpm.dim),
IF(_xlpm.dim=1,
IF(_xlpm.N=0, _xlpm.values, DIFF( SLICE(_xlpm.values,2,-1) - SLICE(_xlpm.values,1,-2), _xlpm.N-1, _xlpm.dim)),
IF(_xlpm.dim=2,
IF(_xlpm.N=0, _xlpm.values, DIFF( SLICE(_xlpm.values,0,0,2,-1) - SLICE(_xlpm.values,0,0,1,-2), _xlpm.N-1, _xlpm.dim)),
"# dim must be either 1 or 2"
))
) )($G$9:$G$248,$H$9,$I$9)</f>
        <v>-2.7000000000000028</v>
      </c>
      <c r="L9" s="53"/>
      <c r="M9" s="53" cm="1">
        <f t="array" ref="M9:M247">DIFF($G$9:$G$248,$H$9,$I$9)</f>
        <v>-2.7000000000000028</v>
      </c>
      <c r="N9" s="53"/>
      <c r="O9" s="53"/>
      <c r="P9" s="53"/>
      <c r="Q9" s="53"/>
      <c r="R9" s="53"/>
      <c r="S9" s="53"/>
      <c r="T9" s="53"/>
      <c r="U9" s="53"/>
      <c r="V9" s="53"/>
    </row>
    <row r="10" spans="1:22" x14ac:dyDescent="0.55000000000000004">
      <c r="D10" t="s">
        <v>177</v>
      </c>
      <c r="F10" s="49">
        <v>37288</v>
      </c>
      <c r="G10" s="52">
        <v>69.7</v>
      </c>
      <c r="J10" s="37"/>
      <c r="K10" s="53">
        <v>7.7000000000000028</v>
      </c>
      <c r="L10" s="53"/>
      <c r="M10" s="53">
        <v>7.7000000000000028</v>
      </c>
      <c r="N10" s="53"/>
      <c r="O10" s="53"/>
      <c r="P10" s="53"/>
      <c r="Q10" s="53"/>
      <c r="R10" s="53"/>
      <c r="S10" s="53"/>
      <c r="T10" s="53"/>
      <c r="U10" s="53"/>
      <c r="V10" s="53"/>
    </row>
    <row r="11" spans="1:22" x14ac:dyDescent="0.55000000000000004">
      <c r="F11" s="49">
        <v>37316</v>
      </c>
      <c r="G11" s="52">
        <v>77.400000000000006</v>
      </c>
      <c r="J11" s="37"/>
      <c r="K11" s="53">
        <v>2.1999999999999886</v>
      </c>
      <c r="L11" s="53"/>
      <c r="M11" s="53">
        <v>2.1999999999999886</v>
      </c>
      <c r="N11" s="53"/>
      <c r="O11" s="53"/>
      <c r="P11" s="53"/>
      <c r="Q11" s="53"/>
      <c r="R11" s="53"/>
      <c r="S11" s="53"/>
      <c r="T11" s="53"/>
      <c r="U11" s="53"/>
      <c r="V11" s="53"/>
    </row>
    <row r="12" spans="1:22" ht="18.75" customHeight="1" x14ac:dyDescent="0.55000000000000004">
      <c r="D12" s="173"/>
      <c r="F12" s="49">
        <v>37347</v>
      </c>
      <c r="G12" s="52">
        <v>79.599999999999994</v>
      </c>
      <c r="J12" s="37"/>
      <c r="K12" s="53">
        <v>0.80000000000001137</v>
      </c>
      <c r="L12" s="53"/>
      <c r="M12" s="53">
        <v>0.80000000000001137</v>
      </c>
      <c r="N12" s="53"/>
      <c r="O12" s="53"/>
      <c r="P12" s="53"/>
      <c r="Q12" s="53"/>
      <c r="R12" s="53"/>
      <c r="S12" s="53"/>
      <c r="T12" s="53"/>
      <c r="U12" s="53"/>
      <c r="V12" s="53"/>
    </row>
    <row r="13" spans="1:22" x14ac:dyDescent="0.55000000000000004">
      <c r="D13" s="173"/>
      <c r="F13" s="49">
        <v>37377</v>
      </c>
      <c r="G13" s="52">
        <v>80.400000000000006</v>
      </c>
      <c r="J13" s="37"/>
      <c r="K13" s="53">
        <v>-2.9000000000000057</v>
      </c>
      <c r="L13" s="53"/>
      <c r="M13" s="53">
        <v>-2.9000000000000057</v>
      </c>
      <c r="N13" s="53"/>
      <c r="O13" s="53"/>
      <c r="P13" s="53"/>
      <c r="Q13" s="53"/>
      <c r="R13" s="53"/>
      <c r="S13" s="53"/>
      <c r="T13" s="53"/>
      <c r="U13" s="53"/>
      <c r="V13" s="53"/>
    </row>
    <row r="14" spans="1:22" x14ac:dyDescent="0.55000000000000004">
      <c r="D14" s="46"/>
      <c r="F14" s="49">
        <v>37408</v>
      </c>
      <c r="G14" s="52">
        <v>77.5</v>
      </c>
      <c r="J14" s="37"/>
      <c r="K14" s="53">
        <v>5.7999999999999972</v>
      </c>
      <c r="L14" s="53"/>
      <c r="M14" s="53">
        <v>5.7999999999999972</v>
      </c>
      <c r="N14" s="53"/>
      <c r="O14" s="53"/>
      <c r="P14" s="53"/>
      <c r="Q14" s="53"/>
      <c r="R14" s="53"/>
      <c r="S14" s="53"/>
      <c r="T14" s="53"/>
      <c r="U14" s="53"/>
      <c r="V14" s="53"/>
    </row>
    <row r="15" spans="1:22" x14ac:dyDescent="0.55000000000000004">
      <c r="F15" s="49">
        <v>37438</v>
      </c>
      <c r="G15" s="52">
        <v>83.3</v>
      </c>
      <c r="J15" s="37"/>
      <c r="K15" s="53">
        <v>0.29999999999999716</v>
      </c>
      <c r="L15" s="53"/>
      <c r="M15" s="53">
        <v>0.29999999999999716</v>
      </c>
      <c r="N15" s="53"/>
      <c r="O15" s="53"/>
      <c r="P15" s="53"/>
      <c r="Q15" s="53"/>
      <c r="R15" s="53"/>
      <c r="S15" s="53"/>
      <c r="T15" s="53"/>
      <c r="U15" s="53"/>
      <c r="V15" s="53"/>
    </row>
    <row r="16" spans="1:22" x14ac:dyDescent="0.55000000000000004">
      <c r="F16" s="49">
        <v>37469</v>
      </c>
      <c r="G16" s="52">
        <v>83.6</v>
      </c>
      <c r="J16" s="37"/>
      <c r="K16" s="53">
        <v>-1.5</v>
      </c>
      <c r="L16" s="53"/>
      <c r="M16" s="53">
        <v>-1.5</v>
      </c>
      <c r="N16" s="53"/>
      <c r="O16" s="53"/>
      <c r="P16" s="53"/>
      <c r="Q16" s="53"/>
      <c r="R16" s="53"/>
      <c r="S16" s="53"/>
      <c r="T16" s="53"/>
      <c r="U16" s="53"/>
      <c r="V16" s="53"/>
    </row>
    <row r="17" spans="1:22" x14ac:dyDescent="0.55000000000000004">
      <c r="F17" s="49">
        <v>37500</v>
      </c>
      <c r="G17" s="52">
        <v>82.1</v>
      </c>
      <c r="J17" s="37"/>
      <c r="K17" s="53">
        <v>7.1000000000000085</v>
      </c>
      <c r="L17" s="53"/>
      <c r="M17" s="53">
        <v>7.1000000000000085</v>
      </c>
      <c r="N17" s="53"/>
      <c r="O17" s="53"/>
      <c r="P17" s="53"/>
      <c r="Q17" s="53"/>
      <c r="R17" s="53"/>
      <c r="S17" s="53"/>
      <c r="T17" s="53"/>
      <c r="U17" s="53"/>
      <c r="V17" s="53"/>
    </row>
    <row r="18" spans="1:22" s="15" customFormat="1" ht="14.25" x14ac:dyDescent="0.45">
      <c r="A18" s="21"/>
      <c r="B18" s="21"/>
      <c r="C18" s="21"/>
      <c r="D18" s="21"/>
      <c r="E18" s="21"/>
      <c r="F18" s="49">
        <v>37530</v>
      </c>
      <c r="G18" s="52">
        <v>89.2</v>
      </c>
      <c r="H18"/>
      <c r="I18"/>
      <c r="J18" s="37"/>
      <c r="K18" s="53">
        <v>-5.2999999999999972</v>
      </c>
      <c r="L18" s="53"/>
      <c r="M18" s="53">
        <v>-5.2999999999999972</v>
      </c>
      <c r="N18" s="53"/>
      <c r="O18" s="53"/>
      <c r="P18" s="53"/>
      <c r="Q18" s="53"/>
      <c r="R18" s="53"/>
      <c r="S18" s="53"/>
      <c r="T18" s="53"/>
      <c r="U18" s="53"/>
      <c r="V18" s="53"/>
    </row>
    <row r="19" spans="1:22" s="15" customFormat="1" ht="14.25" x14ac:dyDescent="0.45">
      <c r="A19" s="21"/>
      <c r="B19" s="21"/>
      <c r="C19" s="21"/>
      <c r="D19" s="21"/>
      <c r="E19" s="21"/>
      <c r="F19" s="49">
        <v>37561</v>
      </c>
      <c r="G19" s="52">
        <v>83.9</v>
      </c>
      <c r="H19"/>
      <c r="I19"/>
      <c r="J19" s="37"/>
      <c r="K19" s="53">
        <v>-9.3000000000000114</v>
      </c>
      <c r="L19" s="53"/>
      <c r="M19" s="53">
        <v>-9.3000000000000114</v>
      </c>
      <c r="N19" s="53"/>
      <c r="O19" s="53"/>
      <c r="P19" s="53"/>
      <c r="Q19" s="53"/>
      <c r="R19" s="53"/>
      <c r="S19" s="53"/>
      <c r="T19" s="53"/>
      <c r="U19" s="53"/>
      <c r="V19" s="53"/>
    </row>
    <row r="20" spans="1:22" s="15" customFormat="1" ht="14.25" x14ac:dyDescent="0.45">
      <c r="A20" s="21"/>
      <c r="B20" s="21"/>
      <c r="C20" s="21"/>
      <c r="D20" s="21"/>
      <c r="E20" s="21"/>
      <c r="F20" s="49">
        <v>37591</v>
      </c>
      <c r="G20" s="52">
        <v>74.599999999999994</v>
      </c>
      <c r="H20"/>
      <c r="I20"/>
      <c r="J20" s="37"/>
      <c r="K20" s="53">
        <v>-0.59999999999999432</v>
      </c>
      <c r="L20" s="53"/>
      <c r="M20" s="53">
        <v>-0.59999999999999432</v>
      </c>
      <c r="N20" s="53"/>
      <c r="O20" s="53"/>
      <c r="P20" s="53"/>
      <c r="Q20" s="53"/>
      <c r="R20" s="53"/>
      <c r="S20" s="53"/>
      <c r="T20" s="53"/>
      <c r="U20" s="53"/>
      <c r="V20" s="53"/>
    </row>
    <row r="21" spans="1:22" s="15" customFormat="1" ht="14.25" x14ac:dyDescent="0.45">
      <c r="A21" s="21"/>
      <c r="B21" s="21"/>
      <c r="C21" s="21"/>
      <c r="D21" s="21"/>
      <c r="E21" s="21"/>
      <c r="F21" s="49">
        <v>37622</v>
      </c>
      <c r="G21" s="52">
        <v>74</v>
      </c>
      <c r="H21"/>
      <c r="I21"/>
      <c r="J21" s="37"/>
      <c r="K21" s="53">
        <v>-2.2000000000000028</v>
      </c>
      <c r="L21" s="53"/>
      <c r="M21" s="53">
        <v>-2.2000000000000028</v>
      </c>
      <c r="N21" s="53"/>
      <c r="O21" s="53"/>
      <c r="P21" s="53"/>
      <c r="Q21" s="53"/>
      <c r="R21" s="53"/>
      <c r="S21" s="53"/>
      <c r="T21" s="53"/>
      <c r="U21" s="53"/>
      <c r="V21" s="53"/>
    </row>
    <row r="22" spans="1:22" s="15" customFormat="1" ht="14.25" x14ac:dyDescent="0.45">
      <c r="A22" s="21"/>
      <c r="B22" s="21"/>
      <c r="C22" s="21"/>
      <c r="D22" s="21"/>
      <c r="E22" s="21"/>
      <c r="F22" s="49">
        <v>37653</v>
      </c>
      <c r="G22" s="52">
        <v>71.8</v>
      </c>
      <c r="H22"/>
      <c r="I22"/>
      <c r="J22" s="37"/>
      <c r="K22" s="53">
        <v>5.6000000000000085</v>
      </c>
      <c r="L22" s="53"/>
      <c r="M22" s="53">
        <v>5.6000000000000085</v>
      </c>
      <c r="N22" s="53"/>
      <c r="O22" s="53"/>
      <c r="P22" s="53"/>
      <c r="Q22" s="53"/>
      <c r="R22" s="53"/>
      <c r="S22" s="53"/>
      <c r="T22" s="53"/>
      <c r="U22" s="53"/>
      <c r="V22" s="53"/>
    </row>
    <row r="23" spans="1:22" s="15" customFormat="1" ht="14.25" x14ac:dyDescent="0.45">
      <c r="A23" s="21"/>
      <c r="B23" s="21"/>
      <c r="C23" s="21"/>
      <c r="D23" s="21"/>
      <c r="E23" s="21"/>
      <c r="F23" s="49">
        <v>37681</v>
      </c>
      <c r="G23" s="52">
        <v>77.400000000000006</v>
      </c>
      <c r="H23"/>
      <c r="I23"/>
      <c r="J23" s="37"/>
      <c r="K23" s="53">
        <v>-0.90000000000000568</v>
      </c>
      <c r="L23" s="53"/>
      <c r="M23" s="53">
        <v>-0.90000000000000568</v>
      </c>
      <c r="N23" s="53"/>
      <c r="O23" s="53"/>
      <c r="P23" s="53"/>
      <c r="Q23" s="53"/>
      <c r="R23" s="53"/>
      <c r="S23" s="53"/>
      <c r="T23" s="53"/>
      <c r="U23" s="53"/>
      <c r="V23" s="53"/>
    </row>
    <row r="24" spans="1:22" s="15" customFormat="1" ht="14.25" x14ac:dyDescent="0.45">
      <c r="A24" s="21"/>
      <c r="B24" s="21"/>
      <c r="C24" s="21"/>
      <c r="D24" s="21"/>
      <c r="E24" s="21"/>
      <c r="F24" s="49">
        <v>37712</v>
      </c>
      <c r="G24" s="52">
        <v>76.5</v>
      </c>
      <c r="H24"/>
      <c r="I24"/>
      <c r="J24" s="37"/>
      <c r="K24" s="53">
        <v>3.2000000000000028</v>
      </c>
      <c r="L24" s="53"/>
      <c r="M24" s="53">
        <v>3.2000000000000028</v>
      </c>
      <c r="N24" s="53"/>
      <c r="O24" s="53"/>
      <c r="P24" s="53"/>
      <c r="Q24" s="53"/>
      <c r="R24" s="53"/>
      <c r="S24" s="53"/>
      <c r="T24" s="53"/>
      <c r="U24" s="53"/>
      <c r="V24" s="53"/>
    </row>
    <row r="25" spans="1:22" s="15" customFormat="1" ht="14.25" x14ac:dyDescent="0.45">
      <c r="A25" s="21"/>
      <c r="B25" s="21"/>
      <c r="C25" s="21"/>
      <c r="D25" s="21"/>
      <c r="E25" s="21"/>
      <c r="F25" s="49">
        <v>37742</v>
      </c>
      <c r="G25" s="52">
        <v>79.7</v>
      </c>
      <c r="H25"/>
      <c r="I25"/>
      <c r="J25" s="37"/>
      <c r="K25" s="53">
        <v>-3.4000000000000057</v>
      </c>
      <c r="L25" s="53"/>
      <c r="M25" s="53">
        <v>-3.4000000000000057</v>
      </c>
      <c r="N25" s="53"/>
      <c r="O25" s="53"/>
      <c r="P25" s="53"/>
      <c r="Q25" s="53"/>
      <c r="R25" s="53"/>
      <c r="S25" s="53"/>
      <c r="T25" s="53"/>
      <c r="U25" s="53"/>
      <c r="V25" s="53"/>
    </row>
    <row r="26" spans="1:22" s="15" customFormat="1" ht="14.25" x14ac:dyDescent="0.45">
      <c r="A26" s="21"/>
      <c r="B26" s="21"/>
      <c r="C26" s="21"/>
      <c r="D26" s="21"/>
      <c r="E26" s="21"/>
      <c r="F26" s="49">
        <v>37773</v>
      </c>
      <c r="G26" s="52">
        <v>76.3</v>
      </c>
      <c r="H26"/>
      <c r="I26"/>
      <c r="J26" s="37"/>
      <c r="K26" s="53">
        <v>5</v>
      </c>
      <c r="L26" s="53"/>
      <c r="M26" s="53">
        <v>5</v>
      </c>
      <c r="N26" s="53"/>
      <c r="O26" s="53"/>
      <c r="P26" s="53"/>
      <c r="Q26" s="53"/>
      <c r="R26" s="53"/>
      <c r="S26" s="53"/>
      <c r="T26" s="53"/>
      <c r="U26" s="53"/>
      <c r="V26" s="53"/>
    </row>
    <row r="27" spans="1:22" s="15" customFormat="1" ht="14.25" x14ac:dyDescent="0.45">
      <c r="A27" s="21"/>
      <c r="B27" s="21"/>
      <c r="C27" s="21"/>
      <c r="D27" s="21"/>
      <c r="E27" s="21"/>
      <c r="F27" s="49">
        <v>37803</v>
      </c>
      <c r="G27" s="52">
        <v>81.3</v>
      </c>
      <c r="H27"/>
      <c r="I27"/>
      <c r="J27" s="37"/>
      <c r="K27" s="53">
        <v>0.29999999999999716</v>
      </c>
      <c r="L27" s="53"/>
      <c r="M27" s="53">
        <v>0.29999999999999716</v>
      </c>
      <c r="N27" s="53"/>
      <c r="O27" s="53"/>
      <c r="P27" s="53"/>
      <c r="Q27" s="53"/>
      <c r="R27" s="53"/>
      <c r="S27" s="53"/>
      <c r="T27" s="53"/>
      <c r="U27" s="53"/>
      <c r="V27" s="53"/>
    </row>
    <row r="28" spans="1:22" s="15" customFormat="1" ht="14.25" x14ac:dyDescent="0.45">
      <c r="A28" s="21"/>
      <c r="B28" s="21"/>
      <c r="C28" s="21"/>
      <c r="D28" s="21"/>
      <c r="E28" s="21"/>
      <c r="F28" s="49">
        <v>37834</v>
      </c>
      <c r="G28" s="52">
        <v>81.599999999999994</v>
      </c>
      <c r="H28"/>
      <c r="I28"/>
      <c r="J28" s="37"/>
      <c r="K28" s="53">
        <v>4.1000000000000085</v>
      </c>
      <c r="L28" s="53"/>
      <c r="M28" s="53">
        <v>4.1000000000000085</v>
      </c>
      <c r="N28" s="53"/>
      <c r="O28" s="53"/>
      <c r="P28" s="53"/>
      <c r="Q28" s="53"/>
      <c r="R28" s="53"/>
      <c r="S28" s="53"/>
      <c r="T28" s="53"/>
      <c r="U28" s="53"/>
      <c r="V28" s="53"/>
    </row>
    <row r="29" spans="1:22" s="15" customFormat="1" ht="14.25" x14ac:dyDescent="0.45">
      <c r="A29" s="21"/>
      <c r="B29" s="21"/>
      <c r="C29" s="21"/>
      <c r="D29" s="21"/>
      <c r="E29" s="21"/>
      <c r="F29" s="49">
        <v>37865</v>
      </c>
      <c r="G29" s="52">
        <v>85.7</v>
      </c>
      <c r="H29"/>
      <c r="I29"/>
      <c r="J29" s="37"/>
      <c r="K29" s="53">
        <v>4.2999999999999972</v>
      </c>
      <c r="L29" s="53"/>
      <c r="M29" s="53">
        <v>4.2999999999999972</v>
      </c>
      <c r="N29" s="53"/>
      <c r="O29" s="53"/>
      <c r="P29" s="53"/>
      <c r="Q29" s="53"/>
      <c r="R29" s="53"/>
      <c r="S29" s="53"/>
      <c r="T29" s="53"/>
      <c r="U29" s="53"/>
      <c r="V29" s="53"/>
    </row>
    <row r="30" spans="1:22" s="15" customFormat="1" ht="14.25" x14ac:dyDescent="0.45">
      <c r="A30" s="21"/>
      <c r="B30" s="21"/>
      <c r="C30" s="21"/>
      <c r="D30" s="21"/>
      <c r="E30" s="21"/>
      <c r="F30" s="49">
        <v>37895</v>
      </c>
      <c r="G30" s="52">
        <v>90</v>
      </c>
      <c r="H30"/>
      <c r="I30"/>
      <c r="J30" s="37"/>
      <c r="K30" s="53">
        <v>-5.4000000000000057</v>
      </c>
      <c r="L30" s="53"/>
      <c r="M30" s="53">
        <v>-5.4000000000000057</v>
      </c>
      <c r="N30" s="53"/>
      <c r="O30" s="53"/>
      <c r="P30" s="53"/>
      <c r="Q30" s="53"/>
      <c r="R30" s="53"/>
      <c r="S30" s="53"/>
      <c r="T30" s="53"/>
      <c r="U30" s="53"/>
      <c r="V30" s="53"/>
    </row>
    <row r="31" spans="1:22" s="15" customFormat="1" ht="14.25" x14ac:dyDescent="0.45">
      <c r="A31" s="21"/>
      <c r="B31" s="21"/>
      <c r="C31" s="21"/>
      <c r="D31" s="21"/>
      <c r="E31" s="21"/>
      <c r="F31" s="49">
        <v>37926</v>
      </c>
      <c r="G31" s="52">
        <v>84.6</v>
      </c>
      <c r="H31"/>
      <c r="I31"/>
      <c r="J31" s="37"/>
      <c r="K31" s="53">
        <v>-6.6999999999999886</v>
      </c>
      <c r="L31" s="53"/>
      <c r="M31" s="53">
        <v>-6.6999999999999886</v>
      </c>
      <c r="N31" s="53"/>
      <c r="O31" s="53"/>
      <c r="P31" s="53"/>
      <c r="Q31" s="53"/>
      <c r="R31" s="53"/>
      <c r="S31" s="53"/>
      <c r="T31" s="53"/>
      <c r="U31" s="53"/>
      <c r="V31" s="53"/>
    </row>
    <row r="32" spans="1:22" s="15" customFormat="1" ht="14.25" x14ac:dyDescent="0.45">
      <c r="A32" s="21"/>
      <c r="B32" s="21"/>
      <c r="C32" s="21"/>
      <c r="D32" s="21"/>
      <c r="E32" s="21"/>
      <c r="F32" s="49">
        <v>37956</v>
      </c>
      <c r="G32" s="52">
        <v>77.900000000000006</v>
      </c>
      <c r="H32"/>
      <c r="I32"/>
      <c r="J32" s="37"/>
      <c r="K32" s="53">
        <v>-1.1000000000000085</v>
      </c>
      <c r="L32" s="53"/>
      <c r="M32" s="53">
        <v>-1.1000000000000085</v>
      </c>
      <c r="N32" s="53"/>
      <c r="O32" s="53"/>
      <c r="P32" s="53"/>
      <c r="Q32" s="53"/>
      <c r="R32" s="53"/>
      <c r="S32" s="53"/>
      <c r="T32" s="53"/>
      <c r="U32" s="53"/>
      <c r="V32" s="53"/>
    </row>
    <row r="33" spans="1:22" s="15" customFormat="1" ht="14.25" x14ac:dyDescent="0.45">
      <c r="A33" s="21"/>
      <c r="B33" s="21"/>
      <c r="C33" s="21"/>
      <c r="D33" s="21"/>
      <c r="E33" s="21"/>
      <c r="F33" s="49">
        <v>37987</v>
      </c>
      <c r="G33" s="52">
        <v>76.8</v>
      </c>
      <c r="H33"/>
      <c r="I33"/>
      <c r="J33" s="37"/>
      <c r="K33" s="53">
        <v>-2.7999999999999972</v>
      </c>
      <c r="L33" s="53"/>
      <c r="M33" s="53">
        <v>-2.7999999999999972</v>
      </c>
      <c r="N33" s="53"/>
      <c r="O33" s="53"/>
      <c r="P33" s="53"/>
      <c r="Q33" s="53"/>
      <c r="R33" s="53"/>
      <c r="S33" s="53"/>
      <c r="T33" s="53"/>
      <c r="U33" s="53"/>
      <c r="V33" s="53"/>
    </row>
    <row r="34" spans="1:22" s="15" customFormat="1" ht="14.25" x14ac:dyDescent="0.45">
      <c r="A34" s="21"/>
      <c r="B34" s="21"/>
      <c r="C34" s="21"/>
      <c r="D34" s="21"/>
      <c r="E34" s="21"/>
      <c r="F34" s="49">
        <v>38018</v>
      </c>
      <c r="G34" s="52">
        <v>74</v>
      </c>
      <c r="H34"/>
      <c r="I34"/>
      <c r="J34" s="37"/>
      <c r="K34" s="53">
        <v>12.900000000000006</v>
      </c>
      <c r="L34" s="53"/>
      <c r="M34" s="53">
        <v>12.900000000000006</v>
      </c>
      <c r="N34" s="53"/>
      <c r="O34" s="53"/>
      <c r="P34" s="53"/>
      <c r="Q34" s="53"/>
      <c r="R34" s="53"/>
      <c r="S34" s="53"/>
      <c r="T34" s="53"/>
      <c r="U34" s="53"/>
      <c r="V34" s="53"/>
    </row>
    <row r="35" spans="1:22" s="15" customFormat="1" ht="14.25" x14ac:dyDescent="0.45">
      <c r="A35" s="21"/>
      <c r="B35" s="21"/>
      <c r="C35" s="21"/>
      <c r="D35" s="21"/>
      <c r="E35" s="21"/>
      <c r="F35" s="49">
        <v>38047</v>
      </c>
      <c r="G35" s="52">
        <v>86.9</v>
      </c>
      <c r="H35"/>
      <c r="I35"/>
      <c r="J35" s="37"/>
      <c r="K35" s="53">
        <v>-4.7000000000000028</v>
      </c>
      <c r="L35" s="53"/>
      <c r="M35" s="53">
        <v>-4.7000000000000028</v>
      </c>
      <c r="N35" s="53"/>
      <c r="O35" s="53"/>
      <c r="P35" s="53"/>
      <c r="Q35" s="53"/>
      <c r="R35" s="53"/>
      <c r="S35" s="53"/>
      <c r="T35" s="53"/>
      <c r="U35" s="53"/>
      <c r="V35" s="53"/>
    </row>
    <row r="36" spans="1:22" s="15" customFormat="1" ht="14.25" x14ac:dyDescent="0.45">
      <c r="A36" s="21"/>
      <c r="B36" s="21"/>
      <c r="C36" s="21"/>
      <c r="D36" s="21"/>
      <c r="E36" s="21"/>
      <c r="F36" s="49">
        <v>38078</v>
      </c>
      <c r="G36" s="52">
        <v>82.2</v>
      </c>
      <c r="H36"/>
      <c r="I36"/>
      <c r="J36" s="37"/>
      <c r="K36" s="53">
        <v>4.0999999999999943</v>
      </c>
      <c r="L36" s="53"/>
      <c r="M36" s="53">
        <v>4.0999999999999943</v>
      </c>
      <c r="N36" s="53"/>
      <c r="O36" s="53"/>
      <c r="P36" s="53"/>
      <c r="Q36" s="53"/>
      <c r="R36" s="53"/>
      <c r="S36" s="53"/>
      <c r="T36" s="53"/>
      <c r="U36" s="53"/>
      <c r="V36" s="53"/>
    </row>
    <row r="37" spans="1:22" s="15" customFormat="1" ht="14.25" x14ac:dyDescent="0.45">
      <c r="A37" s="21"/>
      <c r="B37" s="21"/>
      <c r="C37" s="21"/>
      <c r="D37" s="21"/>
      <c r="E37" s="21"/>
      <c r="F37" s="49">
        <v>38108</v>
      </c>
      <c r="G37" s="52">
        <v>86.3</v>
      </c>
      <c r="H37"/>
      <c r="I37"/>
      <c r="J37" s="37"/>
      <c r="K37" s="53">
        <v>-0.20000000000000284</v>
      </c>
      <c r="L37" s="53"/>
      <c r="M37" s="53">
        <v>-0.20000000000000284</v>
      </c>
      <c r="N37" s="53"/>
      <c r="O37" s="53"/>
      <c r="P37" s="53"/>
      <c r="Q37" s="53"/>
      <c r="R37" s="53"/>
      <c r="S37" s="53"/>
      <c r="T37" s="53"/>
      <c r="U37" s="53"/>
      <c r="V37" s="53"/>
    </row>
    <row r="38" spans="1:22" s="15" customFormat="1" ht="14.25" x14ac:dyDescent="0.45">
      <c r="A38" s="21"/>
      <c r="B38" s="21"/>
      <c r="C38" s="21"/>
      <c r="D38" s="21"/>
      <c r="E38" s="21"/>
      <c r="F38" s="49">
        <v>38139</v>
      </c>
      <c r="G38" s="52">
        <v>86.1</v>
      </c>
      <c r="H38"/>
      <c r="I38"/>
      <c r="J38" s="37"/>
      <c r="K38" s="53">
        <v>4</v>
      </c>
      <c r="L38" s="53"/>
      <c r="M38" s="53">
        <v>4</v>
      </c>
      <c r="N38" s="53"/>
      <c r="O38" s="53"/>
      <c r="P38" s="53"/>
      <c r="Q38" s="53"/>
      <c r="R38" s="53"/>
      <c r="S38" s="53"/>
      <c r="T38" s="53"/>
      <c r="U38" s="53"/>
      <c r="V38" s="53"/>
    </row>
    <row r="39" spans="1:22" s="15" customFormat="1" ht="14.25" x14ac:dyDescent="0.45">
      <c r="A39" s="21"/>
      <c r="B39" s="21"/>
      <c r="C39" s="21"/>
      <c r="D39" s="21"/>
      <c r="E39" s="21"/>
      <c r="F39" s="49">
        <v>38169</v>
      </c>
      <c r="G39" s="52">
        <v>90.1</v>
      </c>
      <c r="H39"/>
      <c r="I39"/>
      <c r="J39" s="37"/>
      <c r="K39" s="53">
        <v>2</v>
      </c>
      <c r="L39" s="53"/>
      <c r="M39" s="53">
        <v>2</v>
      </c>
      <c r="N39" s="53"/>
      <c r="O39" s="53"/>
      <c r="P39" s="53"/>
      <c r="Q39" s="53"/>
      <c r="R39" s="53"/>
      <c r="S39" s="53"/>
      <c r="T39" s="53"/>
      <c r="U39" s="53"/>
      <c r="V39" s="53"/>
    </row>
    <row r="40" spans="1:22" s="15" customFormat="1" ht="14.25" x14ac:dyDescent="0.45">
      <c r="A40" s="21"/>
      <c r="B40" s="21"/>
      <c r="C40" s="21"/>
      <c r="D40" s="21"/>
      <c r="E40" s="21"/>
      <c r="F40" s="49">
        <v>38200</v>
      </c>
      <c r="G40" s="52">
        <v>92.1</v>
      </c>
      <c r="H40"/>
      <c r="I40"/>
      <c r="J40" s="37"/>
      <c r="K40" s="53">
        <v>0</v>
      </c>
      <c r="L40" s="53"/>
      <c r="M40" s="53">
        <v>0</v>
      </c>
      <c r="N40" s="53"/>
      <c r="O40" s="53"/>
      <c r="P40" s="53"/>
      <c r="Q40" s="53"/>
      <c r="R40" s="53"/>
      <c r="S40" s="53"/>
      <c r="T40" s="53"/>
      <c r="U40" s="53"/>
      <c r="V40" s="53"/>
    </row>
    <row r="41" spans="1:22" s="15" customFormat="1" ht="14.25" x14ac:dyDescent="0.45">
      <c r="A41" s="21"/>
      <c r="B41" s="21"/>
      <c r="C41" s="21"/>
      <c r="D41" s="21"/>
      <c r="E41" s="21"/>
      <c r="F41" s="49">
        <v>38231</v>
      </c>
      <c r="G41" s="52">
        <v>92.1</v>
      </c>
      <c r="H41"/>
      <c r="I41"/>
      <c r="J41" s="37"/>
      <c r="K41" s="53">
        <v>1.4000000000000057</v>
      </c>
      <c r="L41" s="53"/>
      <c r="M41" s="53">
        <v>1.4000000000000057</v>
      </c>
      <c r="N41" s="53"/>
      <c r="O41" s="53"/>
      <c r="P41" s="53"/>
      <c r="Q41" s="53"/>
      <c r="R41" s="53"/>
      <c r="S41" s="53"/>
      <c r="T41" s="53"/>
      <c r="U41" s="53"/>
      <c r="V41" s="53"/>
    </row>
    <row r="42" spans="1:22" s="15" customFormat="1" ht="14.25" x14ac:dyDescent="0.45">
      <c r="A42" s="21"/>
      <c r="B42" s="21"/>
      <c r="C42" s="21"/>
      <c r="D42" s="21"/>
      <c r="E42" s="21"/>
      <c r="F42" s="49">
        <v>38261</v>
      </c>
      <c r="G42" s="52">
        <v>93.5</v>
      </c>
      <c r="H42"/>
      <c r="I42"/>
      <c r="J42" s="37"/>
      <c r="K42" s="53">
        <v>-1.7000000000000028</v>
      </c>
      <c r="L42" s="53"/>
      <c r="M42" s="53">
        <v>-1.7000000000000028</v>
      </c>
      <c r="N42" s="53"/>
      <c r="O42" s="53"/>
      <c r="P42" s="53"/>
      <c r="Q42" s="53"/>
      <c r="R42" s="53"/>
      <c r="S42" s="53"/>
      <c r="T42" s="53"/>
      <c r="U42" s="53"/>
      <c r="V42" s="53"/>
    </row>
    <row r="43" spans="1:22" s="15" customFormat="1" ht="14.25" x14ac:dyDescent="0.45">
      <c r="A43" s="21"/>
      <c r="B43" s="21"/>
      <c r="C43" s="21"/>
      <c r="D43" s="21"/>
      <c r="E43" s="21"/>
      <c r="F43" s="49">
        <v>38292</v>
      </c>
      <c r="G43" s="52">
        <v>91.8</v>
      </c>
      <c r="H43"/>
      <c r="I43"/>
      <c r="J43" s="37"/>
      <c r="K43" s="53">
        <v>-7.0999999999999943</v>
      </c>
      <c r="L43" s="53"/>
      <c r="M43" s="53">
        <v>-7.0999999999999943</v>
      </c>
      <c r="N43" s="53"/>
      <c r="O43" s="53"/>
      <c r="P43" s="53"/>
      <c r="Q43" s="53"/>
      <c r="R43" s="53"/>
      <c r="S43" s="53"/>
      <c r="T43" s="53"/>
      <c r="U43" s="53"/>
      <c r="V43" s="53"/>
    </row>
    <row r="44" spans="1:22" s="15" customFormat="1" ht="14.25" x14ac:dyDescent="0.45">
      <c r="A44" s="21"/>
      <c r="B44" s="21"/>
      <c r="C44" s="21"/>
      <c r="D44" s="21"/>
      <c r="E44" s="21"/>
      <c r="F44" s="49">
        <v>38322</v>
      </c>
      <c r="G44" s="52">
        <v>84.7</v>
      </c>
      <c r="H44"/>
      <c r="I44"/>
      <c r="J44" s="37"/>
      <c r="K44" s="53">
        <v>-3.7000000000000028</v>
      </c>
      <c r="L44" s="53"/>
      <c r="M44" s="53">
        <v>-3.7000000000000028</v>
      </c>
      <c r="N44" s="53"/>
      <c r="O44" s="53"/>
      <c r="P44" s="53"/>
      <c r="Q44" s="53"/>
      <c r="R44" s="53"/>
      <c r="S44" s="53"/>
      <c r="T44" s="53"/>
      <c r="U44" s="53"/>
      <c r="V44" s="53"/>
    </row>
    <row r="45" spans="1:22" s="15" customFormat="1" ht="14.25" x14ac:dyDescent="0.45">
      <c r="A45" s="21"/>
      <c r="B45" s="21"/>
      <c r="C45" s="21"/>
      <c r="D45" s="21"/>
      <c r="E45" s="21"/>
      <c r="F45" s="49">
        <v>38353</v>
      </c>
      <c r="G45" s="52">
        <v>81</v>
      </c>
      <c r="H45"/>
      <c r="I45"/>
      <c r="J45" s="37"/>
      <c r="K45" s="53">
        <v>-4.5999999999999943</v>
      </c>
      <c r="L45" s="53"/>
      <c r="M45" s="53">
        <v>-4.5999999999999943</v>
      </c>
      <c r="N45" s="53"/>
      <c r="O45" s="53"/>
      <c r="P45" s="53"/>
      <c r="Q45" s="53"/>
      <c r="R45" s="53"/>
      <c r="S45" s="53"/>
      <c r="T45" s="53"/>
      <c r="U45" s="53"/>
      <c r="V45" s="53"/>
    </row>
    <row r="46" spans="1:22" s="15" customFormat="1" ht="14.25" x14ac:dyDescent="0.45">
      <c r="A46" s="21"/>
      <c r="B46" s="21"/>
      <c r="C46" s="21"/>
      <c r="D46" s="21"/>
      <c r="E46" s="21"/>
      <c r="F46" s="49">
        <v>38384</v>
      </c>
      <c r="G46" s="52">
        <v>76.400000000000006</v>
      </c>
      <c r="H46"/>
      <c r="I46"/>
      <c r="J46" s="37"/>
      <c r="K46" s="53">
        <v>11.599999999999994</v>
      </c>
      <c r="L46" s="53"/>
      <c r="M46" s="53">
        <v>11.599999999999994</v>
      </c>
      <c r="N46" s="53"/>
      <c r="O46" s="53"/>
      <c r="P46" s="53"/>
      <c r="Q46" s="53"/>
      <c r="R46" s="53"/>
      <c r="S46" s="53"/>
      <c r="T46" s="53"/>
      <c r="U46" s="53"/>
      <c r="V46" s="53"/>
    </row>
    <row r="47" spans="1:22" s="15" customFormat="1" ht="14.25" x14ac:dyDescent="0.45">
      <c r="A47" s="21"/>
      <c r="B47" s="21"/>
      <c r="C47" s="21"/>
      <c r="D47" s="21"/>
      <c r="E47" s="21"/>
      <c r="F47" s="49">
        <v>38412</v>
      </c>
      <c r="G47" s="52">
        <v>88</v>
      </c>
      <c r="H47"/>
      <c r="I47"/>
      <c r="J47" s="37"/>
      <c r="K47" s="53">
        <v>-1</v>
      </c>
      <c r="L47" s="53"/>
      <c r="M47" s="53">
        <v>-1</v>
      </c>
      <c r="N47" s="53"/>
      <c r="O47" s="53"/>
      <c r="P47" s="53"/>
      <c r="Q47" s="53"/>
      <c r="R47" s="53"/>
      <c r="S47" s="53"/>
      <c r="T47" s="53"/>
      <c r="U47" s="53"/>
      <c r="V47" s="53"/>
    </row>
    <row r="48" spans="1:22" s="15" customFormat="1" ht="14.25" x14ac:dyDescent="0.45">
      <c r="A48" s="21"/>
      <c r="B48" s="21"/>
      <c r="C48" s="21"/>
      <c r="D48" s="21"/>
      <c r="E48" s="21"/>
      <c r="F48" s="49">
        <v>38443</v>
      </c>
      <c r="G48" s="52">
        <v>87</v>
      </c>
      <c r="H48"/>
      <c r="I48"/>
      <c r="J48" s="37"/>
      <c r="K48" s="53">
        <v>4.0999999999999943</v>
      </c>
      <c r="L48" s="53"/>
      <c r="M48" s="53">
        <v>4.0999999999999943</v>
      </c>
      <c r="N48" s="53"/>
      <c r="O48" s="53"/>
      <c r="P48" s="53"/>
      <c r="Q48" s="53"/>
      <c r="R48" s="53"/>
      <c r="S48" s="53"/>
      <c r="T48" s="53"/>
      <c r="U48" s="53"/>
      <c r="V48" s="53"/>
    </row>
    <row r="49" spans="1:22" s="15" customFormat="1" ht="14.25" x14ac:dyDescent="0.45">
      <c r="A49" s="21"/>
      <c r="B49" s="21"/>
      <c r="C49" s="21"/>
      <c r="D49" s="21"/>
      <c r="E49" s="21"/>
      <c r="F49" s="49">
        <v>38473</v>
      </c>
      <c r="G49" s="52">
        <v>91.1</v>
      </c>
      <c r="H49"/>
      <c r="I49"/>
      <c r="J49" s="37"/>
      <c r="K49" s="53">
        <v>0.30000000000001137</v>
      </c>
      <c r="L49" s="53"/>
      <c r="M49" s="53">
        <v>0.30000000000001137</v>
      </c>
      <c r="N49" s="53"/>
      <c r="O49" s="53"/>
      <c r="P49" s="53"/>
      <c r="Q49" s="53"/>
      <c r="R49" s="53"/>
      <c r="S49" s="53"/>
      <c r="T49" s="53"/>
      <c r="U49" s="53"/>
      <c r="V49" s="53"/>
    </row>
    <row r="50" spans="1:22" s="15" customFormat="1" ht="14.25" x14ac:dyDescent="0.45">
      <c r="A50" s="21"/>
      <c r="B50" s="21"/>
      <c r="C50" s="21"/>
      <c r="D50" s="21"/>
      <c r="E50" s="21"/>
      <c r="F50" s="49">
        <v>38504</v>
      </c>
      <c r="G50" s="52">
        <v>91.4</v>
      </c>
      <c r="H50"/>
      <c r="I50"/>
      <c r="J50" s="37"/>
      <c r="K50" s="53">
        <v>-0.90000000000000568</v>
      </c>
      <c r="L50" s="53"/>
      <c r="M50" s="53">
        <v>-0.90000000000000568</v>
      </c>
      <c r="N50" s="53"/>
      <c r="O50" s="53"/>
      <c r="P50" s="53"/>
      <c r="Q50" s="53"/>
      <c r="R50" s="53"/>
      <c r="S50" s="53"/>
      <c r="T50" s="53"/>
      <c r="U50" s="53"/>
      <c r="V50" s="53"/>
    </row>
    <row r="51" spans="1:22" s="15" customFormat="1" ht="14.25" x14ac:dyDescent="0.45">
      <c r="A51" s="21"/>
      <c r="B51" s="21"/>
      <c r="C51" s="21"/>
      <c r="D51" s="21"/>
      <c r="E51" s="21"/>
      <c r="F51" s="49">
        <v>38534</v>
      </c>
      <c r="G51" s="52">
        <v>90.5</v>
      </c>
      <c r="H51"/>
      <c r="I51"/>
      <c r="J51" s="37"/>
      <c r="K51" s="53">
        <v>5.0999999999999943</v>
      </c>
      <c r="L51" s="53"/>
      <c r="M51" s="53">
        <v>5.0999999999999943</v>
      </c>
      <c r="N51" s="53"/>
      <c r="O51" s="53"/>
      <c r="P51" s="53"/>
      <c r="Q51" s="53"/>
      <c r="R51" s="53"/>
      <c r="S51" s="53"/>
      <c r="T51" s="53"/>
      <c r="U51" s="53"/>
      <c r="V51" s="53"/>
    </row>
    <row r="52" spans="1:22" s="15" customFormat="1" ht="14.25" x14ac:dyDescent="0.45">
      <c r="A52" s="21"/>
      <c r="B52" s="21"/>
      <c r="C52" s="21"/>
      <c r="D52" s="21"/>
      <c r="E52" s="21"/>
      <c r="F52" s="49">
        <v>38565</v>
      </c>
      <c r="G52" s="52">
        <v>95.6</v>
      </c>
      <c r="H52"/>
      <c r="I52"/>
      <c r="J52" s="37"/>
      <c r="K52" s="53">
        <v>-3.5999999999999943</v>
      </c>
      <c r="L52" s="53"/>
      <c r="M52" s="53">
        <v>-3.5999999999999943</v>
      </c>
      <c r="N52" s="53"/>
      <c r="O52" s="53"/>
      <c r="P52" s="53"/>
      <c r="Q52" s="53"/>
      <c r="R52" s="53"/>
      <c r="S52" s="53"/>
      <c r="T52" s="53"/>
      <c r="U52" s="53"/>
      <c r="V52" s="53"/>
    </row>
    <row r="53" spans="1:22" s="15" customFormat="1" ht="14.25" x14ac:dyDescent="0.45">
      <c r="A53" s="21"/>
      <c r="B53" s="21"/>
      <c r="C53" s="21"/>
      <c r="D53" s="21"/>
      <c r="E53" s="21"/>
      <c r="F53" s="49">
        <v>38596</v>
      </c>
      <c r="G53" s="52">
        <v>92</v>
      </c>
      <c r="H53"/>
      <c r="I53"/>
      <c r="J53" s="37"/>
      <c r="K53" s="53">
        <v>1.7000000000000028</v>
      </c>
      <c r="L53" s="53"/>
      <c r="M53" s="53">
        <v>1.7000000000000028</v>
      </c>
      <c r="N53" s="53"/>
      <c r="O53" s="53"/>
      <c r="P53" s="53"/>
      <c r="Q53" s="53"/>
      <c r="R53" s="53"/>
      <c r="S53" s="53"/>
      <c r="T53" s="53"/>
      <c r="U53" s="53"/>
      <c r="V53" s="53"/>
    </row>
    <row r="54" spans="1:22" s="15" customFormat="1" ht="14.25" x14ac:dyDescent="0.45">
      <c r="A54" s="21"/>
      <c r="B54" s="21"/>
      <c r="C54" s="21"/>
      <c r="D54" s="21"/>
      <c r="E54" s="21"/>
      <c r="F54" s="49">
        <v>38626</v>
      </c>
      <c r="G54" s="52">
        <v>93.7</v>
      </c>
      <c r="H54"/>
      <c r="I54"/>
      <c r="J54" s="37"/>
      <c r="K54" s="53">
        <v>-1.2999999999999972</v>
      </c>
      <c r="L54" s="53"/>
      <c r="M54" s="53">
        <v>-1.2999999999999972</v>
      </c>
      <c r="N54" s="53"/>
      <c r="O54" s="53"/>
      <c r="P54" s="53"/>
      <c r="Q54" s="53"/>
      <c r="R54" s="53"/>
      <c r="S54" s="53"/>
      <c r="T54" s="53"/>
      <c r="U54" s="53"/>
      <c r="V54" s="53"/>
    </row>
    <row r="55" spans="1:22" s="15" customFormat="1" ht="14.25" x14ac:dyDescent="0.45">
      <c r="A55" s="21"/>
      <c r="B55" s="21"/>
      <c r="C55" s="21"/>
      <c r="D55" s="21"/>
      <c r="E55" s="21"/>
      <c r="F55" s="49">
        <v>38657</v>
      </c>
      <c r="G55" s="52">
        <v>92.4</v>
      </c>
      <c r="H55"/>
      <c r="I55"/>
      <c r="J55" s="37"/>
      <c r="K55" s="53">
        <v>-5.8000000000000114</v>
      </c>
      <c r="L55" s="53"/>
      <c r="M55" s="53">
        <v>-5.8000000000000114</v>
      </c>
      <c r="N55" s="53"/>
      <c r="O55" s="53"/>
      <c r="P55" s="53"/>
      <c r="Q55" s="53"/>
      <c r="R55" s="53"/>
      <c r="S55" s="53"/>
      <c r="T55" s="53"/>
      <c r="U55" s="53"/>
      <c r="V55" s="53"/>
    </row>
    <row r="56" spans="1:22" s="15" customFormat="1" ht="14.25" x14ac:dyDescent="0.45">
      <c r="A56" s="21"/>
      <c r="B56" s="21"/>
      <c r="C56" s="21"/>
      <c r="D56" s="21"/>
      <c r="E56" s="21"/>
      <c r="F56" s="49">
        <v>38687</v>
      </c>
      <c r="G56" s="52">
        <v>86.6</v>
      </c>
      <c r="H56"/>
      <c r="I56"/>
      <c r="J56" s="37"/>
      <c r="K56" s="53">
        <v>-2.8999999999999915</v>
      </c>
      <c r="L56" s="53"/>
      <c r="M56" s="53">
        <v>-2.8999999999999915</v>
      </c>
      <c r="N56" s="53"/>
      <c r="O56" s="53"/>
      <c r="P56" s="53"/>
      <c r="Q56" s="53"/>
      <c r="R56" s="53"/>
      <c r="S56" s="53"/>
      <c r="T56" s="53"/>
      <c r="U56" s="53"/>
      <c r="V56" s="53"/>
    </row>
    <row r="57" spans="1:22" s="15" customFormat="1" ht="14.25" x14ac:dyDescent="0.45">
      <c r="A57" s="21"/>
      <c r="B57" s="21"/>
      <c r="C57" s="21"/>
      <c r="D57" s="21"/>
      <c r="E57" s="21"/>
      <c r="F57" s="49">
        <v>38718</v>
      </c>
      <c r="G57" s="52">
        <v>83.7</v>
      </c>
      <c r="H57"/>
      <c r="I57"/>
      <c r="J57" s="37"/>
      <c r="K57" s="53">
        <v>-3.5</v>
      </c>
      <c r="L57" s="53"/>
      <c r="M57" s="53">
        <v>-3.5</v>
      </c>
      <c r="N57" s="53"/>
      <c r="O57" s="53"/>
      <c r="P57" s="53"/>
      <c r="Q57" s="53"/>
      <c r="R57" s="53"/>
      <c r="S57" s="53"/>
      <c r="T57" s="53"/>
      <c r="U57" s="53"/>
      <c r="V57" s="53"/>
    </row>
    <row r="58" spans="1:22" s="15" customFormat="1" ht="14.25" x14ac:dyDescent="0.45">
      <c r="A58" s="21"/>
      <c r="B58" s="21"/>
      <c r="C58" s="21"/>
      <c r="D58" s="21"/>
      <c r="E58" s="21"/>
      <c r="F58" s="49">
        <v>38749</v>
      </c>
      <c r="G58" s="52">
        <v>80.2</v>
      </c>
      <c r="H58"/>
      <c r="I58"/>
      <c r="J58" s="37"/>
      <c r="K58" s="53">
        <v>12.200000000000003</v>
      </c>
      <c r="L58" s="53"/>
      <c r="M58" s="53">
        <v>12.200000000000003</v>
      </c>
      <c r="N58" s="53"/>
      <c r="O58" s="53"/>
      <c r="P58" s="53"/>
      <c r="Q58" s="53"/>
      <c r="R58" s="53"/>
      <c r="S58" s="53"/>
      <c r="T58" s="53"/>
      <c r="U58" s="53"/>
      <c r="V58" s="53"/>
    </row>
    <row r="59" spans="1:22" s="15" customFormat="1" ht="14.25" x14ac:dyDescent="0.45">
      <c r="A59" s="21"/>
      <c r="B59" s="21"/>
      <c r="C59" s="21"/>
      <c r="D59" s="21"/>
      <c r="E59" s="21"/>
      <c r="F59" s="49">
        <v>38777</v>
      </c>
      <c r="G59" s="52">
        <v>92.4</v>
      </c>
      <c r="H59"/>
      <c r="I59"/>
      <c r="J59" s="37"/>
      <c r="K59" s="53">
        <v>-6.7000000000000028</v>
      </c>
      <c r="L59" s="53"/>
      <c r="M59" s="53">
        <v>-6.7000000000000028</v>
      </c>
      <c r="N59" s="53"/>
      <c r="O59" s="53"/>
      <c r="P59" s="53"/>
      <c r="Q59" s="53"/>
      <c r="R59" s="53"/>
      <c r="S59" s="53"/>
      <c r="T59" s="53"/>
      <c r="U59" s="53"/>
      <c r="V59" s="53"/>
    </row>
    <row r="60" spans="1:22" s="15" customFormat="1" ht="14.25" x14ac:dyDescent="0.45">
      <c r="A60" s="21"/>
      <c r="B60" s="21"/>
      <c r="C60" s="21"/>
      <c r="D60" s="21"/>
      <c r="E60" s="21"/>
      <c r="F60" s="49">
        <v>38808</v>
      </c>
      <c r="G60" s="52">
        <v>85.7</v>
      </c>
      <c r="H60"/>
      <c r="I60"/>
      <c r="J60" s="37"/>
      <c r="K60" s="53">
        <v>9.7000000000000028</v>
      </c>
      <c r="L60" s="53"/>
      <c r="M60" s="53">
        <v>9.7000000000000028</v>
      </c>
      <c r="N60" s="53"/>
      <c r="O60" s="53"/>
      <c r="P60" s="53"/>
      <c r="Q60" s="53"/>
      <c r="R60" s="53"/>
      <c r="S60" s="53"/>
      <c r="T60" s="53"/>
      <c r="U60" s="53"/>
      <c r="V60" s="53"/>
    </row>
    <row r="61" spans="1:22" s="15" customFormat="1" ht="14.25" x14ac:dyDescent="0.45">
      <c r="A61" s="21"/>
      <c r="B61" s="21"/>
      <c r="C61" s="21"/>
      <c r="D61" s="21"/>
      <c r="E61" s="21"/>
      <c r="F61" s="49">
        <v>38838</v>
      </c>
      <c r="G61" s="52">
        <v>95.4</v>
      </c>
      <c r="H61"/>
      <c r="I61"/>
      <c r="J61" s="37"/>
      <c r="K61" s="53">
        <v>-4.3000000000000114</v>
      </c>
      <c r="L61" s="53"/>
      <c r="M61" s="53">
        <v>-4.3000000000000114</v>
      </c>
      <c r="N61" s="53"/>
      <c r="O61" s="53"/>
      <c r="P61" s="53"/>
      <c r="Q61" s="53"/>
      <c r="R61" s="53"/>
      <c r="S61" s="53"/>
      <c r="T61" s="53"/>
      <c r="U61" s="53"/>
      <c r="V61" s="53"/>
    </row>
    <row r="62" spans="1:22" s="15" customFormat="1" ht="14.25" x14ac:dyDescent="0.45">
      <c r="A62" s="21"/>
      <c r="B62" s="21"/>
      <c r="C62" s="21"/>
      <c r="D62" s="21"/>
      <c r="E62" s="21"/>
      <c r="F62" s="49">
        <v>38869</v>
      </c>
      <c r="G62" s="52">
        <v>91.1</v>
      </c>
      <c r="H62"/>
      <c r="I62"/>
      <c r="J62" s="37"/>
      <c r="K62" s="53">
        <v>2.7000000000000028</v>
      </c>
      <c r="L62" s="53"/>
      <c r="M62" s="53">
        <v>2.7000000000000028</v>
      </c>
      <c r="N62" s="53"/>
      <c r="O62" s="53"/>
      <c r="P62" s="53"/>
      <c r="Q62" s="53"/>
      <c r="R62" s="53"/>
      <c r="S62" s="53"/>
      <c r="T62" s="53"/>
      <c r="U62" s="53"/>
      <c r="V62" s="53"/>
    </row>
    <row r="63" spans="1:22" s="15" customFormat="1" ht="14.25" x14ac:dyDescent="0.45">
      <c r="A63" s="21"/>
      <c r="B63" s="21"/>
      <c r="C63" s="21"/>
      <c r="D63" s="21"/>
      <c r="E63" s="21"/>
      <c r="F63" s="49">
        <v>38899</v>
      </c>
      <c r="G63" s="52">
        <v>93.8</v>
      </c>
      <c r="H63"/>
      <c r="I63"/>
      <c r="J63" s="37"/>
      <c r="K63" s="53">
        <v>4.7999999999999972</v>
      </c>
      <c r="L63" s="53"/>
      <c r="M63" s="53">
        <v>4.7999999999999972</v>
      </c>
      <c r="N63" s="53"/>
      <c r="O63" s="53"/>
      <c r="P63" s="53"/>
      <c r="Q63" s="53"/>
      <c r="R63" s="53"/>
      <c r="S63" s="53"/>
      <c r="T63" s="53"/>
      <c r="U63" s="53"/>
      <c r="V63" s="53"/>
    </row>
    <row r="64" spans="1:22" s="15" customFormat="1" ht="14.25" x14ac:dyDescent="0.45">
      <c r="A64" s="21"/>
      <c r="B64" s="21"/>
      <c r="C64" s="21"/>
      <c r="D64" s="21"/>
      <c r="E64" s="21"/>
      <c r="F64" s="49">
        <v>38930</v>
      </c>
      <c r="G64" s="52">
        <v>98.6</v>
      </c>
      <c r="H64"/>
      <c r="I64"/>
      <c r="J64" s="37"/>
      <c r="K64" s="53">
        <v>-5.3999999999999915</v>
      </c>
      <c r="L64" s="53"/>
      <c r="M64" s="53">
        <v>-5.3999999999999915</v>
      </c>
      <c r="N64" s="53"/>
      <c r="O64" s="53"/>
      <c r="P64" s="53"/>
      <c r="Q64" s="53"/>
      <c r="R64" s="53"/>
      <c r="S64" s="53"/>
      <c r="T64" s="53"/>
      <c r="U64" s="53"/>
      <c r="V64" s="53"/>
    </row>
    <row r="65" spans="1:22" s="15" customFormat="1" ht="14.25" x14ac:dyDescent="0.45">
      <c r="A65" s="21"/>
      <c r="B65" s="21"/>
      <c r="C65" s="21"/>
      <c r="D65" s="21"/>
      <c r="E65" s="21"/>
      <c r="F65" s="49">
        <v>38961</v>
      </c>
      <c r="G65" s="52">
        <v>93.2</v>
      </c>
      <c r="H65"/>
      <c r="I65"/>
      <c r="J65" s="37"/>
      <c r="K65" s="53">
        <v>4.2999999999999972</v>
      </c>
      <c r="L65" s="53"/>
      <c r="M65" s="53">
        <v>4.2999999999999972</v>
      </c>
      <c r="N65" s="53"/>
      <c r="O65" s="53"/>
      <c r="P65" s="53"/>
      <c r="Q65" s="53"/>
      <c r="R65" s="53"/>
      <c r="S65" s="53"/>
      <c r="T65" s="53"/>
      <c r="U65" s="53"/>
      <c r="V65" s="53"/>
    </row>
    <row r="66" spans="1:22" s="15" customFormat="1" ht="14.25" x14ac:dyDescent="0.45">
      <c r="A66" s="21"/>
      <c r="B66" s="21"/>
      <c r="C66" s="21"/>
      <c r="D66" s="21"/>
      <c r="E66" s="21"/>
      <c r="F66" s="49">
        <v>38991</v>
      </c>
      <c r="G66" s="52">
        <v>97.5</v>
      </c>
      <c r="H66"/>
      <c r="I66"/>
      <c r="J66" s="37"/>
      <c r="K66" s="53">
        <v>-1.5999999999999943</v>
      </c>
      <c r="L66" s="53"/>
      <c r="M66" s="53">
        <v>-1.5999999999999943</v>
      </c>
      <c r="N66" s="53"/>
      <c r="O66" s="53"/>
      <c r="P66" s="53"/>
      <c r="Q66" s="53"/>
      <c r="R66" s="53"/>
      <c r="S66" s="53"/>
      <c r="T66" s="53"/>
      <c r="U66" s="53"/>
      <c r="V66" s="53"/>
    </row>
    <row r="67" spans="1:22" s="15" customFormat="1" ht="14.25" x14ac:dyDescent="0.45">
      <c r="A67" s="21"/>
      <c r="B67" s="21"/>
      <c r="C67" s="21"/>
      <c r="D67" s="21"/>
      <c r="E67" s="21"/>
      <c r="F67" s="49">
        <v>39022</v>
      </c>
      <c r="G67" s="52">
        <v>95.9</v>
      </c>
      <c r="H67"/>
      <c r="I67"/>
      <c r="J67" s="37"/>
      <c r="K67" s="53">
        <v>-8.9000000000000057</v>
      </c>
      <c r="L67" s="53"/>
      <c r="M67" s="53">
        <v>-8.9000000000000057</v>
      </c>
      <c r="N67" s="53"/>
      <c r="O67" s="53"/>
      <c r="P67" s="53"/>
      <c r="Q67" s="53"/>
      <c r="R67" s="53"/>
      <c r="S67" s="53"/>
      <c r="T67" s="53"/>
      <c r="U67" s="53"/>
      <c r="V67" s="53"/>
    </row>
    <row r="68" spans="1:22" s="15" customFormat="1" ht="14.25" x14ac:dyDescent="0.45">
      <c r="A68" s="21"/>
      <c r="B68" s="21"/>
      <c r="C68" s="21"/>
      <c r="D68" s="21"/>
      <c r="E68" s="21"/>
      <c r="F68" s="49">
        <v>39052</v>
      </c>
      <c r="G68" s="52">
        <v>87</v>
      </c>
      <c r="H68"/>
      <c r="I68"/>
      <c r="J68" s="37"/>
      <c r="K68" s="53">
        <v>0</v>
      </c>
      <c r="L68" s="53"/>
      <c r="M68" s="53">
        <v>0</v>
      </c>
      <c r="N68" s="53"/>
      <c r="O68" s="53"/>
      <c r="P68" s="53"/>
      <c r="Q68" s="53"/>
      <c r="R68" s="53"/>
      <c r="S68" s="53"/>
      <c r="T68" s="53"/>
      <c r="U68" s="53"/>
      <c r="V68" s="53"/>
    </row>
    <row r="69" spans="1:22" s="15" customFormat="1" ht="14.25" x14ac:dyDescent="0.45">
      <c r="A69" s="21"/>
      <c r="B69" s="21"/>
      <c r="C69" s="21"/>
      <c r="D69" s="21"/>
      <c r="E69" s="21"/>
      <c r="F69" s="49">
        <v>39083</v>
      </c>
      <c r="G69" s="52">
        <v>87</v>
      </c>
      <c r="H69"/>
      <c r="I69"/>
      <c r="J69" s="37"/>
      <c r="K69" s="53">
        <v>-4.4000000000000057</v>
      </c>
      <c r="L69" s="53"/>
      <c r="M69" s="53">
        <v>-4.4000000000000057</v>
      </c>
      <c r="N69" s="53"/>
      <c r="O69" s="53"/>
      <c r="P69" s="53"/>
      <c r="Q69" s="53"/>
      <c r="R69" s="53"/>
      <c r="S69" s="53"/>
      <c r="T69" s="53"/>
      <c r="U69" s="53"/>
      <c r="V69" s="53"/>
    </row>
    <row r="70" spans="1:22" s="15" customFormat="1" ht="14.25" x14ac:dyDescent="0.45">
      <c r="A70" s="21"/>
      <c r="B70" s="21"/>
      <c r="C70" s="21"/>
      <c r="D70" s="21"/>
      <c r="E70" s="21"/>
      <c r="F70" s="49">
        <v>39114</v>
      </c>
      <c r="G70" s="52">
        <v>82.6</v>
      </c>
      <c r="H70"/>
      <c r="I70"/>
      <c r="J70" s="37"/>
      <c r="K70" s="53">
        <v>13.800000000000011</v>
      </c>
      <c r="L70" s="53"/>
      <c r="M70" s="53">
        <v>13.800000000000011</v>
      </c>
      <c r="N70" s="53"/>
      <c r="O70" s="53"/>
      <c r="P70" s="53"/>
      <c r="Q70" s="53"/>
      <c r="R70" s="53"/>
      <c r="S70" s="53"/>
      <c r="T70" s="53"/>
      <c r="U70" s="53"/>
      <c r="V70" s="53"/>
    </row>
    <row r="71" spans="1:22" s="15" customFormat="1" ht="14.25" x14ac:dyDescent="0.45">
      <c r="A71" s="21"/>
      <c r="B71" s="21"/>
      <c r="C71" s="21"/>
      <c r="D71" s="21"/>
      <c r="E71" s="21"/>
      <c r="F71" s="49">
        <v>39142</v>
      </c>
      <c r="G71" s="52">
        <v>96.4</v>
      </c>
      <c r="H71"/>
      <c r="I71"/>
      <c r="J71" s="37"/>
      <c r="K71" s="53">
        <v>-5.8000000000000114</v>
      </c>
      <c r="L71" s="53"/>
      <c r="M71" s="53">
        <v>-5.8000000000000114</v>
      </c>
      <c r="N71" s="53"/>
      <c r="O71" s="53"/>
      <c r="P71" s="53"/>
      <c r="Q71" s="53"/>
      <c r="R71" s="53"/>
      <c r="S71" s="53"/>
      <c r="T71" s="53"/>
      <c r="U71" s="53"/>
      <c r="V71" s="53"/>
    </row>
    <row r="72" spans="1:22" s="15" customFormat="1" ht="14.25" x14ac:dyDescent="0.45">
      <c r="A72" s="21"/>
      <c r="B72" s="21"/>
      <c r="C72" s="21"/>
      <c r="D72" s="21"/>
      <c r="E72" s="21"/>
      <c r="F72" s="49">
        <v>39173</v>
      </c>
      <c r="G72" s="52">
        <v>90.6</v>
      </c>
      <c r="H72"/>
      <c r="I72"/>
      <c r="J72" s="37"/>
      <c r="K72" s="53">
        <v>9.3000000000000114</v>
      </c>
      <c r="L72" s="53"/>
      <c r="M72" s="53">
        <v>9.3000000000000114</v>
      </c>
      <c r="N72" s="53"/>
      <c r="O72" s="53"/>
      <c r="P72" s="53"/>
      <c r="Q72" s="53"/>
      <c r="R72" s="53"/>
      <c r="S72" s="53"/>
      <c r="T72" s="53"/>
      <c r="U72" s="53"/>
      <c r="V72" s="53"/>
    </row>
    <row r="73" spans="1:22" s="15" customFormat="1" ht="14.25" x14ac:dyDescent="0.45">
      <c r="A73" s="21"/>
      <c r="B73" s="21"/>
      <c r="C73" s="21"/>
      <c r="D73" s="21"/>
      <c r="E73" s="21"/>
      <c r="F73" s="49">
        <v>39203</v>
      </c>
      <c r="G73" s="52">
        <v>99.9</v>
      </c>
      <c r="H73"/>
      <c r="I73"/>
      <c r="J73" s="37"/>
      <c r="K73" s="53">
        <v>-3</v>
      </c>
      <c r="L73" s="53"/>
      <c r="M73" s="53">
        <v>-3</v>
      </c>
      <c r="N73" s="53"/>
      <c r="O73" s="53"/>
      <c r="P73" s="53"/>
      <c r="Q73" s="53"/>
      <c r="R73" s="53"/>
      <c r="S73" s="53"/>
      <c r="T73" s="53"/>
      <c r="U73" s="53"/>
      <c r="V73" s="53"/>
    </row>
    <row r="74" spans="1:22" s="15" customFormat="1" ht="14.25" x14ac:dyDescent="0.45">
      <c r="A74" s="21"/>
      <c r="B74" s="21"/>
      <c r="C74" s="21"/>
      <c r="D74" s="21"/>
      <c r="E74" s="21"/>
      <c r="F74" s="49">
        <v>39234</v>
      </c>
      <c r="G74" s="52">
        <v>96.9</v>
      </c>
      <c r="H74"/>
      <c r="I74"/>
      <c r="J74" s="37"/>
      <c r="K74" s="53">
        <v>2.8999999999999915</v>
      </c>
      <c r="L74" s="53"/>
      <c r="M74" s="53">
        <v>2.8999999999999915</v>
      </c>
      <c r="N74" s="53"/>
      <c r="O74" s="53"/>
      <c r="P74" s="53"/>
      <c r="Q74" s="53"/>
      <c r="R74" s="53"/>
      <c r="S74" s="53"/>
      <c r="T74" s="53"/>
      <c r="U74" s="53"/>
      <c r="V74" s="53"/>
    </row>
    <row r="75" spans="1:22" s="15" customFormat="1" ht="14.25" x14ac:dyDescent="0.45">
      <c r="A75" s="21"/>
      <c r="B75" s="21"/>
      <c r="C75" s="21"/>
      <c r="D75" s="21"/>
      <c r="E75" s="21"/>
      <c r="F75" s="49">
        <v>39264</v>
      </c>
      <c r="G75" s="52">
        <v>99.8</v>
      </c>
      <c r="H75"/>
      <c r="I75"/>
      <c r="J75" s="37"/>
      <c r="K75" s="53">
        <v>5.1000000000000085</v>
      </c>
      <c r="L75" s="53"/>
      <c r="M75" s="53">
        <v>5.1000000000000085</v>
      </c>
      <c r="N75" s="53"/>
      <c r="O75" s="53"/>
      <c r="P75" s="53"/>
      <c r="Q75" s="53"/>
      <c r="R75" s="53"/>
      <c r="S75" s="53"/>
      <c r="T75" s="53"/>
      <c r="U75" s="53"/>
      <c r="V75" s="53"/>
    </row>
    <row r="76" spans="1:22" s="15" customFormat="1" ht="14.25" x14ac:dyDescent="0.45">
      <c r="A76" s="21"/>
      <c r="B76" s="21"/>
      <c r="C76" s="21"/>
      <c r="D76" s="21"/>
      <c r="E76" s="21"/>
      <c r="F76" s="49">
        <v>39295</v>
      </c>
      <c r="G76" s="52">
        <v>104.9</v>
      </c>
      <c r="H76"/>
      <c r="I76"/>
      <c r="J76" s="37"/>
      <c r="K76" s="53">
        <v>-6.5</v>
      </c>
      <c r="L76" s="53"/>
      <c r="M76" s="53">
        <v>-6.5</v>
      </c>
      <c r="N76" s="53"/>
      <c r="O76" s="53"/>
      <c r="P76" s="53"/>
      <c r="Q76" s="53"/>
      <c r="R76" s="53"/>
      <c r="S76" s="53"/>
      <c r="T76" s="53"/>
      <c r="U76" s="53"/>
      <c r="V76" s="53"/>
    </row>
    <row r="77" spans="1:22" s="15" customFormat="1" ht="14.25" x14ac:dyDescent="0.45">
      <c r="A77" s="21"/>
      <c r="B77" s="21"/>
      <c r="C77" s="21"/>
      <c r="D77" s="21"/>
      <c r="E77" s="21"/>
      <c r="F77" s="49">
        <v>39326</v>
      </c>
      <c r="G77" s="52">
        <v>98.4</v>
      </c>
      <c r="H77"/>
      <c r="I77"/>
      <c r="J77" s="37"/>
      <c r="K77" s="53">
        <v>9.3999999999999915</v>
      </c>
      <c r="L77" s="53"/>
      <c r="M77" s="53">
        <v>9.3999999999999915</v>
      </c>
      <c r="N77" s="53"/>
      <c r="O77" s="53"/>
      <c r="P77" s="53"/>
      <c r="Q77" s="53"/>
      <c r="R77" s="53"/>
      <c r="S77" s="53"/>
      <c r="T77" s="53"/>
      <c r="U77" s="53"/>
      <c r="V77" s="53"/>
    </row>
    <row r="78" spans="1:22" s="15" customFormat="1" ht="14.25" x14ac:dyDescent="0.45">
      <c r="A78" s="21"/>
      <c r="B78" s="21"/>
      <c r="C78" s="21"/>
      <c r="D78" s="21"/>
      <c r="E78" s="21"/>
      <c r="F78" s="49">
        <v>39356</v>
      </c>
      <c r="G78" s="52">
        <v>107.8</v>
      </c>
      <c r="H78"/>
      <c r="I78"/>
      <c r="J78" s="37"/>
      <c r="K78" s="53">
        <v>-5.3999999999999915</v>
      </c>
      <c r="L78" s="53"/>
      <c r="M78" s="53">
        <v>-5.3999999999999915</v>
      </c>
      <c r="N78" s="53"/>
      <c r="O78" s="53"/>
      <c r="P78" s="53"/>
      <c r="Q78" s="53"/>
      <c r="R78" s="53"/>
      <c r="S78" s="53"/>
      <c r="T78" s="53"/>
      <c r="U78" s="53"/>
      <c r="V78" s="53"/>
    </row>
    <row r="79" spans="1:22" s="15" customFormat="1" ht="14.25" x14ac:dyDescent="0.45">
      <c r="A79" s="21"/>
      <c r="B79" s="21"/>
      <c r="C79" s="21"/>
      <c r="D79" s="21"/>
      <c r="E79" s="21"/>
      <c r="F79" s="49">
        <v>39387</v>
      </c>
      <c r="G79" s="52">
        <v>102.4</v>
      </c>
      <c r="H79"/>
      <c r="I79"/>
      <c r="J79" s="37"/>
      <c r="K79" s="53">
        <v>-9.8000000000000114</v>
      </c>
      <c r="L79" s="53"/>
      <c r="M79" s="53">
        <v>-9.8000000000000114</v>
      </c>
      <c r="N79" s="53"/>
      <c r="O79" s="53"/>
      <c r="P79" s="53"/>
      <c r="Q79" s="53"/>
      <c r="R79" s="53"/>
      <c r="S79" s="53"/>
      <c r="T79" s="53"/>
      <c r="U79" s="53"/>
      <c r="V79" s="53"/>
    </row>
    <row r="80" spans="1:22" s="15" customFormat="1" ht="14.25" x14ac:dyDescent="0.45">
      <c r="A80" s="21"/>
      <c r="B80" s="21"/>
      <c r="C80" s="21"/>
      <c r="D80" s="21"/>
      <c r="E80" s="21"/>
      <c r="F80" s="49">
        <v>39417</v>
      </c>
      <c r="G80" s="52">
        <v>92.6</v>
      </c>
      <c r="H80"/>
      <c r="I80"/>
      <c r="J80" s="37"/>
      <c r="K80" s="53">
        <v>2.2000000000000028</v>
      </c>
      <c r="L80" s="53"/>
      <c r="M80" s="53">
        <v>2.2000000000000028</v>
      </c>
      <c r="N80" s="53"/>
      <c r="O80" s="53"/>
      <c r="P80" s="53"/>
      <c r="Q80" s="53"/>
      <c r="R80" s="53"/>
      <c r="S80" s="53"/>
      <c r="T80" s="53"/>
      <c r="U80" s="53"/>
      <c r="V80" s="53"/>
    </row>
    <row r="81" spans="1:22" s="15" customFormat="1" ht="14.25" x14ac:dyDescent="0.45">
      <c r="A81" s="21"/>
      <c r="B81" s="21"/>
      <c r="C81" s="21"/>
      <c r="D81" s="21"/>
      <c r="E81" s="21"/>
      <c r="F81" s="49">
        <v>39448</v>
      </c>
      <c r="G81" s="52">
        <v>94.8</v>
      </c>
      <c r="H81"/>
      <c r="I81"/>
      <c r="J81" s="37"/>
      <c r="K81" s="53">
        <v>-3.7000000000000028</v>
      </c>
      <c r="L81" s="53"/>
      <c r="M81" s="53">
        <v>-3.7000000000000028</v>
      </c>
      <c r="N81" s="53"/>
      <c r="O81" s="53"/>
      <c r="P81" s="53"/>
      <c r="Q81" s="53"/>
      <c r="R81" s="53"/>
      <c r="S81" s="53"/>
      <c r="T81" s="53"/>
      <c r="U81" s="53"/>
      <c r="V81" s="53"/>
    </row>
    <row r="82" spans="1:22" s="15" customFormat="1" ht="14.25" x14ac:dyDescent="0.45">
      <c r="A82" s="21"/>
      <c r="B82" s="21"/>
      <c r="C82" s="21"/>
      <c r="D82" s="21"/>
      <c r="E82" s="21"/>
      <c r="F82" s="49">
        <v>39479</v>
      </c>
      <c r="G82" s="52">
        <v>91.1</v>
      </c>
      <c r="H82"/>
      <c r="I82"/>
      <c r="J82" s="37"/>
      <c r="K82" s="53">
        <v>6.6000000000000085</v>
      </c>
      <c r="L82" s="53"/>
      <c r="M82" s="53">
        <v>6.6000000000000085</v>
      </c>
      <c r="N82" s="53"/>
      <c r="O82" s="53"/>
      <c r="P82" s="53"/>
      <c r="Q82" s="53"/>
      <c r="R82" s="53"/>
      <c r="S82" s="53"/>
      <c r="T82" s="53"/>
      <c r="U82" s="53"/>
      <c r="V82" s="53"/>
    </row>
    <row r="83" spans="1:22" s="15" customFormat="1" ht="14.25" x14ac:dyDescent="0.45">
      <c r="A83" s="21"/>
      <c r="B83" s="21"/>
      <c r="C83" s="21"/>
      <c r="D83" s="21"/>
      <c r="E83" s="21"/>
      <c r="F83" s="49">
        <v>39508</v>
      </c>
      <c r="G83" s="52">
        <v>97.7</v>
      </c>
      <c r="H83"/>
      <c r="I83"/>
      <c r="J83" s="37"/>
      <c r="K83" s="53">
        <v>1.5</v>
      </c>
      <c r="L83" s="53"/>
      <c r="M83" s="53">
        <v>1.5</v>
      </c>
      <c r="N83" s="53"/>
      <c r="O83" s="53"/>
      <c r="P83" s="53"/>
      <c r="Q83" s="53"/>
      <c r="R83" s="53"/>
      <c r="S83" s="53"/>
      <c r="T83" s="53"/>
      <c r="U83" s="53"/>
      <c r="V83" s="53"/>
    </row>
    <row r="84" spans="1:22" s="15" customFormat="1" ht="14.25" x14ac:dyDescent="0.45">
      <c r="A84" s="21"/>
      <c r="B84" s="21"/>
      <c r="C84" s="21"/>
      <c r="D84" s="21"/>
      <c r="E84" s="21"/>
      <c r="F84" s="49">
        <v>39539</v>
      </c>
      <c r="G84" s="52">
        <v>99.2</v>
      </c>
      <c r="H84"/>
      <c r="I84"/>
      <c r="J84" s="37"/>
      <c r="K84" s="53">
        <v>3.2999999999999972</v>
      </c>
      <c r="L84" s="53"/>
      <c r="M84" s="53">
        <v>3.2999999999999972</v>
      </c>
      <c r="N84" s="53"/>
      <c r="O84" s="53"/>
      <c r="P84" s="53"/>
      <c r="Q84" s="53"/>
      <c r="R84" s="53"/>
      <c r="S84" s="53"/>
      <c r="T84" s="53"/>
      <c r="U84" s="53"/>
      <c r="V84" s="53"/>
    </row>
    <row r="85" spans="1:22" s="15" customFormat="1" ht="14.25" x14ac:dyDescent="0.45">
      <c r="A85" s="21"/>
      <c r="B85" s="21"/>
      <c r="C85" s="21"/>
      <c r="D85" s="21"/>
      <c r="E85" s="21"/>
      <c r="F85" s="49">
        <v>39569</v>
      </c>
      <c r="G85" s="52">
        <v>102.5</v>
      </c>
      <c r="H85"/>
      <c r="I85"/>
      <c r="J85" s="37"/>
      <c r="K85" s="53">
        <v>0.79999999999999716</v>
      </c>
      <c r="L85" s="53"/>
      <c r="M85" s="53">
        <v>0.79999999999999716</v>
      </c>
      <c r="N85" s="53"/>
      <c r="O85" s="53"/>
      <c r="P85" s="53"/>
      <c r="Q85" s="53"/>
      <c r="R85" s="53"/>
      <c r="S85" s="53"/>
      <c r="T85" s="53"/>
      <c r="U85" s="53"/>
      <c r="V85" s="53"/>
    </row>
    <row r="86" spans="1:22" s="15" customFormat="1" ht="14.25" x14ac:dyDescent="0.45">
      <c r="A86" s="21"/>
      <c r="B86" s="21"/>
      <c r="C86" s="21"/>
      <c r="D86" s="21"/>
      <c r="E86" s="21"/>
      <c r="F86" s="49">
        <v>39600</v>
      </c>
      <c r="G86" s="52">
        <v>103.3</v>
      </c>
      <c r="H86"/>
      <c r="I86"/>
      <c r="J86" s="37"/>
      <c r="K86" s="53">
        <v>5.2000000000000028</v>
      </c>
      <c r="L86" s="53"/>
      <c r="M86" s="53">
        <v>5.2000000000000028</v>
      </c>
      <c r="N86" s="53"/>
      <c r="O86" s="53"/>
      <c r="P86" s="53"/>
      <c r="Q86" s="53"/>
      <c r="R86" s="53"/>
      <c r="S86" s="53"/>
      <c r="T86" s="53"/>
      <c r="U86" s="53"/>
      <c r="V86" s="53"/>
    </row>
    <row r="87" spans="1:22" s="15" customFormat="1" ht="14.25" x14ac:dyDescent="0.45">
      <c r="A87" s="21"/>
      <c r="B87" s="21"/>
      <c r="C87" s="21"/>
      <c r="D87" s="21"/>
      <c r="E87" s="21"/>
      <c r="F87" s="49">
        <v>39630</v>
      </c>
      <c r="G87" s="52">
        <v>108.5</v>
      </c>
      <c r="H87"/>
      <c r="I87"/>
      <c r="J87" s="37"/>
      <c r="K87" s="53">
        <v>-1.5999999999999943</v>
      </c>
      <c r="L87" s="53"/>
      <c r="M87" s="53">
        <v>-1.5999999999999943</v>
      </c>
      <c r="N87" s="53"/>
      <c r="O87" s="53"/>
      <c r="P87" s="53"/>
      <c r="Q87" s="53"/>
      <c r="R87" s="53"/>
      <c r="S87" s="53"/>
      <c r="T87" s="53"/>
      <c r="U87" s="53"/>
      <c r="V87" s="53"/>
    </row>
    <row r="88" spans="1:22" s="15" customFormat="1" ht="14.25" x14ac:dyDescent="0.45">
      <c r="A88" s="21"/>
      <c r="B88" s="21"/>
      <c r="C88" s="21"/>
      <c r="D88" s="21"/>
      <c r="E88" s="21"/>
      <c r="F88" s="49">
        <v>39661</v>
      </c>
      <c r="G88" s="52">
        <v>106.9</v>
      </c>
      <c r="H88"/>
      <c r="I88"/>
      <c r="J88" s="37"/>
      <c r="K88" s="53">
        <v>0.39999999999999147</v>
      </c>
      <c r="L88" s="53"/>
      <c r="M88" s="53">
        <v>0.39999999999999147</v>
      </c>
      <c r="N88" s="53"/>
      <c r="O88" s="53"/>
      <c r="P88" s="53"/>
      <c r="Q88" s="53"/>
      <c r="R88" s="53"/>
      <c r="S88" s="53"/>
      <c r="T88" s="53"/>
      <c r="U88" s="53"/>
      <c r="V88" s="53"/>
    </row>
    <row r="89" spans="1:22" s="15" customFormat="1" ht="14.25" x14ac:dyDescent="0.45">
      <c r="A89" s="21"/>
      <c r="B89" s="21"/>
      <c r="C89" s="21"/>
      <c r="D89" s="21"/>
      <c r="E89" s="21"/>
      <c r="F89" s="49">
        <v>39692</v>
      </c>
      <c r="G89" s="52">
        <v>107.3</v>
      </c>
      <c r="H89"/>
      <c r="I89"/>
      <c r="J89" s="37"/>
      <c r="K89" s="53">
        <v>1.1000000000000085</v>
      </c>
      <c r="L89" s="53"/>
      <c r="M89" s="53">
        <v>1.1000000000000085</v>
      </c>
      <c r="N89" s="53"/>
      <c r="O89" s="53"/>
      <c r="P89" s="53"/>
      <c r="Q89" s="53"/>
      <c r="R89" s="53"/>
      <c r="S89" s="53"/>
      <c r="T89" s="53"/>
      <c r="U89" s="53"/>
      <c r="V89" s="53"/>
    </row>
    <row r="90" spans="1:22" s="15" customFormat="1" ht="14.25" x14ac:dyDescent="0.45">
      <c r="A90" s="21"/>
      <c r="B90" s="21"/>
      <c r="C90" s="21"/>
      <c r="D90" s="21"/>
      <c r="E90" s="21"/>
      <c r="F90" s="49">
        <v>39722</v>
      </c>
      <c r="G90" s="52">
        <v>108.4</v>
      </c>
      <c r="H90"/>
      <c r="I90"/>
      <c r="J90" s="37"/>
      <c r="K90" s="53">
        <v>-12.200000000000003</v>
      </c>
      <c r="L90" s="53"/>
      <c r="M90" s="53">
        <v>-12.200000000000003</v>
      </c>
      <c r="N90" s="53"/>
      <c r="O90" s="53"/>
      <c r="P90" s="53"/>
      <c r="Q90" s="53"/>
      <c r="R90" s="53"/>
      <c r="S90" s="53"/>
      <c r="T90" s="53"/>
      <c r="U90" s="53"/>
      <c r="V90" s="53"/>
    </row>
    <row r="91" spans="1:22" s="15" customFormat="1" ht="14.25" x14ac:dyDescent="0.45">
      <c r="A91" s="21"/>
      <c r="B91" s="21"/>
      <c r="C91" s="21"/>
      <c r="D91" s="21"/>
      <c r="E91" s="21"/>
      <c r="F91" s="49">
        <v>39753</v>
      </c>
      <c r="G91" s="52">
        <v>96.2</v>
      </c>
      <c r="H91"/>
      <c r="I91"/>
      <c r="J91" s="37"/>
      <c r="K91" s="53">
        <v>-17.100000000000009</v>
      </c>
      <c r="L91" s="53"/>
      <c r="M91" s="53">
        <v>-17.100000000000009</v>
      </c>
      <c r="N91" s="53"/>
      <c r="O91" s="53"/>
      <c r="P91" s="53"/>
      <c r="Q91" s="53"/>
      <c r="R91" s="53"/>
      <c r="S91" s="53"/>
      <c r="T91" s="53"/>
      <c r="U91" s="53"/>
      <c r="V91" s="53"/>
    </row>
    <row r="92" spans="1:22" s="15" customFormat="1" ht="14.25" x14ac:dyDescent="0.45">
      <c r="A92" s="21"/>
      <c r="B92" s="21"/>
      <c r="C92" s="21"/>
      <c r="D92" s="21"/>
      <c r="E92" s="21"/>
      <c r="F92" s="49">
        <v>39783</v>
      </c>
      <c r="G92" s="52">
        <v>79.099999999999994</v>
      </c>
      <c r="H92"/>
      <c r="I92"/>
      <c r="J92" s="37"/>
      <c r="K92" s="53">
        <v>-0.39999999999999147</v>
      </c>
      <c r="L92" s="53"/>
      <c r="M92" s="53">
        <v>-0.39999999999999147</v>
      </c>
      <c r="N92" s="53"/>
      <c r="O92" s="53"/>
      <c r="P92" s="53"/>
      <c r="Q92" s="53"/>
      <c r="R92" s="53"/>
      <c r="S92" s="53"/>
      <c r="T92" s="53"/>
      <c r="U92" s="53"/>
      <c r="V92" s="53"/>
    </row>
    <row r="93" spans="1:22" s="15" customFormat="1" ht="14.25" x14ac:dyDescent="0.45">
      <c r="A93" s="21"/>
      <c r="B93" s="21"/>
      <c r="C93" s="21"/>
      <c r="D93" s="21"/>
      <c r="E93" s="21"/>
      <c r="F93" s="49">
        <v>39814</v>
      </c>
      <c r="G93" s="52">
        <v>78.7</v>
      </c>
      <c r="H93"/>
      <c r="I93"/>
      <c r="J93" s="37"/>
      <c r="K93" s="53">
        <v>-2.6000000000000085</v>
      </c>
      <c r="L93" s="53"/>
      <c r="M93" s="53">
        <v>-2.6000000000000085</v>
      </c>
      <c r="N93" s="53"/>
      <c r="O93" s="53"/>
      <c r="P93" s="53"/>
      <c r="Q93" s="53"/>
      <c r="R93" s="53"/>
      <c r="S93" s="53"/>
      <c r="T93" s="53"/>
      <c r="U93" s="53"/>
      <c r="V93" s="53"/>
    </row>
    <row r="94" spans="1:22" s="15" customFormat="1" ht="14.25" x14ac:dyDescent="0.45">
      <c r="A94" s="21"/>
      <c r="B94" s="21"/>
      <c r="C94" s="21"/>
      <c r="D94" s="21"/>
      <c r="E94" s="21"/>
      <c r="F94" s="49">
        <v>39845</v>
      </c>
      <c r="G94" s="52">
        <v>76.099999999999994</v>
      </c>
      <c r="H94"/>
      <c r="I94"/>
      <c r="J94" s="37"/>
      <c r="K94" s="53">
        <v>12.5</v>
      </c>
      <c r="L94" s="53"/>
      <c r="M94" s="53">
        <v>12.5</v>
      </c>
      <c r="N94" s="53"/>
      <c r="O94" s="53"/>
      <c r="P94" s="53"/>
      <c r="Q94" s="53"/>
      <c r="R94" s="53"/>
      <c r="S94" s="53"/>
      <c r="T94" s="53"/>
      <c r="U94" s="53"/>
      <c r="V94" s="53"/>
    </row>
    <row r="95" spans="1:22" s="15" customFormat="1" ht="14.25" x14ac:dyDescent="0.45">
      <c r="A95" s="21"/>
      <c r="B95" s="21"/>
      <c r="C95" s="21"/>
      <c r="D95" s="21"/>
      <c r="E95" s="21"/>
      <c r="F95" s="49">
        <v>39873</v>
      </c>
      <c r="G95" s="52">
        <v>88.6</v>
      </c>
      <c r="H95"/>
      <c r="I95"/>
      <c r="J95" s="37"/>
      <c r="K95" s="53">
        <v>-3.3999999999999915</v>
      </c>
      <c r="L95" s="53"/>
      <c r="M95" s="53">
        <v>-3.3999999999999915</v>
      </c>
      <c r="N95" s="53"/>
      <c r="O95" s="53"/>
      <c r="P95" s="53"/>
      <c r="Q95" s="53"/>
      <c r="R95" s="53"/>
      <c r="S95" s="53"/>
      <c r="T95" s="53"/>
      <c r="U95" s="53"/>
      <c r="V95" s="53"/>
    </row>
    <row r="96" spans="1:22" s="15" customFormat="1" ht="14.25" x14ac:dyDescent="0.45">
      <c r="A96" s="21"/>
      <c r="B96" s="21"/>
      <c r="C96" s="21"/>
      <c r="D96" s="21"/>
      <c r="E96" s="21"/>
      <c r="F96" s="49">
        <v>39904</v>
      </c>
      <c r="G96" s="52">
        <v>85.2</v>
      </c>
      <c r="H96"/>
      <c r="I96"/>
      <c r="J96" s="37"/>
      <c r="K96" s="53">
        <v>6.0999999999999943</v>
      </c>
      <c r="L96" s="53"/>
      <c r="M96" s="53">
        <v>6.0999999999999943</v>
      </c>
      <c r="N96" s="53"/>
      <c r="O96" s="53"/>
      <c r="P96" s="53"/>
      <c r="Q96" s="53"/>
      <c r="R96" s="53"/>
      <c r="S96" s="53"/>
      <c r="T96" s="53"/>
      <c r="U96" s="53"/>
      <c r="V96" s="53"/>
    </row>
    <row r="97" spans="1:22" s="15" customFormat="1" ht="14.25" x14ac:dyDescent="0.45">
      <c r="A97" s="21"/>
      <c r="B97" s="21"/>
      <c r="C97" s="21"/>
      <c r="D97" s="21"/>
      <c r="E97" s="21"/>
      <c r="F97" s="49">
        <v>39934</v>
      </c>
      <c r="G97" s="52">
        <v>91.3</v>
      </c>
      <c r="H97"/>
      <c r="I97"/>
      <c r="J97" s="37"/>
      <c r="K97" s="53">
        <v>0.90000000000000568</v>
      </c>
      <c r="L97" s="53"/>
      <c r="M97" s="53">
        <v>0.90000000000000568</v>
      </c>
      <c r="N97" s="53"/>
      <c r="O97" s="53"/>
      <c r="P97" s="53"/>
      <c r="Q97" s="53"/>
      <c r="R97" s="53"/>
      <c r="S97" s="53"/>
      <c r="T97" s="53"/>
      <c r="U97" s="53"/>
      <c r="V97" s="53"/>
    </row>
    <row r="98" spans="1:22" s="15" customFormat="1" ht="14.25" x14ac:dyDescent="0.45">
      <c r="A98" s="21"/>
      <c r="B98" s="21"/>
      <c r="C98" s="21"/>
      <c r="D98" s="21"/>
      <c r="E98" s="21"/>
      <c r="F98" s="49">
        <v>39965</v>
      </c>
      <c r="G98" s="52">
        <v>92.2</v>
      </c>
      <c r="H98"/>
      <c r="I98"/>
      <c r="J98" s="37"/>
      <c r="K98" s="53">
        <v>5.5</v>
      </c>
      <c r="L98" s="53"/>
      <c r="M98" s="53">
        <v>5.5</v>
      </c>
      <c r="N98" s="53"/>
      <c r="O98" s="53"/>
      <c r="P98" s="53"/>
      <c r="Q98" s="53"/>
      <c r="R98" s="53"/>
      <c r="S98" s="53"/>
      <c r="T98" s="53"/>
      <c r="U98" s="53"/>
      <c r="V98" s="53"/>
    </row>
    <row r="99" spans="1:22" s="15" customFormat="1" ht="14.25" x14ac:dyDescent="0.45">
      <c r="A99" s="21"/>
      <c r="B99" s="21"/>
      <c r="C99" s="21"/>
      <c r="D99" s="21"/>
      <c r="E99" s="21"/>
      <c r="F99" s="49">
        <v>39995</v>
      </c>
      <c r="G99" s="52">
        <v>97.7</v>
      </c>
      <c r="H99"/>
      <c r="I99"/>
      <c r="J99" s="37"/>
      <c r="K99" s="53">
        <v>1.8999999999999915</v>
      </c>
      <c r="L99" s="53"/>
      <c r="M99" s="53">
        <v>1.8999999999999915</v>
      </c>
      <c r="N99" s="53"/>
      <c r="O99" s="53"/>
      <c r="P99" s="53"/>
      <c r="Q99" s="53"/>
      <c r="R99" s="53"/>
      <c r="S99" s="53"/>
      <c r="T99" s="53"/>
      <c r="U99" s="53"/>
      <c r="V99" s="53"/>
    </row>
    <row r="100" spans="1:22" s="15" customFormat="1" ht="14.25" x14ac:dyDescent="0.45">
      <c r="A100" s="21"/>
      <c r="B100" s="21"/>
      <c r="C100" s="21"/>
      <c r="D100" s="21"/>
      <c r="E100" s="21"/>
      <c r="F100" s="49">
        <v>40026</v>
      </c>
      <c r="G100" s="52">
        <v>99.6</v>
      </c>
      <c r="H100"/>
      <c r="I100"/>
      <c r="J100" s="37"/>
      <c r="K100" s="53">
        <v>-0.19999999999998863</v>
      </c>
      <c r="L100" s="53"/>
      <c r="M100" s="53">
        <v>-0.19999999999998863</v>
      </c>
      <c r="N100" s="53"/>
      <c r="O100" s="53"/>
      <c r="P100" s="53"/>
      <c r="Q100" s="53"/>
      <c r="R100" s="53"/>
      <c r="S100" s="53"/>
      <c r="T100" s="53"/>
      <c r="U100" s="53"/>
      <c r="V100" s="53"/>
    </row>
    <row r="101" spans="1:22" s="15" customFormat="1" ht="14.25" x14ac:dyDescent="0.45">
      <c r="A101" s="21"/>
      <c r="B101" s="21"/>
      <c r="C101" s="21"/>
      <c r="D101" s="21"/>
      <c r="E101" s="21"/>
      <c r="F101" s="49">
        <v>40057</v>
      </c>
      <c r="G101" s="52">
        <v>99.4</v>
      </c>
      <c r="H101"/>
      <c r="I101"/>
      <c r="J101" s="37"/>
      <c r="K101" s="53">
        <v>6.1999999999999886</v>
      </c>
      <c r="L101" s="53"/>
      <c r="M101" s="53">
        <v>6.1999999999999886</v>
      </c>
      <c r="N101" s="53"/>
      <c r="O101" s="53"/>
      <c r="P101" s="53"/>
      <c r="Q101" s="53"/>
      <c r="R101" s="53"/>
      <c r="S101" s="53"/>
      <c r="T101" s="53"/>
      <c r="U101" s="53"/>
      <c r="V101" s="53"/>
    </row>
    <row r="102" spans="1:22" s="15" customFormat="1" ht="14.25" x14ac:dyDescent="0.45">
      <c r="A102" s="21"/>
      <c r="B102" s="21"/>
      <c r="C102" s="21"/>
      <c r="D102" s="21"/>
      <c r="E102" s="21"/>
      <c r="F102" s="49">
        <v>40087</v>
      </c>
      <c r="G102" s="52">
        <v>105.6</v>
      </c>
      <c r="H102"/>
      <c r="I102"/>
      <c r="J102" s="37"/>
      <c r="K102" s="53">
        <v>-4.1999999999999886</v>
      </c>
      <c r="L102" s="53"/>
      <c r="M102" s="53">
        <v>-4.1999999999999886</v>
      </c>
      <c r="N102" s="53"/>
      <c r="O102" s="53"/>
      <c r="P102" s="53"/>
      <c r="Q102" s="53"/>
      <c r="R102" s="53"/>
      <c r="S102" s="53"/>
      <c r="T102" s="53"/>
      <c r="U102" s="53"/>
      <c r="V102" s="53"/>
    </row>
    <row r="103" spans="1:22" s="15" customFormat="1" ht="14.25" x14ac:dyDescent="0.45">
      <c r="A103" s="21"/>
      <c r="B103" s="21"/>
      <c r="C103" s="21"/>
      <c r="D103" s="21"/>
      <c r="E103" s="21"/>
      <c r="F103" s="49">
        <v>40118</v>
      </c>
      <c r="G103" s="52">
        <v>101.4</v>
      </c>
      <c r="H103"/>
      <c r="I103"/>
      <c r="J103" s="37"/>
      <c r="K103" s="53">
        <v>-7.3000000000000114</v>
      </c>
      <c r="L103" s="53"/>
      <c r="M103" s="53">
        <v>-7.3000000000000114</v>
      </c>
      <c r="N103" s="53"/>
      <c r="O103" s="53"/>
      <c r="P103" s="53"/>
      <c r="Q103" s="53"/>
      <c r="R103" s="53"/>
      <c r="S103" s="53"/>
      <c r="T103" s="53"/>
      <c r="U103" s="53"/>
      <c r="V103" s="53"/>
    </row>
    <row r="104" spans="1:22" s="15" customFormat="1" ht="14.25" x14ac:dyDescent="0.45">
      <c r="A104" s="21"/>
      <c r="B104" s="21"/>
      <c r="C104" s="21"/>
      <c r="D104" s="21"/>
      <c r="E104" s="21"/>
      <c r="F104" s="49">
        <v>40148</v>
      </c>
      <c r="G104" s="52">
        <v>94.1</v>
      </c>
      <c r="H104"/>
      <c r="I104"/>
      <c r="J104" s="37"/>
      <c r="K104" s="53">
        <v>-2.8999999999999915</v>
      </c>
      <c r="L104" s="53"/>
      <c r="M104" s="53">
        <v>-2.8999999999999915</v>
      </c>
      <c r="N104" s="53"/>
      <c r="O104" s="53"/>
      <c r="P104" s="53"/>
      <c r="Q104" s="53"/>
      <c r="R104" s="53"/>
      <c r="S104" s="53"/>
      <c r="T104" s="53"/>
      <c r="U104" s="53"/>
      <c r="V104" s="53"/>
    </row>
    <row r="105" spans="1:22" s="15" customFormat="1" ht="14.25" x14ac:dyDescent="0.45">
      <c r="A105" s="21"/>
      <c r="B105" s="21"/>
      <c r="C105" s="21"/>
      <c r="D105" s="21"/>
      <c r="E105" s="21"/>
      <c r="F105" s="49">
        <v>40179</v>
      </c>
      <c r="G105" s="52">
        <v>91.2</v>
      </c>
      <c r="H105"/>
      <c r="I105"/>
      <c r="J105" s="37"/>
      <c r="K105" s="53">
        <v>-2.2000000000000028</v>
      </c>
      <c r="L105" s="53"/>
      <c r="M105" s="53">
        <v>-2.2000000000000028</v>
      </c>
      <c r="N105" s="53"/>
      <c r="O105" s="53"/>
      <c r="P105" s="53"/>
      <c r="Q105" s="53"/>
      <c r="R105" s="53"/>
      <c r="S105" s="53"/>
      <c r="T105" s="53"/>
      <c r="U105" s="53"/>
      <c r="V105" s="53"/>
    </row>
    <row r="106" spans="1:22" s="15" customFormat="1" ht="14.25" x14ac:dyDescent="0.45">
      <c r="A106" s="21"/>
      <c r="B106" s="21"/>
      <c r="C106" s="21"/>
      <c r="D106" s="21"/>
      <c r="E106" s="21"/>
      <c r="F106" s="49">
        <v>40210</v>
      </c>
      <c r="G106" s="52">
        <v>89</v>
      </c>
      <c r="H106"/>
      <c r="I106"/>
      <c r="J106" s="37"/>
      <c r="K106" s="53">
        <v>16.099999999999994</v>
      </c>
      <c r="L106" s="53"/>
      <c r="M106" s="53">
        <v>16.099999999999994</v>
      </c>
      <c r="N106" s="53"/>
      <c r="O106" s="53"/>
      <c r="P106" s="53"/>
      <c r="Q106" s="53"/>
      <c r="R106" s="53"/>
      <c r="S106" s="53"/>
      <c r="T106" s="53"/>
      <c r="U106" s="53"/>
      <c r="V106" s="53"/>
    </row>
    <row r="107" spans="1:22" s="15" customFormat="1" ht="14.25" x14ac:dyDescent="0.45">
      <c r="A107" s="21"/>
      <c r="B107" s="21"/>
      <c r="C107" s="21"/>
      <c r="D107" s="21"/>
      <c r="E107" s="21"/>
      <c r="F107" s="49">
        <v>40238</v>
      </c>
      <c r="G107" s="52">
        <v>105.1</v>
      </c>
      <c r="H107"/>
      <c r="I107"/>
      <c r="J107" s="37"/>
      <c r="K107" s="53">
        <v>-5.7999999999999972</v>
      </c>
      <c r="L107" s="53"/>
      <c r="M107" s="53">
        <v>-5.7999999999999972</v>
      </c>
      <c r="N107" s="53"/>
      <c r="O107" s="53"/>
      <c r="P107" s="53"/>
      <c r="Q107" s="53"/>
      <c r="R107" s="53"/>
      <c r="S107" s="53"/>
      <c r="T107" s="53"/>
      <c r="U107" s="53"/>
      <c r="V107" s="53"/>
    </row>
    <row r="108" spans="1:22" s="15" customFormat="1" ht="14.25" x14ac:dyDescent="0.45">
      <c r="A108" s="21"/>
      <c r="B108" s="21"/>
      <c r="C108" s="21"/>
      <c r="D108" s="21"/>
      <c r="E108" s="21"/>
      <c r="F108" s="49">
        <v>40269</v>
      </c>
      <c r="G108" s="52">
        <v>99.3</v>
      </c>
      <c r="H108"/>
      <c r="I108"/>
      <c r="J108" s="37"/>
      <c r="K108" s="53">
        <v>5</v>
      </c>
      <c r="L108" s="53"/>
      <c r="M108" s="53">
        <v>5</v>
      </c>
      <c r="N108" s="53"/>
      <c r="O108" s="53"/>
      <c r="P108" s="53"/>
      <c r="Q108" s="53"/>
      <c r="R108" s="53"/>
      <c r="S108" s="53"/>
      <c r="T108" s="53"/>
      <c r="U108" s="53"/>
      <c r="V108" s="53"/>
    </row>
    <row r="109" spans="1:22" s="15" customFormat="1" ht="14.25" x14ac:dyDescent="0.45">
      <c r="A109" s="21"/>
      <c r="B109" s="21"/>
      <c r="C109" s="21"/>
      <c r="D109" s="21"/>
      <c r="E109" s="21"/>
      <c r="F109" s="49">
        <v>40299</v>
      </c>
      <c r="G109" s="52">
        <v>104.3</v>
      </c>
      <c r="H109"/>
      <c r="I109"/>
      <c r="J109" s="37"/>
      <c r="K109" s="53">
        <v>-1.7999999999999972</v>
      </c>
      <c r="L109" s="53"/>
      <c r="M109" s="53">
        <v>-1.7999999999999972</v>
      </c>
      <c r="N109" s="53"/>
      <c r="O109" s="53"/>
      <c r="P109" s="53"/>
      <c r="Q109" s="53"/>
      <c r="R109" s="53"/>
      <c r="S109" s="53"/>
      <c r="T109" s="53"/>
      <c r="U109" s="53"/>
      <c r="V109" s="53"/>
    </row>
    <row r="110" spans="1:22" s="15" customFormat="1" ht="14.25" x14ac:dyDescent="0.45">
      <c r="A110" s="21"/>
      <c r="B110" s="21"/>
      <c r="C110" s="21"/>
      <c r="D110" s="21"/>
      <c r="E110" s="21"/>
      <c r="F110" s="49">
        <v>40330</v>
      </c>
      <c r="G110" s="52">
        <v>102.5</v>
      </c>
      <c r="H110"/>
      <c r="I110"/>
      <c r="J110" s="37"/>
      <c r="K110" s="53">
        <v>4.4000000000000057</v>
      </c>
      <c r="L110" s="53"/>
      <c r="M110" s="53">
        <v>4.4000000000000057</v>
      </c>
      <c r="N110" s="53"/>
      <c r="O110" s="53"/>
      <c r="P110" s="53"/>
      <c r="Q110" s="53"/>
      <c r="R110" s="53"/>
      <c r="S110" s="53"/>
      <c r="T110" s="53"/>
      <c r="U110" s="53"/>
      <c r="V110" s="53"/>
    </row>
    <row r="111" spans="1:22" s="15" customFormat="1" ht="14.25" x14ac:dyDescent="0.45">
      <c r="A111" s="21"/>
      <c r="B111" s="21"/>
      <c r="C111" s="21"/>
      <c r="D111" s="21"/>
      <c r="E111" s="21"/>
      <c r="F111" s="49">
        <v>40360</v>
      </c>
      <c r="G111" s="52">
        <v>106.9</v>
      </c>
      <c r="H111"/>
      <c r="I111"/>
      <c r="J111" s="37"/>
      <c r="K111" s="53">
        <v>1.1999999999999886</v>
      </c>
      <c r="L111" s="53"/>
      <c r="M111" s="53">
        <v>1.1999999999999886</v>
      </c>
      <c r="N111" s="53"/>
      <c r="O111" s="53"/>
      <c r="P111" s="53"/>
      <c r="Q111" s="53"/>
      <c r="R111" s="53"/>
      <c r="S111" s="53"/>
      <c r="T111" s="53"/>
      <c r="U111" s="53"/>
      <c r="V111" s="53"/>
    </row>
    <row r="112" spans="1:22" s="15" customFormat="1" ht="14.25" x14ac:dyDescent="0.45">
      <c r="A112" s="21"/>
      <c r="B112" s="21"/>
      <c r="C112" s="21"/>
      <c r="D112" s="21"/>
      <c r="E112" s="21"/>
      <c r="F112" s="49">
        <v>40391</v>
      </c>
      <c r="G112" s="52">
        <v>108.1</v>
      </c>
      <c r="H112"/>
      <c r="I112"/>
      <c r="J112" s="37"/>
      <c r="K112" s="53">
        <v>-2.2999999999999972</v>
      </c>
      <c r="L112" s="53"/>
      <c r="M112" s="53">
        <v>-2.2999999999999972</v>
      </c>
      <c r="N112" s="53"/>
      <c r="O112" s="53"/>
      <c r="P112" s="53"/>
      <c r="Q112" s="53"/>
      <c r="R112" s="53"/>
      <c r="S112" s="53"/>
      <c r="T112" s="53"/>
      <c r="U112" s="53"/>
      <c r="V112" s="53"/>
    </row>
    <row r="113" spans="1:22" s="15" customFormat="1" ht="14.25" x14ac:dyDescent="0.45">
      <c r="A113" s="21"/>
      <c r="B113" s="21"/>
      <c r="C113" s="21"/>
      <c r="D113" s="21"/>
      <c r="E113" s="21"/>
      <c r="F113" s="49">
        <v>40422</v>
      </c>
      <c r="G113" s="52">
        <v>105.8</v>
      </c>
      <c r="H113"/>
      <c r="I113"/>
      <c r="J113" s="37"/>
      <c r="K113" s="53">
        <v>1.9000000000000057</v>
      </c>
      <c r="L113" s="53"/>
      <c r="M113" s="53">
        <v>1.9000000000000057</v>
      </c>
      <c r="N113" s="53"/>
      <c r="O113" s="53"/>
      <c r="P113" s="53"/>
      <c r="Q113" s="53"/>
      <c r="R113" s="53"/>
      <c r="S113" s="53"/>
      <c r="T113" s="53"/>
      <c r="U113" s="53"/>
      <c r="V113" s="53"/>
    </row>
    <row r="114" spans="1:22" s="15" customFormat="1" ht="14.25" x14ac:dyDescent="0.45">
      <c r="A114" s="21"/>
      <c r="B114" s="21"/>
      <c r="C114" s="21"/>
      <c r="D114" s="21"/>
      <c r="E114" s="21"/>
      <c r="F114" s="49">
        <v>40452</v>
      </c>
      <c r="G114" s="52">
        <v>107.7</v>
      </c>
      <c r="H114"/>
      <c r="I114"/>
      <c r="J114" s="37"/>
      <c r="K114" s="53">
        <v>-0.90000000000000568</v>
      </c>
      <c r="L114" s="53"/>
      <c r="M114" s="53">
        <v>-0.90000000000000568</v>
      </c>
      <c r="N114" s="53"/>
      <c r="O114" s="53"/>
      <c r="P114" s="53"/>
      <c r="Q114" s="53"/>
      <c r="R114" s="53"/>
      <c r="S114" s="53"/>
      <c r="T114" s="53"/>
      <c r="U114" s="53"/>
      <c r="V114" s="53"/>
    </row>
    <row r="115" spans="1:22" s="15" customFormat="1" ht="14.25" x14ac:dyDescent="0.45">
      <c r="A115" s="21"/>
      <c r="B115" s="21"/>
      <c r="C115" s="21"/>
      <c r="D115" s="21"/>
      <c r="E115" s="21"/>
      <c r="F115" s="49">
        <v>40483</v>
      </c>
      <c r="G115" s="52">
        <v>106.8</v>
      </c>
      <c r="H115"/>
      <c r="I115"/>
      <c r="J115" s="37"/>
      <c r="K115" s="53">
        <v>-10.200000000000003</v>
      </c>
      <c r="L115" s="53"/>
      <c r="M115" s="53">
        <v>-10.200000000000003</v>
      </c>
      <c r="N115" s="53"/>
      <c r="O115" s="53"/>
      <c r="P115" s="53"/>
      <c r="Q115" s="53"/>
      <c r="R115" s="53"/>
      <c r="S115" s="53"/>
      <c r="T115" s="53"/>
      <c r="U115" s="53"/>
      <c r="V115" s="53"/>
    </row>
    <row r="116" spans="1:22" s="15" customFormat="1" ht="14.25" x14ac:dyDescent="0.45">
      <c r="A116" s="21"/>
      <c r="B116" s="21"/>
      <c r="C116" s="21"/>
      <c r="D116" s="21"/>
      <c r="E116" s="21"/>
      <c r="F116" s="49">
        <v>40513</v>
      </c>
      <c r="G116" s="52">
        <v>96.6</v>
      </c>
      <c r="H116"/>
      <c r="I116"/>
      <c r="J116" s="37"/>
      <c r="K116" s="53">
        <v>-3.3999999999999915</v>
      </c>
      <c r="L116" s="53"/>
      <c r="M116" s="53">
        <v>-3.3999999999999915</v>
      </c>
      <c r="N116" s="53"/>
      <c r="O116" s="53"/>
      <c r="P116" s="53"/>
      <c r="Q116" s="53"/>
      <c r="R116" s="53"/>
      <c r="S116" s="53"/>
      <c r="T116" s="53"/>
      <c r="U116" s="53"/>
      <c r="V116" s="53"/>
    </row>
    <row r="117" spans="1:22" s="15" customFormat="1" ht="14.25" x14ac:dyDescent="0.45">
      <c r="A117" s="21"/>
      <c r="B117" s="21"/>
      <c r="C117" s="21"/>
      <c r="D117" s="21"/>
      <c r="E117" s="21"/>
      <c r="F117" s="49">
        <v>40544</v>
      </c>
      <c r="G117" s="52">
        <v>93.2</v>
      </c>
      <c r="H117"/>
      <c r="I117"/>
      <c r="J117" s="37"/>
      <c r="K117" s="53">
        <v>2.2000000000000028</v>
      </c>
      <c r="L117" s="53"/>
      <c r="M117" s="53">
        <v>2.2000000000000028</v>
      </c>
      <c r="N117" s="53"/>
      <c r="O117" s="53"/>
      <c r="P117" s="53"/>
      <c r="Q117" s="53"/>
      <c r="R117" s="53"/>
      <c r="S117" s="53"/>
      <c r="T117" s="53"/>
      <c r="U117" s="53"/>
      <c r="V117" s="53"/>
    </row>
    <row r="118" spans="1:22" s="15" customFormat="1" ht="14.25" x14ac:dyDescent="0.45">
      <c r="A118" s="21"/>
      <c r="B118" s="21"/>
      <c r="C118" s="21"/>
      <c r="D118" s="21"/>
      <c r="E118" s="21"/>
      <c r="F118" s="49">
        <v>40575</v>
      </c>
      <c r="G118" s="52">
        <v>95.4</v>
      </c>
      <c r="H118"/>
      <c r="I118"/>
      <c r="J118" s="37"/>
      <c r="K118" s="53">
        <v>9</v>
      </c>
      <c r="L118" s="53"/>
      <c r="M118" s="53">
        <v>9</v>
      </c>
      <c r="N118" s="53"/>
      <c r="O118" s="53"/>
      <c r="P118" s="53"/>
      <c r="Q118" s="53"/>
      <c r="R118" s="53"/>
      <c r="S118" s="53"/>
      <c r="T118" s="53"/>
      <c r="U118" s="53"/>
      <c r="V118" s="53"/>
    </row>
    <row r="119" spans="1:22" s="15" customFormat="1" ht="14.25" x14ac:dyDescent="0.45">
      <c r="A119" s="21"/>
      <c r="B119" s="21"/>
      <c r="C119" s="21"/>
      <c r="D119" s="21"/>
      <c r="E119" s="21"/>
      <c r="F119" s="49">
        <v>40603</v>
      </c>
      <c r="G119" s="52">
        <v>104.4</v>
      </c>
      <c r="H119"/>
      <c r="I119"/>
      <c r="J119" s="37"/>
      <c r="K119" s="53">
        <v>-6.9000000000000057</v>
      </c>
      <c r="L119" s="53"/>
      <c r="M119" s="53">
        <v>-6.9000000000000057</v>
      </c>
      <c r="N119" s="53"/>
      <c r="O119" s="53"/>
      <c r="P119" s="53"/>
      <c r="Q119" s="53"/>
      <c r="R119" s="53"/>
      <c r="S119" s="53"/>
      <c r="T119" s="53"/>
      <c r="U119" s="53"/>
      <c r="V119" s="53"/>
    </row>
    <row r="120" spans="1:22" s="15" customFormat="1" ht="14.25" x14ac:dyDescent="0.45">
      <c r="A120" s="21"/>
      <c r="B120" s="21"/>
      <c r="C120" s="21"/>
      <c r="D120" s="21"/>
      <c r="E120" s="21"/>
      <c r="F120" s="49">
        <v>40634</v>
      </c>
      <c r="G120" s="52">
        <v>97.5</v>
      </c>
      <c r="H120"/>
      <c r="I120"/>
      <c r="J120" s="37"/>
      <c r="K120" s="53">
        <v>9.5999999999999943</v>
      </c>
      <c r="L120" s="53"/>
      <c r="M120" s="53">
        <v>9.5999999999999943</v>
      </c>
      <c r="N120" s="53"/>
      <c r="O120" s="53"/>
      <c r="P120" s="53"/>
      <c r="Q120" s="53"/>
      <c r="R120" s="53"/>
      <c r="S120" s="53"/>
      <c r="T120" s="53"/>
      <c r="U120" s="53"/>
      <c r="V120" s="53"/>
    </row>
    <row r="121" spans="1:22" s="15" customFormat="1" ht="14.25" x14ac:dyDescent="0.45">
      <c r="A121" s="21"/>
      <c r="B121" s="21"/>
      <c r="C121" s="21"/>
      <c r="D121" s="21"/>
      <c r="E121" s="21"/>
      <c r="F121" s="49">
        <v>40664</v>
      </c>
      <c r="G121" s="52">
        <v>107.1</v>
      </c>
      <c r="H121"/>
      <c r="I121"/>
      <c r="J121" s="37"/>
      <c r="K121" s="53">
        <v>-4.2999999999999972</v>
      </c>
      <c r="L121" s="53"/>
      <c r="M121" s="53">
        <v>-4.2999999999999972</v>
      </c>
      <c r="N121" s="53"/>
      <c r="O121" s="53"/>
      <c r="P121" s="53"/>
      <c r="Q121" s="53"/>
      <c r="R121" s="53"/>
      <c r="S121" s="53"/>
      <c r="T121" s="53"/>
      <c r="U121" s="53"/>
      <c r="V121" s="53"/>
    </row>
    <row r="122" spans="1:22" s="15" customFormat="1" ht="14.25" x14ac:dyDescent="0.45">
      <c r="A122" s="21"/>
      <c r="B122" s="21"/>
      <c r="C122" s="21"/>
      <c r="D122" s="21"/>
      <c r="E122" s="21"/>
      <c r="F122" s="49">
        <v>40695</v>
      </c>
      <c r="G122" s="52">
        <v>102.8</v>
      </c>
      <c r="H122"/>
      <c r="I122"/>
      <c r="J122" s="37"/>
      <c r="K122" s="53">
        <v>3.2999999999999972</v>
      </c>
      <c r="L122" s="53"/>
      <c r="M122" s="53">
        <v>3.2999999999999972</v>
      </c>
      <c r="N122" s="53"/>
      <c r="O122" s="53"/>
      <c r="P122" s="53"/>
      <c r="Q122" s="53"/>
      <c r="R122" s="53"/>
      <c r="S122" s="53"/>
      <c r="T122" s="53"/>
      <c r="U122" s="53"/>
      <c r="V122" s="53"/>
    </row>
    <row r="123" spans="1:22" s="15" customFormat="1" ht="14.25" x14ac:dyDescent="0.45">
      <c r="A123" s="21"/>
      <c r="B123" s="21"/>
      <c r="C123" s="21"/>
      <c r="D123" s="21"/>
      <c r="E123" s="21"/>
      <c r="F123" s="49">
        <v>40725</v>
      </c>
      <c r="G123" s="52">
        <v>106.1</v>
      </c>
      <c r="H123"/>
      <c r="I123"/>
      <c r="J123" s="37"/>
      <c r="K123" s="53">
        <v>4.7000000000000028</v>
      </c>
      <c r="L123" s="53"/>
      <c r="M123" s="53">
        <v>4.7000000000000028</v>
      </c>
      <c r="N123" s="53"/>
      <c r="O123" s="53"/>
      <c r="P123" s="53"/>
      <c r="Q123" s="53"/>
      <c r="R123" s="53"/>
      <c r="S123" s="53"/>
      <c r="T123" s="53"/>
      <c r="U123" s="53"/>
      <c r="V123" s="53"/>
    </row>
    <row r="124" spans="1:22" s="15" customFormat="1" ht="14.25" x14ac:dyDescent="0.45">
      <c r="A124" s="21"/>
      <c r="B124" s="21"/>
      <c r="C124" s="21"/>
      <c r="D124" s="21"/>
      <c r="E124" s="21"/>
      <c r="F124" s="49">
        <v>40756</v>
      </c>
      <c r="G124" s="52">
        <v>110.8</v>
      </c>
      <c r="H124"/>
      <c r="I124"/>
      <c r="J124" s="37"/>
      <c r="K124" s="53">
        <v>-6</v>
      </c>
      <c r="L124" s="53"/>
      <c r="M124" s="53">
        <v>-6</v>
      </c>
      <c r="N124" s="53"/>
      <c r="O124" s="53"/>
      <c r="P124" s="53"/>
      <c r="Q124" s="53"/>
      <c r="R124" s="53"/>
      <c r="S124" s="53"/>
      <c r="T124" s="53"/>
      <c r="U124" s="53"/>
      <c r="V124" s="53"/>
    </row>
    <row r="125" spans="1:22" s="15" customFormat="1" ht="14.25" x14ac:dyDescent="0.45">
      <c r="A125" s="21"/>
      <c r="B125" s="21"/>
      <c r="C125" s="21"/>
      <c r="D125" s="21"/>
      <c r="E125" s="21"/>
      <c r="F125" s="49">
        <v>40787</v>
      </c>
      <c r="G125" s="52">
        <v>104.8</v>
      </c>
      <c r="H125"/>
      <c r="I125"/>
      <c r="J125" s="37"/>
      <c r="K125" s="53">
        <v>1.5</v>
      </c>
      <c r="L125" s="53"/>
      <c r="M125" s="53">
        <v>1.5</v>
      </c>
      <c r="N125" s="53"/>
      <c r="O125" s="53"/>
      <c r="P125" s="53"/>
      <c r="Q125" s="53"/>
      <c r="R125" s="53"/>
      <c r="S125" s="53"/>
      <c r="T125" s="53"/>
      <c r="U125" s="53"/>
      <c r="V125" s="53"/>
    </row>
    <row r="126" spans="1:22" s="15" customFormat="1" ht="14.25" x14ac:dyDescent="0.45">
      <c r="A126" s="21"/>
      <c r="B126" s="21"/>
      <c r="C126" s="21"/>
      <c r="D126" s="21"/>
      <c r="E126" s="21"/>
      <c r="F126" s="49">
        <v>40817</v>
      </c>
      <c r="G126" s="52">
        <v>106.3</v>
      </c>
      <c r="H126"/>
      <c r="I126"/>
      <c r="J126" s="37"/>
      <c r="K126" s="53">
        <v>-2.0999999999999943</v>
      </c>
      <c r="L126" s="53"/>
      <c r="M126" s="53">
        <v>-2.0999999999999943</v>
      </c>
      <c r="N126" s="53"/>
      <c r="O126" s="53"/>
      <c r="P126" s="53"/>
      <c r="Q126" s="53"/>
      <c r="R126" s="53"/>
      <c r="S126" s="53"/>
      <c r="T126" s="53"/>
      <c r="U126" s="53"/>
      <c r="V126" s="53"/>
    </row>
    <row r="127" spans="1:22" s="15" customFormat="1" ht="14.25" x14ac:dyDescent="0.45">
      <c r="A127" s="21"/>
      <c r="B127" s="21"/>
      <c r="C127" s="21"/>
      <c r="D127" s="21"/>
      <c r="E127" s="21"/>
      <c r="F127" s="49">
        <v>40848</v>
      </c>
      <c r="G127" s="52">
        <v>104.2</v>
      </c>
      <c r="H127"/>
      <c r="I127"/>
      <c r="J127" s="37"/>
      <c r="K127" s="53">
        <v>-8.5</v>
      </c>
      <c r="L127" s="53"/>
      <c r="M127" s="53">
        <v>-8.5</v>
      </c>
      <c r="N127" s="53"/>
      <c r="O127" s="53"/>
      <c r="P127" s="53"/>
      <c r="Q127" s="53"/>
      <c r="R127" s="53"/>
      <c r="S127" s="53"/>
      <c r="T127" s="53"/>
      <c r="U127" s="53"/>
      <c r="V127" s="53"/>
    </row>
    <row r="128" spans="1:22" s="15" customFormat="1" ht="14.25" x14ac:dyDescent="0.45">
      <c r="A128" s="21"/>
      <c r="B128" s="21"/>
      <c r="C128" s="21"/>
      <c r="D128" s="21"/>
      <c r="E128" s="21"/>
      <c r="F128" s="49">
        <v>40878</v>
      </c>
      <c r="G128" s="52">
        <v>95.7</v>
      </c>
      <c r="H128"/>
      <c r="I128"/>
      <c r="J128" s="37"/>
      <c r="K128" s="53">
        <v>-7</v>
      </c>
      <c r="L128" s="53"/>
      <c r="M128" s="53">
        <v>-7</v>
      </c>
      <c r="N128" s="53"/>
      <c r="O128" s="53"/>
      <c r="P128" s="53"/>
      <c r="Q128" s="53"/>
      <c r="R128" s="53"/>
      <c r="S128" s="53"/>
      <c r="T128" s="53"/>
      <c r="U128" s="53"/>
      <c r="V128" s="53"/>
    </row>
    <row r="129" spans="1:22" s="15" customFormat="1" ht="14.25" x14ac:dyDescent="0.45">
      <c r="A129" s="21"/>
      <c r="B129" s="21"/>
      <c r="C129" s="21"/>
      <c r="D129" s="21"/>
      <c r="E129" s="21"/>
      <c r="F129" s="49">
        <v>40909</v>
      </c>
      <c r="G129" s="52">
        <v>88.7</v>
      </c>
      <c r="H129"/>
      <c r="I129"/>
      <c r="J129" s="37"/>
      <c r="K129" s="53">
        <v>1.0999999999999943</v>
      </c>
      <c r="L129" s="53"/>
      <c r="M129" s="53">
        <v>1.0999999999999943</v>
      </c>
      <c r="N129" s="53"/>
      <c r="O129" s="53"/>
      <c r="P129" s="53"/>
      <c r="Q129" s="53"/>
      <c r="R129" s="53"/>
      <c r="S129" s="53"/>
      <c r="T129" s="53"/>
      <c r="U129" s="53"/>
      <c r="V129" s="53"/>
    </row>
    <row r="130" spans="1:22" s="15" customFormat="1" ht="14.25" x14ac:dyDescent="0.45">
      <c r="A130" s="21"/>
      <c r="B130" s="21"/>
      <c r="C130" s="21"/>
      <c r="D130" s="21"/>
      <c r="E130" s="21"/>
      <c r="F130" s="49">
        <v>40940</v>
      </c>
      <c r="G130" s="52">
        <v>89.8</v>
      </c>
      <c r="H130"/>
      <c r="I130"/>
      <c r="J130" s="37"/>
      <c r="K130" s="53">
        <v>9.9000000000000057</v>
      </c>
      <c r="L130" s="53"/>
      <c r="M130" s="53">
        <v>9.9000000000000057</v>
      </c>
      <c r="N130" s="53"/>
      <c r="O130" s="53"/>
      <c r="P130" s="53"/>
      <c r="Q130" s="53"/>
      <c r="R130" s="53"/>
      <c r="S130" s="53"/>
      <c r="T130" s="53"/>
      <c r="U130" s="53"/>
      <c r="V130" s="53"/>
    </row>
    <row r="131" spans="1:22" s="15" customFormat="1" ht="14.25" x14ac:dyDescent="0.45">
      <c r="A131" s="21"/>
      <c r="B131" s="21"/>
      <c r="C131" s="21"/>
      <c r="D131" s="21"/>
      <c r="E131" s="21"/>
      <c r="F131" s="49">
        <v>40969</v>
      </c>
      <c r="G131" s="52">
        <v>99.7</v>
      </c>
      <c r="H131"/>
      <c r="I131"/>
      <c r="J131" s="37"/>
      <c r="K131" s="53">
        <v>-6.9000000000000057</v>
      </c>
      <c r="L131" s="53"/>
      <c r="M131" s="53">
        <v>-6.9000000000000057</v>
      </c>
      <c r="N131" s="53"/>
      <c r="O131" s="53"/>
      <c r="P131" s="53"/>
      <c r="Q131" s="53"/>
      <c r="R131" s="53"/>
      <c r="S131" s="53"/>
      <c r="T131" s="53"/>
      <c r="U131" s="53"/>
      <c r="V131" s="53"/>
    </row>
    <row r="132" spans="1:22" s="15" customFormat="1" ht="14.25" x14ac:dyDescent="0.45">
      <c r="A132" s="21"/>
      <c r="B132" s="21"/>
      <c r="C132" s="21"/>
      <c r="D132" s="21"/>
      <c r="E132" s="21"/>
      <c r="F132" s="49">
        <v>41000</v>
      </c>
      <c r="G132" s="52">
        <v>92.8</v>
      </c>
      <c r="H132"/>
      <c r="I132"/>
      <c r="J132" s="37"/>
      <c r="K132" s="53">
        <v>9.7000000000000028</v>
      </c>
      <c r="L132" s="53"/>
      <c r="M132" s="53">
        <v>9.7000000000000028</v>
      </c>
      <c r="N132" s="53"/>
      <c r="O132" s="53"/>
      <c r="P132" s="53"/>
      <c r="Q132" s="53"/>
      <c r="R132" s="53"/>
      <c r="S132" s="53"/>
      <c r="T132" s="53"/>
      <c r="U132" s="53"/>
      <c r="V132" s="53"/>
    </row>
    <row r="133" spans="1:22" s="15" customFormat="1" ht="14.25" x14ac:dyDescent="0.45">
      <c r="A133" s="21"/>
      <c r="B133" s="21"/>
      <c r="C133" s="21"/>
      <c r="D133" s="21"/>
      <c r="E133" s="21"/>
      <c r="F133" s="49">
        <v>41030</v>
      </c>
      <c r="G133" s="52">
        <v>102.5</v>
      </c>
      <c r="H133"/>
      <c r="I133"/>
      <c r="J133" s="37"/>
      <c r="K133" s="53">
        <v>-4.2000000000000028</v>
      </c>
      <c r="L133" s="53"/>
      <c r="M133" s="53">
        <v>-4.2000000000000028</v>
      </c>
      <c r="N133" s="53"/>
      <c r="O133" s="53"/>
      <c r="P133" s="53"/>
      <c r="Q133" s="53"/>
      <c r="R133" s="53"/>
      <c r="S133" s="53"/>
      <c r="T133" s="53"/>
      <c r="U133" s="53"/>
      <c r="V133" s="53"/>
    </row>
    <row r="134" spans="1:22" s="15" customFormat="1" ht="14.25" x14ac:dyDescent="0.45">
      <c r="A134" s="21"/>
      <c r="B134" s="21"/>
      <c r="C134" s="21"/>
      <c r="D134" s="21"/>
      <c r="E134" s="21"/>
      <c r="F134" s="49">
        <v>41061</v>
      </c>
      <c r="G134" s="52">
        <v>98.3</v>
      </c>
      <c r="H134"/>
      <c r="I134"/>
      <c r="J134" s="37"/>
      <c r="K134" s="53">
        <v>6.2000000000000028</v>
      </c>
      <c r="L134" s="53"/>
      <c r="M134" s="53">
        <v>6.2000000000000028</v>
      </c>
      <c r="N134" s="53"/>
      <c r="O134" s="53"/>
      <c r="P134" s="53"/>
      <c r="Q134" s="53"/>
      <c r="R134" s="53"/>
      <c r="S134" s="53"/>
      <c r="T134" s="53"/>
      <c r="U134" s="53"/>
      <c r="V134" s="53"/>
    </row>
    <row r="135" spans="1:22" s="15" customFormat="1" ht="14.25" x14ac:dyDescent="0.45">
      <c r="A135" s="21"/>
      <c r="B135" s="21"/>
      <c r="C135" s="21"/>
      <c r="D135" s="21"/>
      <c r="E135" s="21"/>
      <c r="F135" s="49">
        <v>41091</v>
      </c>
      <c r="G135" s="52">
        <v>104.5</v>
      </c>
      <c r="H135"/>
      <c r="I135"/>
      <c r="J135" s="37"/>
      <c r="K135" s="53">
        <v>7</v>
      </c>
      <c r="L135" s="53"/>
      <c r="M135" s="53">
        <v>7</v>
      </c>
      <c r="N135" s="53"/>
      <c r="O135" s="53"/>
      <c r="P135" s="53"/>
      <c r="Q135" s="53"/>
      <c r="R135" s="53"/>
      <c r="S135" s="53"/>
      <c r="T135" s="53"/>
      <c r="U135" s="53"/>
      <c r="V135" s="53"/>
    </row>
    <row r="136" spans="1:22" s="15" customFormat="1" ht="14.25" x14ac:dyDescent="0.45">
      <c r="A136" s="21"/>
      <c r="B136" s="21"/>
      <c r="C136" s="21"/>
      <c r="D136" s="21"/>
      <c r="E136" s="21"/>
      <c r="F136" s="49">
        <v>41122</v>
      </c>
      <c r="G136" s="52">
        <v>111.5</v>
      </c>
      <c r="H136"/>
      <c r="I136"/>
      <c r="J136" s="37"/>
      <c r="K136" s="53">
        <v>-8.0999999999999943</v>
      </c>
      <c r="L136" s="53"/>
      <c r="M136" s="53">
        <v>-8.0999999999999943</v>
      </c>
      <c r="N136" s="53"/>
      <c r="O136" s="53"/>
      <c r="P136" s="53"/>
      <c r="Q136" s="53"/>
      <c r="R136" s="53"/>
      <c r="S136" s="53"/>
      <c r="T136" s="53"/>
      <c r="U136" s="53"/>
      <c r="V136" s="53"/>
    </row>
    <row r="137" spans="1:22" s="15" customFormat="1" ht="14.25" x14ac:dyDescent="0.45">
      <c r="A137" s="21"/>
      <c r="B137" s="21"/>
      <c r="C137" s="21"/>
      <c r="D137" s="21"/>
      <c r="E137" s="21"/>
      <c r="F137" s="49">
        <v>41153</v>
      </c>
      <c r="G137" s="52">
        <v>103.4</v>
      </c>
      <c r="H137"/>
      <c r="I137"/>
      <c r="J137" s="37"/>
      <c r="K137" s="53">
        <v>8.3999999999999915</v>
      </c>
      <c r="L137" s="53"/>
      <c r="M137" s="53">
        <v>8.3999999999999915</v>
      </c>
      <c r="N137" s="53"/>
      <c r="O137" s="53"/>
      <c r="P137" s="53"/>
      <c r="Q137" s="53"/>
      <c r="R137" s="53"/>
      <c r="S137" s="53"/>
      <c r="T137" s="53"/>
      <c r="U137" s="53"/>
      <c r="V137" s="53"/>
    </row>
    <row r="138" spans="1:22" s="15" customFormat="1" ht="14.25" x14ac:dyDescent="0.45">
      <c r="A138" s="21"/>
      <c r="B138" s="21"/>
      <c r="C138" s="21"/>
      <c r="D138" s="21"/>
      <c r="E138" s="21"/>
      <c r="F138" s="49">
        <v>41183</v>
      </c>
      <c r="G138" s="52">
        <v>111.8</v>
      </c>
      <c r="H138"/>
      <c r="I138"/>
      <c r="J138" s="37"/>
      <c r="K138" s="53">
        <v>-7</v>
      </c>
      <c r="L138" s="53"/>
      <c r="M138" s="53">
        <v>-7</v>
      </c>
      <c r="N138" s="53"/>
      <c r="O138" s="53"/>
      <c r="P138" s="53"/>
      <c r="Q138" s="53"/>
      <c r="R138" s="53"/>
      <c r="S138" s="53"/>
      <c r="T138" s="53"/>
      <c r="U138" s="53"/>
      <c r="V138" s="53"/>
    </row>
    <row r="139" spans="1:22" s="15" customFormat="1" ht="14.25" x14ac:dyDescent="0.45">
      <c r="A139" s="21"/>
      <c r="B139" s="21"/>
      <c r="C139" s="21"/>
      <c r="D139" s="21"/>
      <c r="E139" s="21"/>
      <c r="F139" s="49">
        <v>41214</v>
      </c>
      <c r="G139" s="52">
        <v>104.8</v>
      </c>
      <c r="H139"/>
      <c r="I139"/>
      <c r="J139" s="37"/>
      <c r="K139" s="53">
        <v>-12.599999999999994</v>
      </c>
      <c r="L139" s="53"/>
      <c r="M139" s="53">
        <v>-12.599999999999994</v>
      </c>
      <c r="N139" s="53"/>
      <c r="O139" s="53"/>
      <c r="P139" s="53"/>
      <c r="Q139" s="53"/>
      <c r="R139" s="53"/>
      <c r="S139" s="53"/>
      <c r="T139" s="53"/>
      <c r="U139" s="53"/>
      <c r="V139" s="53"/>
    </row>
    <row r="140" spans="1:22" s="15" customFormat="1" ht="14.25" x14ac:dyDescent="0.45">
      <c r="A140" s="21"/>
      <c r="B140" s="21"/>
      <c r="C140" s="21"/>
      <c r="D140" s="21"/>
      <c r="E140" s="21"/>
      <c r="F140" s="49">
        <v>41244</v>
      </c>
      <c r="G140" s="52">
        <v>92.2</v>
      </c>
      <c r="H140"/>
      <c r="I140"/>
      <c r="J140" s="37"/>
      <c r="K140" s="53">
        <v>2.2999999999999972</v>
      </c>
      <c r="L140" s="53"/>
      <c r="M140" s="53">
        <v>2.2999999999999972</v>
      </c>
      <c r="N140" s="53"/>
      <c r="O140" s="53"/>
      <c r="P140" s="53"/>
      <c r="Q140" s="53"/>
      <c r="R140" s="53"/>
      <c r="S140" s="53"/>
      <c r="T140" s="53"/>
      <c r="U140" s="53"/>
      <c r="V140" s="53"/>
    </row>
    <row r="141" spans="1:22" s="15" customFormat="1" ht="14.25" x14ac:dyDescent="0.45">
      <c r="A141" s="21"/>
      <c r="B141" s="21"/>
      <c r="C141" s="21"/>
      <c r="D141" s="21"/>
      <c r="E141" s="21"/>
      <c r="F141" s="49">
        <v>41275</v>
      </c>
      <c r="G141" s="52">
        <v>94.5</v>
      </c>
      <c r="H141"/>
      <c r="I141"/>
      <c r="J141" s="37"/>
      <c r="K141" s="53">
        <v>-6.4000000000000057</v>
      </c>
      <c r="L141" s="53"/>
      <c r="M141" s="53">
        <v>-6.4000000000000057</v>
      </c>
      <c r="N141" s="53"/>
      <c r="O141" s="53"/>
      <c r="P141" s="53"/>
      <c r="Q141" s="53"/>
      <c r="R141" s="53"/>
      <c r="S141" s="53"/>
      <c r="T141" s="53"/>
      <c r="U141" s="53"/>
      <c r="V141" s="53"/>
    </row>
    <row r="142" spans="1:22" s="15" customFormat="1" ht="14.25" x14ac:dyDescent="0.45">
      <c r="A142" s="21"/>
      <c r="B142" s="21"/>
      <c r="C142" s="21"/>
      <c r="D142" s="21"/>
      <c r="E142" s="21"/>
      <c r="F142" s="49">
        <v>41306</v>
      </c>
      <c r="G142" s="52">
        <v>88.1</v>
      </c>
      <c r="H142"/>
      <c r="I142"/>
      <c r="J142" s="37"/>
      <c r="K142" s="53">
        <v>9.6000000000000085</v>
      </c>
      <c r="L142" s="53"/>
      <c r="M142" s="53">
        <v>9.6000000000000085</v>
      </c>
      <c r="N142" s="53"/>
      <c r="O142" s="53"/>
      <c r="P142" s="53"/>
      <c r="Q142" s="53"/>
      <c r="R142" s="53"/>
      <c r="S142" s="53"/>
      <c r="T142" s="53"/>
      <c r="U142" s="53"/>
      <c r="V142" s="53"/>
    </row>
    <row r="143" spans="1:22" s="15" customFormat="1" ht="14.25" x14ac:dyDescent="0.45">
      <c r="A143" s="21"/>
      <c r="B143" s="21"/>
      <c r="C143" s="21"/>
      <c r="D143" s="21"/>
      <c r="E143" s="21"/>
      <c r="F143" s="49">
        <v>41334</v>
      </c>
      <c r="G143" s="52">
        <v>97.7</v>
      </c>
      <c r="H143"/>
      <c r="I143"/>
      <c r="J143" s="37"/>
      <c r="K143" s="53">
        <v>4.0999999999999943</v>
      </c>
      <c r="L143" s="53"/>
      <c r="M143" s="53">
        <v>4.0999999999999943</v>
      </c>
      <c r="N143" s="53"/>
      <c r="O143" s="53"/>
      <c r="P143" s="53"/>
      <c r="Q143" s="53"/>
      <c r="R143" s="53"/>
      <c r="S143" s="53"/>
      <c r="T143" s="53"/>
      <c r="U143" s="53"/>
      <c r="V143" s="53"/>
    </row>
    <row r="144" spans="1:22" s="15" customFormat="1" ht="14.25" x14ac:dyDescent="0.45">
      <c r="A144" s="21"/>
      <c r="B144" s="21"/>
      <c r="C144" s="21"/>
      <c r="D144" s="21"/>
      <c r="E144" s="21"/>
      <c r="F144" s="49">
        <v>41365</v>
      </c>
      <c r="G144" s="52">
        <v>101.8</v>
      </c>
      <c r="H144"/>
      <c r="I144"/>
      <c r="J144" s="37"/>
      <c r="K144" s="53">
        <v>3.2000000000000028</v>
      </c>
      <c r="L144" s="53"/>
      <c r="M144" s="53">
        <v>3.2000000000000028</v>
      </c>
      <c r="N144" s="53"/>
      <c r="O144" s="53"/>
      <c r="P144" s="53"/>
      <c r="Q144" s="53"/>
      <c r="R144" s="53"/>
      <c r="S144" s="53"/>
      <c r="T144" s="53"/>
      <c r="U144" s="53"/>
      <c r="V144" s="53"/>
    </row>
    <row r="145" spans="1:22" s="15" customFormat="1" ht="14.25" x14ac:dyDescent="0.45">
      <c r="A145" s="21"/>
      <c r="B145" s="21"/>
      <c r="C145" s="21"/>
      <c r="D145" s="21"/>
      <c r="E145" s="21"/>
      <c r="F145" s="49">
        <v>41395</v>
      </c>
      <c r="G145" s="52">
        <v>105</v>
      </c>
      <c r="H145"/>
      <c r="I145"/>
      <c r="J145" s="37"/>
      <c r="K145" s="53">
        <v>-3.2999999999999972</v>
      </c>
      <c r="L145" s="53"/>
      <c r="M145" s="53">
        <v>-3.2999999999999972</v>
      </c>
      <c r="N145" s="53"/>
      <c r="O145" s="53"/>
      <c r="P145" s="53"/>
      <c r="Q145" s="53"/>
      <c r="R145" s="53"/>
      <c r="S145" s="53"/>
      <c r="T145" s="53"/>
      <c r="U145" s="53"/>
      <c r="V145" s="53"/>
    </row>
    <row r="146" spans="1:22" s="15" customFormat="1" ht="14.25" x14ac:dyDescent="0.45">
      <c r="A146" s="21"/>
      <c r="B146" s="21"/>
      <c r="C146" s="21"/>
      <c r="D146" s="21"/>
      <c r="E146" s="21"/>
      <c r="F146" s="49">
        <v>41426</v>
      </c>
      <c r="G146" s="52">
        <v>101.7</v>
      </c>
      <c r="H146"/>
      <c r="I146"/>
      <c r="J146" s="37"/>
      <c r="K146" s="53">
        <v>6.2999999999999972</v>
      </c>
      <c r="L146" s="53"/>
      <c r="M146" s="53">
        <v>6.2999999999999972</v>
      </c>
      <c r="N146" s="53"/>
      <c r="O146" s="53"/>
      <c r="P146" s="53"/>
      <c r="Q146" s="53"/>
      <c r="R146" s="53"/>
      <c r="S146" s="53"/>
      <c r="T146" s="53"/>
      <c r="U146" s="53"/>
      <c r="V146" s="53"/>
    </row>
    <row r="147" spans="1:22" s="15" customFormat="1" ht="14.25" x14ac:dyDescent="0.45">
      <c r="A147" s="21"/>
      <c r="B147" s="21"/>
      <c r="C147" s="21"/>
      <c r="D147" s="21"/>
      <c r="E147" s="21"/>
      <c r="F147" s="49">
        <v>41456</v>
      </c>
      <c r="G147" s="52">
        <v>108</v>
      </c>
      <c r="H147"/>
      <c r="I147"/>
      <c r="J147" s="37"/>
      <c r="K147" s="53">
        <v>4</v>
      </c>
      <c r="L147" s="53"/>
      <c r="M147" s="53">
        <v>4</v>
      </c>
      <c r="N147" s="53"/>
      <c r="O147" s="53"/>
      <c r="P147" s="53"/>
      <c r="Q147" s="53"/>
      <c r="R147" s="53"/>
      <c r="S147" s="53"/>
      <c r="T147" s="53"/>
      <c r="U147" s="53"/>
      <c r="V147" s="53"/>
    </row>
    <row r="148" spans="1:22" s="15" customFormat="1" ht="14.25" x14ac:dyDescent="0.45">
      <c r="A148" s="21"/>
      <c r="B148" s="21"/>
      <c r="C148" s="21"/>
      <c r="D148" s="21"/>
      <c r="E148" s="21"/>
      <c r="F148" s="49">
        <v>41487</v>
      </c>
      <c r="G148" s="52">
        <v>112</v>
      </c>
      <c r="H148"/>
      <c r="I148"/>
      <c r="J148" s="37"/>
      <c r="K148" s="53">
        <v>-4.7000000000000028</v>
      </c>
      <c r="L148" s="53"/>
      <c r="M148" s="53">
        <v>-4.7000000000000028</v>
      </c>
      <c r="N148" s="53"/>
      <c r="O148" s="53"/>
      <c r="P148" s="53"/>
      <c r="Q148" s="53"/>
      <c r="R148" s="53"/>
      <c r="S148" s="53"/>
      <c r="T148" s="53"/>
      <c r="U148" s="53"/>
      <c r="V148" s="53"/>
    </row>
    <row r="149" spans="1:22" s="15" customFormat="1" ht="14.25" x14ac:dyDescent="0.45">
      <c r="A149" s="21"/>
      <c r="B149" s="21"/>
      <c r="C149" s="21"/>
      <c r="D149" s="21"/>
      <c r="E149" s="21"/>
      <c r="F149" s="49">
        <v>41518</v>
      </c>
      <c r="G149" s="52">
        <v>107.3</v>
      </c>
      <c r="H149"/>
      <c r="I149"/>
      <c r="J149" s="37"/>
      <c r="K149" s="53">
        <v>5.2999999999999972</v>
      </c>
      <c r="L149" s="53"/>
      <c r="M149" s="53">
        <v>5.2999999999999972</v>
      </c>
      <c r="N149" s="53"/>
      <c r="O149" s="53"/>
      <c r="P149" s="53"/>
      <c r="Q149" s="53"/>
      <c r="R149" s="53"/>
      <c r="S149" s="53"/>
      <c r="T149" s="53"/>
      <c r="U149" s="53"/>
      <c r="V149" s="53"/>
    </row>
    <row r="150" spans="1:22" s="15" customFormat="1" ht="14.25" x14ac:dyDescent="0.45">
      <c r="A150" s="21"/>
      <c r="B150" s="21"/>
      <c r="C150" s="21"/>
      <c r="D150" s="21"/>
      <c r="E150" s="21"/>
      <c r="F150" s="49">
        <v>41548</v>
      </c>
      <c r="G150" s="52">
        <v>112.6</v>
      </c>
      <c r="H150"/>
      <c r="I150"/>
      <c r="J150" s="37"/>
      <c r="K150" s="53">
        <v>-6.5</v>
      </c>
      <c r="L150" s="53"/>
      <c r="M150" s="53">
        <v>-6.5</v>
      </c>
      <c r="N150" s="53"/>
      <c r="O150" s="53"/>
      <c r="P150" s="53"/>
      <c r="Q150" s="53"/>
      <c r="R150" s="53"/>
      <c r="S150" s="53"/>
      <c r="T150" s="53"/>
      <c r="U150" s="53"/>
      <c r="V150" s="53"/>
    </row>
    <row r="151" spans="1:22" s="15" customFormat="1" ht="14.25" x14ac:dyDescent="0.45">
      <c r="A151" s="21"/>
      <c r="B151" s="21"/>
      <c r="C151" s="21"/>
      <c r="D151" s="21"/>
      <c r="E151" s="21"/>
      <c r="F151" s="49">
        <v>41579</v>
      </c>
      <c r="G151" s="52">
        <v>106.1</v>
      </c>
      <c r="H151"/>
      <c r="I151"/>
      <c r="J151" s="37"/>
      <c r="K151" s="53">
        <v>-16</v>
      </c>
      <c r="L151" s="53"/>
      <c r="M151" s="53">
        <v>-16</v>
      </c>
      <c r="N151" s="53"/>
      <c r="O151" s="53"/>
      <c r="P151" s="53"/>
      <c r="Q151" s="53"/>
      <c r="R151" s="53"/>
      <c r="S151" s="53"/>
      <c r="T151" s="53"/>
      <c r="U151" s="53"/>
      <c r="V151" s="53"/>
    </row>
    <row r="152" spans="1:22" s="15" customFormat="1" ht="14.25" x14ac:dyDescent="0.45">
      <c r="A152" s="21"/>
      <c r="B152" s="21"/>
      <c r="C152" s="21"/>
      <c r="D152" s="21"/>
      <c r="E152" s="21"/>
      <c r="F152" s="49">
        <v>41609</v>
      </c>
      <c r="G152" s="52">
        <v>90.1</v>
      </c>
      <c r="H152"/>
      <c r="I152"/>
      <c r="J152" s="37"/>
      <c r="K152" s="53">
        <v>2.5</v>
      </c>
      <c r="L152" s="53"/>
      <c r="M152" s="53">
        <v>2.5</v>
      </c>
      <c r="N152" s="53"/>
      <c r="O152" s="53"/>
      <c r="P152" s="53"/>
      <c r="Q152" s="53"/>
      <c r="R152" s="53"/>
      <c r="S152" s="53"/>
      <c r="T152" s="53"/>
      <c r="U152" s="53"/>
      <c r="V152" s="53"/>
    </row>
    <row r="153" spans="1:22" s="15" customFormat="1" ht="14.25" x14ac:dyDescent="0.45">
      <c r="A153" s="21"/>
      <c r="B153" s="21"/>
      <c r="C153" s="21"/>
      <c r="D153" s="21"/>
      <c r="E153" s="21"/>
      <c r="F153" s="49">
        <v>41640</v>
      </c>
      <c r="G153" s="52">
        <v>92.6</v>
      </c>
      <c r="H153"/>
      <c r="I153"/>
      <c r="J153" s="37"/>
      <c r="K153" s="53">
        <v>-0.29999999999999716</v>
      </c>
      <c r="L153" s="53"/>
      <c r="M153" s="53">
        <v>-0.29999999999999716</v>
      </c>
      <c r="N153" s="53"/>
      <c r="O153" s="53"/>
      <c r="P153" s="53"/>
      <c r="Q153" s="53"/>
      <c r="R153" s="53"/>
      <c r="S153" s="53"/>
      <c r="T153" s="53"/>
      <c r="U153" s="53"/>
      <c r="V153" s="53"/>
    </row>
    <row r="154" spans="1:22" s="15" customFormat="1" ht="14.25" x14ac:dyDescent="0.45">
      <c r="A154" s="21"/>
      <c r="B154" s="21"/>
      <c r="C154" s="21"/>
      <c r="D154" s="21"/>
      <c r="E154" s="21"/>
      <c r="F154" s="49">
        <v>41671</v>
      </c>
      <c r="G154" s="52">
        <v>92.3</v>
      </c>
      <c r="H154"/>
      <c r="I154"/>
      <c r="J154" s="37"/>
      <c r="K154" s="53">
        <v>5</v>
      </c>
      <c r="L154" s="53"/>
      <c r="M154" s="53">
        <v>5</v>
      </c>
      <c r="N154" s="53"/>
      <c r="O154" s="53"/>
      <c r="P154" s="53"/>
      <c r="Q154" s="53"/>
      <c r="R154" s="53"/>
      <c r="S154" s="53"/>
      <c r="T154" s="53"/>
      <c r="U154" s="53"/>
      <c r="V154" s="53"/>
    </row>
    <row r="155" spans="1:22" s="15" customFormat="1" ht="14.25" x14ac:dyDescent="0.45">
      <c r="A155" s="21"/>
      <c r="B155" s="21"/>
      <c r="C155" s="21"/>
      <c r="D155" s="21"/>
      <c r="E155" s="21"/>
      <c r="F155" s="49">
        <v>41699</v>
      </c>
      <c r="G155" s="52">
        <v>97.3</v>
      </c>
      <c r="H155"/>
      <c r="I155"/>
      <c r="J155" s="37"/>
      <c r="K155" s="53">
        <v>-1.2999999999999972</v>
      </c>
      <c r="L155" s="53"/>
      <c r="M155" s="53">
        <v>-1.2999999999999972</v>
      </c>
      <c r="N155" s="53"/>
      <c r="O155" s="53"/>
      <c r="P155" s="53"/>
      <c r="Q155" s="53"/>
      <c r="R155" s="53"/>
      <c r="S155" s="53"/>
      <c r="T155" s="53"/>
      <c r="U155" s="53"/>
      <c r="V155" s="53"/>
    </row>
    <row r="156" spans="1:22" s="15" customFormat="1" ht="14.25" x14ac:dyDescent="0.45">
      <c r="A156" s="21"/>
      <c r="B156" s="21"/>
      <c r="C156" s="21"/>
      <c r="D156" s="21"/>
      <c r="E156" s="21"/>
      <c r="F156" s="49">
        <v>41730</v>
      </c>
      <c r="G156" s="52">
        <v>96</v>
      </c>
      <c r="H156"/>
      <c r="I156"/>
      <c r="J156" s="37"/>
      <c r="K156" s="53">
        <v>5.7000000000000028</v>
      </c>
      <c r="L156" s="53"/>
      <c r="M156" s="53">
        <v>5.7000000000000028</v>
      </c>
      <c r="N156" s="53"/>
      <c r="O156" s="53"/>
      <c r="P156" s="53"/>
      <c r="Q156" s="53"/>
      <c r="R156" s="53"/>
      <c r="S156" s="53"/>
      <c r="T156" s="53"/>
      <c r="U156" s="53"/>
      <c r="V156" s="53"/>
    </row>
    <row r="157" spans="1:22" s="15" customFormat="1" ht="14.25" x14ac:dyDescent="0.45">
      <c r="A157" s="21"/>
      <c r="B157" s="21"/>
      <c r="C157" s="21"/>
      <c r="D157" s="21"/>
      <c r="E157" s="21"/>
      <c r="F157" s="49">
        <v>41760</v>
      </c>
      <c r="G157" s="52">
        <v>101.7</v>
      </c>
      <c r="H157"/>
      <c r="I157"/>
      <c r="J157" s="37"/>
      <c r="K157" s="53">
        <v>-6.7999999999999972</v>
      </c>
      <c r="L157" s="53"/>
      <c r="M157" s="53">
        <v>-6.7999999999999972</v>
      </c>
      <c r="N157" s="53"/>
      <c r="O157" s="53"/>
      <c r="P157" s="53"/>
      <c r="Q157" s="53"/>
      <c r="R157" s="53"/>
      <c r="S157" s="53"/>
      <c r="T157" s="53"/>
      <c r="U157" s="53"/>
      <c r="V157" s="53"/>
    </row>
    <row r="158" spans="1:22" s="15" customFormat="1" ht="14.25" x14ac:dyDescent="0.45">
      <c r="A158" s="21"/>
      <c r="B158" s="21"/>
      <c r="C158" s="21"/>
      <c r="D158" s="21"/>
      <c r="E158" s="21"/>
      <c r="F158" s="49">
        <v>41791</v>
      </c>
      <c r="G158" s="52">
        <v>94.9</v>
      </c>
      <c r="H158"/>
      <c r="I158"/>
      <c r="J158" s="37"/>
      <c r="K158" s="53">
        <v>9.5</v>
      </c>
      <c r="L158" s="53"/>
      <c r="M158" s="53">
        <v>9.5</v>
      </c>
      <c r="N158" s="53"/>
      <c r="O158" s="53"/>
      <c r="P158" s="53"/>
      <c r="Q158" s="53"/>
      <c r="R158" s="53"/>
      <c r="S158" s="53"/>
      <c r="T158" s="53"/>
      <c r="U158" s="53"/>
      <c r="V158" s="53"/>
    </row>
    <row r="159" spans="1:22" s="15" customFormat="1" ht="14.25" x14ac:dyDescent="0.45">
      <c r="A159" s="21"/>
      <c r="B159" s="21"/>
      <c r="C159" s="21"/>
      <c r="D159" s="21"/>
      <c r="E159" s="21"/>
      <c r="F159" s="49">
        <v>41821</v>
      </c>
      <c r="G159" s="52">
        <v>104.4</v>
      </c>
      <c r="H159"/>
      <c r="I159"/>
      <c r="J159" s="37"/>
      <c r="K159" s="53">
        <v>1.8999999999999915</v>
      </c>
      <c r="L159" s="53"/>
      <c r="M159" s="53">
        <v>1.8999999999999915</v>
      </c>
      <c r="N159" s="53"/>
      <c r="O159" s="53"/>
      <c r="P159" s="53"/>
      <c r="Q159" s="53"/>
      <c r="R159" s="53"/>
      <c r="S159" s="53"/>
      <c r="T159" s="53"/>
      <c r="U159" s="53"/>
      <c r="V159" s="53"/>
    </row>
    <row r="160" spans="1:22" s="15" customFormat="1" ht="14.25" x14ac:dyDescent="0.45">
      <c r="A160" s="21"/>
      <c r="B160" s="21"/>
      <c r="C160" s="21"/>
      <c r="D160" s="21"/>
      <c r="E160" s="21"/>
      <c r="F160" s="49">
        <v>41852</v>
      </c>
      <c r="G160" s="52">
        <v>106.3</v>
      </c>
      <c r="H160"/>
      <c r="I160"/>
      <c r="J160" s="37"/>
      <c r="K160" s="53">
        <v>-0.70000000000000284</v>
      </c>
      <c r="L160" s="53"/>
      <c r="M160" s="53">
        <v>-0.70000000000000284</v>
      </c>
      <c r="N160" s="53"/>
      <c r="O160" s="53"/>
      <c r="P160" s="53"/>
      <c r="Q160" s="53"/>
      <c r="R160" s="53"/>
      <c r="S160" s="53"/>
      <c r="T160" s="53"/>
      <c r="U160" s="53"/>
      <c r="V160" s="53"/>
    </row>
    <row r="161" spans="1:22" s="15" customFormat="1" ht="14.25" x14ac:dyDescent="0.45">
      <c r="A161" s="21"/>
      <c r="B161" s="21"/>
      <c r="C161" s="21"/>
      <c r="D161" s="21"/>
      <c r="E161" s="21"/>
      <c r="F161" s="49">
        <v>41883</v>
      </c>
      <c r="G161" s="52">
        <v>105.6</v>
      </c>
      <c r="H161"/>
      <c r="I161"/>
      <c r="J161" s="37"/>
      <c r="K161" s="53">
        <v>3.7000000000000028</v>
      </c>
      <c r="L161" s="53"/>
      <c r="M161" s="53">
        <v>3.7000000000000028</v>
      </c>
      <c r="N161" s="53"/>
      <c r="O161" s="53"/>
      <c r="P161" s="53"/>
      <c r="Q161" s="53"/>
      <c r="R161" s="53"/>
      <c r="S161" s="53"/>
      <c r="T161" s="53"/>
      <c r="U161" s="53"/>
      <c r="V161" s="53"/>
    </row>
    <row r="162" spans="1:22" s="15" customFormat="1" ht="14.25" x14ac:dyDescent="0.45">
      <c r="A162" s="21"/>
      <c r="B162" s="21"/>
      <c r="C162" s="21"/>
      <c r="D162" s="21"/>
      <c r="E162" s="21"/>
      <c r="F162" s="49">
        <v>41913</v>
      </c>
      <c r="G162" s="52">
        <v>109.3</v>
      </c>
      <c r="H162"/>
      <c r="I162"/>
      <c r="J162" s="37"/>
      <c r="K162" s="53">
        <v>-9.5</v>
      </c>
      <c r="L162" s="53"/>
      <c r="M162" s="53">
        <v>-9.5</v>
      </c>
      <c r="N162" s="53"/>
      <c r="O162" s="53"/>
      <c r="P162" s="53"/>
      <c r="Q162" s="53"/>
      <c r="R162" s="53"/>
      <c r="S162" s="53"/>
      <c r="T162" s="53"/>
      <c r="U162" s="53"/>
      <c r="V162" s="53"/>
    </row>
    <row r="163" spans="1:22" s="15" customFormat="1" ht="14.25" x14ac:dyDescent="0.45">
      <c r="A163" s="21"/>
      <c r="B163" s="21"/>
      <c r="C163" s="21"/>
      <c r="D163" s="21"/>
      <c r="E163" s="21"/>
      <c r="F163" s="49">
        <v>41944</v>
      </c>
      <c r="G163" s="52">
        <v>99.8</v>
      </c>
      <c r="H163"/>
      <c r="I163"/>
      <c r="J163" s="37"/>
      <c r="K163" s="53">
        <v>-12.099999999999994</v>
      </c>
      <c r="L163" s="53"/>
      <c r="M163" s="53">
        <v>-12.099999999999994</v>
      </c>
      <c r="N163" s="53"/>
      <c r="O163" s="53"/>
      <c r="P163" s="53"/>
      <c r="Q163" s="53"/>
      <c r="R163" s="53"/>
      <c r="S163" s="53"/>
      <c r="T163" s="53"/>
      <c r="U163" s="53"/>
      <c r="V163" s="53"/>
    </row>
    <row r="164" spans="1:22" s="15" customFormat="1" ht="14.25" x14ac:dyDescent="0.45">
      <c r="A164" s="21"/>
      <c r="B164" s="21"/>
      <c r="C164" s="21"/>
      <c r="D164" s="21"/>
      <c r="E164" s="21"/>
      <c r="F164" s="49">
        <v>41974</v>
      </c>
      <c r="G164" s="52">
        <v>87.7</v>
      </c>
      <c r="H164"/>
      <c r="I164"/>
      <c r="J164" s="37"/>
      <c r="K164" s="53">
        <v>0.39999999999999147</v>
      </c>
      <c r="L164" s="53"/>
      <c r="M164" s="53">
        <v>0.39999999999999147</v>
      </c>
      <c r="N164" s="53"/>
      <c r="O164" s="53"/>
      <c r="P164" s="53"/>
      <c r="Q164" s="53"/>
      <c r="R164" s="53"/>
      <c r="S164" s="53"/>
      <c r="T164" s="53"/>
      <c r="U164" s="53"/>
      <c r="V164" s="53"/>
    </row>
    <row r="165" spans="1:22" s="15" customFormat="1" ht="14.25" x14ac:dyDescent="0.45">
      <c r="A165" s="21"/>
      <c r="B165" s="21"/>
      <c r="C165" s="21"/>
      <c r="D165" s="21"/>
      <c r="E165" s="21"/>
      <c r="F165" s="49">
        <v>42005</v>
      </c>
      <c r="G165" s="52">
        <v>88.1</v>
      </c>
      <c r="H165"/>
      <c r="I165"/>
      <c r="J165" s="37"/>
      <c r="K165" s="53">
        <v>-4.3999999999999915</v>
      </c>
      <c r="L165" s="53"/>
      <c r="M165" s="53">
        <v>-4.3999999999999915</v>
      </c>
      <c r="N165" s="53"/>
      <c r="O165" s="53"/>
      <c r="P165" s="53"/>
      <c r="Q165" s="53"/>
      <c r="R165" s="53"/>
      <c r="S165" s="53"/>
      <c r="T165" s="53"/>
      <c r="U165" s="53"/>
      <c r="V165" s="53"/>
    </row>
    <row r="166" spans="1:22" s="15" customFormat="1" ht="14.25" x14ac:dyDescent="0.45">
      <c r="A166" s="21"/>
      <c r="B166" s="21"/>
      <c r="C166" s="21"/>
      <c r="D166" s="21"/>
      <c r="E166" s="21"/>
      <c r="F166" s="49">
        <v>42036</v>
      </c>
      <c r="G166" s="52">
        <v>83.7</v>
      </c>
      <c r="H166"/>
      <c r="I166"/>
      <c r="J166" s="37"/>
      <c r="K166" s="53">
        <v>10.599999999999994</v>
      </c>
      <c r="L166" s="53"/>
      <c r="M166" s="53">
        <v>10.599999999999994</v>
      </c>
      <c r="N166" s="53"/>
      <c r="O166" s="53"/>
      <c r="P166" s="53"/>
      <c r="Q166" s="53"/>
      <c r="R166" s="53"/>
      <c r="S166" s="53"/>
      <c r="T166" s="53"/>
      <c r="U166" s="53"/>
      <c r="V166" s="53"/>
    </row>
    <row r="167" spans="1:22" s="15" customFormat="1" ht="14.25" x14ac:dyDescent="0.45">
      <c r="A167" s="21"/>
      <c r="B167" s="21"/>
      <c r="C167" s="21"/>
      <c r="D167" s="21"/>
      <c r="E167" s="21"/>
      <c r="F167" s="49">
        <v>42064</v>
      </c>
      <c r="G167" s="52">
        <v>94.3</v>
      </c>
      <c r="H167"/>
      <c r="I167"/>
      <c r="J167" s="37"/>
      <c r="K167" s="53">
        <v>-5.5</v>
      </c>
      <c r="L167" s="53"/>
      <c r="M167" s="53">
        <v>-5.5</v>
      </c>
      <c r="N167" s="53"/>
      <c r="O167" s="53"/>
      <c r="P167" s="53"/>
      <c r="Q167" s="53"/>
      <c r="R167" s="53"/>
      <c r="S167" s="53"/>
      <c r="T167" s="53"/>
      <c r="U167" s="53"/>
      <c r="V167" s="53"/>
    </row>
    <row r="168" spans="1:22" s="15" customFormat="1" ht="14.25" x14ac:dyDescent="0.45">
      <c r="A168" s="21"/>
      <c r="B168" s="21"/>
      <c r="C168" s="21"/>
      <c r="D168" s="21"/>
      <c r="E168" s="21"/>
      <c r="F168" s="49">
        <v>42095</v>
      </c>
      <c r="G168" s="52">
        <v>88.8</v>
      </c>
      <c r="H168"/>
      <c r="I168"/>
      <c r="J168" s="37"/>
      <c r="K168" s="53">
        <v>4.2999999999999972</v>
      </c>
      <c r="L168" s="53"/>
      <c r="M168" s="53">
        <v>4.2999999999999972</v>
      </c>
      <c r="N168" s="53"/>
      <c r="O168" s="53"/>
      <c r="P168" s="53"/>
      <c r="Q168" s="53"/>
      <c r="R168" s="53"/>
      <c r="S168" s="53"/>
      <c r="T168" s="53"/>
      <c r="U168" s="53"/>
      <c r="V168" s="53"/>
    </row>
    <row r="169" spans="1:22" s="15" customFormat="1" ht="14.25" x14ac:dyDescent="0.45">
      <c r="A169" s="21"/>
      <c r="B169" s="21"/>
      <c r="C169" s="21"/>
      <c r="D169" s="21"/>
      <c r="E169" s="21"/>
      <c r="F169" s="49">
        <v>42125</v>
      </c>
      <c r="G169" s="52">
        <v>93.1</v>
      </c>
      <c r="H169"/>
      <c r="I169"/>
      <c r="J169" s="37"/>
      <c r="K169" s="53">
        <v>-0.59999999999999432</v>
      </c>
      <c r="L169" s="53"/>
      <c r="M169" s="53">
        <v>-0.59999999999999432</v>
      </c>
      <c r="N169" s="53"/>
      <c r="O169" s="53"/>
      <c r="P169" s="53"/>
      <c r="Q169" s="53"/>
      <c r="R169" s="53"/>
      <c r="S169" s="53"/>
      <c r="T169" s="53"/>
      <c r="U169" s="53"/>
      <c r="V169" s="53"/>
    </row>
    <row r="170" spans="1:22" s="15" customFormat="1" ht="14.25" x14ac:dyDescent="0.45">
      <c r="A170" s="21"/>
      <c r="B170" s="21"/>
      <c r="C170" s="21"/>
      <c r="D170" s="21"/>
      <c r="E170" s="21"/>
      <c r="F170" s="49">
        <v>42156</v>
      </c>
      <c r="G170" s="52">
        <v>92.5</v>
      </c>
      <c r="H170"/>
      <c r="I170"/>
      <c r="J170" s="37"/>
      <c r="K170" s="53">
        <v>3</v>
      </c>
      <c r="L170" s="53"/>
      <c r="M170" s="53">
        <v>3</v>
      </c>
      <c r="N170" s="53"/>
      <c r="O170" s="53"/>
      <c r="P170" s="53"/>
      <c r="Q170" s="53"/>
      <c r="R170" s="53"/>
      <c r="S170" s="53"/>
      <c r="T170" s="53"/>
      <c r="U170" s="53"/>
      <c r="V170" s="53"/>
    </row>
    <row r="171" spans="1:22" s="15" customFormat="1" ht="14.25" x14ac:dyDescent="0.45">
      <c r="A171" s="21"/>
      <c r="B171" s="21"/>
      <c r="C171" s="21"/>
      <c r="D171" s="21"/>
      <c r="E171" s="21"/>
      <c r="F171" s="49">
        <v>42186</v>
      </c>
      <c r="G171" s="52">
        <v>95.5</v>
      </c>
      <c r="H171"/>
      <c r="I171"/>
      <c r="J171" s="37"/>
      <c r="K171" s="53">
        <v>2.0999999999999943</v>
      </c>
      <c r="L171" s="53"/>
      <c r="M171" s="53">
        <v>2.0999999999999943</v>
      </c>
      <c r="N171" s="53"/>
      <c r="O171" s="53"/>
      <c r="P171" s="53"/>
      <c r="Q171" s="53"/>
      <c r="R171" s="53"/>
      <c r="S171" s="53"/>
      <c r="T171" s="53"/>
      <c r="U171" s="53"/>
      <c r="V171" s="53"/>
    </row>
    <row r="172" spans="1:22" s="15" customFormat="1" ht="14.25" x14ac:dyDescent="0.45">
      <c r="A172" s="21"/>
      <c r="B172" s="21"/>
      <c r="C172" s="21"/>
      <c r="D172" s="21"/>
      <c r="E172" s="21"/>
      <c r="F172" s="49">
        <v>42217</v>
      </c>
      <c r="G172" s="52">
        <v>97.6</v>
      </c>
      <c r="H172"/>
      <c r="I172"/>
      <c r="J172" s="37"/>
      <c r="K172" s="53">
        <v>-3.2999999999999972</v>
      </c>
      <c r="L172" s="53"/>
      <c r="M172" s="53">
        <v>-3.2999999999999972</v>
      </c>
      <c r="N172" s="53"/>
      <c r="O172" s="53"/>
      <c r="P172" s="53"/>
      <c r="Q172" s="53"/>
      <c r="R172" s="53"/>
      <c r="S172" s="53"/>
      <c r="T172" s="53"/>
      <c r="U172" s="53"/>
      <c r="V172" s="53"/>
    </row>
    <row r="173" spans="1:22" s="15" customFormat="1" ht="14.25" x14ac:dyDescent="0.45">
      <c r="A173" s="21"/>
      <c r="B173" s="21"/>
      <c r="C173" s="21"/>
      <c r="D173" s="21"/>
      <c r="E173" s="21"/>
      <c r="F173" s="49">
        <v>42248</v>
      </c>
      <c r="G173" s="52">
        <v>94.3</v>
      </c>
      <c r="H173"/>
      <c r="I173"/>
      <c r="J173" s="37"/>
      <c r="K173" s="53">
        <v>2.9000000000000057</v>
      </c>
      <c r="L173" s="53"/>
      <c r="M173" s="53">
        <v>2.9000000000000057</v>
      </c>
      <c r="N173" s="53"/>
      <c r="O173" s="53"/>
      <c r="P173" s="53"/>
      <c r="Q173" s="53"/>
      <c r="R173" s="53"/>
      <c r="S173" s="53"/>
      <c r="T173" s="53"/>
      <c r="U173" s="53"/>
      <c r="V173" s="53"/>
    </row>
    <row r="174" spans="1:22" s="15" customFormat="1" ht="14.25" x14ac:dyDescent="0.45">
      <c r="A174" s="21"/>
      <c r="B174" s="21"/>
      <c r="C174" s="21"/>
      <c r="D174" s="21"/>
      <c r="E174" s="21"/>
      <c r="F174" s="49">
        <v>42278</v>
      </c>
      <c r="G174" s="52">
        <v>97.2</v>
      </c>
      <c r="H174"/>
      <c r="I174"/>
      <c r="J174" s="37"/>
      <c r="K174" s="53">
        <v>-9.6000000000000085</v>
      </c>
      <c r="L174" s="53"/>
      <c r="M174" s="53">
        <v>-9.6000000000000085</v>
      </c>
      <c r="N174" s="53"/>
      <c r="O174" s="53"/>
      <c r="P174" s="53"/>
      <c r="Q174" s="53"/>
      <c r="R174" s="53"/>
      <c r="S174" s="53"/>
      <c r="T174" s="53"/>
      <c r="U174" s="53"/>
      <c r="V174" s="53"/>
    </row>
    <row r="175" spans="1:22" s="15" customFormat="1" ht="14.25" x14ac:dyDescent="0.45">
      <c r="A175" s="21"/>
      <c r="B175" s="21"/>
      <c r="C175" s="21"/>
      <c r="D175" s="21"/>
      <c r="E175" s="21"/>
      <c r="F175" s="49">
        <v>42309</v>
      </c>
      <c r="G175" s="52">
        <v>87.6</v>
      </c>
      <c r="H175"/>
      <c r="I175"/>
      <c r="J175" s="37"/>
      <c r="K175" s="53">
        <v>-10.399999999999991</v>
      </c>
      <c r="L175" s="53"/>
      <c r="M175" s="53">
        <v>-10.399999999999991</v>
      </c>
      <c r="N175" s="53"/>
      <c r="O175" s="53"/>
      <c r="P175" s="53"/>
      <c r="Q175" s="53"/>
      <c r="R175" s="53"/>
      <c r="S175" s="53"/>
      <c r="T175" s="53"/>
      <c r="U175" s="53"/>
      <c r="V175" s="53"/>
    </row>
    <row r="176" spans="1:22" s="15" customFormat="1" ht="14.25" x14ac:dyDescent="0.45">
      <c r="A176" s="21"/>
      <c r="B176" s="21"/>
      <c r="C176" s="21"/>
      <c r="D176" s="21"/>
      <c r="E176" s="21"/>
      <c r="F176" s="49">
        <v>42339</v>
      </c>
      <c r="G176" s="52">
        <v>77.2</v>
      </c>
      <c r="H176"/>
      <c r="I176"/>
      <c r="J176" s="37"/>
      <c r="K176" s="53">
        <v>-0.90000000000000568</v>
      </c>
      <c r="L176" s="53"/>
      <c r="M176" s="53">
        <v>-0.90000000000000568</v>
      </c>
      <c r="N176" s="53"/>
      <c r="O176" s="53"/>
      <c r="P176" s="53"/>
      <c r="Q176" s="53"/>
      <c r="R176" s="53"/>
      <c r="S176" s="53"/>
      <c r="T176" s="53"/>
      <c r="U176" s="53"/>
      <c r="V176" s="53"/>
    </row>
    <row r="177" spans="1:22" s="15" customFormat="1" ht="14.25" x14ac:dyDescent="0.45">
      <c r="A177" s="21"/>
      <c r="B177" s="21"/>
      <c r="C177" s="21"/>
      <c r="D177" s="21"/>
      <c r="E177" s="21"/>
      <c r="F177" s="49">
        <v>42370</v>
      </c>
      <c r="G177" s="52">
        <v>76.3</v>
      </c>
      <c r="H177"/>
      <c r="I177"/>
      <c r="J177" s="37"/>
      <c r="K177" s="53">
        <v>-0.5</v>
      </c>
      <c r="L177" s="53"/>
      <c r="M177" s="53">
        <v>-0.5</v>
      </c>
      <c r="N177" s="53"/>
      <c r="O177" s="53"/>
      <c r="P177" s="53"/>
      <c r="Q177" s="53"/>
      <c r="R177" s="53"/>
      <c r="S177" s="53"/>
      <c r="T177" s="53"/>
      <c r="U177" s="53"/>
      <c r="V177" s="53"/>
    </row>
    <row r="178" spans="1:22" s="15" customFormat="1" ht="14.25" x14ac:dyDescent="0.45">
      <c r="A178" s="21"/>
      <c r="B178" s="21"/>
      <c r="C178" s="21"/>
      <c r="D178" s="21"/>
      <c r="E178" s="21"/>
      <c r="F178" s="49">
        <v>42401</v>
      </c>
      <c r="G178" s="52">
        <v>75.8</v>
      </c>
      <c r="H178"/>
      <c r="I178"/>
      <c r="J178" s="37"/>
      <c r="K178" s="53">
        <v>7.9000000000000057</v>
      </c>
      <c r="L178" s="53"/>
      <c r="M178" s="53">
        <v>7.9000000000000057</v>
      </c>
      <c r="N178" s="53"/>
      <c r="O178" s="53"/>
      <c r="P178" s="53"/>
      <c r="Q178" s="53"/>
      <c r="R178" s="53"/>
      <c r="S178" s="53"/>
      <c r="T178" s="53"/>
      <c r="U178" s="53"/>
      <c r="V178" s="53"/>
    </row>
    <row r="179" spans="1:22" s="15" customFormat="1" ht="14.25" x14ac:dyDescent="0.45">
      <c r="A179" s="21"/>
      <c r="B179" s="21"/>
      <c r="C179" s="21"/>
      <c r="D179" s="21"/>
      <c r="E179" s="21"/>
      <c r="F179" s="49">
        <v>42430</v>
      </c>
      <c r="G179" s="52">
        <v>83.7</v>
      </c>
      <c r="H179"/>
      <c r="I179"/>
      <c r="J179" s="37"/>
      <c r="K179" s="53">
        <v>-0.70000000000000284</v>
      </c>
      <c r="L179" s="53"/>
      <c r="M179" s="53">
        <v>-0.70000000000000284</v>
      </c>
      <c r="N179" s="53"/>
      <c r="O179" s="53"/>
      <c r="P179" s="53"/>
      <c r="Q179" s="53"/>
      <c r="R179" s="53"/>
      <c r="S179" s="53"/>
      <c r="T179" s="53"/>
      <c r="U179" s="53"/>
      <c r="V179" s="53"/>
    </row>
    <row r="180" spans="1:22" s="15" customFormat="1" ht="14.25" x14ac:dyDescent="0.45">
      <c r="A180" s="21"/>
      <c r="B180" s="21"/>
      <c r="C180" s="21"/>
      <c r="D180" s="21"/>
      <c r="E180" s="21"/>
      <c r="F180" s="49">
        <v>42461</v>
      </c>
      <c r="G180" s="52">
        <v>83</v>
      </c>
      <c r="H180"/>
      <c r="I180"/>
      <c r="J180" s="37"/>
      <c r="K180" s="53">
        <v>3.2999999999999972</v>
      </c>
      <c r="L180" s="53"/>
      <c r="M180" s="53">
        <v>3.2999999999999972</v>
      </c>
      <c r="N180" s="53"/>
      <c r="O180" s="53"/>
      <c r="P180" s="53"/>
      <c r="Q180" s="53"/>
      <c r="R180" s="53"/>
      <c r="S180" s="53"/>
      <c r="T180" s="53"/>
      <c r="U180" s="53"/>
      <c r="V180" s="53"/>
    </row>
    <row r="181" spans="1:22" s="15" customFormat="1" ht="14.25" x14ac:dyDescent="0.45">
      <c r="A181" s="21"/>
      <c r="B181" s="21"/>
      <c r="C181" s="21"/>
      <c r="D181" s="21"/>
      <c r="E181" s="21"/>
      <c r="F181" s="49">
        <v>42491</v>
      </c>
      <c r="G181" s="52">
        <v>86.3</v>
      </c>
      <c r="H181"/>
      <c r="I181"/>
      <c r="J181" s="37"/>
      <c r="K181" s="53">
        <v>1.4000000000000057</v>
      </c>
      <c r="L181" s="53"/>
      <c r="M181" s="53">
        <v>1.4000000000000057</v>
      </c>
      <c r="N181" s="53"/>
      <c r="O181" s="53"/>
      <c r="P181" s="53"/>
      <c r="Q181" s="53"/>
      <c r="R181" s="53"/>
      <c r="S181" s="53"/>
      <c r="T181" s="53"/>
      <c r="U181" s="53"/>
      <c r="V181" s="53"/>
    </row>
    <row r="182" spans="1:22" s="15" customFormat="1" ht="14.25" x14ac:dyDescent="0.45">
      <c r="A182" s="21"/>
      <c r="B182" s="21"/>
      <c r="C182" s="21"/>
      <c r="D182" s="21"/>
      <c r="E182" s="21"/>
      <c r="F182" s="49">
        <v>42522</v>
      </c>
      <c r="G182" s="52">
        <v>87.7</v>
      </c>
      <c r="H182"/>
      <c r="I182"/>
      <c r="J182" s="37"/>
      <c r="K182" s="53">
        <v>1.8999999999999915</v>
      </c>
      <c r="L182" s="53"/>
      <c r="M182" s="53">
        <v>1.8999999999999915</v>
      </c>
      <c r="N182" s="53"/>
      <c r="O182" s="53"/>
      <c r="P182" s="53"/>
      <c r="Q182" s="53"/>
      <c r="R182" s="53"/>
      <c r="S182" s="53"/>
      <c r="T182" s="53"/>
      <c r="U182" s="53"/>
      <c r="V182" s="53"/>
    </row>
    <row r="183" spans="1:22" s="15" customFormat="1" ht="14.25" x14ac:dyDescent="0.45">
      <c r="A183" s="21"/>
      <c r="B183" s="21"/>
      <c r="C183" s="21"/>
      <c r="D183" s="21"/>
      <c r="E183" s="21"/>
      <c r="F183" s="49">
        <v>42552</v>
      </c>
      <c r="G183" s="52">
        <v>89.6</v>
      </c>
      <c r="H183"/>
      <c r="I183"/>
      <c r="J183" s="37"/>
      <c r="K183" s="53">
        <v>3.4000000000000057</v>
      </c>
      <c r="L183" s="53"/>
      <c r="M183" s="53">
        <v>3.4000000000000057</v>
      </c>
      <c r="N183" s="53"/>
      <c r="O183" s="53"/>
      <c r="P183" s="53"/>
      <c r="Q183" s="53"/>
      <c r="R183" s="53"/>
      <c r="S183" s="53"/>
      <c r="T183" s="53"/>
      <c r="U183" s="53"/>
      <c r="V183" s="53"/>
    </row>
    <row r="184" spans="1:22" s="15" customFormat="1" ht="14.25" x14ac:dyDescent="0.45">
      <c r="A184" s="21"/>
      <c r="B184" s="21"/>
      <c r="C184" s="21"/>
      <c r="D184" s="21"/>
      <c r="E184" s="21"/>
      <c r="F184" s="49">
        <v>42583</v>
      </c>
      <c r="G184" s="52">
        <v>93</v>
      </c>
      <c r="H184"/>
      <c r="I184"/>
      <c r="J184" s="37"/>
      <c r="K184" s="53">
        <v>-2.2999999999999972</v>
      </c>
      <c r="L184" s="53"/>
      <c r="M184" s="53">
        <v>-2.2999999999999972</v>
      </c>
      <c r="N184" s="53"/>
      <c r="O184" s="53"/>
      <c r="P184" s="53"/>
      <c r="Q184" s="53"/>
      <c r="R184" s="53"/>
      <c r="S184" s="53"/>
      <c r="T184" s="53"/>
      <c r="U184" s="53"/>
      <c r="V184" s="53"/>
    </row>
    <row r="185" spans="1:22" s="15" customFormat="1" ht="14.25" x14ac:dyDescent="0.45">
      <c r="A185" s="21"/>
      <c r="B185" s="21"/>
      <c r="C185" s="21"/>
      <c r="D185" s="21"/>
      <c r="E185" s="21"/>
      <c r="F185" s="49">
        <v>42614</v>
      </c>
      <c r="G185" s="52">
        <v>90.7</v>
      </c>
      <c r="H185"/>
      <c r="I185"/>
      <c r="J185" s="37"/>
      <c r="K185" s="53">
        <v>-0.5</v>
      </c>
      <c r="L185" s="53"/>
      <c r="M185" s="53">
        <v>-0.5</v>
      </c>
      <c r="N185" s="53"/>
      <c r="O185" s="53"/>
      <c r="P185" s="53"/>
      <c r="Q185" s="53"/>
      <c r="R185" s="53"/>
      <c r="S185" s="53"/>
      <c r="T185" s="53"/>
      <c r="U185" s="53"/>
      <c r="V185" s="53"/>
    </row>
    <row r="186" spans="1:22" s="15" customFormat="1" ht="14.25" x14ac:dyDescent="0.45">
      <c r="A186" s="21"/>
      <c r="B186" s="21"/>
      <c r="C186" s="21"/>
      <c r="D186" s="21"/>
      <c r="E186" s="21"/>
      <c r="F186" s="49">
        <v>42644</v>
      </c>
      <c r="G186" s="52">
        <v>90.2</v>
      </c>
      <c r="H186"/>
      <c r="I186"/>
      <c r="J186" s="37"/>
      <c r="K186" s="53">
        <v>-3.7000000000000028</v>
      </c>
      <c r="L186" s="53"/>
      <c r="M186" s="53">
        <v>-3.7000000000000028</v>
      </c>
      <c r="N186" s="53"/>
      <c r="O186" s="53"/>
      <c r="P186" s="53"/>
      <c r="Q186" s="53"/>
      <c r="R186" s="53"/>
      <c r="S186" s="53"/>
      <c r="T186" s="53"/>
      <c r="U186" s="53"/>
      <c r="V186" s="53"/>
    </row>
    <row r="187" spans="1:22" s="15" customFormat="1" ht="14.25" x14ac:dyDescent="0.45">
      <c r="A187" s="21"/>
      <c r="B187" s="21"/>
      <c r="C187" s="21"/>
      <c r="D187" s="21"/>
      <c r="E187" s="21"/>
      <c r="F187" s="49">
        <v>42675</v>
      </c>
      <c r="G187" s="52">
        <v>86.5</v>
      </c>
      <c r="H187"/>
      <c r="I187"/>
      <c r="J187" s="37"/>
      <c r="K187" s="53">
        <v>-9.2999999999999972</v>
      </c>
      <c r="L187" s="53"/>
      <c r="M187" s="53">
        <v>-9.2999999999999972</v>
      </c>
      <c r="N187" s="53"/>
      <c r="O187" s="53"/>
      <c r="P187" s="53"/>
      <c r="Q187" s="53"/>
      <c r="R187" s="53"/>
      <c r="S187" s="53"/>
      <c r="T187" s="53"/>
      <c r="U187" s="53"/>
      <c r="V187" s="53"/>
    </row>
    <row r="188" spans="1:22" s="15" customFormat="1" ht="14.25" x14ac:dyDescent="0.45">
      <c r="A188" s="21"/>
      <c r="B188" s="21"/>
      <c r="C188" s="21"/>
      <c r="D188" s="21"/>
      <c r="E188" s="21"/>
      <c r="F188" s="49">
        <v>42705</v>
      </c>
      <c r="G188" s="52">
        <v>77.2</v>
      </c>
      <c r="H188"/>
      <c r="I188"/>
      <c r="J188" s="37"/>
      <c r="K188" s="53">
        <v>0.70000000000000284</v>
      </c>
      <c r="L188" s="53"/>
      <c r="M188" s="53">
        <v>0.70000000000000284</v>
      </c>
      <c r="N188" s="53"/>
      <c r="O188" s="53"/>
      <c r="P188" s="53"/>
      <c r="Q188" s="53"/>
      <c r="R188" s="53"/>
      <c r="S188" s="53"/>
      <c r="T188" s="53"/>
      <c r="U188" s="53"/>
      <c r="V188" s="53"/>
    </row>
    <row r="189" spans="1:22" s="15" customFormat="1" ht="14.25" x14ac:dyDescent="0.45">
      <c r="A189" s="21"/>
      <c r="B189" s="21"/>
      <c r="C189" s="21"/>
      <c r="D189" s="21"/>
      <c r="E189" s="21"/>
      <c r="F189" s="49">
        <v>42736</v>
      </c>
      <c r="G189" s="52">
        <v>77.900000000000006</v>
      </c>
      <c r="H189"/>
      <c r="I189"/>
      <c r="J189" s="37"/>
      <c r="K189" s="53">
        <v>-2</v>
      </c>
      <c r="L189" s="53"/>
      <c r="M189" s="53">
        <v>-2</v>
      </c>
      <c r="N189" s="53"/>
      <c r="O189" s="53"/>
      <c r="P189" s="53"/>
      <c r="Q189" s="53"/>
      <c r="R189" s="53"/>
      <c r="S189" s="53"/>
      <c r="T189" s="53"/>
      <c r="U189" s="53"/>
      <c r="V189" s="53"/>
    </row>
    <row r="190" spans="1:22" s="15" customFormat="1" ht="14.25" x14ac:dyDescent="0.45">
      <c r="A190" s="21"/>
      <c r="B190" s="21"/>
      <c r="C190" s="21"/>
      <c r="D190" s="21"/>
      <c r="E190" s="21"/>
      <c r="F190" s="49">
        <v>42767</v>
      </c>
      <c r="G190" s="52">
        <v>75.900000000000006</v>
      </c>
      <c r="H190"/>
      <c r="I190"/>
      <c r="J190" s="37"/>
      <c r="K190" s="53">
        <v>9.5</v>
      </c>
      <c r="L190" s="53"/>
      <c r="M190" s="53">
        <v>9.5</v>
      </c>
      <c r="N190" s="53"/>
      <c r="O190" s="53"/>
      <c r="P190" s="53"/>
      <c r="Q190" s="53"/>
      <c r="R190" s="53"/>
      <c r="S190" s="53"/>
      <c r="T190" s="53"/>
      <c r="U190" s="53"/>
      <c r="V190" s="53"/>
    </row>
    <row r="191" spans="1:22" s="15" customFormat="1" ht="14.25" x14ac:dyDescent="0.45">
      <c r="A191" s="21"/>
      <c r="B191" s="21"/>
      <c r="C191" s="21"/>
      <c r="D191" s="21"/>
      <c r="E191" s="21"/>
      <c r="F191" s="49">
        <v>42795</v>
      </c>
      <c r="G191" s="52">
        <v>85.4</v>
      </c>
      <c r="H191"/>
      <c r="I191"/>
      <c r="J191" s="37"/>
      <c r="K191" s="53">
        <v>-6.1000000000000085</v>
      </c>
      <c r="L191" s="53"/>
      <c r="M191" s="53">
        <v>-6.1000000000000085</v>
      </c>
      <c r="N191" s="53"/>
      <c r="O191" s="53"/>
      <c r="P191" s="53"/>
      <c r="Q191" s="53"/>
      <c r="R191" s="53"/>
      <c r="S191" s="53"/>
      <c r="T191" s="53"/>
      <c r="U191" s="53"/>
      <c r="V191" s="53"/>
    </row>
    <row r="192" spans="1:22" s="15" customFormat="1" ht="14.25" x14ac:dyDescent="0.45">
      <c r="A192" s="21"/>
      <c r="B192" s="21"/>
      <c r="C192" s="21"/>
      <c r="D192" s="21"/>
      <c r="E192" s="21"/>
      <c r="F192" s="49">
        <v>42826</v>
      </c>
      <c r="G192" s="52">
        <v>79.3</v>
      </c>
      <c r="H192"/>
      <c r="I192"/>
      <c r="J192" s="37"/>
      <c r="K192" s="53">
        <v>10.799999999999997</v>
      </c>
      <c r="L192" s="53"/>
      <c r="M192" s="53">
        <v>10.799999999999997</v>
      </c>
      <c r="N192" s="53"/>
      <c r="O192" s="53"/>
      <c r="P192" s="53"/>
      <c r="Q192" s="53"/>
      <c r="R192" s="53"/>
      <c r="S192" s="53"/>
      <c r="T192" s="53"/>
      <c r="U192" s="53"/>
      <c r="V192" s="53"/>
    </row>
    <row r="193" spans="1:22" s="15" customFormat="1" ht="14.25" x14ac:dyDescent="0.45">
      <c r="A193" s="21"/>
      <c r="B193" s="21"/>
      <c r="C193" s="21"/>
      <c r="D193" s="21"/>
      <c r="E193" s="21"/>
      <c r="F193" s="49">
        <v>42856</v>
      </c>
      <c r="G193" s="52">
        <v>90.1</v>
      </c>
      <c r="H193"/>
      <c r="I193"/>
      <c r="J193" s="37"/>
      <c r="K193" s="53">
        <v>-1.6999999999999886</v>
      </c>
      <c r="L193" s="53"/>
      <c r="M193" s="53">
        <v>-1.6999999999999886</v>
      </c>
      <c r="N193" s="53"/>
      <c r="O193" s="53"/>
      <c r="P193" s="53"/>
      <c r="Q193" s="53"/>
      <c r="R193" s="53"/>
      <c r="S193" s="53"/>
      <c r="T193" s="53"/>
      <c r="U193" s="53"/>
      <c r="V193" s="53"/>
    </row>
    <row r="194" spans="1:22" s="15" customFormat="1" ht="14.25" x14ac:dyDescent="0.45">
      <c r="A194" s="21"/>
      <c r="B194" s="21"/>
      <c r="C194" s="21"/>
      <c r="D194" s="21"/>
      <c r="E194" s="21"/>
      <c r="F194" s="49">
        <v>42887</v>
      </c>
      <c r="G194" s="52">
        <v>88.4</v>
      </c>
      <c r="H194"/>
      <c r="I194"/>
      <c r="J194" s="37"/>
      <c r="K194" s="53">
        <v>3.6999999999999886</v>
      </c>
      <c r="L194" s="53"/>
      <c r="M194" s="53">
        <v>3.6999999999999886</v>
      </c>
      <c r="N194" s="53"/>
      <c r="O194" s="53"/>
      <c r="P194" s="53"/>
      <c r="Q194" s="53"/>
      <c r="R194" s="53"/>
      <c r="S194" s="53"/>
      <c r="T194" s="53"/>
      <c r="U194" s="53"/>
      <c r="V194" s="53"/>
    </row>
    <row r="195" spans="1:22" s="15" customFormat="1" ht="14.25" x14ac:dyDescent="0.45">
      <c r="A195" s="21"/>
      <c r="B195" s="21"/>
      <c r="C195" s="21"/>
      <c r="D195" s="21"/>
      <c r="E195" s="21"/>
      <c r="F195" s="49">
        <v>42917</v>
      </c>
      <c r="G195" s="52">
        <v>92.1</v>
      </c>
      <c r="H195"/>
      <c r="I195"/>
      <c r="J195" s="37"/>
      <c r="K195" s="53">
        <v>4.6000000000000085</v>
      </c>
      <c r="L195" s="53"/>
      <c r="M195" s="53">
        <v>4.6000000000000085</v>
      </c>
      <c r="N195" s="53"/>
      <c r="O195" s="53"/>
      <c r="P195" s="53"/>
      <c r="Q195" s="53"/>
      <c r="R195" s="53"/>
      <c r="S195" s="53"/>
      <c r="T195" s="53"/>
      <c r="U195" s="53"/>
      <c r="V195" s="53"/>
    </row>
    <row r="196" spans="1:22" s="15" customFormat="1" ht="14.25" x14ac:dyDescent="0.45">
      <c r="A196" s="21"/>
      <c r="B196" s="21"/>
      <c r="C196" s="21"/>
      <c r="D196" s="21"/>
      <c r="E196" s="21"/>
      <c r="F196" s="49">
        <v>42948</v>
      </c>
      <c r="G196" s="52">
        <v>96.7</v>
      </c>
      <c r="H196"/>
      <c r="I196"/>
      <c r="J196" s="37"/>
      <c r="K196" s="53">
        <v>-3.7000000000000028</v>
      </c>
      <c r="L196" s="53"/>
      <c r="M196" s="53">
        <v>-3.7000000000000028</v>
      </c>
      <c r="N196" s="53"/>
      <c r="O196" s="53"/>
      <c r="P196" s="53"/>
      <c r="Q196" s="53"/>
      <c r="R196" s="53"/>
      <c r="S196" s="53"/>
      <c r="T196" s="53"/>
      <c r="U196" s="53"/>
      <c r="V196" s="53"/>
    </row>
    <row r="197" spans="1:22" s="15" customFormat="1" ht="14.25" x14ac:dyDescent="0.45">
      <c r="A197" s="21"/>
      <c r="B197" s="21"/>
      <c r="C197" s="21"/>
      <c r="D197" s="21"/>
      <c r="E197" s="21"/>
      <c r="F197" s="49">
        <v>42979</v>
      </c>
      <c r="G197" s="52">
        <v>93</v>
      </c>
      <c r="H197"/>
      <c r="I197"/>
      <c r="J197" s="37"/>
      <c r="K197" s="53">
        <v>2.0999999999999943</v>
      </c>
      <c r="L197" s="53"/>
      <c r="M197" s="53">
        <v>2.0999999999999943</v>
      </c>
      <c r="N197" s="53"/>
      <c r="O197" s="53"/>
      <c r="P197" s="53"/>
      <c r="Q197" s="53"/>
      <c r="R197" s="53"/>
      <c r="S197" s="53"/>
      <c r="T197" s="53"/>
      <c r="U197" s="53"/>
      <c r="V197" s="53"/>
    </row>
    <row r="198" spans="1:22" s="15" customFormat="1" ht="14.25" x14ac:dyDescent="0.45">
      <c r="A198" s="21"/>
      <c r="B198" s="21"/>
      <c r="C198" s="21"/>
      <c r="D198" s="21"/>
      <c r="E198" s="21"/>
      <c r="F198" s="49">
        <v>43009</v>
      </c>
      <c r="G198" s="52">
        <v>95.1</v>
      </c>
      <c r="H198"/>
      <c r="I198"/>
      <c r="J198" s="37"/>
      <c r="K198" s="53">
        <v>-4.5</v>
      </c>
      <c r="L198" s="53"/>
      <c r="M198" s="53">
        <v>-4.5</v>
      </c>
      <c r="N198" s="53"/>
      <c r="O198" s="53"/>
      <c r="P198" s="53"/>
      <c r="Q198" s="53"/>
      <c r="R198" s="53"/>
      <c r="S198" s="53"/>
      <c r="T198" s="53"/>
      <c r="U198" s="53"/>
      <c r="V198" s="53"/>
    </row>
    <row r="199" spans="1:22" s="15" customFormat="1" ht="14.25" x14ac:dyDescent="0.45">
      <c r="A199" s="21"/>
      <c r="B199" s="21"/>
      <c r="C199" s="21"/>
      <c r="D199" s="21"/>
      <c r="E199" s="21"/>
      <c r="F199" s="49">
        <v>43040</v>
      </c>
      <c r="G199" s="52">
        <v>90.6</v>
      </c>
      <c r="H199"/>
      <c r="I199"/>
      <c r="J199" s="37"/>
      <c r="K199" s="53">
        <v>-9.5999999999999943</v>
      </c>
      <c r="L199" s="53"/>
      <c r="M199" s="53">
        <v>-9.5999999999999943</v>
      </c>
      <c r="N199" s="53"/>
      <c r="O199" s="53"/>
      <c r="P199" s="53"/>
      <c r="Q199" s="53"/>
      <c r="R199" s="53"/>
      <c r="S199" s="53"/>
      <c r="T199" s="53"/>
      <c r="U199" s="53"/>
      <c r="V199" s="53"/>
    </row>
    <row r="200" spans="1:22" s="15" customFormat="1" ht="14.25" x14ac:dyDescent="0.45">
      <c r="A200" s="21"/>
      <c r="B200" s="21"/>
      <c r="C200" s="21"/>
      <c r="D200" s="21"/>
      <c r="E200" s="21"/>
      <c r="F200" s="49">
        <v>43070</v>
      </c>
      <c r="G200" s="52">
        <v>81</v>
      </c>
      <c r="H200"/>
      <c r="I200"/>
      <c r="J200" s="37"/>
      <c r="K200" s="53">
        <v>1.2999999999999972</v>
      </c>
      <c r="L200" s="53"/>
      <c r="M200" s="53">
        <v>1.2999999999999972</v>
      </c>
      <c r="N200" s="53"/>
      <c r="O200" s="53"/>
      <c r="P200" s="53"/>
      <c r="Q200" s="53"/>
      <c r="R200" s="53"/>
      <c r="S200" s="53"/>
      <c r="T200" s="53"/>
      <c r="U200" s="53"/>
      <c r="V200" s="53"/>
    </row>
    <row r="201" spans="1:22" s="15" customFormat="1" ht="14.25" x14ac:dyDescent="0.45">
      <c r="A201" s="21"/>
      <c r="B201" s="21"/>
      <c r="C201" s="21"/>
      <c r="D201" s="21"/>
      <c r="E201" s="21"/>
      <c r="F201" s="49">
        <v>43101</v>
      </c>
      <c r="G201" s="52">
        <v>82.3</v>
      </c>
      <c r="H201"/>
      <c r="I201"/>
      <c r="J201" s="37"/>
      <c r="K201" s="53">
        <v>-5</v>
      </c>
      <c r="L201" s="53"/>
      <c r="M201" s="53">
        <v>-5</v>
      </c>
      <c r="N201" s="53"/>
      <c r="O201" s="53"/>
      <c r="P201" s="53"/>
      <c r="Q201" s="53"/>
      <c r="R201" s="53"/>
      <c r="S201" s="53"/>
      <c r="T201" s="53"/>
      <c r="U201" s="53"/>
      <c r="V201" s="53"/>
    </row>
    <row r="202" spans="1:22" s="15" customFormat="1" ht="14.25" x14ac:dyDescent="0.45">
      <c r="A202" s="21"/>
      <c r="B202" s="21"/>
      <c r="C202" s="21"/>
      <c r="D202" s="21"/>
      <c r="E202" s="21"/>
      <c r="F202" s="49">
        <v>43132</v>
      </c>
      <c r="G202" s="52">
        <v>77.3</v>
      </c>
      <c r="H202"/>
      <c r="I202"/>
      <c r="J202" s="37"/>
      <c r="K202" s="53">
        <v>8.9000000000000057</v>
      </c>
      <c r="L202" s="53"/>
      <c r="M202" s="53">
        <v>8.9000000000000057</v>
      </c>
      <c r="N202" s="53"/>
      <c r="O202" s="53"/>
      <c r="P202" s="53"/>
      <c r="Q202" s="53"/>
      <c r="R202" s="53"/>
      <c r="S202" s="53"/>
      <c r="T202" s="53"/>
      <c r="U202" s="53"/>
      <c r="V202" s="53"/>
    </row>
    <row r="203" spans="1:22" s="15" customFormat="1" ht="14.25" x14ac:dyDescent="0.45">
      <c r="A203" s="21"/>
      <c r="B203" s="21"/>
      <c r="C203" s="21"/>
      <c r="D203" s="21"/>
      <c r="E203" s="21"/>
      <c r="F203" s="49">
        <v>43160</v>
      </c>
      <c r="G203" s="52">
        <v>86.2</v>
      </c>
      <c r="H203"/>
      <c r="I203"/>
      <c r="J203" s="37"/>
      <c r="K203" s="53">
        <v>0.29999999999999716</v>
      </c>
      <c r="L203" s="53"/>
      <c r="M203" s="53">
        <v>0.29999999999999716</v>
      </c>
      <c r="N203" s="53"/>
      <c r="O203" s="53"/>
      <c r="P203" s="53"/>
      <c r="Q203" s="53"/>
      <c r="R203" s="53"/>
      <c r="S203" s="53"/>
      <c r="T203" s="53"/>
      <c r="U203" s="53"/>
      <c r="V203" s="53"/>
    </row>
    <row r="204" spans="1:22" s="15" customFormat="1" ht="14.25" x14ac:dyDescent="0.45">
      <c r="A204" s="21"/>
      <c r="B204" s="21"/>
      <c r="C204" s="21"/>
      <c r="D204" s="21"/>
      <c r="E204" s="21"/>
      <c r="F204" s="49">
        <v>43191</v>
      </c>
      <c r="G204" s="52">
        <v>86.5</v>
      </c>
      <c r="H204"/>
      <c r="I204"/>
      <c r="J204" s="37"/>
      <c r="K204" s="53">
        <v>-2.0999999999999943</v>
      </c>
      <c r="L204" s="53"/>
      <c r="M204" s="53">
        <v>-2.0999999999999943</v>
      </c>
      <c r="N204" s="53"/>
      <c r="O204" s="53"/>
      <c r="P204" s="53"/>
      <c r="Q204" s="53"/>
      <c r="R204" s="53"/>
      <c r="S204" s="53"/>
      <c r="T204" s="53"/>
      <c r="U204" s="53"/>
      <c r="V204" s="53"/>
    </row>
    <row r="205" spans="1:22" s="15" customFormat="1" ht="14.25" x14ac:dyDescent="0.45">
      <c r="A205" s="21"/>
      <c r="B205" s="21"/>
      <c r="C205" s="21"/>
      <c r="D205" s="21"/>
      <c r="E205" s="21"/>
      <c r="F205" s="49">
        <v>43221</v>
      </c>
      <c r="G205" s="52">
        <v>84.4</v>
      </c>
      <c r="H205"/>
      <c r="I205"/>
      <c r="J205" s="37"/>
      <c r="K205" s="53">
        <v>6.6999999999999886</v>
      </c>
      <c r="L205" s="53"/>
      <c r="M205" s="53">
        <v>6.6999999999999886</v>
      </c>
      <c r="N205" s="53"/>
      <c r="O205" s="53"/>
      <c r="P205" s="53"/>
      <c r="Q205" s="53"/>
      <c r="R205" s="53"/>
      <c r="S205" s="53"/>
      <c r="T205" s="53"/>
      <c r="U205" s="53"/>
      <c r="V205" s="53"/>
    </row>
    <row r="206" spans="1:22" s="15" customFormat="1" ht="14.25" x14ac:dyDescent="0.45">
      <c r="A206" s="21"/>
      <c r="B206" s="21"/>
      <c r="C206" s="21"/>
      <c r="D206" s="21"/>
      <c r="E206" s="21"/>
      <c r="F206" s="49">
        <v>43252</v>
      </c>
      <c r="G206" s="52">
        <v>91.1</v>
      </c>
      <c r="H206"/>
      <c r="I206"/>
      <c r="J206" s="37"/>
      <c r="K206" s="53">
        <v>4.7000000000000028</v>
      </c>
      <c r="L206" s="53"/>
      <c r="M206" s="53">
        <v>4.7000000000000028</v>
      </c>
      <c r="N206" s="53"/>
      <c r="O206" s="53"/>
      <c r="P206" s="53"/>
      <c r="Q206" s="53"/>
      <c r="R206" s="53"/>
      <c r="S206" s="53"/>
      <c r="T206" s="53"/>
      <c r="U206" s="53"/>
      <c r="V206" s="53"/>
    </row>
    <row r="207" spans="1:22" s="15" customFormat="1" ht="14.25" x14ac:dyDescent="0.45">
      <c r="A207" s="21"/>
      <c r="B207" s="21"/>
      <c r="C207" s="21"/>
      <c r="D207" s="21"/>
      <c r="E207" s="21"/>
      <c r="F207" s="49">
        <v>43282</v>
      </c>
      <c r="G207" s="52">
        <v>95.8</v>
      </c>
      <c r="H207"/>
      <c r="I207"/>
      <c r="J207" s="37"/>
      <c r="K207" s="53">
        <v>2.4000000000000057</v>
      </c>
      <c r="L207" s="53"/>
      <c r="M207" s="53">
        <v>2.4000000000000057</v>
      </c>
      <c r="N207" s="53"/>
      <c r="O207" s="53"/>
      <c r="P207" s="53"/>
      <c r="Q207" s="53"/>
      <c r="R207" s="53"/>
      <c r="S207" s="53"/>
      <c r="T207" s="53"/>
      <c r="U207" s="53"/>
      <c r="V207" s="53"/>
    </row>
    <row r="208" spans="1:22" s="15" customFormat="1" ht="14.25" x14ac:dyDescent="0.45">
      <c r="A208" s="21"/>
      <c r="B208" s="21"/>
      <c r="C208" s="21"/>
      <c r="D208" s="21"/>
      <c r="E208" s="21"/>
      <c r="F208" s="49">
        <v>43313</v>
      </c>
      <c r="G208" s="52">
        <v>98.2</v>
      </c>
      <c r="H208"/>
      <c r="I208"/>
      <c r="J208" s="37"/>
      <c r="K208" s="53">
        <v>-7.5</v>
      </c>
      <c r="L208" s="53"/>
      <c r="M208" s="53">
        <v>-7.5</v>
      </c>
      <c r="N208" s="53"/>
      <c r="O208" s="53"/>
      <c r="P208" s="53"/>
      <c r="Q208" s="53"/>
      <c r="R208" s="53"/>
      <c r="S208" s="53"/>
      <c r="T208" s="53"/>
      <c r="U208" s="53"/>
      <c r="V208" s="53"/>
    </row>
    <row r="209" spans="1:22" s="15" customFormat="1" ht="14.25" x14ac:dyDescent="0.45">
      <c r="A209" s="21"/>
      <c r="B209" s="21"/>
      <c r="C209" s="21"/>
      <c r="D209" s="21"/>
      <c r="E209" s="21"/>
      <c r="F209" s="49">
        <v>43344</v>
      </c>
      <c r="G209" s="52">
        <v>90.7</v>
      </c>
      <c r="H209"/>
      <c r="I209"/>
      <c r="J209" s="37"/>
      <c r="K209" s="53">
        <v>5.0999999999999943</v>
      </c>
      <c r="L209" s="53"/>
      <c r="M209" s="53">
        <v>5.0999999999999943</v>
      </c>
      <c r="N209" s="53"/>
      <c r="O209" s="53"/>
      <c r="P209" s="53"/>
      <c r="Q209" s="53"/>
      <c r="R209" s="53"/>
      <c r="S209" s="53"/>
      <c r="T209" s="53"/>
      <c r="U209" s="53"/>
      <c r="V209" s="53"/>
    </row>
    <row r="210" spans="1:22" s="15" customFormat="1" ht="14.25" x14ac:dyDescent="0.45">
      <c r="A210" s="21"/>
      <c r="B210" s="21"/>
      <c r="C210" s="21"/>
      <c r="D210" s="21"/>
      <c r="E210" s="21"/>
      <c r="F210" s="49">
        <v>43374</v>
      </c>
      <c r="G210" s="52">
        <v>95.8</v>
      </c>
      <c r="H210"/>
      <c r="I210"/>
      <c r="J210" s="37"/>
      <c r="K210" s="53">
        <v>-6.2999999999999972</v>
      </c>
      <c r="L210" s="53"/>
      <c r="M210" s="53">
        <v>-6.2999999999999972</v>
      </c>
      <c r="N210" s="53"/>
      <c r="O210" s="53"/>
      <c r="P210" s="53"/>
      <c r="Q210" s="53"/>
      <c r="R210" s="53"/>
      <c r="S210" s="53"/>
      <c r="T210" s="53"/>
      <c r="U210" s="53"/>
      <c r="V210" s="53"/>
    </row>
    <row r="211" spans="1:22" s="15" customFormat="1" ht="14.25" x14ac:dyDescent="0.45">
      <c r="A211" s="21"/>
      <c r="B211" s="21"/>
      <c r="C211" s="21"/>
      <c r="D211" s="21"/>
      <c r="E211" s="21"/>
      <c r="F211" s="49">
        <v>43405</v>
      </c>
      <c r="G211" s="52">
        <v>89.5</v>
      </c>
      <c r="H211"/>
      <c r="I211"/>
      <c r="J211" s="37"/>
      <c r="K211" s="53">
        <v>-11.5</v>
      </c>
      <c r="L211" s="53"/>
      <c r="M211" s="53">
        <v>-11.5</v>
      </c>
      <c r="N211" s="53"/>
      <c r="O211" s="53"/>
      <c r="P211" s="53"/>
      <c r="Q211" s="53"/>
      <c r="R211" s="53"/>
      <c r="S211" s="53"/>
      <c r="T211" s="53"/>
      <c r="U211" s="53"/>
      <c r="V211" s="53"/>
    </row>
    <row r="212" spans="1:22" s="15" customFormat="1" ht="14.25" x14ac:dyDescent="0.45">
      <c r="A212" s="21"/>
      <c r="B212" s="21"/>
      <c r="C212" s="21"/>
      <c r="D212" s="21"/>
      <c r="E212" s="21"/>
      <c r="F212" s="49">
        <v>43435</v>
      </c>
      <c r="G212" s="52">
        <v>78</v>
      </c>
      <c r="H212"/>
      <c r="I212"/>
      <c r="J212" s="37"/>
      <c r="K212" s="53">
        <v>2.7000000000000028</v>
      </c>
      <c r="L212" s="53"/>
      <c r="M212" s="53">
        <v>2.7000000000000028</v>
      </c>
      <c r="N212" s="53"/>
      <c r="O212" s="53"/>
      <c r="P212" s="53"/>
      <c r="Q212" s="53"/>
      <c r="R212" s="53"/>
      <c r="S212" s="53"/>
      <c r="T212" s="53"/>
      <c r="U212" s="53"/>
      <c r="V212" s="53"/>
    </row>
    <row r="213" spans="1:22" s="15" customFormat="1" ht="14.25" x14ac:dyDescent="0.45">
      <c r="A213" s="21"/>
      <c r="B213" s="21"/>
      <c r="C213" s="21"/>
      <c r="D213" s="21"/>
      <c r="E213" s="21"/>
      <c r="F213" s="49">
        <v>43466</v>
      </c>
      <c r="G213" s="52">
        <v>80.7</v>
      </c>
      <c r="H213"/>
      <c r="I213"/>
      <c r="J213" s="37"/>
      <c r="K213" s="53">
        <v>-1.6000000000000085</v>
      </c>
      <c r="L213" s="53"/>
      <c r="M213" s="53">
        <v>-1.6000000000000085</v>
      </c>
      <c r="N213" s="53"/>
      <c r="O213" s="53"/>
      <c r="P213" s="53"/>
      <c r="Q213" s="53"/>
      <c r="R213" s="53"/>
      <c r="S213" s="53"/>
      <c r="T213" s="53"/>
      <c r="U213" s="53"/>
      <c r="V213" s="53"/>
    </row>
    <row r="214" spans="1:22" s="15" customFormat="1" ht="14.25" x14ac:dyDescent="0.45">
      <c r="A214" s="21"/>
      <c r="B214" s="21"/>
      <c r="C214" s="21"/>
      <c r="D214" s="21"/>
      <c r="E214" s="21"/>
      <c r="F214" s="49">
        <v>43497</v>
      </c>
      <c r="G214" s="52">
        <v>79.099999999999994</v>
      </c>
      <c r="H214"/>
      <c r="I214"/>
      <c r="J214" s="37"/>
      <c r="K214" s="53">
        <v>1.9000000000000057</v>
      </c>
      <c r="L214" s="53"/>
      <c r="M214" s="53">
        <v>1.9000000000000057</v>
      </c>
      <c r="N214" s="53"/>
      <c r="O214" s="53"/>
      <c r="P214" s="53"/>
      <c r="Q214" s="53"/>
      <c r="R214" s="53"/>
      <c r="S214" s="53"/>
      <c r="T214" s="53"/>
      <c r="U214" s="53"/>
      <c r="V214" s="53"/>
    </row>
    <row r="215" spans="1:22" s="15" customFormat="1" ht="14.25" x14ac:dyDescent="0.45">
      <c r="A215" s="21"/>
      <c r="B215" s="21"/>
      <c r="C215" s="21"/>
      <c r="D215" s="21"/>
      <c r="E215" s="21"/>
      <c r="F215" s="49">
        <v>43525</v>
      </c>
      <c r="G215" s="52">
        <v>81</v>
      </c>
      <c r="H215"/>
      <c r="I215"/>
      <c r="J215" s="37"/>
      <c r="K215" s="53">
        <v>2.2999999999999972</v>
      </c>
      <c r="L215" s="53"/>
      <c r="M215" s="53">
        <v>2.2999999999999972</v>
      </c>
      <c r="N215" s="53"/>
      <c r="O215" s="53"/>
      <c r="P215" s="53"/>
      <c r="Q215" s="53"/>
      <c r="R215" s="53"/>
      <c r="S215" s="53"/>
      <c r="T215" s="53"/>
      <c r="U215" s="53"/>
      <c r="V215" s="53"/>
    </row>
    <row r="216" spans="1:22" s="15" customFormat="1" ht="14.25" x14ac:dyDescent="0.45">
      <c r="A216" s="21"/>
      <c r="B216" s="21"/>
      <c r="C216" s="21"/>
      <c r="D216" s="21"/>
      <c r="E216" s="21"/>
      <c r="F216" s="49">
        <v>43556</v>
      </c>
      <c r="G216" s="52">
        <v>83.3</v>
      </c>
      <c r="H216"/>
      <c r="I216"/>
      <c r="J216" s="37"/>
      <c r="K216" s="53">
        <v>7.7000000000000028</v>
      </c>
      <c r="L216" s="53"/>
      <c r="M216" s="53">
        <v>7.7000000000000028</v>
      </c>
      <c r="N216" s="53"/>
      <c r="O216" s="53"/>
      <c r="P216" s="53"/>
      <c r="Q216" s="53"/>
      <c r="R216" s="53"/>
      <c r="S216" s="53"/>
      <c r="T216" s="53"/>
      <c r="U216" s="53"/>
      <c r="V216" s="53"/>
    </row>
    <row r="217" spans="1:22" s="15" customFormat="1" ht="14.25" x14ac:dyDescent="0.45">
      <c r="A217" s="21"/>
      <c r="B217" s="21"/>
      <c r="C217" s="21"/>
      <c r="D217" s="21"/>
      <c r="E217" s="21"/>
      <c r="F217" s="49">
        <v>43586</v>
      </c>
      <c r="G217" s="52">
        <v>91</v>
      </c>
      <c r="H217"/>
      <c r="I217"/>
      <c r="J217" s="37"/>
      <c r="K217" s="53">
        <v>-5.2000000000000028</v>
      </c>
      <c r="L217" s="53"/>
      <c r="M217" s="53">
        <v>-5.2000000000000028</v>
      </c>
      <c r="N217" s="53"/>
      <c r="O217" s="53"/>
      <c r="P217" s="53"/>
      <c r="Q217" s="53"/>
      <c r="R217" s="53"/>
      <c r="S217" s="53"/>
      <c r="T217" s="53"/>
      <c r="U217" s="53"/>
      <c r="V217" s="53"/>
    </row>
    <row r="218" spans="1:22" s="15" customFormat="1" ht="14.25" x14ac:dyDescent="0.45">
      <c r="A218" s="21"/>
      <c r="B218" s="21"/>
      <c r="C218" s="21"/>
      <c r="D218" s="21"/>
      <c r="E218" s="21"/>
      <c r="F218" s="49">
        <v>43617</v>
      </c>
      <c r="G218" s="52">
        <v>85.8</v>
      </c>
      <c r="H218"/>
      <c r="I218"/>
      <c r="J218" s="37"/>
      <c r="K218" s="53">
        <v>7.6000000000000085</v>
      </c>
      <c r="L218" s="53"/>
      <c r="M218" s="53">
        <v>7.6000000000000085</v>
      </c>
      <c r="N218" s="53"/>
      <c r="O218" s="53"/>
      <c r="P218" s="53"/>
      <c r="Q218" s="53"/>
      <c r="R218" s="53"/>
      <c r="S218" s="53"/>
      <c r="T218" s="53"/>
      <c r="U218" s="53"/>
      <c r="V218" s="53"/>
    </row>
    <row r="219" spans="1:22" s="15" customFormat="1" ht="14.25" x14ac:dyDescent="0.45">
      <c r="A219" s="21"/>
      <c r="B219" s="21"/>
      <c r="C219" s="21"/>
      <c r="D219" s="21"/>
      <c r="E219" s="21"/>
      <c r="F219" s="49">
        <v>43647</v>
      </c>
      <c r="G219" s="52">
        <v>93.4</v>
      </c>
      <c r="H219"/>
      <c r="I219"/>
      <c r="J219" s="37"/>
      <c r="K219" s="53">
        <v>2.7999999999999972</v>
      </c>
      <c r="L219" s="53"/>
      <c r="M219" s="53">
        <v>2.7999999999999972</v>
      </c>
      <c r="N219" s="53"/>
      <c r="O219" s="53"/>
      <c r="P219" s="53"/>
      <c r="Q219" s="53"/>
      <c r="R219" s="53"/>
      <c r="S219" s="53"/>
      <c r="T219" s="53"/>
      <c r="U219" s="53"/>
      <c r="V219" s="53"/>
    </row>
    <row r="220" spans="1:22" s="15" customFormat="1" ht="14.25" x14ac:dyDescent="0.45">
      <c r="A220" s="21"/>
      <c r="B220" s="21"/>
      <c r="C220" s="21"/>
      <c r="D220" s="21"/>
      <c r="E220" s="21"/>
      <c r="F220" s="49">
        <v>43678</v>
      </c>
      <c r="G220" s="52">
        <v>96.2</v>
      </c>
      <c r="H220"/>
      <c r="I220"/>
      <c r="J220" s="37"/>
      <c r="K220" s="53">
        <v>-4.4000000000000057</v>
      </c>
      <c r="L220" s="53"/>
      <c r="M220" s="53">
        <v>-4.4000000000000057</v>
      </c>
      <c r="N220" s="53"/>
      <c r="O220" s="53"/>
      <c r="P220" s="53"/>
      <c r="Q220" s="53"/>
      <c r="R220" s="53"/>
      <c r="S220" s="53"/>
      <c r="T220" s="53"/>
      <c r="U220" s="53"/>
      <c r="V220" s="53"/>
    </row>
    <row r="221" spans="1:22" s="15" customFormat="1" ht="14.25" x14ac:dyDescent="0.45">
      <c r="A221" s="21"/>
      <c r="B221" s="21"/>
      <c r="C221" s="21"/>
      <c r="D221" s="21"/>
      <c r="E221" s="21"/>
      <c r="F221" s="49">
        <v>43709</v>
      </c>
      <c r="G221" s="52">
        <v>91.8</v>
      </c>
      <c r="H221"/>
      <c r="I221"/>
      <c r="J221" s="37"/>
      <c r="K221" s="53">
        <v>5.2000000000000028</v>
      </c>
      <c r="L221" s="53"/>
      <c r="M221" s="53">
        <v>5.2000000000000028</v>
      </c>
      <c r="N221" s="53"/>
      <c r="O221" s="53"/>
      <c r="P221" s="53"/>
      <c r="Q221" s="53"/>
      <c r="R221" s="53"/>
      <c r="S221" s="53"/>
      <c r="T221" s="53"/>
      <c r="U221" s="53"/>
      <c r="V221" s="53"/>
    </row>
    <row r="222" spans="1:22" s="15" customFormat="1" ht="14.25" x14ac:dyDescent="0.45">
      <c r="A222" s="21"/>
      <c r="B222" s="21"/>
      <c r="C222" s="21"/>
      <c r="D222" s="21"/>
      <c r="E222" s="21"/>
      <c r="F222" s="49">
        <v>43739</v>
      </c>
      <c r="G222" s="52">
        <v>97</v>
      </c>
      <c r="H222"/>
      <c r="I222"/>
      <c r="J222" s="37"/>
      <c r="K222" s="53">
        <v>-9</v>
      </c>
      <c r="L222" s="53"/>
      <c r="M222" s="53">
        <v>-9</v>
      </c>
      <c r="N222" s="53"/>
      <c r="O222" s="53"/>
      <c r="P222" s="53"/>
      <c r="Q222" s="53"/>
      <c r="R222" s="53"/>
      <c r="S222" s="53"/>
      <c r="T222" s="53"/>
      <c r="U222" s="53"/>
      <c r="V222" s="53"/>
    </row>
    <row r="223" spans="1:22" s="15" customFormat="1" ht="14.25" x14ac:dyDescent="0.45">
      <c r="A223" s="21"/>
      <c r="B223" s="21"/>
      <c r="C223" s="21"/>
      <c r="D223" s="21"/>
      <c r="E223" s="21"/>
      <c r="F223" s="49">
        <v>43770</v>
      </c>
      <c r="G223" s="52">
        <v>88</v>
      </c>
      <c r="H223"/>
      <c r="I223"/>
      <c r="J223" s="37"/>
      <c r="K223" s="53">
        <v>-11.099999999999994</v>
      </c>
      <c r="L223" s="53"/>
      <c r="M223" s="53">
        <v>-11.099999999999994</v>
      </c>
      <c r="N223" s="53"/>
      <c r="O223" s="53"/>
      <c r="P223" s="53"/>
      <c r="Q223" s="53"/>
      <c r="R223" s="53"/>
      <c r="S223" s="53"/>
      <c r="T223" s="53"/>
      <c r="U223" s="53"/>
      <c r="V223" s="53"/>
    </row>
    <row r="224" spans="1:22" s="15" customFormat="1" ht="14.25" x14ac:dyDescent="0.45">
      <c r="A224" s="21"/>
      <c r="B224" s="21"/>
      <c r="C224" s="21"/>
      <c r="D224" s="21"/>
      <c r="E224" s="21"/>
      <c r="F224" s="49">
        <v>43800</v>
      </c>
      <c r="G224" s="52">
        <v>76.900000000000006</v>
      </c>
      <c r="H224"/>
      <c r="I224"/>
      <c r="J224" s="37"/>
      <c r="K224" s="53">
        <v>3.0999999999999943</v>
      </c>
      <c r="L224" s="53"/>
      <c r="M224" s="53">
        <v>3.0999999999999943</v>
      </c>
      <c r="N224" s="53"/>
      <c r="O224" s="53"/>
      <c r="P224" s="53"/>
      <c r="Q224" s="53"/>
      <c r="R224" s="53"/>
      <c r="S224" s="53"/>
      <c r="T224" s="53"/>
      <c r="U224" s="53"/>
      <c r="V224" s="53"/>
    </row>
    <row r="225" spans="1:22" s="15" customFormat="1" ht="14.25" x14ac:dyDescent="0.45">
      <c r="A225" s="21"/>
      <c r="B225" s="21"/>
      <c r="C225" s="21"/>
      <c r="D225" s="21"/>
      <c r="E225" s="21"/>
      <c r="F225" s="49">
        <v>43831</v>
      </c>
      <c r="G225" s="52">
        <v>80</v>
      </c>
      <c r="H225"/>
      <c r="I225"/>
      <c r="J225" s="37"/>
      <c r="K225" s="53">
        <v>-1.0999999999999943</v>
      </c>
      <c r="L225" s="53"/>
      <c r="M225" s="53">
        <v>-1.0999999999999943</v>
      </c>
      <c r="N225" s="53"/>
      <c r="O225" s="53"/>
      <c r="P225" s="53"/>
      <c r="Q225" s="53"/>
      <c r="R225" s="53"/>
      <c r="S225" s="53"/>
      <c r="T225" s="53"/>
      <c r="U225" s="53"/>
      <c r="V225" s="53"/>
    </row>
    <row r="226" spans="1:22" s="15" customFormat="1" ht="14.25" x14ac:dyDescent="0.45">
      <c r="A226" s="21"/>
      <c r="B226" s="21"/>
      <c r="C226" s="21"/>
      <c r="D226" s="21"/>
      <c r="E226" s="21"/>
      <c r="F226" s="49">
        <v>43862</v>
      </c>
      <c r="G226" s="52">
        <v>78.900000000000006</v>
      </c>
      <c r="H226"/>
      <c r="I226"/>
      <c r="J226" s="37"/>
      <c r="K226" s="53">
        <v>-1</v>
      </c>
      <c r="L226" s="53"/>
      <c r="M226" s="53">
        <v>-1</v>
      </c>
      <c r="N226" s="53"/>
      <c r="O226" s="53"/>
      <c r="P226" s="53"/>
      <c r="Q226" s="53"/>
      <c r="R226" s="53"/>
      <c r="S226" s="53"/>
      <c r="T226" s="53"/>
      <c r="U226" s="53"/>
      <c r="V226" s="53"/>
    </row>
    <row r="227" spans="1:22" s="15" customFormat="1" ht="14.25" x14ac:dyDescent="0.45">
      <c r="A227" s="21"/>
      <c r="B227" s="21"/>
      <c r="C227" s="21"/>
      <c r="D227" s="21"/>
      <c r="E227" s="21"/>
      <c r="F227" s="49">
        <v>43891</v>
      </c>
      <c r="G227" s="52">
        <v>77.900000000000006</v>
      </c>
      <c r="H227"/>
      <c r="I227"/>
      <c r="J227" s="37"/>
      <c r="K227" s="53">
        <v>-17.600000000000009</v>
      </c>
      <c r="L227" s="53"/>
      <c r="M227" s="53">
        <v>-17.600000000000009</v>
      </c>
      <c r="N227" s="53"/>
      <c r="O227" s="53"/>
      <c r="P227" s="53"/>
      <c r="Q227" s="53"/>
      <c r="R227" s="53"/>
      <c r="S227" s="53"/>
      <c r="T227" s="53"/>
      <c r="U227" s="53"/>
      <c r="V227" s="53"/>
    </row>
    <row r="228" spans="1:22" s="15" customFormat="1" ht="14.25" x14ac:dyDescent="0.45">
      <c r="A228" s="21"/>
      <c r="B228" s="21"/>
      <c r="C228" s="21"/>
      <c r="D228" s="21"/>
      <c r="E228" s="21"/>
      <c r="F228" s="49">
        <v>43922</v>
      </c>
      <c r="G228" s="52">
        <v>60.3</v>
      </c>
      <c r="H228"/>
      <c r="I228"/>
      <c r="J228" s="37"/>
      <c r="K228" s="53">
        <v>10.900000000000006</v>
      </c>
      <c r="L228" s="53"/>
      <c r="M228" s="53">
        <v>10.900000000000006</v>
      </c>
      <c r="N228" s="53"/>
      <c r="O228" s="53"/>
      <c r="P228" s="53"/>
      <c r="Q228" s="53"/>
      <c r="R228" s="53"/>
      <c r="S228" s="53"/>
      <c r="T228" s="53"/>
      <c r="U228" s="53"/>
      <c r="V228" s="53"/>
    </row>
    <row r="229" spans="1:22" s="15" customFormat="1" ht="14.25" x14ac:dyDescent="0.45">
      <c r="A229" s="21"/>
      <c r="B229" s="21"/>
      <c r="C229" s="21"/>
      <c r="D229" s="21"/>
      <c r="E229" s="21"/>
      <c r="F229" s="49">
        <v>43952</v>
      </c>
      <c r="G229" s="52">
        <v>71.2</v>
      </c>
      <c r="H229"/>
      <c r="I229"/>
      <c r="J229" s="37"/>
      <c r="K229" s="53">
        <v>7.2000000000000028</v>
      </c>
      <c r="L229" s="53"/>
      <c r="M229" s="53">
        <v>7.2000000000000028</v>
      </c>
      <c r="N229" s="53"/>
      <c r="O229" s="53"/>
      <c r="P229" s="53"/>
      <c r="Q229" s="53"/>
      <c r="R229" s="53"/>
      <c r="S229" s="53"/>
      <c r="T229" s="53"/>
      <c r="U229" s="53"/>
      <c r="V229" s="53"/>
    </row>
    <row r="230" spans="1:22" s="15" customFormat="1" ht="14.25" x14ac:dyDescent="0.45">
      <c r="A230" s="21"/>
      <c r="B230" s="21"/>
      <c r="C230" s="21"/>
      <c r="D230" s="21"/>
      <c r="E230" s="21"/>
      <c r="F230" s="49">
        <v>43983</v>
      </c>
      <c r="G230" s="52">
        <v>78.400000000000006</v>
      </c>
      <c r="H230"/>
      <c r="I230"/>
      <c r="J230" s="37"/>
      <c r="K230" s="53">
        <v>12.599999999999994</v>
      </c>
      <c r="L230" s="53"/>
      <c r="M230" s="53">
        <v>12.599999999999994</v>
      </c>
      <c r="N230" s="53"/>
      <c r="O230" s="53"/>
      <c r="P230" s="53"/>
      <c r="Q230" s="53"/>
      <c r="R230" s="53"/>
      <c r="S230" s="53"/>
      <c r="T230" s="53"/>
      <c r="U230" s="53"/>
      <c r="V230" s="53"/>
    </row>
    <row r="231" spans="1:22" s="15" customFormat="1" ht="14.25" x14ac:dyDescent="0.45">
      <c r="A231" s="21"/>
      <c r="B231" s="21"/>
      <c r="C231" s="21"/>
      <c r="D231" s="21"/>
      <c r="E231" s="21"/>
      <c r="F231" s="49">
        <v>44013</v>
      </c>
      <c r="G231" s="52">
        <v>91</v>
      </c>
      <c r="H231"/>
      <c r="I231"/>
      <c r="J231" s="37"/>
      <c r="K231" s="53">
        <v>2.9000000000000057</v>
      </c>
      <c r="L231" s="53"/>
      <c r="M231" s="53">
        <v>2.9000000000000057</v>
      </c>
      <c r="N231" s="53"/>
      <c r="O231" s="53"/>
      <c r="P231" s="53"/>
      <c r="Q231" s="53"/>
      <c r="R231" s="53"/>
      <c r="S231" s="53"/>
      <c r="T231" s="53"/>
      <c r="U231" s="53"/>
      <c r="V231" s="53"/>
    </row>
    <row r="232" spans="1:22" s="15" customFormat="1" ht="14.25" x14ac:dyDescent="0.45">
      <c r="A232" s="21"/>
      <c r="B232" s="21"/>
      <c r="C232" s="21"/>
      <c r="D232" s="21"/>
      <c r="E232" s="21"/>
      <c r="F232" s="49">
        <v>44044</v>
      </c>
      <c r="G232" s="52">
        <v>93.9</v>
      </c>
      <c r="H232"/>
      <c r="I232"/>
      <c r="J232" s="37"/>
      <c r="K232" s="53">
        <v>1.5</v>
      </c>
      <c r="L232" s="53"/>
      <c r="M232" s="53">
        <v>1.5</v>
      </c>
      <c r="N232" s="53"/>
      <c r="O232" s="53"/>
      <c r="P232" s="53"/>
      <c r="Q232" s="53"/>
      <c r="R232" s="53"/>
      <c r="S232" s="53"/>
      <c r="T232" s="53"/>
      <c r="U232" s="53"/>
      <c r="V232" s="53"/>
    </row>
    <row r="233" spans="1:22" s="15" customFormat="1" ht="14.25" x14ac:dyDescent="0.45">
      <c r="A233" s="21"/>
      <c r="B233" s="21"/>
      <c r="C233" s="21"/>
      <c r="D233" s="21"/>
      <c r="E233" s="21"/>
      <c r="F233" s="49">
        <v>44075</v>
      </c>
      <c r="G233" s="52">
        <v>95.4</v>
      </c>
      <c r="H233"/>
      <c r="I233"/>
      <c r="J233" s="37"/>
      <c r="K233" s="53">
        <v>1.8999999999999915</v>
      </c>
      <c r="L233" s="53"/>
      <c r="M233" s="53">
        <v>1.8999999999999915</v>
      </c>
      <c r="N233" s="53"/>
      <c r="O233" s="53"/>
      <c r="P233" s="53"/>
      <c r="Q233" s="53"/>
      <c r="R233" s="53"/>
      <c r="S233" s="53"/>
      <c r="T233" s="53"/>
      <c r="U233" s="53"/>
      <c r="V233" s="53"/>
    </row>
    <row r="234" spans="1:22" s="15" customFormat="1" ht="14.25" x14ac:dyDescent="0.45">
      <c r="A234" s="21"/>
      <c r="B234" s="21"/>
      <c r="C234" s="21"/>
      <c r="D234" s="21"/>
      <c r="E234" s="21"/>
      <c r="F234" s="49">
        <v>44105</v>
      </c>
      <c r="G234" s="52">
        <v>97.3</v>
      </c>
      <c r="H234"/>
      <c r="I234"/>
      <c r="J234" s="37"/>
      <c r="K234" s="53">
        <v>-7.0999999999999943</v>
      </c>
      <c r="L234" s="53"/>
      <c r="M234" s="53">
        <v>-7.0999999999999943</v>
      </c>
      <c r="N234" s="53"/>
      <c r="O234" s="53"/>
      <c r="P234" s="53"/>
      <c r="Q234" s="53"/>
      <c r="R234" s="53"/>
      <c r="S234" s="53"/>
      <c r="T234" s="53"/>
      <c r="U234" s="53"/>
      <c r="V234" s="53"/>
    </row>
    <row r="235" spans="1:22" s="15" customFormat="1" ht="14.25" x14ac:dyDescent="0.45">
      <c r="A235" s="21"/>
      <c r="B235" s="21"/>
      <c r="C235" s="21"/>
      <c r="D235" s="21"/>
      <c r="E235" s="21"/>
      <c r="F235" s="49">
        <v>44136</v>
      </c>
      <c r="G235" s="52">
        <v>90.2</v>
      </c>
      <c r="H235"/>
      <c r="I235"/>
      <c r="J235" s="37"/>
      <c r="K235" s="53">
        <v>-6.9000000000000057</v>
      </c>
      <c r="L235" s="53"/>
      <c r="M235" s="53">
        <v>-6.9000000000000057</v>
      </c>
      <c r="N235" s="53"/>
      <c r="O235" s="53"/>
      <c r="P235" s="53"/>
      <c r="Q235" s="53"/>
      <c r="R235" s="53"/>
      <c r="S235" s="53"/>
      <c r="T235" s="53"/>
      <c r="U235" s="53"/>
      <c r="V235" s="53"/>
    </row>
    <row r="236" spans="1:22" s="15" customFormat="1" ht="14.25" x14ac:dyDescent="0.45">
      <c r="A236" s="21"/>
      <c r="B236" s="21"/>
      <c r="C236" s="21"/>
      <c r="D236" s="21"/>
      <c r="E236" s="21"/>
      <c r="F236" s="49">
        <v>44166</v>
      </c>
      <c r="G236" s="52">
        <v>83.3</v>
      </c>
      <c r="H236"/>
      <c r="I236"/>
      <c r="J236" s="37"/>
      <c r="K236" s="53">
        <v>-1.3999999999999915</v>
      </c>
      <c r="L236" s="53"/>
      <c r="M236" s="53">
        <v>-1.3999999999999915</v>
      </c>
      <c r="N236" s="53"/>
      <c r="O236" s="53"/>
      <c r="P236" s="53"/>
      <c r="Q236" s="53"/>
      <c r="R236" s="53"/>
      <c r="S236" s="53"/>
      <c r="T236" s="53"/>
      <c r="U236" s="53"/>
      <c r="V236" s="53"/>
    </row>
    <row r="237" spans="1:22" s="15" customFormat="1" ht="14.25" x14ac:dyDescent="0.45">
      <c r="A237" s="21"/>
      <c r="B237" s="21"/>
      <c r="C237" s="21"/>
      <c r="D237" s="21"/>
      <c r="E237" s="21"/>
      <c r="F237" s="49">
        <v>44197</v>
      </c>
      <c r="G237" s="52">
        <v>81.900000000000006</v>
      </c>
      <c r="H237"/>
      <c r="I237"/>
      <c r="J237" s="37"/>
      <c r="K237" s="53">
        <v>-2.8000000000000114</v>
      </c>
      <c r="L237" s="53"/>
      <c r="M237" s="53">
        <v>-2.8000000000000114</v>
      </c>
      <c r="N237" s="53"/>
      <c r="O237" s="53"/>
      <c r="P237" s="53"/>
      <c r="Q237" s="53"/>
      <c r="R237" s="53"/>
      <c r="S237" s="53"/>
      <c r="T237" s="53"/>
      <c r="U237" s="53"/>
      <c r="V237" s="53"/>
    </row>
    <row r="238" spans="1:22" s="15" customFormat="1" ht="14.25" x14ac:dyDescent="0.45">
      <c r="A238" s="21"/>
      <c r="B238" s="21"/>
      <c r="C238" s="21"/>
      <c r="D238" s="21"/>
      <c r="E238" s="21"/>
      <c r="F238" s="49">
        <v>44228</v>
      </c>
      <c r="G238" s="52">
        <v>79.099999999999994</v>
      </c>
      <c r="H238"/>
      <c r="I238"/>
      <c r="J238" s="37"/>
      <c r="K238" s="53">
        <v>7</v>
      </c>
      <c r="L238" s="53"/>
      <c r="M238" s="53">
        <v>7</v>
      </c>
      <c r="N238" s="53"/>
      <c r="O238" s="53"/>
      <c r="P238" s="53"/>
      <c r="Q238" s="53"/>
      <c r="R238" s="53"/>
      <c r="S238" s="53"/>
      <c r="T238" s="53"/>
      <c r="U238" s="53"/>
      <c r="V238" s="53"/>
    </row>
    <row r="239" spans="1:22" s="15" customFormat="1" ht="14.25" x14ac:dyDescent="0.45">
      <c r="A239" s="21"/>
      <c r="B239" s="21"/>
      <c r="C239" s="21"/>
      <c r="D239" s="21"/>
      <c r="E239" s="21"/>
      <c r="F239" s="49">
        <v>44256</v>
      </c>
      <c r="G239" s="52">
        <v>86.1</v>
      </c>
      <c r="H239"/>
      <c r="I239"/>
      <c r="J239" s="37"/>
      <c r="K239" s="53">
        <v>-4.7999999999999972</v>
      </c>
      <c r="L239" s="53"/>
      <c r="M239" s="53">
        <v>-4.7999999999999972</v>
      </c>
      <c r="N239" s="53"/>
      <c r="O239" s="53"/>
      <c r="P239" s="53"/>
      <c r="Q239" s="53"/>
      <c r="R239" s="53"/>
      <c r="S239" s="53"/>
      <c r="T239" s="53"/>
      <c r="U239" s="53"/>
      <c r="V239" s="53"/>
    </row>
    <row r="240" spans="1:22" s="15" customFormat="1" ht="14.25" x14ac:dyDescent="0.45">
      <c r="A240" s="21"/>
      <c r="B240" s="21"/>
      <c r="C240" s="21"/>
      <c r="D240" s="21"/>
      <c r="E240" s="21"/>
      <c r="F240" s="49">
        <v>44287</v>
      </c>
      <c r="G240" s="52">
        <v>81.3</v>
      </c>
      <c r="H240"/>
      <c r="I240"/>
      <c r="J240" s="37"/>
      <c r="K240" s="53">
        <v>7.1000000000000085</v>
      </c>
      <c r="L240" s="53"/>
      <c r="M240" s="53">
        <v>7.1000000000000085</v>
      </c>
      <c r="N240" s="53"/>
      <c r="O240" s="53"/>
      <c r="P240" s="53"/>
      <c r="Q240" s="53"/>
      <c r="R240" s="53"/>
      <c r="S240" s="53"/>
      <c r="T240" s="53"/>
      <c r="U240" s="53"/>
      <c r="V240" s="53"/>
    </row>
    <row r="241" spans="1:22" s="15" customFormat="1" ht="14.25" x14ac:dyDescent="0.45">
      <c r="A241" s="21"/>
      <c r="B241" s="21"/>
      <c r="C241" s="21"/>
      <c r="D241" s="21"/>
      <c r="E241" s="21"/>
      <c r="F241" s="49">
        <v>44317</v>
      </c>
      <c r="G241" s="52">
        <v>88.4</v>
      </c>
      <c r="H241"/>
      <c r="I241"/>
      <c r="J241" s="37"/>
      <c r="K241" s="53">
        <v>-0.5</v>
      </c>
      <c r="L241" s="53"/>
      <c r="M241" s="53">
        <v>-0.5</v>
      </c>
      <c r="N241" s="53"/>
      <c r="O241" s="53"/>
      <c r="P241" s="53"/>
      <c r="Q241" s="53"/>
      <c r="R241" s="53"/>
      <c r="S241" s="53"/>
      <c r="T241" s="53"/>
      <c r="U241" s="53"/>
      <c r="V241" s="53"/>
    </row>
    <row r="242" spans="1:22" s="15" customFormat="1" ht="14.25" x14ac:dyDescent="0.45">
      <c r="A242" s="21"/>
      <c r="B242" s="21"/>
      <c r="C242" s="21"/>
      <c r="D242" s="21"/>
      <c r="E242" s="21"/>
      <c r="F242" s="49">
        <v>44348</v>
      </c>
      <c r="G242" s="52">
        <v>87.9</v>
      </c>
      <c r="H242"/>
      <c r="I242"/>
      <c r="J242" s="37"/>
      <c r="K242" s="53">
        <v>4.2999999999999972</v>
      </c>
      <c r="L242" s="53"/>
      <c r="M242" s="53">
        <v>4.2999999999999972</v>
      </c>
      <c r="N242" s="53"/>
      <c r="O242" s="53"/>
      <c r="P242" s="53"/>
      <c r="Q242" s="53"/>
      <c r="R242" s="53"/>
      <c r="S242" s="53"/>
      <c r="T242" s="53"/>
      <c r="U242" s="53"/>
      <c r="V242" s="53"/>
    </row>
    <row r="243" spans="1:22" s="15" customFormat="1" ht="14.25" x14ac:dyDescent="0.45">
      <c r="A243" s="21"/>
      <c r="B243" s="21"/>
      <c r="C243" s="21"/>
      <c r="D243" s="21"/>
      <c r="E243" s="21"/>
      <c r="F243" s="49">
        <v>44378</v>
      </c>
      <c r="G243" s="52">
        <v>92.2</v>
      </c>
      <c r="H243"/>
      <c r="I243"/>
      <c r="J243" s="37"/>
      <c r="K243" s="53">
        <v>1.2000000000000028</v>
      </c>
      <c r="L243" s="53"/>
      <c r="M243" s="53">
        <v>1.2000000000000028</v>
      </c>
      <c r="N243" s="53"/>
      <c r="O243" s="53"/>
      <c r="P243" s="53"/>
      <c r="Q243" s="53"/>
      <c r="R243" s="53"/>
      <c r="S243" s="53"/>
      <c r="T243" s="53"/>
      <c r="U243" s="53"/>
      <c r="V243" s="53"/>
    </row>
    <row r="244" spans="1:22" s="15" customFormat="1" ht="14.25" x14ac:dyDescent="0.45">
      <c r="A244" s="21"/>
      <c r="B244" s="21"/>
      <c r="C244" s="21"/>
      <c r="D244" s="21"/>
      <c r="E244" s="21"/>
      <c r="F244" s="49">
        <v>44409</v>
      </c>
      <c r="G244" s="52">
        <v>93.4</v>
      </c>
      <c r="H244"/>
      <c r="I244"/>
      <c r="J244" s="37"/>
      <c r="K244" s="53">
        <v>-1.9000000000000057</v>
      </c>
      <c r="L244" s="53"/>
      <c r="M244" s="53">
        <v>-1.9000000000000057</v>
      </c>
      <c r="N244" s="53"/>
      <c r="O244" s="53"/>
      <c r="P244" s="53"/>
      <c r="Q244" s="53"/>
      <c r="R244" s="53"/>
      <c r="S244" s="53"/>
      <c r="T244" s="53"/>
      <c r="U244" s="53"/>
      <c r="V244" s="53"/>
    </row>
    <row r="245" spans="1:22" s="15" customFormat="1" ht="14.25" x14ac:dyDescent="0.45">
      <c r="A245" s="21"/>
      <c r="B245" s="21"/>
      <c r="C245" s="21"/>
      <c r="D245" s="21"/>
      <c r="E245" s="21"/>
      <c r="F245" s="49">
        <v>44440</v>
      </c>
      <c r="G245" s="52">
        <v>91.5</v>
      </c>
      <c r="H245"/>
      <c r="I245"/>
      <c r="J245" s="37"/>
      <c r="K245" s="53">
        <v>-1.7999999999999972</v>
      </c>
      <c r="L245" s="53"/>
      <c r="M245" s="53">
        <v>-1.7999999999999972</v>
      </c>
      <c r="N245" s="53"/>
      <c r="O245" s="53"/>
      <c r="P245" s="53"/>
      <c r="Q245" s="53"/>
      <c r="R245" s="53"/>
      <c r="S245" s="53"/>
      <c r="T245" s="53"/>
      <c r="U245" s="53"/>
      <c r="V245" s="53"/>
    </row>
    <row r="246" spans="1:22" s="15" customFormat="1" ht="14.25" x14ac:dyDescent="0.45">
      <c r="A246" s="21"/>
      <c r="B246" s="21"/>
      <c r="C246" s="21"/>
      <c r="D246" s="21"/>
      <c r="E246" s="21"/>
      <c r="F246" s="49">
        <v>44470</v>
      </c>
      <c r="G246" s="52">
        <v>89.7</v>
      </c>
      <c r="H246"/>
      <c r="I246"/>
      <c r="J246" s="37"/>
      <c r="K246" s="53">
        <v>-3.4000000000000057</v>
      </c>
      <c r="L246" s="53"/>
      <c r="M246" s="53">
        <v>-3.4000000000000057</v>
      </c>
      <c r="N246" s="53"/>
      <c r="O246" s="53"/>
      <c r="P246" s="53"/>
      <c r="Q246" s="53"/>
      <c r="R246" s="53"/>
      <c r="S246" s="53"/>
      <c r="T246" s="53"/>
      <c r="U246" s="53"/>
      <c r="V246" s="53"/>
    </row>
    <row r="247" spans="1:22" s="15" customFormat="1" ht="14.25" x14ac:dyDescent="0.45">
      <c r="A247" s="21"/>
      <c r="B247" s="21"/>
      <c r="C247" s="21"/>
      <c r="D247" s="21"/>
      <c r="E247" s="21"/>
      <c r="F247" s="49">
        <v>44501</v>
      </c>
      <c r="G247" s="52">
        <v>86.3</v>
      </c>
      <c r="H247"/>
      <c r="I247"/>
      <c r="J247" s="37"/>
      <c r="K247" s="53">
        <v>-7.0999999999999943</v>
      </c>
      <c r="L247" s="53"/>
      <c r="M247" s="53">
        <v>-7.0999999999999943</v>
      </c>
      <c r="N247" s="53"/>
      <c r="O247" s="53"/>
      <c r="P247" s="53"/>
      <c r="Q247" s="53"/>
      <c r="R247" s="53"/>
      <c r="S247" s="53"/>
      <c r="T247" s="53"/>
      <c r="U247" s="53"/>
      <c r="V247" s="53"/>
    </row>
    <row r="248" spans="1:22" s="15" customFormat="1" ht="14.25" x14ac:dyDescent="0.45">
      <c r="A248" s="21"/>
      <c r="B248" s="21"/>
      <c r="C248" s="21"/>
      <c r="D248" s="21"/>
      <c r="E248" s="21"/>
      <c r="F248" s="49">
        <v>44531</v>
      </c>
      <c r="G248" s="52">
        <v>79.2</v>
      </c>
      <c r="H248"/>
      <c r="I248"/>
      <c r="J248" s="37"/>
      <c r="K248" s="53"/>
      <c r="L248" s="53"/>
      <c r="M248" s="53"/>
      <c r="N248" s="53"/>
      <c r="O248" s="53"/>
      <c r="P248" s="53"/>
      <c r="Q248" s="53"/>
      <c r="R248" s="53"/>
      <c r="S248" s="53"/>
      <c r="T248" s="53"/>
      <c r="U248" s="53"/>
      <c r="V248" s="53"/>
    </row>
  </sheetData>
  <mergeCells count="1">
    <mergeCell ref="D12:D13"/>
  </mergeCells>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0A7B4-B54D-4B7E-9757-9DBB3A0D8955}">
  <sheetPr codeName="Planilha41">
    <tabColor theme="9" tint="0.59999389629810485"/>
  </sheetPr>
  <dimension ref="A1:AE250"/>
  <sheetViews>
    <sheetView showGridLines="0" workbookViewId="0">
      <selection activeCell="B8" sqref="B8"/>
    </sheetView>
  </sheetViews>
  <sheetFormatPr defaultColWidth="8.796875" defaultRowHeight="18" x14ac:dyDescent="0.55000000000000004"/>
  <cols>
    <col min="1" max="1" width="12.6640625" style="17" customWidth="1"/>
    <col min="2" max="2" width="33.1328125" customWidth="1"/>
    <col min="4" max="4" width="44.33203125" bestFit="1" customWidth="1"/>
    <col min="5" max="5" width="4.6640625" customWidth="1"/>
    <col min="6" max="9" width="7.1328125" bestFit="1" customWidth="1"/>
    <col min="10" max="11" width="9.33203125" bestFit="1" customWidth="1"/>
    <col min="12" max="12" width="10.6640625" bestFit="1" customWidth="1"/>
    <col min="13" max="13" width="14.6640625" customWidth="1"/>
    <col min="15" max="17" width="5.6640625" style="15" bestFit="1" customWidth="1"/>
    <col min="18" max="18" width="6.1328125" style="15" customWidth="1"/>
    <col min="19" max="31" width="5.6640625" style="15" bestFit="1" customWidth="1"/>
  </cols>
  <sheetData>
    <row r="1" spans="1:31" x14ac:dyDescent="0.55000000000000004">
      <c r="A1" s="16" t="s">
        <v>516</v>
      </c>
      <c r="O1" s="14"/>
      <c r="P1" s="14"/>
      <c r="Q1" s="14"/>
      <c r="R1" s="14"/>
      <c r="S1" s="14"/>
      <c r="T1" s="14"/>
      <c r="U1" s="14"/>
      <c r="V1" s="14"/>
      <c r="W1" s="14"/>
      <c r="X1" s="14"/>
      <c r="Y1" s="14"/>
      <c r="Z1" s="14"/>
      <c r="AA1" s="14"/>
      <c r="AB1" s="14"/>
      <c r="AC1" s="14"/>
      <c r="AD1" s="14"/>
      <c r="AE1" s="14"/>
    </row>
    <row r="2" spans="1:31" x14ac:dyDescent="0.55000000000000004">
      <c r="A2" s="17" t="s">
        <v>517</v>
      </c>
      <c r="O2" s="14"/>
      <c r="P2" s="14"/>
      <c r="Q2" s="14"/>
      <c r="R2" s="14"/>
      <c r="S2" s="14"/>
      <c r="T2" s="14"/>
      <c r="U2" s="14"/>
      <c r="V2" s="14"/>
      <c r="W2" s="14"/>
      <c r="X2" s="14"/>
      <c r="Y2" s="14"/>
      <c r="Z2" s="14"/>
      <c r="AA2" s="14"/>
      <c r="AB2" s="14"/>
      <c r="AC2" s="14"/>
      <c r="AD2" s="14"/>
      <c r="AE2" s="14"/>
    </row>
    <row r="4" spans="1:31" ht="15.75" x14ac:dyDescent="0.5">
      <c r="A4" s="2" t="s">
        <v>15</v>
      </c>
      <c r="B4" s="2" t="s">
        <v>16</v>
      </c>
    </row>
    <row r="5" spans="1:31" ht="15.75" x14ac:dyDescent="0.5">
      <c r="A5" s="23" t="s">
        <v>165</v>
      </c>
      <c r="B5" s="24" t="s">
        <v>167</v>
      </c>
    </row>
    <row r="6" spans="1:31" ht="31.5" x14ac:dyDescent="0.5">
      <c r="A6" s="23" t="s">
        <v>54</v>
      </c>
      <c r="B6" s="24" t="s">
        <v>518</v>
      </c>
    </row>
    <row r="7" spans="1:31" ht="31.5" x14ac:dyDescent="0.5">
      <c r="A7" s="23" t="s">
        <v>84</v>
      </c>
      <c r="B7" s="24" t="s">
        <v>352</v>
      </c>
    </row>
    <row r="8" spans="1:31" ht="31.5" x14ac:dyDescent="0.5">
      <c r="A8" s="23" t="s">
        <v>519</v>
      </c>
      <c r="B8" s="24" t="s">
        <v>522</v>
      </c>
    </row>
    <row r="9" spans="1:31" ht="47.25" customHeight="1" x14ac:dyDescent="0.5">
      <c r="A9" s="23" t="s">
        <v>209</v>
      </c>
      <c r="B9" s="24" t="s">
        <v>521</v>
      </c>
    </row>
    <row r="10" spans="1:31" x14ac:dyDescent="0.55000000000000004">
      <c r="D10" s="1" t="s">
        <v>17</v>
      </c>
      <c r="G10" s="171" t="s">
        <v>165</v>
      </c>
      <c r="H10" s="174"/>
      <c r="I10" s="170"/>
      <c r="J10" s="13" t="s">
        <v>35</v>
      </c>
      <c r="K10" s="13" t="s">
        <v>136</v>
      </c>
      <c r="L10" s="13" t="s">
        <v>514</v>
      </c>
      <c r="M10" s="13" t="s">
        <v>212</v>
      </c>
    </row>
    <row r="11" spans="1:31" x14ac:dyDescent="0.55000000000000004">
      <c r="D11" t="s">
        <v>176</v>
      </c>
      <c r="F11" s="49">
        <v>37257</v>
      </c>
      <c r="G11" s="52">
        <v>72.400000000000006</v>
      </c>
      <c r="H11" s="52">
        <v>144.80000000000001</v>
      </c>
      <c r="I11" s="52">
        <v>72.400000000000006</v>
      </c>
      <c r="J11" s="54">
        <v>3</v>
      </c>
      <c r="K11" s="54">
        <v>1</v>
      </c>
      <c r="L11" s="54" t="s">
        <v>520</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AVERAGE(INDEX(_xlpm.values, _xlfn.SEQUENCE(_xlpm.N,1,_xlpm.row-_xlpm.N+1), _xlpm.col))))) ), _xlpm.dropParam, 0),
IF(_xlpm.dim=2,
_xlfn.DROP( IF(_xlpm.N=1, _xlpm.values, _xlfn.MAKEARRAY(ROWS(_xlpm.values), COLUMNS(_xlpm.values), _xlfn.LAMBDA(_xlpm.row,_xlpm.col, IF(_xlpm.col &lt; _xlpm.N, NA(), AVERAGE(INDEX(_xlpm.values, _xlpm.row, _xlfn.SEQUENCE(1,_xlpm.N,_xlpm.col-_xlpm.N+1)))))) ), 0, _xlpm.dropParam),
"# dim must be either 1 or 2"
))
) )($G$11:$I$250,$J$11,$K$11,$L$11,$M$11)</f>
        <v>#N/A</v>
      </c>
      <c r="P11" s="53" t="e">
        <v>#N/A</v>
      </c>
      <c r="Q11" s="53" t="e">
        <v>#N/A</v>
      </c>
      <c r="R11" s="53"/>
      <c r="S11" s="53" t="e" cm="1">
        <f t="array" ref="S11:U250">MOVAVG($G$11:$I$250,$J$11,$K$11,$L$11,$M$11)</f>
        <v>#N/A</v>
      </c>
      <c r="T11" s="53" t="e">
        <v>#N/A</v>
      </c>
      <c r="U11" s="53" t="e">
        <v>#N/A</v>
      </c>
      <c r="V11" s="53"/>
      <c r="W11" s="53"/>
      <c r="X11" s="53"/>
      <c r="Y11" s="53"/>
      <c r="Z11" s="53"/>
      <c r="AA11" s="53"/>
      <c r="AB11" s="53"/>
      <c r="AC11" s="53"/>
      <c r="AD11" s="53"/>
      <c r="AE11" s="53"/>
    </row>
    <row r="12" spans="1:31" x14ac:dyDescent="0.55000000000000004">
      <c r="D12" t="s">
        <v>177</v>
      </c>
      <c r="F12" s="49">
        <v>37288</v>
      </c>
      <c r="G12" s="52">
        <v>69.7</v>
      </c>
      <c r="H12" s="52">
        <v>139.4</v>
      </c>
      <c r="I12" s="52">
        <v>69.7</v>
      </c>
      <c r="N12" s="37"/>
      <c r="O12" s="53" t="e">
        <v>#N/A</v>
      </c>
      <c r="P12" s="53" t="e">
        <v>#N/A</v>
      </c>
      <c r="Q12" s="53" t="e">
        <v>#N/A</v>
      </c>
      <c r="R12" s="53"/>
      <c r="S12" s="53" t="e">
        <v>#N/A</v>
      </c>
      <c r="T12" s="53" t="e">
        <v>#N/A</v>
      </c>
      <c r="U12" s="53" t="e">
        <v>#N/A</v>
      </c>
      <c r="V12" s="53"/>
      <c r="W12" s="53"/>
      <c r="X12" s="53"/>
      <c r="Y12" s="53"/>
      <c r="Z12" s="53"/>
      <c r="AA12" s="53"/>
      <c r="AB12" s="53"/>
      <c r="AC12" s="53"/>
      <c r="AD12" s="53"/>
      <c r="AE12" s="53"/>
    </row>
    <row r="13" spans="1:31" x14ac:dyDescent="0.55000000000000004">
      <c r="F13" s="49">
        <v>37316</v>
      </c>
      <c r="G13" s="52">
        <v>77.400000000000006</v>
      </c>
      <c r="H13" s="52">
        <v>154.80000000000001</v>
      </c>
      <c r="I13" s="52">
        <v>77.400000000000006</v>
      </c>
      <c r="N13" s="37"/>
      <c r="O13" s="53">
        <v>73.166666666666671</v>
      </c>
      <c r="P13" s="53">
        <v>146.33333333333334</v>
      </c>
      <c r="Q13" s="53">
        <v>73.166666666666671</v>
      </c>
      <c r="R13" s="53"/>
      <c r="S13" s="53">
        <v>73.166666666666671</v>
      </c>
      <c r="T13" s="53">
        <v>146.33333333333334</v>
      </c>
      <c r="U13" s="53">
        <v>73.166666666666671</v>
      </c>
      <c r="V13" s="53"/>
      <c r="W13" s="53"/>
      <c r="X13" s="53"/>
      <c r="Y13" s="53"/>
      <c r="Z13" s="53"/>
      <c r="AA13" s="53"/>
      <c r="AB13" s="53"/>
      <c r="AC13" s="53"/>
      <c r="AD13" s="53"/>
      <c r="AE13" s="53"/>
    </row>
    <row r="14" spans="1:31" ht="18.75" customHeight="1" x14ac:dyDescent="0.55000000000000004">
      <c r="D14" s="173"/>
      <c r="F14" s="49">
        <v>37347</v>
      </c>
      <c r="G14" s="52">
        <v>79.599999999999994</v>
      </c>
      <c r="H14" s="52">
        <v>159.19999999999999</v>
      </c>
      <c r="I14" s="52">
        <v>79.599999999999994</v>
      </c>
      <c r="N14" s="37"/>
      <c r="O14" s="53">
        <v>75.566666666666677</v>
      </c>
      <c r="P14" s="53">
        <v>151.13333333333335</v>
      </c>
      <c r="Q14" s="53">
        <v>75.566666666666677</v>
      </c>
      <c r="R14" s="53"/>
      <c r="S14" s="53">
        <v>75.566666666666677</v>
      </c>
      <c r="T14" s="53">
        <v>151.13333333333335</v>
      </c>
      <c r="U14" s="53">
        <v>75.566666666666677</v>
      </c>
      <c r="V14" s="53"/>
      <c r="W14" s="53"/>
      <c r="X14" s="53"/>
      <c r="Y14" s="53"/>
      <c r="Z14" s="53"/>
      <c r="AA14" s="53"/>
      <c r="AB14" s="53"/>
      <c r="AC14" s="53"/>
      <c r="AD14" s="53"/>
      <c r="AE14" s="53"/>
    </row>
    <row r="15" spans="1:31" x14ac:dyDescent="0.55000000000000004">
      <c r="D15" s="173"/>
      <c r="F15" s="49">
        <v>37377</v>
      </c>
      <c r="G15" s="52">
        <v>80.400000000000006</v>
      </c>
      <c r="H15" s="52">
        <v>160.80000000000001</v>
      </c>
      <c r="I15" s="52">
        <v>80.400000000000006</v>
      </c>
      <c r="N15" s="37"/>
      <c r="O15" s="53">
        <v>79.13333333333334</v>
      </c>
      <c r="P15" s="53">
        <v>158.26666666666668</v>
      </c>
      <c r="Q15" s="53">
        <v>79.13333333333334</v>
      </c>
      <c r="R15" s="53"/>
      <c r="S15" s="53">
        <v>79.13333333333334</v>
      </c>
      <c r="T15" s="53">
        <v>158.26666666666668</v>
      </c>
      <c r="U15" s="53">
        <v>79.13333333333334</v>
      </c>
      <c r="V15" s="53"/>
      <c r="W15" s="53"/>
      <c r="X15" s="53"/>
      <c r="Y15" s="53"/>
      <c r="Z15" s="53"/>
      <c r="AA15" s="53"/>
      <c r="AB15" s="53"/>
      <c r="AC15" s="53"/>
      <c r="AD15" s="53"/>
      <c r="AE15" s="53"/>
    </row>
    <row r="16" spans="1:31" x14ac:dyDescent="0.55000000000000004">
      <c r="D16" s="46"/>
      <c r="F16" s="49">
        <v>37408</v>
      </c>
      <c r="G16" s="52">
        <v>77.5</v>
      </c>
      <c r="H16" s="52">
        <v>155</v>
      </c>
      <c r="I16" s="52">
        <v>77.5</v>
      </c>
      <c r="N16" s="37"/>
      <c r="O16" s="53">
        <v>79.166666666666671</v>
      </c>
      <c r="P16" s="53">
        <v>158.33333333333334</v>
      </c>
      <c r="Q16" s="53">
        <v>79.166666666666671</v>
      </c>
      <c r="R16" s="53"/>
      <c r="S16" s="53">
        <v>79.166666666666671</v>
      </c>
      <c r="T16" s="53">
        <v>158.33333333333334</v>
      </c>
      <c r="U16" s="53">
        <v>79.166666666666671</v>
      </c>
      <c r="V16" s="53"/>
      <c r="W16" s="53"/>
      <c r="X16" s="53"/>
      <c r="Y16" s="53"/>
      <c r="Z16" s="53"/>
      <c r="AA16" s="53"/>
      <c r="AB16" s="53"/>
      <c r="AC16" s="53"/>
      <c r="AD16" s="53"/>
      <c r="AE16" s="53"/>
    </row>
    <row r="17" spans="6:31" x14ac:dyDescent="0.55000000000000004">
      <c r="F17" s="49">
        <v>37438</v>
      </c>
      <c r="G17" s="52">
        <v>83.3</v>
      </c>
      <c r="H17" s="52">
        <v>166.6</v>
      </c>
      <c r="I17" s="52">
        <v>83.3</v>
      </c>
      <c r="N17" s="37"/>
      <c r="O17" s="53">
        <v>80.399999999999991</v>
      </c>
      <c r="P17" s="53">
        <v>160.79999999999998</v>
      </c>
      <c r="Q17" s="53">
        <v>80.399999999999991</v>
      </c>
      <c r="R17" s="53"/>
      <c r="S17" s="53">
        <v>80.399999999999991</v>
      </c>
      <c r="T17" s="53">
        <v>160.79999999999998</v>
      </c>
      <c r="U17" s="53">
        <v>80.399999999999991</v>
      </c>
      <c r="V17" s="53"/>
      <c r="W17" s="53"/>
      <c r="X17" s="53"/>
      <c r="Y17" s="53"/>
      <c r="Z17" s="53"/>
      <c r="AA17" s="53"/>
      <c r="AB17" s="53"/>
      <c r="AC17" s="53"/>
      <c r="AD17" s="53"/>
      <c r="AE17" s="53"/>
    </row>
    <row r="18" spans="6:31" x14ac:dyDescent="0.55000000000000004">
      <c r="F18" s="49">
        <v>37469</v>
      </c>
      <c r="G18" s="52">
        <v>83.6</v>
      </c>
      <c r="H18" s="52">
        <v>167.2</v>
      </c>
      <c r="I18" s="52">
        <v>83.6</v>
      </c>
      <c r="N18" s="37"/>
      <c r="O18" s="53">
        <v>81.466666666666669</v>
      </c>
      <c r="P18" s="53">
        <v>162.93333333333334</v>
      </c>
      <c r="Q18" s="53">
        <v>81.466666666666669</v>
      </c>
      <c r="R18" s="53"/>
      <c r="S18" s="53">
        <v>81.466666666666669</v>
      </c>
      <c r="T18" s="53">
        <v>162.93333333333334</v>
      </c>
      <c r="U18" s="53">
        <v>81.466666666666669</v>
      </c>
      <c r="V18" s="53"/>
      <c r="W18" s="53"/>
      <c r="X18" s="53"/>
      <c r="Y18" s="53"/>
      <c r="Z18" s="53"/>
      <c r="AA18" s="53"/>
      <c r="AB18" s="53"/>
      <c r="AC18" s="53"/>
      <c r="AD18" s="53"/>
      <c r="AE18" s="53"/>
    </row>
    <row r="19" spans="6:31" s="21" customFormat="1" ht="14.25" x14ac:dyDescent="0.45">
      <c r="F19" s="49">
        <v>37500</v>
      </c>
      <c r="G19" s="52">
        <v>82.1</v>
      </c>
      <c r="H19" s="52">
        <v>164.2</v>
      </c>
      <c r="I19" s="52">
        <v>82.1</v>
      </c>
      <c r="J19"/>
      <c r="K19"/>
      <c r="L19"/>
      <c r="M19"/>
      <c r="N19" s="37"/>
      <c r="O19" s="53">
        <v>82.999999999999986</v>
      </c>
      <c r="P19" s="53">
        <v>165.99999999999997</v>
      </c>
      <c r="Q19" s="53">
        <v>82.999999999999986</v>
      </c>
      <c r="R19" s="53"/>
      <c r="S19" s="53">
        <v>82.999999999999986</v>
      </c>
      <c r="T19" s="53">
        <v>165.99999999999997</v>
      </c>
      <c r="U19" s="53">
        <v>82.999999999999986</v>
      </c>
      <c r="V19" s="53"/>
      <c r="W19" s="53"/>
      <c r="X19" s="53"/>
      <c r="Y19" s="53"/>
      <c r="Z19" s="53"/>
      <c r="AA19" s="53"/>
      <c r="AB19" s="53"/>
      <c r="AC19" s="53"/>
      <c r="AD19" s="53"/>
      <c r="AE19" s="53"/>
    </row>
    <row r="20" spans="6:31" s="21" customFormat="1" ht="14.25" x14ac:dyDescent="0.45">
      <c r="F20" s="49">
        <v>37530</v>
      </c>
      <c r="G20" s="52">
        <v>89.2</v>
      </c>
      <c r="H20" s="52">
        <v>178.4</v>
      </c>
      <c r="I20" s="52">
        <v>89.2</v>
      </c>
      <c r="J20"/>
      <c r="K20"/>
      <c r="L20"/>
      <c r="M20"/>
      <c r="N20" s="37"/>
      <c r="O20" s="53">
        <v>84.966666666666654</v>
      </c>
      <c r="P20" s="53">
        <v>169.93333333333331</v>
      </c>
      <c r="Q20" s="53">
        <v>84.966666666666654</v>
      </c>
      <c r="R20" s="53"/>
      <c r="S20" s="53">
        <v>84.966666666666654</v>
      </c>
      <c r="T20" s="53">
        <v>169.93333333333331</v>
      </c>
      <c r="U20" s="53">
        <v>84.966666666666654</v>
      </c>
      <c r="V20" s="53"/>
      <c r="W20" s="53"/>
      <c r="X20" s="53"/>
      <c r="Y20" s="53"/>
      <c r="Z20" s="53"/>
      <c r="AA20" s="53"/>
      <c r="AB20" s="53"/>
      <c r="AC20" s="53"/>
      <c r="AD20" s="53"/>
      <c r="AE20" s="53"/>
    </row>
    <row r="21" spans="6:31" s="21" customFormat="1" ht="14.25" x14ac:dyDescent="0.45">
      <c r="F21" s="49">
        <v>37561</v>
      </c>
      <c r="G21" s="52">
        <v>83.9</v>
      </c>
      <c r="H21" s="52">
        <v>167.8</v>
      </c>
      <c r="I21" s="52">
        <v>83.9</v>
      </c>
      <c r="J21"/>
      <c r="K21"/>
      <c r="L21"/>
      <c r="M21"/>
      <c r="N21" s="37"/>
      <c r="O21" s="53">
        <v>85.066666666666677</v>
      </c>
      <c r="P21" s="53">
        <v>170.13333333333335</v>
      </c>
      <c r="Q21" s="53">
        <v>85.066666666666677</v>
      </c>
      <c r="R21" s="53"/>
      <c r="S21" s="53">
        <v>85.066666666666677</v>
      </c>
      <c r="T21" s="53">
        <v>170.13333333333335</v>
      </c>
      <c r="U21" s="53">
        <v>85.066666666666677</v>
      </c>
      <c r="V21" s="53"/>
      <c r="W21" s="53"/>
      <c r="X21" s="53"/>
      <c r="Y21" s="53"/>
      <c r="Z21" s="53"/>
      <c r="AA21" s="53"/>
      <c r="AB21" s="53"/>
      <c r="AC21" s="53"/>
      <c r="AD21" s="53"/>
      <c r="AE21" s="53"/>
    </row>
    <row r="22" spans="6:31" s="21" customFormat="1" ht="14.25" x14ac:dyDescent="0.45">
      <c r="F22" s="49">
        <v>37591</v>
      </c>
      <c r="G22" s="52">
        <v>74.599999999999994</v>
      </c>
      <c r="H22" s="52">
        <v>149.19999999999999</v>
      </c>
      <c r="I22" s="52">
        <v>74.599999999999994</v>
      </c>
      <c r="J22"/>
      <c r="K22"/>
      <c r="L22"/>
      <c r="M22"/>
      <c r="N22" s="37"/>
      <c r="O22" s="53">
        <v>82.566666666666677</v>
      </c>
      <c r="P22" s="53">
        <v>165.13333333333335</v>
      </c>
      <c r="Q22" s="53">
        <v>82.566666666666677</v>
      </c>
      <c r="R22" s="53"/>
      <c r="S22" s="53">
        <v>82.566666666666677</v>
      </c>
      <c r="T22" s="53">
        <v>165.13333333333335</v>
      </c>
      <c r="U22" s="53">
        <v>82.566666666666677</v>
      </c>
      <c r="V22" s="53"/>
      <c r="W22" s="53"/>
      <c r="X22" s="53"/>
      <c r="Y22" s="53"/>
      <c r="Z22" s="53"/>
      <c r="AA22" s="53"/>
      <c r="AB22" s="53"/>
      <c r="AC22" s="53"/>
      <c r="AD22" s="53"/>
      <c r="AE22" s="53"/>
    </row>
    <row r="23" spans="6:31" s="21" customFormat="1" ht="14.25" x14ac:dyDescent="0.45">
      <c r="F23" s="49">
        <v>37622</v>
      </c>
      <c r="G23" s="52">
        <v>74</v>
      </c>
      <c r="H23" s="52">
        <v>148</v>
      </c>
      <c r="I23" s="52">
        <v>74</v>
      </c>
      <c r="J23"/>
      <c r="K23"/>
      <c r="L23"/>
      <c r="M23"/>
      <c r="N23" s="37"/>
      <c r="O23" s="53">
        <v>77.5</v>
      </c>
      <c r="P23" s="53">
        <v>155</v>
      </c>
      <c r="Q23" s="53">
        <v>77.5</v>
      </c>
      <c r="R23" s="53"/>
      <c r="S23" s="53">
        <v>77.5</v>
      </c>
      <c r="T23" s="53">
        <v>155</v>
      </c>
      <c r="U23" s="53">
        <v>77.5</v>
      </c>
      <c r="V23" s="53"/>
      <c r="W23" s="53"/>
      <c r="X23" s="53"/>
      <c r="Y23" s="53"/>
      <c r="Z23" s="53"/>
      <c r="AA23" s="53"/>
      <c r="AB23" s="53"/>
      <c r="AC23" s="53"/>
      <c r="AD23" s="53"/>
      <c r="AE23" s="53"/>
    </row>
    <row r="24" spans="6:31" s="21" customFormat="1" ht="14.25" x14ac:dyDescent="0.45">
      <c r="F24" s="49">
        <v>37653</v>
      </c>
      <c r="G24" s="52">
        <v>71.8</v>
      </c>
      <c r="H24" s="52">
        <v>143.6</v>
      </c>
      <c r="I24" s="52">
        <v>71.8</v>
      </c>
      <c r="J24"/>
      <c r="K24"/>
      <c r="L24"/>
      <c r="M24"/>
      <c r="N24" s="37"/>
      <c r="O24" s="53">
        <v>73.466666666666654</v>
      </c>
      <c r="P24" s="53">
        <v>146.93333333333331</v>
      </c>
      <c r="Q24" s="53">
        <v>73.466666666666654</v>
      </c>
      <c r="R24" s="53"/>
      <c r="S24" s="53">
        <v>73.466666666666654</v>
      </c>
      <c r="T24" s="53">
        <v>146.93333333333331</v>
      </c>
      <c r="U24" s="53">
        <v>73.466666666666654</v>
      </c>
      <c r="V24" s="53"/>
      <c r="W24" s="53"/>
      <c r="X24" s="53"/>
      <c r="Y24" s="53"/>
      <c r="Z24" s="53"/>
      <c r="AA24" s="53"/>
      <c r="AB24" s="53"/>
      <c r="AC24" s="53"/>
      <c r="AD24" s="53"/>
      <c r="AE24" s="53"/>
    </row>
    <row r="25" spans="6:31" s="21" customFormat="1" ht="14.25" x14ac:dyDescent="0.45">
      <c r="F25" s="49">
        <v>37681</v>
      </c>
      <c r="G25" s="52">
        <v>77.400000000000006</v>
      </c>
      <c r="H25" s="52">
        <v>154.80000000000001</v>
      </c>
      <c r="I25" s="52">
        <v>77.400000000000006</v>
      </c>
      <c r="J25"/>
      <c r="K25"/>
      <c r="L25"/>
      <c r="M25"/>
      <c r="N25" s="37"/>
      <c r="O25" s="53">
        <v>74.400000000000006</v>
      </c>
      <c r="P25" s="53">
        <v>148.80000000000001</v>
      </c>
      <c r="Q25" s="53">
        <v>74.400000000000006</v>
      </c>
      <c r="R25" s="53"/>
      <c r="S25" s="53">
        <v>74.400000000000006</v>
      </c>
      <c r="T25" s="53">
        <v>148.80000000000001</v>
      </c>
      <c r="U25" s="53">
        <v>74.400000000000006</v>
      </c>
      <c r="V25" s="53"/>
      <c r="W25" s="53"/>
      <c r="X25" s="53"/>
      <c r="Y25" s="53"/>
      <c r="Z25" s="53"/>
      <c r="AA25" s="53"/>
      <c r="AB25" s="53"/>
      <c r="AC25" s="53"/>
      <c r="AD25" s="53"/>
      <c r="AE25" s="53"/>
    </row>
    <row r="26" spans="6:31" s="21" customFormat="1" ht="14.25" x14ac:dyDescent="0.45">
      <c r="F26" s="49">
        <v>37712</v>
      </c>
      <c r="G26" s="52">
        <v>76.5</v>
      </c>
      <c r="H26" s="52">
        <v>153</v>
      </c>
      <c r="I26" s="52">
        <v>76.5</v>
      </c>
      <c r="J26"/>
      <c r="K26"/>
      <c r="L26"/>
      <c r="M26"/>
      <c r="N26" s="37"/>
      <c r="O26" s="53">
        <v>75.233333333333334</v>
      </c>
      <c r="P26" s="53">
        <v>150.46666666666667</v>
      </c>
      <c r="Q26" s="53">
        <v>75.233333333333334</v>
      </c>
      <c r="R26" s="53"/>
      <c r="S26" s="53">
        <v>75.233333333333334</v>
      </c>
      <c r="T26" s="53">
        <v>150.46666666666667</v>
      </c>
      <c r="U26" s="53">
        <v>75.233333333333334</v>
      </c>
      <c r="V26" s="53"/>
      <c r="W26" s="53"/>
      <c r="X26" s="53"/>
      <c r="Y26" s="53"/>
      <c r="Z26" s="53"/>
      <c r="AA26" s="53"/>
      <c r="AB26" s="53"/>
      <c r="AC26" s="53"/>
      <c r="AD26" s="53"/>
      <c r="AE26" s="53"/>
    </row>
    <row r="27" spans="6:31" s="21" customFormat="1" ht="14.25" x14ac:dyDescent="0.45">
      <c r="F27" s="49">
        <v>37742</v>
      </c>
      <c r="G27" s="52">
        <v>79.7</v>
      </c>
      <c r="H27" s="52">
        <v>159.4</v>
      </c>
      <c r="I27" s="52">
        <v>79.7</v>
      </c>
      <c r="J27"/>
      <c r="K27"/>
      <c r="L27"/>
      <c r="M27"/>
      <c r="N27" s="37"/>
      <c r="O27" s="53">
        <v>77.866666666666674</v>
      </c>
      <c r="P27" s="53">
        <v>155.73333333333335</v>
      </c>
      <c r="Q27" s="53">
        <v>77.866666666666674</v>
      </c>
      <c r="R27" s="53"/>
      <c r="S27" s="53">
        <v>77.866666666666674</v>
      </c>
      <c r="T27" s="53">
        <v>155.73333333333335</v>
      </c>
      <c r="U27" s="53">
        <v>77.866666666666674</v>
      </c>
      <c r="V27" s="53"/>
      <c r="W27" s="53"/>
      <c r="X27" s="53"/>
      <c r="Y27" s="53"/>
      <c r="Z27" s="53"/>
      <c r="AA27" s="53"/>
      <c r="AB27" s="53"/>
      <c r="AC27" s="53"/>
      <c r="AD27" s="53"/>
      <c r="AE27" s="53"/>
    </row>
    <row r="28" spans="6:31" s="21" customFormat="1" ht="14.25" x14ac:dyDescent="0.45">
      <c r="F28" s="49">
        <v>37773</v>
      </c>
      <c r="G28" s="52">
        <v>76.3</v>
      </c>
      <c r="H28" s="52">
        <v>152.6</v>
      </c>
      <c r="I28" s="52">
        <v>76.3</v>
      </c>
      <c r="J28"/>
      <c r="K28"/>
      <c r="L28"/>
      <c r="M28"/>
      <c r="N28" s="37"/>
      <c r="O28" s="53">
        <v>77.5</v>
      </c>
      <c r="P28" s="53">
        <v>155</v>
      </c>
      <c r="Q28" s="53">
        <v>77.5</v>
      </c>
      <c r="R28" s="53"/>
      <c r="S28" s="53">
        <v>77.5</v>
      </c>
      <c r="T28" s="53">
        <v>155</v>
      </c>
      <c r="U28" s="53">
        <v>77.5</v>
      </c>
      <c r="V28" s="53"/>
      <c r="W28" s="53"/>
      <c r="X28" s="53"/>
      <c r="Y28" s="53"/>
      <c r="Z28" s="53"/>
      <c r="AA28" s="53"/>
      <c r="AB28" s="53"/>
      <c r="AC28" s="53"/>
      <c r="AD28" s="53"/>
      <c r="AE28" s="53"/>
    </row>
    <row r="29" spans="6:31" s="21" customFormat="1" ht="14.25" x14ac:dyDescent="0.45">
      <c r="F29" s="49">
        <v>37803</v>
      </c>
      <c r="G29" s="52">
        <v>81.3</v>
      </c>
      <c r="H29" s="52">
        <v>162.6</v>
      </c>
      <c r="I29" s="52">
        <v>81.3</v>
      </c>
      <c r="J29"/>
      <c r="K29"/>
      <c r="L29"/>
      <c r="M29"/>
      <c r="N29" s="37"/>
      <c r="O29" s="53">
        <v>79.100000000000009</v>
      </c>
      <c r="P29" s="53">
        <v>158.20000000000002</v>
      </c>
      <c r="Q29" s="53">
        <v>79.100000000000009</v>
      </c>
      <c r="R29" s="53"/>
      <c r="S29" s="53">
        <v>79.100000000000009</v>
      </c>
      <c r="T29" s="53">
        <v>158.20000000000002</v>
      </c>
      <c r="U29" s="53">
        <v>79.100000000000009</v>
      </c>
      <c r="V29" s="53"/>
      <c r="W29" s="53"/>
      <c r="X29" s="53"/>
      <c r="Y29" s="53"/>
      <c r="Z29" s="53"/>
      <c r="AA29" s="53"/>
      <c r="AB29" s="53"/>
      <c r="AC29" s="53"/>
      <c r="AD29" s="53"/>
      <c r="AE29" s="53"/>
    </row>
    <row r="30" spans="6:31" s="21" customFormat="1" ht="14.25" x14ac:dyDescent="0.45">
      <c r="F30" s="49">
        <v>37834</v>
      </c>
      <c r="G30" s="52">
        <v>81.599999999999994</v>
      </c>
      <c r="H30" s="52">
        <v>163.19999999999999</v>
      </c>
      <c r="I30" s="52">
        <v>81.599999999999994</v>
      </c>
      <c r="J30"/>
      <c r="K30"/>
      <c r="L30"/>
      <c r="M30"/>
      <c r="N30" s="37"/>
      <c r="O30" s="53">
        <v>79.733333333333334</v>
      </c>
      <c r="P30" s="53">
        <v>159.46666666666667</v>
      </c>
      <c r="Q30" s="53">
        <v>79.733333333333334</v>
      </c>
      <c r="R30" s="53"/>
      <c r="S30" s="53">
        <v>79.733333333333334</v>
      </c>
      <c r="T30" s="53">
        <v>159.46666666666667</v>
      </c>
      <c r="U30" s="53">
        <v>79.733333333333334</v>
      </c>
      <c r="V30" s="53"/>
      <c r="W30" s="53"/>
      <c r="X30" s="53"/>
      <c r="Y30" s="53"/>
      <c r="Z30" s="53"/>
      <c r="AA30" s="53"/>
      <c r="AB30" s="53"/>
      <c r="AC30" s="53"/>
      <c r="AD30" s="53"/>
      <c r="AE30" s="53"/>
    </row>
    <row r="31" spans="6:31" s="21" customFormat="1" ht="14.25" x14ac:dyDescent="0.45">
      <c r="F31" s="49">
        <v>37865</v>
      </c>
      <c r="G31" s="52">
        <v>85.7</v>
      </c>
      <c r="H31" s="52">
        <v>171.4</v>
      </c>
      <c r="I31" s="52">
        <v>85.7</v>
      </c>
      <c r="J31"/>
      <c r="K31"/>
      <c r="L31"/>
      <c r="M31"/>
      <c r="N31" s="37"/>
      <c r="O31" s="53">
        <v>82.86666666666666</v>
      </c>
      <c r="P31" s="53">
        <v>165.73333333333332</v>
      </c>
      <c r="Q31" s="53">
        <v>82.86666666666666</v>
      </c>
      <c r="R31" s="53"/>
      <c r="S31" s="53">
        <v>82.86666666666666</v>
      </c>
      <c r="T31" s="53">
        <v>165.73333333333332</v>
      </c>
      <c r="U31" s="53">
        <v>82.86666666666666</v>
      </c>
      <c r="V31" s="53"/>
      <c r="W31" s="53"/>
      <c r="X31" s="53"/>
      <c r="Y31" s="53"/>
      <c r="Z31" s="53"/>
      <c r="AA31" s="53"/>
      <c r="AB31" s="53"/>
      <c r="AC31" s="53"/>
      <c r="AD31" s="53"/>
      <c r="AE31" s="53"/>
    </row>
    <row r="32" spans="6:31" s="21" customFormat="1" ht="14.25" x14ac:dyDescent="0.45">
      <c r="F32" s="49">
        <v>37895</v>
      </c>
      <c r="G32" s="52">
        <v>90</v>
      </c>
      <c r="H32" s="52">
        <v>180</v>
      </c>
      <c r="I32" s="52">
        <v>90</v>
      </c>
      <c r="J32"/>
      <c r="K32"/>
      <c r="L32"/>
      <c r="M32"/>
      <c r="N32" s="37"/>
      <c r="O32" s="53">
        <v>85.766666666666666</v>
      </c>
      <c r="P32" s="53">
        <v>171.53333333333333</v>
      </c>
      <c r="Q32" s="53">
        <v>85.766666666666666</v>
      </c>
      <c r="R32" s="53"/>
      <c r="S32" s="53">
        <v>85.766666666666666</v>
      </c>
      <c r="T32" s="53">
        <v>171.53333333333333</v>
      </c>
      <c r="U32" s="53">
        <v>85.766666666666666</v>
      </c>
      <c r="V32" s="53"/>
      <c r="W32" s="53"/>
      <c r="X32" s="53"/>
      <c r="Y32" s="53"/>
      <c r="Z32" s="53"/>
      <c r="AA32" s="53"/>
      <c r="AB32" s="53"/>
      <c r="AC32" s="53"/>
      <c r="AD32" s="53"/>
      <c r="AE32" s="53"/>
    </row>
    <row r="33" spans="6:31" s="21" customFormat="1" ht="14.25" x14ac:dyDescent="0.45">
      <c r="F33" s="49">
        <v>37926</v>
      </c>
      <c r="G33" s="52">
        <v>84.6</v>
      </c>
      <c r="H33" s="52">
        <v>169.2</v>
      </c>
      <c r="I33" s="52">
        <v>84.6</v>
      </c>
      <c r="J33"/>
      <c r="K33"/>
      <c r="L33"/>
      <c r="M33"/>
      <c r="N33" s="37"/>
      <c r="O33" s="53">
        <v>86.766666666666652</v>
      </c>
      <c r="P33" s="53">
        <v>173.5333333333333</v>
      </c>
      <c r="Q33" s="53">
        <v>86.766666666666652</v>
      </c>
      <c r="R33" s="53"/>
      <c r="S33" s="53">
        <v>86.766666666666652</v>
      </c>
      <c r="T33" s="53">
        <v>173.5333333333333</v>
      </c>
      <c r="U33" s="53">
        <v>86.766666666666652</v>
      </c>
      <c r="V33" s="53"/>
      <c r="W33" s="53"/>
      <c r="X33" s="53"/>
      <c r="Y33" s="53"/>
      <c r="Z33" s="53"/>
      <c r="AA33" s="53"/>
      <c r="AB33" s="53"/>
      <c r="AC33" s="53"/>
      <c r="AD33" s="53"/>
      <c r="AE33" s="53"/>
    </row>
    <row r="34" spans="6:31" s="21" customFormat="1" ht="14.25" x14ac:dyDescent="0.45">
      <c r="F34" s="49">
        <v>37956</v>
      </c>
      <c r="G34" s="52">
        <v>77.900000000000006</v>
      </c>
      <c r="H34" s="52">
        <v>155.80000000000001</v>
      </c>
      <c r="I34" s="52">
        <v>77.900000000000006</v>
      </c>
      <c r="J34"/>
      <c r="K34"/>
      <c r="L34"/>
      <c r="M34"/>
      <c r="N34" s="37"/>
      <c r="O34" s="53">
        <v>84.166666666666671</v>
      </c>
      <c r="P34" s="53">
        <v>168.33333333333334</v>
      </c>
      <c r="Q34" s="53">
        <v>84.166666666666671</v>
      </c>
      <c r="R34" s="53"/>
      <c r="S34" s="53">
        <v>84.166666666666671</v>
      </c>
      <c r="T34" s="53">
        <v>168.33333333333334</v>
      </c>
      <c r="U34" s="53">
        <v>84.166666666666671</v>
      </c>
      <c r="V34" s="53"/>
      <c r="W34" s="53"/>
      <c r="X34" s="53"/>
      <c r="Y34" s="53"/>
      <c r="Z34" s="53"/>
      <c r="AA34" s="53"/>
      <c r="AB34" s="53"/>
      <c r="AC34" s="53"/>
      <c r="AD34" s="53"/>
      <c r="AE34" s="53"/>
    </row>
    <row r="35" spans="6:31" s="21" customFormat="1" ht="14.25" x14ac:dyDescent="0.45">
      <c r="F35" s="49">
        <v>37987</v>
      </c>
      <c r="G35" s="52">
        <v>76.8</v>
      </c>
      <c r="H35" s="52">
        <v>153.6</v>
      </c>
      <c r="I35" s="52">
        <v>76.8</v>
      </c>
      <c r="J35"/>
      <c r="K35"/>
      <c r="L35"/>
      <c r="M35"/>
      <c r="N35" s="37"/>
      <c r="O35" s="53">
        <v>79.766666666666666</v>
      </c>
      <c r="P35" s="53">
        <v>159.53333333333333</v>
      </c>
      <c r="Q35" s="53">
        <v>79.766666666666666</v>
      </c>
      <c r="R35" s="53"/>
      <c r="S35" s="53">
        <v>79.766666666666666</v>
      </c>
      <c r="T35" s="53">
        <v>159.53333333333333</v>
      </c>
      <c r="U35" s="53">
        <v>79.766666666666666</v>
      </c>
      <c r="V35" s="53"/>
      <c r="W35" s="53"/>
      <c r="X35" s="53"/>
      <c r="Y35" s="53"/>
      <c r="Z35" s="53"/>
      <c r="AA35" s="53"/>
      <c r="AB35" s="53"/>
      <c r="AC35" s="53"/>
      <c r="AD35" s="53"/>
      <c r="AE35" s="53"/>
    </row>
    <row r="36" spans="6:31" s="21" customFormat="1" ht="14.25" x14ac:dyDescent="0.45">
      <c r="F36" s="49">
        <v>38018</v>
      </c>
      <c r="G36" s="52">
        <v>74</v>
      </c>
      <c r="H36" s="52">
        <v>148</v>
      </c>
      <c r="I36" s="52">
        <v>74</v>
      </c>
      <c r="J36"/>
      <c r="K36"/>
      <c r="L36"/>
      <c r="M36"/>
      <c r="N36" s="37"/>
      <c r="O36" s="53">
        <v>76.233333333333334</v>
      </c>
      <c r="P36" s="53">
        <v>152.46666666666667</v>
      </c>
      <c r="Q36" s="53">
        <v>76.233333333333334</v>
      </c>
      <c r="R36" s="53"/>
      <c r="S36" s="53">
        <v>76.233333333333334</v>
      </c>
      <c r="T36" s="53">
        <v>152.46666666666667</v>
      </c>
      <c r="U36" s="53">
        <v>76.233333333333334</v>
      </c>
      <c r="V36" s="53"/>
      <c r="W36" s="53"/>
      <c r="X36" s="53"/>
      <c r="Y36" s="53"/>
      <c r="Z36" s="53"/>
      <c r="AA36" s="53"/>
      <c r="AB36" s="53"/>
      <c r="AC36" s="53"/>
      <c r="AD36" s="53"/>
      <c r="AE36" s="53"/>
    </row>
    <row r="37" spans="6:31" s="21" customFormat="1" ht="14.25" x14ac:dyDescent="0.45">
      <c r="F37" s="49">
        <v>38047</v>
      </c>
      <c r="G37" s="52">
        <v>86.9</v>
      </c>
      <c r="H37" s="52">
        <v>173.8</v>
      </c>
      <c r="I37" s="52">
        <v>86.9</v>
      </c>
      <c r="J37"/>
      <c r="K37"/>
      <c r="L37"/>
      <c r="M37"/>
      <c r="N37" s="37"/>
      <c r="O37" s="53">
        <v>79.233333333333334</v>
      </c>
      <c r="P37" s="53">
        <v>158.46666666666667</v>
      </c>
      <c r="Q37" s="53">
        <v>79.233333333333334</v>
      </c>
      <c r="R37" s="53"/>
      <c r="S37" s="53">
        <v>79.233333333333334</v>
      </c>
      <c r="T37" s="53">
        <v>158.46666666666667</v>
      </c>
      <c r="U37" s="53">
        <v>79.233333333333334</v>
      </c>
      <c r="V37" s="53"/>
      <c r="W37" s="53"/>
      <c r="X37" s="53"/>
      <c r="Y37" s="53"/>
      <c r="Z37" s="53"/>
      <c r="AA37" s="53"/>
      <c r="AB37" s="53"/>
      <c r="AC37" s="53"/>
      <c r="AD37" s="53"/>
      <c r="AE37" s="53"/>
    </row>
    <row r="38" spans="6:31" s="21" customFormat="1" ht="14.25" x14ac:dyDescent="0.45">
      <c r="F38" s="49">
        <v>38078</v>
      </c>
      <c r="G38" s="52">
        <v>82.2</v>
      </c>
      <c r="H38" s="52">
        <v>164.4</v>
      </c>
      <c r="I38" s="52">
        <v>82.2</v>
      </c>
      <c r="J38"/>
      <c r="K38"/>
      <c r="L38"/>
      <c r="M38"/>
      <c r="N38" s="37"/>
      <c r="O38" s="53">
        <v>81.033333333333346</v>
      </c>
      <c r="P38" s="53">
        <v>162.06666666666669</v>
      </c>
      <c r="Q38" s="53">
        <v>81.033333333333346</v>
      </c>
      <c r="R38" s="53"/>
      <c r="S38" s="53">
        <v>81.033333333333346</v>
      </c>
      <c r="T38" s="53">
        <v>162.06666666666669</v>
      </c>
      <c r="U38" s="53">
        <v>81.033333333333346</v>
      </c>
      <c r="V38" s="53"/>
      <c r="W38" s="53"/>
      <c r="X38" s="53"/>
      <c r="Y38" s="53"/>
      <c r="Z38" s="53"/>
      <c r="AA38" s="53"/>
      <c r="AB38" s="53"/>
      <c r="AC38" s="53"/>
      <c r="AD38" s="53"/>
      <c r="AE38" s="53"/>
    </row>
    <row r="39" spans="6:31" s="21" customFormat="1" ht="14.25" x14ac:dyDescent="0.45">
      <c r="F39" s="49">
        <v>38108</v>
      </c>
      <c r="G39" s="52">
        <v>86.3</v>
      </c>
      <c r="H39" s="52">
        <v>172.6</v>
      </c>
      <c r="I39" s="52">
        <v>86.3</v>
      </c>
      <c r="J39"/>
      <c r="K39"/>
      <c r="L39"/>
      <c r="M39"/>
      <c r="N39" s="37"/>
      <c r="O39" s="53">
        <v>85.13333333333334</v>
      </c>
      <c r="P39" s="53">
        <v>170.26666666666668</v>
      </c>
      <c r="Q39" s="53">
        <v>85.13333333333334</v>
      </c>
      <c r="R39" s="53"/>
      <c r="S39" s="53">
        <v>85.13333333333334</v>
      </c>
      <c r="T39" s="53">
        <v>170.26666666666668</v>
      </c>
      <c r="U39" s="53">
        <v>85.13333333333334</v>
      </c>
      <c r="V39" s="53"/>
      <c r="W39" s="53"/>
      <c r="X39" s="53"/>
      <c r="Y39" s="53"/>
      <c r="Z39" s="53"/>
      <c r="AA39" s="53"/>
      <c r="AB39" s="53"/>
      <c r="AC39" s="53"/>
      <c r="AD39" s="53"/>
      <c r="AE39" s="53"/>
    </row>
    <row r="40" spans="6:31" s="21" customFormat="1" ht="14.25" x14ac:dyDescent="0.45">
      <c r="F40" s="49">
        <v>38139</v>
      </c>
      <c r="G40" s="52">
        <v>86.1</v>
      </c>
      <c r="H40" s="52">
        <v>172.2</v>
      </c>
      <c r="I40" s="52">
        <v>86.1</v>
      </c>
      <c r="J40"/>
      <c r="K40"/>
      <c r="L40"/>
      <c r="M40"/>
      <c r="N40" s="37"/>
      <c r="O40" s="53">
        <v>84.86666666666666</v>
      </c>
      <c r="P40" s="53">
        <v>169.73333333333332</v>
      </c>
      <c r="Q40" s="53">
        <v>84.86666666666666</v>
      </c>
      <c r="R40" s="53"/>
      <c r="S40" s="53">
        <v>84.86666666666666</v>
      </c>
      <c r="T40" s="53">
        <v>169.73333333333332</v>
      </c>
      <c r="U40" s="53">
        <v>84.86666666666666</v>
      </c>
      <c r="V40" s="53"/>
      <c r="W40" s="53"/>
      <c r="X40" s="53"/>
      <c r="Y40" s="53"/>
      <c r="Z40" s="53"/>
      <c r="AA40" s="53"/>
      <c r="AB40" s="53"/>
      <c r="AC40" s="53"/>
      <c r="AD40" s="53"/>
      <c r="AE40" s="53"/>
    </row>
    <row r="41" spans="6:31" s="21" customFormat="1" ht="14.25" x14ac:dyDescent="0.45">
      <c r="F41" s="49">
        <v>38169</v>
      </c>
      <c r="G41" s="52">
        <v>90.1</v>
      </c>
      <c r="H41" s="52">
        <v>180.2</v>
      </c>
      <c r="I41" s="52">
        <v>90.1</v>
      </c>
      <c r="J41"/>
      <c r="K41"/>
      <c r="L41"/>
      <c r="M41"/>
      <c r="N41" s="37"/>
      <c r="O41" s="53">
        <v>87.5</v>
      </c>
      <c r="P41" s="53">
        <v>175</v>
      </c>
      <c r="Q41" s="53">
        <v>87.5</v>
      </c>
      <c r="R41" s="53"/>
      <c r="S41" s="53">
        <v>87.5</v>
      </c>
      <c r="T41" s="53">
        <v>175</v>
      </c>
      <c r="U41" s="53">
        <v>87.5</v>
      </c>
      <c r="V41" s="53"/>
      <c r="W41" s="53"/>
      <c r="X41" s="53"/>
      <c r="Y41" s="53"/>
      <c r="Z41" s="53"/>
      <c r="AA41" s="53"/>
      <c r="AB41" s="53"/>
      <c r="AC41" s="53"/>
      <c r="AD41" s="53"/>
      <c r="AE41" s="53"/>
    </row>
    <row r="42" spans="6:31" s="21" customFormat="1" ht="14.25" x14ac:dyDescent="0.45">
      <c r="F42" s="49">
        <v>38200</v>
      </c>
      <c r="G42" s="52">
        <v>92.1</v>
      </c>
      <c r="H42" s="52">
        <v>184.2</v>
      </c>
      <c r="I42" s="52">
        <v>92.1</v>
      </c>
      <c r="J42"/>
      <c r="K42"/>
      <c r="L42"/>
      <c r="M42"/>
      <c r="N42" s="37"/>
      <c r="O42" s="53">
        <v>89.433333333333323</v>
      </c>
      <c r="P42" s="53">
        <v>178.86666666666665</v>
      </c>
      <c r="Q42" s="53">
        <v>89.433333333333323</v>
      </c>
      <c r="R42" s="53"/>
      <c r="S42" s="53">
        <v>89.433333333333323</v>
      </c>
      <c r="T42" s="53">
        <v>178.86666666666665</v>
      </c>
      <c r="U42" s="53">
        <v>89.433333333333323</v>
      </c>
      <c r="V42" s="53"/>
      <c r="W42" s="53"/>
      <c r="X42" s="53"/>
      <c r="Y42" s="53"/>
      <c r="Z42" s="53"/>
      <c r="AA42" s="53"/>
      <c r="AB42" s="53"/>
      <c r="AC42" s="53"/>
      <c r="AD42" s="53"/>
      <c r="AE42" s="53"/>
    </row>
    <row r="43" spans="6:31" s="21" customFormat="1" ht="14.25" x14ac:dyDescent="0.45">
      <c r="F43" s="49">
        <v>38231</v>
      </c>
      <c r="G43" s="52">
        <v>92.1</v>
      </c>
      <c r="H43" s="52">
        <v>184.2</v>
      </c>
      <c r="I43" s="52">
        <v>92.1</v>
      </c>
      <c r="J43"/>
      <c r="K43"/>
      <c r="L43"/>
      <c r="M43"/>
      <c r="N43" s="37"/>
      <c r="O43" s="53">
        <v>91.433333333333323</v>
      </c>
      <c r="P43" s="53">
        <v>182.86666666666665</v>
      </c>
      <c r="Q43" s="53">
        <v>91.433333333333323</v>
      </c>
      <c r="R43" s="53"/>
      <c r="S43" s="53">
        <v>91.433333333333323</v>
      </c>
      <c r="T43" s="53">
        <v>182.86666666666665</v>
      </c>
      <c r="U43" s="53">
        <v>91.433333333333323</v>
      </c>
      <c r="V43" s="53"/>
      <c r="W43" s="53"/>
      <c r="X43" s="53"/>
      <c r="Y43" s="53"/>
      <c r="Z43" s="53"/>
      <c r="AA43" s="53"/>
      <c r="AB43" s="53"/>
      <c r="AC43" s="53"/>
      <c r="AD43" s="53"/>
      <c r="AE43" s="53"/>
    </row>
    <row r="44" spans="6:31" s="21" customFormat="1" ht="14.25" x14ac:dyDescent="0.45">
      <c r="F44" s="49">
        <v>38261</v>
      </c>
      <c r="G44" s="52">
        <v>93.5</v>
      </c>
      <c r="H44" s="52">
        <v>187</v>
      </c>
      <c r="I44" s="52">
        <v>93.5</v>
      </c>
      <c r="J44"/>
      <c r="K44"/>
      <c r="L44"/>
      <c r="M44"/>
      <c r="N44" s="37"/>
      <c r="O44" s="53">
        <v>92.566666666666663</v>
      </c>
      <c r="P44" s="53">
        <v>185.13333333333333</v>
      </c>
      <c r="Q44" s="53">
        <v>92.566666666666663</v>
      </c>
      <c r="R44" s="53"/>
      <c r="S44" s="53">
        <v>92.566666666666663</v>
      </c>
      <c r="T44" s="53">
        <v>185.13333333333333</v>
      </c>
      <c r="U44" s="53">
        <v>92.566666666666663</v>
      </c>
      <c r="V44" s="53"/>
      <c r="W44" s="53"/>
      <c r="X44" s="53"/>
      <c r="Y44" s="53"/>
      <c r="Z44" s="53"/>
      <c r="AA44" s="53"/>
      <c r="AB44" s="53"/>
      <c r="AC44" s="53"/>
      <c r="AD44" s="53"/>
      <c r="AE44" s="53"/>
    </row>
    <row r="45" spans="6:31" s="21" customFormat="1" ht="14.25" x14ac:dyDescent="0.45">
      <c r="F45" s="49">
        <v>38292</v>
      </c>
      <c r="G45" s="52">
        <v>91.8</v>
      </c>
      <c r="H45" s="52">
        <v>183.6</v>
      </c>
      <c r="I45" s="52">
        <v>91.8</v>
      </c>
      <c r="J45"/>
      <c r="K45"/>
      <c r="L45"/>
      <c r="M45"/>
      <c r="N45" s="37"/>
      <c r="O45" s="53">
        <v>92.466666666666654</v>
      </c>
      <c r="P45" s="53">
        <v>184.93333333333331</v>
      </c>
      <c r="Q45" s="53">
        <v>92.466666666666654</v>
      </c>
      <c r="R45" s="53"/>
      <c r="S45" s="53">
        <v>92.466666666666654</v>
      </c>
      <c r="T45" s="53">
        <v>184.93333333333331</v>
      </c>
      <c r="U45" s="53">
        <v>92.466666666666654</v>
      </c>
      <c r="V45" s="53"/>
      <c r="W45" s="53"/>
      <c r="X45" s="53"/>
      <c r="Y45" s="53"/>
      <c r="Z45" s="53"/>
      <c r="AA45" s="53"/>
      <c r="AB45" s="53"/>
      <c r="AC45" s="53"/>
      <c r="AD45" s="53"/>
      <c r="AE45" s="53"/>
    </row>
    <row r="46" spans="6:31" s="21" customFormat="1" ht="14.25" x14ac:dyDescent="0.45">
      <c r="F46" s="49">
        <v>38322</v>
      </c>
      <c r="G46" s="52">
        <v>84.7</v>
      </c>
      <c r="H46" s="52">
        <v>169.4</v>
      </c>
      <c r="I46" s="52">
        <v>84.7</v>
      </c>
      <c r="J46"/>
      <c r="K46"/>
      <c r="L46"/>
      <c r="M46"/>
      <c r="N46" s="37"/>
      <c r="O46" s="53">
        <v>90</v>
      </c>
      <c r="P46" s="53">
        <v>180</v>
      </c>
      <c r="Q46" s="53">
        <v>90</v>
      </c>
      <c r="R46" s="53"/>
      <c r="S46" s="53">
        <v>90</v>
      </c>
      <c r="T46" s="53">
        <v>180</v>
      </c>
      <c r="U46" s="53">
        <v>90</v>
      </c>
      <c r="V46" s="53"/>
      <c r="W46" s="53"/>
      <c r="X46" s="53"/>
      <c r="Y46" s="53"/>
      <c r="Z46" s="53"/>
      <c r="AA46" s="53"/>
      <c r="AB46" s="53"/>
      <c r="AC46" s="53"/>
      <c r="AD46" s="53"/>
      <c r="AE46" s="53"/>
    </row>
    <row r="47" spans="6:31" s="21" customFormat="1" ht="14.25" x14ac:dyDescent="0.45">
      <c r="F47" s="49">
        <v>38353</v>
      </c>
      <c r="G47" s="52">
        <v>81</v>
      </c>
      <c r="H47" s="52">
        <v>162</v>
      </c>
      <c r="I47" s="52">
        <v>81</v>
      </c>
      <c r="J47"/>
      <c r="K47"/>
      <c r="L47"/>
      <c r="M47"/>
      <c r="N47" s="37"/>
      <c r="O47" s="53">
        <v>85.833333333333329</v>
      </c>
      <c r="P47" s="53">
        <v>171.66666666666666</v>
      </c>
      <c r="Q47" s="53">
        <v>85.833333333333329</v>
      </c>
      <c r="R47" s="53"/>
      <c r="S47" s="53">
        <v>85.833333333333329</v>
      </c>
      <c r="T47" s="53">
        <v>171.66666666666666</v>
      </c>
      <c r="U47" s="53">
        <v>85.833333333333329</v>
      </c>
      <c r="V47" s="53"/>
      <c r="W47" s="53"/>
      <c r="X47" s="53"/>
      <c r="Y47" s="53"/>
      <c r="Z47" s="53"/>
      <c r="AA47" s="53"/>
      <c r="AB47" s="53"/>
      <c r="AC47" s="53"/>
      <c r="AD47" s="53"/>
      <c r="AE47" s="53"/>
    </row>
    <row r="48" spans="6:31" s="21" customFormat="1" ht="14.25" x14ac:dyDescent="0.45">
      <c r="F48" s="49">
        <v>38384</v>
      </c>
      <c r="G48" s="52">
        <v>76.400000000000006</v>
      </c>
      <c r="H48" s="52">
        <v>152.80000000000001</v>
      </c>
      <c r="I48" s="52">
        <v>76.400000000000006</v>
      </c>
      <c r="J48"/>
      <c r="K48"/>
      <c r="L48"/>
      <c r="M48"/>
      <c r="N48" s="37"/>
      <c r="O48" s="53">
        <v>80.7</v>
      </c>
      <c r="P48" s="53">
        <v>161.4</v>
      </c>
      <c r="Q48" s="53">
        <v>80.7</v>
      </c>
      <c r="R48" s="53"/>
      <c r="S48" s="53">
        <v>80.7</v>
      </c>
      <c r="T48" s="53">
        <v>161.4</v>
      </c>
      <c r="U48" s="53">
        <v>80.7</v>
      </c>
      <c r="V48" s="53"/>
      <c r="W48" s="53"/>
      <c r="X48" s="53"/>
      <c r="Y48" s="53"/>
      <c r="Z48" s="53"/>
      <c r="AA48" s="53"/>
      <c r="AB48" s="53"/>
      <c r="AC48" s="53"/>
      <c r="AD48" s="53"/>
      <c r="AE48" s="53"/>
    </row>
    <row r="49" spans="6:31" s="21" customFormat="1" ht="14.25" x14ac:dyDescent="0.45">
      <c r="F49" s="49">
        <v>38412</v>
      </c>
      <c r="G49" s="52">
        <v>88</v>
      </c>
      <c r="H49" s="52">
        <v>176</v>
      </c>
      <c r="I49" s="52">
        <v>88</v>
      </c>
      <c r="J49"/>
      <c r="K49"/>
      <c r="L49"/>
      <c r="M49"/>
      <c r="N49" s="37"/>
      <c r="O49" s="53">
        <v>81.8</v>
      </c>
      <c r="P49" s="53">
        <v>163.6</v>
      </c>
      <c r="Q49" s="53">
        <v>81.8</v>
      </c>
      <c r="R49" s="53"/>
      <c r="S49" s="53">
        <v>81.8</v>
      </c>
      <c r="T49" s="53">
        <v>163.6</v>
      </c>
      <c r="U49" s="53">
        <v>81.8</v>
      </c>
      <c r="V49" s="53"/>
      <c r="W49" s="53"/>
      <c r="X49" s="53"/>
      <c r="Y49" s="53"/>
      <c r="Z49" s="53"/>
      <c r="AA49" s="53"/>
      <c r="AB49" s="53"/>
      <c r="AC49" s="53"/>
      <c r="AD49" s="53"/>
      <c r="AE49" s="53"/>
    </row>
    <row r="50" spans="6:31" s="21" customFormat="1" ht="14.25" x14ac:dyDescent="0.45">
      <c r="F50" s="49">
        <v>38443</v>
      </c>
      <c r="G50" s="52">
        <v>87</v>
      </c>
      <c r="H50" s="52">
        <v>174</v>
      </c>
      <c r="I50" s="52">
        <v>87</v>
      </c>
      <c r="J50"/>
      <c r="K50"/>
      <c r="L50"/>
      <c r="M50"/>
      <c r="N50" s="37"/>
      <c r="O50" s="53">
        <v>83.8</v>
      </c>
      <c r="P50" s="53">
        <v>167.6</v>
      </c>
      <c r="Q50" s="53">
        <v>83.8</v>
      </c>
      <c r="R50" s="53"/>
      <c r="S50" s="53">
        <v>83.8</v>
      </c>
      <c r="T50" s="53">
        <v>167.6</v>
      </c>
      <c r="U50" s="53">
        <v>83.8</v>
      </c>
      <c r="V50" s="53"/>
      <c r="W50" s="53"/>
      <c r="X50" s="53"/>
      <c r="Y50" s="53"/>
      <c r="Z50" s="53"/>
      <c r="AA50" s="53"/>
      <c r="AB50" s="53"/>
      <c r="AC50" s="53"/>
      <c r="AD50" s="53"/>
      <c r="AE50" s="53"/>
    </row>
    <row r="51" spans="6:31" s="21" customFormat="1" ht="14.25" x14ac:dyDescent="0.45">
      <c r="F51" s="49">
        <v>38473</v>
      </c>
      <c r="G51" s="52">
        <v>91.1</v>
      </c>
      <c r="H51" s="52">
        <v>182.2</v>
      </c>
      <c r="I51" s="52">
        <v>91.1</v>
      </c>
      <c r="J51"/>
      <c r="K51"/>
      <c r="L51"/>
      <c r="M51"/>
      <c r="N51" s="37"/>
      <c r="O51" s="53">
        <v>88.7</v>
      </c>
      <c r="P51" s="53">
        <v>177.4</v>
      </c>
      <c r="Q51" s="53">
        <v>88.7</v>
      </c>
      <c r="R51" s="53"/>
      <c r="S51" s="53">
        <v>88.7</v>
      </c>
      <c r="T51" s="53">
        <v>177.4</v>
      </c>
      <c r="U51" s="53">
        <v>88.7</v>
      </c>
      <c r="V51" s="53"/>
      <c r="W51" s="53"/>
      <c r="X51" s="53"/>
      <c r="Y51" s="53"/>
      <c r="Z51" s="53"/>
      <c r="AA51" s="53"/>
      <c r="AB51" s="53"/>
      <c r="AC51" s="53"/>
      <c r="AD51" s="53"/>
      <c r="AE51" s="53"/>
    </row>
    <row r="52" spans="6:31" s="21" customFormat="1" ht="14.25" x14ac:dyDescent="0.45">
      <c r="F52" s="49">
        <v>38504</v>
      </c>
      <c r="G52" s="52">
        <v>91.4</v>
      </c>
      <c r="H52" s="52">
        <v>182.8</v>
      </c>
      <c r="I52" s="52">
        <v>91.4</v>
      </c>
      <c r="J52"/>
      <c r="K52"/>
      <c r="L52"/>
      <c r="M52"/>
      <c r="N52" s="37"/>
      <c r="O52" s="53">
        <v>89.833333333333329</v>
      </c>
      <c r="P52" s="53">
        <v>179.66666666666666</v>
      </c>
      <c r="Q52" s="53">
        <v>89.833333333333329</v>
      </c>
      <c r="R52" s="53"/>
      <c r="S52" s="53">
        <v>89.833333333333329</v>
      </c>
      <c r="T52" s="53">
        <v>179.66666666666666</v>
      </c>
      <c r="U52" s="53">
        <v>89.833333333333329</v>
      </c>
      <c r="V52" s="53"/>
      <c r="W52" s="53"/>
      <c r="X52" s="53"/>
      <c r="Y52" s="53"/>
      <c r="Z52" s="53"/>
      <c r="AA52" s="53"/>
      <c r="AB52" s="53"/>
      <c r="AC52" s="53"/>
      <c r="AD52" s="53"/>
      <c r="AE52" s="53"/>
    </row>
    <row r="53" spans="6:31" s="21" customFormat="1" ht="14.25" x14ac:dyDescent="0.45">
      <c r="F53" s="49">
        <v>38534</v>
      </c>
      <c r="G53" s="52">
        <v>90.5</v>
      </c>
      <c r="H53" s="52">
        <v>181</v>
      </c>
      <c r="I53" s="52">
        <v>90.5</v>
      </c>
      <c r="J53"/>
      <c r="K53"/>
      <c r="L53"/>
      <c r="M53"/>
      <c r="N53" s="37"/>
      <c r="O53" s="53">
        <v>91</v>
      </c>
      <c r="P53" s="53">
        <v>182</v>
      </c>
      <c r="Q53" s="53">
        <v>91</v>
      </c>
      <c r="R53" s="53"/>
      <c r="S53" s="53">
        <v>91</v>
      </c>
      <c r="T53" s="53">
        <v>182</v>
      </c>
      <c r="U53" s="53">
        <v>91</v>
      </c>
      <c r="V53" s="53"/>
      <c r="W53" s="53"/>
      <c r="X53" s="53"/>
      <c r="Y53" s="53"/>
      <c r="Z53" s="53"/>
      <c r="AA53" s="53"/>
      <c r="AB53" s="53"/>
      <c r="AC53" s="53"/>
      <c r="AD53" s="53"/>
      <c r="AE53" s="53"/>
    </row>
    <row r="54" spans="6:31" s="21" customFormat="1" ht="14.25" x14ac:dyDescent="0.45">
      <c r="F54" s="49">
        <v>38565</v>
      </c>
      <c r="G54" s="52">
        <v>95.6</v>
      </c>
      <c r="H54" s="52">
        <v>191.2</v>
      </c>
      <c r="I54" s="52">
        <v>95.6</v>
      </c>
      <c r="J54"/>
      <c r="K54"/>
      <c r="L54"/>
      <c r="M54"/>
      <c r="N54" s="37"/>
      <c r="O54" s="53">
        <v>92.5</v>
      </c>
      <c r="P54" s="53">
        <v>185</v>
      </c>
      <c r="Q54" s="53">
        <v>92.5</v>
      </c>
      <c r="R54" s="53"/>
      <c r="S54" s="53">
        <v>92.5</v>
      </c>
      <c r="T54" s="53">
        <v>185</v>
      </c>
      <c r="U54" s="53">
        <v>92.5</v>
      </c>
      <c r="V54" s="53"/>
      <c r="W54" s="53"/>
      <c r="X54" s="53"/>
      <c r="Y54" s="53"/>
      <c r="Z54" s="53"/>
      <c r="AA54" s="53"/>
      <c r="AB54" s="53"/>
      <c r="AC54" s="53"/>
      <c r="AD54" s="53"/>
      <c r="AE54" s="53"/>
    </row>
    <row r="55" spans="6:31" s="21" customFormat="1" ht="14.25" x14ac:dyDescent="0.45">
      <c r="F55" s="49">
        <v>38596</v>
      </c>
      <c r="G55" s="52">
        <v>92</v>
      </c>
      <c r="H55" s="52">
        <v>184</v>
      </c>
      <c r="I55" s="52">
        <v>92</v>
      </c>
      <c r="J55"/>
      <c r="K55"/>
      <c r="L55"/>
      <c r="M55"/>
      <c r="N55" s="37"/>
      <c r="O55" s="53">
        <v>92.7</v>
      </c>
      <c r="P55" s="53">
        <v>185.4</v>
      </c>
      <c r="Q55" s="53">
        <v>92.7</v>
      </c>
      <c r="R55" s="53"/>
      <c r="S55" s="53">
        <v>92.7</v>
      </c>
      <c r="T55" s="53">
        <v>185.4</v>
      </c>
      <c r="U55" s="53">
        <v>92.7</v>
      </c>
      <c r="V55" s="53"/>
      <c r="W55" s="53"/>
      <c r="X55" s="53"/>
      <c r="Y55" s="53"/>
      <c r="Z55" s="53"/>
      <c r="AA55" s="53"/>
      <c r="AB55" s="53"/>
      <c r="AC55" s="53"/>
      <c r="AD55" s="53"/>
      <c r="AE55" s="53"/>
    </row>
    <row r="56" spans="6:31" s="21" customFormat="1" ht="14.25" x14ac:dyDescent="0.45">
      <c r="F56" s="49">
        <v>38626</v>
      </c>
      <c r="G56" s="52">
        <v>93.7</v>
      </c>
      <c r="H56" s="52">
        <v>187.4</v>
      </c>
      <c r="I56" s="52">
        <v>93.7</v>
      </c>
      <c r="J56"/>
      <c r="K56"/>
      <c r="L56"/>
      <c r="M56"/>
      <c r="N56" s="37"/>
      <c r="O56" s="53">
        <v>93.766666666666666</v>
      </c>
      <c r="P56" s="53">
        <v>187.53333333333333</v>
      </c>
      <c r="Q56" s="53">
        <v>93.766666666666666</v>
      </c>
      <c r="R56" s="53"/>
      <c r="S56" s="53">
        <v>93.766666666666666</v>
      </c>
      <c r="T56" s="53">
        <v>187.53333333333333</v>
      </c>
      <c r="U56" s="53">
        <v>93.766666666666666</v>
      </c>
      <c r="V56" s="53"/>
      <c r="W56" s="53"/>
      <c r="X56" s="53"/>
      <c r="Y56" s="53"/>
      <c r="Z56" s="53"/>
      <c r="AA56" s="53"/>
      <c r="AB56" s="53"/>
      <c r="AC56" s="53"/>
      <c r="AD56" s="53"/>
      <c r="AE56" s="53"/>
    </row>
    <row r="57" spans="6:31" s="21" customFormat="1" ht="14.25" x14ac:dyDescent="0.45">
      <c r="F57" s="49">
        <v>38657</v>
      </c>
      <c r="G57" s="52">
        <v>92.4</v>
      </c>
      <c r="H57" s="52">
        <v>184.8</v>
      </c>
      <c r="I57" s="52">
        <v>92.4</v>
      </c>
      <c r="J57"/>
      <c r="K57"/>
      <c r="L57"/>
      <c r="M57"/>
      <c r="N57" s="37"/>
      <c r="O57" s="53">
        <v>92.7</v>
      </c>
      <c r="P57" s="53">
        <v>185.4</v>
      </c>
      <c r="Q57" s="53">
        <v>92.7</v>
      </c>
      <c r="R57" s="53"/>
      <c r="S57" s="53">
        <v>92.7</v>
      </c>
      <c r="T57" s="53">
        <v>185.4</v>
      </c>
      <c r="U57" s="53">
        <v>92.7</v>
      </c>
      <c r="V57" s="53"/>
      <c r="W57" s="53"/>
      <c r="X57" s="53"/>
      <c r="Y57" s="53"/>
      <c r="Z57" s="53"/>
      <c r="AA57" s="53"/>
      <c r="AB57" s="53"/>
      <c r="AC57" s="53"/>
      <c r="AD57" s="53"/>
      <c r="AE57" s="53"/>
    </row>
    <row r="58" spans="6:31" s="21" customFormat="1" ht="14.25" x14ac:dyDescent="0.45">
      <c r="F58" s="49">
        <v>38687</v>
      </c>
      <c r="G58" s="52">
        <v>86.6</v>
      </c>
      <c r="H58" s="52">
        <v>173.2</v>
      </c>
      <c r="I58" s="52">
        <v>86.6</v>
      </c>
      <c r="J58"/>
      <c r="K58"/>
      <c r="L58"/>
      <c r="M58"/>
      <c r="N58" s="37"/>
      <c r="O58" s="53">
        <v>90.90000000000002</v>
      </c>
      <c r="P58" s="53">
        <v>181.80000000000004</v>
      </c>
      <c r="Q58" s="53">
        <v>90.90000000000002</v>
      </c>
      <c r="R58" s="53"/>
      <c r="S58" s="53">
        <v>90.90000000000002</v>
      </c>
      <c r="T58" s="53">
        <v>181.80000000000004</v>
      </c>
      <c r="U58" s="53">
        <v>90.90000000000002</v>
      </c>
      <c r="V58" s="53"/>
      <c r="W58" s="53"/>
      <c r="X58" s="53"/>
      <c r="Y58" s="53"/>
      <c r="Z58" s="53"/>
      <c r="AA58" s="53"/>
      <c r="AB58" s="53"/>
      <c r="AC58" s="53"/>
      <c r="AD58" s="53"/>
      <c r="AE58" s="53"/>
    </row>
    <row r="59" spans="6:31" s="21" customFormat="1" ht="14.25" x14ac:dyDescent="0.45">
      <c r="F59" s="49">
        <v>38718</v>
      </c>
      <c r="G59" s="52">
        <v>83.7</v>
      </c>
      <c r="H59" s="52">
        <v>167.4</v>
      </c>
      <c r="I59" s="52">
        <v>83.7</v>
      </c>
      <c r="J59"/>
      <c r="K59"/>
      <c r="L59"/>
      <c r="M59"/>
      <c r="N59" s="37"/>
      <c r="O59" s="53">
        <v>87.566666666666663</v>
      </c>
      <c r="P59" s="53">
        <v>175.13333333333333</v>
      </c>
      <c r="Q59" s="53">
        <v>87.566666666666663</v>
      </c>
      <c r="R59" s="53"/>
      <c r="S59" s="53">
        <v>87.566666666666663</v>
      </c>
      <c r="T59" s="53">
        <v>175.13333333333333</v>
      </c>
      <c r="U59" s="53">
        <v>87.566666666666663</v>
      </c>
      <c r="V59" s="53"/>
      <c r="W59" s="53"/>
      <c r="X59" s="53"/>
      <c r="Y59" s="53"/>
      <c r="Z59" s="53"/>
      <c r="AA59" s="53"/>
      <c r="AB59" s="53"/>
      <c r="AC59" s="53"/>
      <c r="AD59" s="53"/>
      <c r="AE59" s="53"/>
    </row>
    <row r="60" spans="6:31" s="21" customFormat="1" ht="14.25" x14ac:dyDescent="0.45">
      <c r="F60" s="49">
        <v>38749</v>
      </c>
      <c r="G60" s="52">
        <v>80.2</v>
      </c>
      <c r="H60" s="52">
        <v>160.4</v>
      </c>
      <c r="I60" s="52">
        <v>80.2</v>
      </c>
      <c r="J60"/>
      <c r="K60"/>
      <c r="L60"/>
      <c r="M60"/>
      <c r="N60" s="37"/>
      <c r="O60" s="53">
        <v>83.5</v>
      </c>
      <c r="P60" s="53">
        <v>167</v>
      </c>
      <c r="Q60" s="53">
        <v>83.5</v>
      </c>
      <c r="R60" s="53"/>
      <c r="S60" s="53">
        <v>83.5</v>
      </c>
      <c r="T60" s="53">
        <v>167</v>
      </c>
      <c r="U60" s="53">
        <v>83.5</v>
      </c>
      <c r="V60" s="53"/>
      <c r="W60" s="53"/>
      <c r="X60" s="53"/>
      <c r="Y60" s="53"/>
      <c r="Z60" s="53"/>
      <c r="AA60" s="53"/>
      <c r="AB60" s="53"/>
      <c r="AC60" s="53"/>
      <c r="AD60" s="53"/>
      <c r="AE60" s="53"/>
    </row>
    <row r="61" spans="6:31" s="21" customFormat="1" ht="14.25" x14ac:dyDescent="0.45">
      <c r="F61" s="49">
        <v>38777</v>
      </c>
      <c r="G61" s="52">
        <v>92.4</v>
      </c>
      <c r="H61" s="52">
        <v>184.8</v>
      </c>
      <c r="I61" s="52">
        <v>92.4</v>
      </c>
      <c r="J61"/>
      <c r="K61"/>
      <c r="L61"/>
      <c r="M61"/>
      <c r="N61" s="37"/>
      <c r="O61" s="53">
        <v>85.433333333333337</v>
      </c>
      <c r="P61" s="53">
        <v>170.86666666666667</v>
      </c>
      <c r="Q61" s="53">
        <v>85.433333333333337</v>
      </c>
      <c r="R61" s="53"/>
      <c r="S61" s="53">
        <v>85.433333333333337</v>
      </c>
      <c r="T61" s="53">
        <v>170.86666666666667</v>
      </c>
      <c r="U61" s="53">
        <v>85.433333333333337</v>
      </c>
      <c r="V61" s="53"/>
      <c r="W61" s="53"/>
      <c r="X61" s="53"/>
      <c r="Y61" s="53"/>
      <c r="Z61" s="53"/>
      <c r="AA61" s="53"/>
      <c r="AB61" s="53"/>
      <c r="AC61" s="53"/>
      <c r="AD61" s="53"/>
      <c r="AE61" s="53"/>
    </row>
    <row r="62" spans="6:31" s="21" customFormat="1" ht="14.25" x14ac:dyDescent="0.45">
      <c r="F62" s="49">
        <v>38808</v>
      </c>
      <c r="G62" s="52">
        <v>85.7</v>
      </c>
      <c r="H62" s="52">
        <v>171.4</v>
      </c>
      <c r="I62" s="52">
        <v>85.7</v>
      </c>
      <c r="J62"/>
      <c r="K62"/>
      <c r="L62"/>
      <c r="M62"/>
      <c r="N62" s="37"/>
      <c r="O62" s="53">
        <v>86.100000000000009</v>
      </c>
      <c r="P62" s="53">
        <v>172.20000000000002</v>
      </c>
      <c r="Q62" s="53">
        <v>86.100000000000009</v>
      </c>
      <c r="R62" s="53"/>
      <c r="S62" s="53">
        <v>86.100000000000009</v>
      </c>
      <c r="T62" s="53">
        <v>172.20000000000002</v>
      </c>
      <c r="U62" s="53">
        <v>86.100000000000009</v>
      </c>
      <c r="V62" s="53"/>
      <c r="W62" s="53"/>
      <c r="X62" s="53"/>
      <c r="Y62" s="53"/>
      <c r="Z62" s="53"/>
      <c r="AA62" s="53"/>
      <c r="AB62" s="53"/>
      <c r="AC62" s="53"/>
      <c r="AD62" s="53"/>
      <c r="AE62" s="53"/>
    </row>
    <row r="63" spans="6:31" s="21" customFormat="1" ht="14.25" x14ac:dyDescent="0.45">
      <c r="F63" s="49">
        <v>38838</v>
      </c>
      <c r="G63" s="52">
        <v>95.4</v>
      </c>
      <c r="H63" s="52">
        <v>190.8</v>
      </c>
      <c r="I63" s="52">
        <v>95.4</v>
      </c>
      <c r="J63"/>
      <c r="K63"/>
      <c r="L63"/>
      <c r="M63"/>
      <c r="N63" s="37"/>
      <c r="O63" s="53">
        <v>91.166666666666671</v>
      </c>
      <c r="P63" s="53">
        <v>182.33333333333334</v>
      </c>
      <c r="Q63" s="53">
        <v>91.166666666666671</v>
      </c>
      <c r="R63" s="53"/>
      <c r="S63" s="53">
        <v>91.166666666666671</v>
      </c>
      <c r="T63" s="53">
        <v>182.33333333333334</v>
      </c>
      <c r="U63" s="53">
        <v>91.166666666666671</v>
      </c>
      <c r="V63" s="53"/>
      <c r="W63" s="53"/>
      <c r="X63" s="53"/>
      <c r="Y63" s="53"/>
      <c r="Z63" s="53"/>
      <c r="AA63" s="53"/>
      <c r="AB63" s="53"/>
      <c r="AC63" s="53"/>
      <c r="AD63" s="53"/>
      <c r="AE63" s="53"/>
    </row>
    <row r="64" spans="6:31" s="21" customFormat="1" ht="14.25" x14ac:dyDescent="0.45">
      <c r="F64" s="49">
        <v>38869</v>
      </c>
      <c r="G64" s="52">
        <v>91.1</v>
      </c>
      <c r="H64" s="52">
        <v>182.2</v>
      </c>
      <c r="I64" s="52">
        <v>91.1</v>
      </c>
      <c r="J64"/>
      <c r="K64"/>
      <c r="L64"/>
      <c r="M64"/>
      <c r="N64" s="37"/>
      <c r="O64" s="53">
        <v>90.733333333333348</v>
      </c>
      <c r="P64" s="53">
        <v>181.4666666666667</v>
      </c>
      <c r="Q64" s="53">
        <v>90.733333333333348</v>
      </c>
      <c r="R64" s="53"/>
      <c r="S64" s="53">
        <v>90.733333333333348</v>
      </c>
      <c r="T64" s="53">
        <v>181.4666666666667</v>
      </c>
      <c r="U64" s="53">
        <v>90.733333333333348</v>
      </c>
      <c r="V64" s="53"/>
      <c r="W64" s="53"/>
      <c r="X64" s="53"/>
      <c r="Y64" s="53"/>
      <c r="Z64" s="53"/>
      <c r="AA64" s="53"/>
      <c r="AB64" s="53"/>
      <c r="AC64" s="53"/>
      <c r="AD64" s="53"/>
      <c r="AE64" s="53"/>
    </row>
    <row r="65" spans="6:31" s="21" customFormat="1" ht="14.25" x14ac:dyDescent="0.45">
      <c r="F65" s="49">
        <v>38899</v>
      </c>
      <c r="G65" s="52">
        <v>93.8</v>
      </c>
      <c r="H65" s="52">
        <v>187.6</v>
      </c>
      <c r="I65" s="52">
        <v>93.8</v>
      </c>
      <c r="J65"/>
      <c r="K65"/>
      <c r="L65"/>
      <c r="M65"/>
      <c r="N65" s="37"/>
      <c r="O65" s="53">
        <v>93.433333333333337</v>
      </c>
      <c r="P65" s="53">
        <v>186.86666666666667</v>
      </c>
      <c r="Q65" s="53">
        <v>93.433333333333337</v>
      </c>
      <c r="R65" s="53"/>
      <c r="S65" s="53">
        <v>93.433333333333337</v>
      </c>
      <c r="T65" s="53">
        <v>186.86666666666667</v>
      </c>
      <c r="U65" s="53">
        <v>93.433333333333337</v>
      </c>
      <c r="V65" s="53"/>
      <c r="W65" s="53"/>
      <c r="X65" s="53"/>
      <c r="Y65" s="53"/>
      <c r="Z65" s="53"/>
      <c r="AA65" s="53"/>
      <c r="AB65" s="53"/>
      <c r="AC65" s="53"/>
      <c r="AD65" s="53"/>
      <c r="AE65" s="53"/>
    </row>
    <row r="66" spans="6:31" s="21" customFormat="1" ht="14.25" x14ac:dyDescent="0.45">
      <c r="F66" s="49">
        <v>38930</v>
      </c>
      <c r="G66" s="52">
        <v>98.6</v>
      </c>
      <c r="H66" s="52">
        <v>197.2</v>
      </c>
      <c r="I66" s="52">
        <v>98.6</v>
      </c>
      <c r="J66"/>
      <c r="K66"/>
      <c r="L66"/>
      <c r="M66"/>
      <c r="N66" s="37"/>
      <c r="O66" s="53">
        <v>94.5</v>
      </c>
      <c r="P66" s="53">
        <v>189</v>
      </c>
      <c r="Q66" s="53">
        <v>94.5</v>
      </c>
      <c r="R66" s="53"/>
      <c r="S66" s="53">
        <v>94.5</v>
      </c>
      <c r="T66" s="53">
        <v>189</v>
      </c>
      <c r="U66" s="53">
        <v>94.5</v>
      </c>
      <c r="V66" s="53"/>
      <c r="W66" s="53"/>
      <c r="X66" s="53"/>
      <c r="Y66" s="53"/>
      <c r="Z66" s="53"/>
      <c r="AA66" s="53"/>
      <c r="AB66" s="53"/>
      <c r="AC66" s="53"/>
      <c r="AD66" s="53"/>
      <c r="AE66" s="53"/>
    </row>
    <row r="67" spans="6:31" s="21" customFormat="1" ht="14.25" x14ac:dyDescent="0.45">
      <c r="F67" s="49">
        <v>38961</v>
      </c>
      <c r="G67" s="52">
        <v>93.2</v>
      </c>
      <c r="H67" s="52">
        <v>186.4</v>
      </c>
      <c r="I67" s="52">
        <v>93.2</v>
      </c>
      <c r="J67"/>
      <c r="K67"/>
      <c r="L67"/>
      <c r="M67"/>
      <c r="N67" s="37"/>
      <c r="O67" s="53">
        <v>95.199999999999989</v>
      </c>
      <c r="P67" s="53">
        <v>190.39999999999998</v>
      </c>
      <c r="Q67" s="53">
        <v>95.199999999999989</v>
      </c>
      <c r="R67" s="53"/>
      <c r="S67" s="53">
        <v>95.199999999999989</v>
      </c>
      <c r="T67" s="53">
        <v>190.39999999999998</v>
      </c>
      <c r="U67" s="53">
        <v>95.199999999999989</v>
      </c>
      <c r="V67" s="53"/>
      <c r="W67" s="53"/>
      <c r="X67" s="53"/>
      <c r="Y67" s="53"/>
      <c r="Z67" s="53"/>
      <c r="AA67" s="53"/>
      <c r="AB67" s="53"/>
      <c r="AC67" s="53"/>
      <c r="AD67" s="53"/>
      <c r="AE67" s="53"/>
    </row>
    <row r="68" spans="6:31" s="21" customFormat="1" ht="14.25" x14ac:dyDescent="0.45">
      <c r="F68" s="49">
        <v>38991</v>
      </c>
      <c r="G68" s="52">
        <v>97.5</v>
      </c>
      <c r="H68" s="52">
        <v>195</v>
      </c>
      <c r="I68" s="52">
        <v>97.5</v>
      </c>
      <c r="J68"/>
      <c r="K68"/>
      <c r="L68"/>
      <c r="M68"/>
      <c r="N68" s="37"/>
      <c r="O68" s="53">
        <v>96.433333333333337</v>
      </c>
      <c r="P68" s="53">
        <v>192.86666666666667</v>
      </c>
      <c r="Q68" s="53">
        <v>96.433333333333337</v>
      </c>
      <c r="R68" s="53"/>
      <c r="S68" s="53">
        <v>96.433333333333337</v>
      </c>
      <c r="T68" s="53">
        <v>192.86666666666667</v>
      </c>
      <c r="U68" s="53">
        <v>96.433333333333337</v>
      </c>
      <c r="V68" s="53"/>
      <c r="W68" s="53"/>
      <c r="X68" s="53"/>
      <c r="Y68" s="53"/>
      <c r="Z68" s="53"/>
      <c r="AA68" s="53"/>
      <c r="AB68" s="53"/>
      <c r="AC68" s="53"/>
      <c r="AD68" s="53"/>
      <c r="AE68" s="53"/>
    </row>
    <row r="69" spans="6:31" s="21" customFormat="1" ht="14.25" x14ac:dyDescent="0.45">
      <c r="F69" s="49">
        <v>39022</v>
      </c>
      <c r="G69" s="52">
        <v>95.9</v>
      </c>
      <c r="H69" s="52">
        <v>191.8</v>
      </c>
      <c r="I69" s="52">
        <v>95.9</v>
      </c>
      <c r="J69"/>
      <c r="K69"/>
      <c r="L69"/>
      <c r="M69"/>
      <c r="N69" s="37"/>
      <c r="O69" s="53">
        <v>95.533333333333346</v>
      </c>
      <c r="P69" s="53">
        <v>191.06666666666669</v>
      </c>
      <c r="Q69" s="53">
        <v>95.533333333333346</v>
      </c>
      <c r="R69" s="53"/>
      <c r="S69" s="53">
        <v>95.533333333333346</v>
      </c>
      <c r="T69" s="53">
        <v>191.06666666666669</v>
      </c>
      <c r="U69" s="53">
        <v>95.533333333333346</v>
      </c>
      <c r="V69" s="53"/>
      <c r="W69" s="53"/>
      <c r="X69" s="53"/>
      <c r="Y69" s="53"/>
      <c r="Z69" s="53"/>
      <c r="AA69" s="53"/>
      <c r="AB69" s="53"/>
      <c r="AC69" s="53"/>
      <c r="AD69" s="53"/>
      <c r="AE69" s="53"/>
    </row>
    <row r="70" spans="6:31" s="21" customFormat="1" ht="14.25" x14ac:dyDescent="0.45">
      <c r="F70" s="49">
        <v>39052</v>
      </c>
      <c r="G70" s="52">
        <v>87</v>
      </c>
      <c r="H70" s="52">
        <v>174</v>
      </c>
      <c r="I70" s="52">
        <v>87</v>
      </c>
      <c r="J70"/>
      <c r="K70"/>
      <c r="L70"/>
      <c r="M70"/>
      <c r="N70" s="37"/>
      <c r="O70" s="53">
        <v>93.466666666666654</v>
      </c>
      <c r="P70" s="53">
        <v>186.93333333333331</v>
      </c>
      <c r="Q70" s="53">
        <v>93.466666666666654</v>
      </c>
      <c r="R70" s="53"/>
      <c r="S70" s="53">
        <v>93.466666666666654</v>
      </c>
      <c r="T70" s="53">
        <v>186.93333333333331</v>
      </c>
      <c r="U70" s="53">
        <v>93.466666666666654</v>
      </c>
      <c r="V70" s="53"/>
      <c r="W70" s="53"/>
      <c r="X70" s="53"/>
      <c r="Y70" s="53"/>
      <c r="Z70" s="53"/>
      <c r="AA70" s="53"/>
      <c r="AB70" s="53"/>
      <c r="AC70" s="53"/>
      <c r="AD70" s="53"/>
      <c r="AE70" s="53"/>
    </row>
    <row r="71" spans="6:31" s="21" customFormat="1" ht="14.25" x14ac:dyDescent="0.45">
      <c r="F71" s="49">
        <v>39083</v>
      </c>
      <c r="G71" s="52">
        <v>87</v>
      </c>
      <c r="H71" s="52">
        <v>174</v>
      </c>
      <c r="I71" s="52">
        <v>87</v>
      </c>
      <c r="J71"/>
      <c r="K71"/>
      <c r="L71"/>
      <c r="M71"/>
      <c r="N71" s="37"/>
      <c r="O71" s="53">
        <v>89.966666666666654</v>
      </c>
      <c r="P71" s="53">
        <v>179.93333333333331</v>
      </c>
      <c r="Q71" s="53">
        <v>89.966666666666654</v>
      </c>
      <c r="R71" s="53"/>
      <c r="S71" s="53">
        <v>89.966666666666654</v>
      </c>
      <c r="T71" s="53">
        <v>179.93333333333331</v>
      </c>
      <c r="U71" s="53">
        <v>89.966666666666654</v>
      </c>
      <c r="V71" s="53"/>
      <c r="W71" s="53"/>
      <c r="X71" s="53"/>
      <c r="Y71" s="53"/>
      <c r="Z71" s="53"/>
      <c r="AA71" s="53"/>
      <c r="AB71" s="53"/>
      <c r="AC71" s="53"/>
      <c r="AD71" s="53"/>
      <c r="AE71" s="53"/>
    </row>
    <row r="72" spans="6:31" s="21" customFormat="1" ht="14.25" x14ac:dyDescent="0.45">
      <c r="F72" s="49">
        <v>39114</v>
      </c>
      <c r="G72" s="52">
        <v>82.6</v>
      </c>
      <c r="H72" s="52">
        <v>165.2</v>
      </c>
      <c r="I72" s="52">
        <v>82.6</v>
      </c>
      <c r="J72"/>
      <c r="K72"/>
      <c r="L72"/>
      <c r="M72"/>
      <c r="N72" s="37"/>
      <c r="O72" s="53">
        <v>85.533333333333346</v>
      </c>
      <c r="P72" s="53">
        <v>171.06666666666669</v>
      </c>
      <c r="Q72" s="53">
        <v>85.533333333333346</v>
      </c>
      <c r="R72" s="53"/>
      <c r="S72" s="53">
        <v>85.533333333333346</v>
      </c>
      <c r="T72" s="53">
        <v>171.06666666666669</v>
      </c>
      <c r="U72" s="53">
        <v>85.533333333333346</v>
      </c>
      <c r="V72" s="53"/>
      <c r="W72" s="53"/>
      <c r="X72" s="53"/>
      <c r="Y72" s="53"/>
      <c r="Z72" s="53"/>
      <c r="AA72" s="53"/>
      <c r="AB72" s="53"/>
      <c r="AC72" s="53"/>
      <c r="AD72" s="53"/>
      <c r="AE72" s="53"/>
    </row>
    <row r="73" spans="6:31" s="21" customFormat="1" ht="14.25" x14ac:dyDescent="0.45">
      <c r="F73" s="49">
        <v>39142</v>
      </c>
      <c r="G73" s="52">
        <v>96.4</v>
      </c>
      <c r="H73" s="52">
        <v>192.8</v>
      </c>
      <c r="I73" s="52">
        <v>96.4</v>
      </c>
      <c r="J73"/>
      <c r="K73"/>
      <c r="L73"/>
      <c r="M73"/>
      <c r="N73" s="37"/>
      <c r="O73" s="53">
        <v>88.666666666666671</v>
      </c>
      <c r="P73" s="53">
        <v>177.33333333333334</v>
      </c>
      <c r="Q73" s="53">
        <v>88.666666666666671</v>
      </c>
      <c r="R73" s="53"/>
      <c r="S73" s="53">
        <v>88.666666666666671</v>
      </c>
      <c r="T73" s="53">
        <v>177.33333333333334</v>
      </c>
      <c r="U73" s="53">
        <v>88.666666666666671</v>
      </c>
      <c r="V73" s="53"/>
      <c r="W73" s="53"/>
      <c r="X73" s="53"/>
      <c r="Y73" s="53"/>
      <c r="Z73" s="53"/>
      <c r="AA73" s="53"/>
      <c r="AB73" s="53"/>
      <c r="AC73" s="53"/>
      <c r="AD73" s="53"/>
      <c r="AE73" s="53"/>
    </row>
    <row r="74" spans="6:31" s="21" customFormat="1" ht="14.25" x14ac:dyDescent="0.45">
      <c r="F74" s="49">
        <v>39173</v>
      </c>
      <c r="G74" s="52">
        <v>90.6</v>
      </c>
      <c r="H74" s="52">
        <v>181.2</v>
      </c>
      <c r="I74" s="52">
        <v>90.6</v>
      </c>
      <c r="J74"/>
      <c r="K74"/>
      <c r="L74"/>
      <c r="M74"/>
      <c r="N74" s="37"/>
      <c r="O74" s="53">
        <v>89.866666666666674</v>
      </c>
      <c r="P74" s="53">
        <v>179.73333333333335</v>
      </c>
      <c r="Q74" s="53">
        <v>89.866666666666674</v>
      </c>
      <c r="R74" s="53"/>
      <c r="S74" s="53">
        <v>89.866666666666674</v>
      </c>
      <c r="T74" s="53">
        <v>179.73333333333335</v>
      </c>
      <c r="U74" s="53">
        <v>89.866666666666674</v>
      </c>
      <c r="V74" s="53"/>
      <c r="W74" s="53"/>
      <c r="X74" s="53"/>
      <c r="Y74" s="53"/>
      <c r="Z74" s="53"/>
      <c r="AA74" s="53"/>
      <c r="AB74" s="53"/>
      <c r="AC74" s="53"/>
      <c r="AD74" s="53"/>
      <c r="AE74" s="53"/>
    </row>
    <row r="75" spans="6:31" s="21" customFormat="1" ht="14.25" x14ac:dyDescent="0.45">
      <c r="F75" s="49">
        <v>39203</v>
      </c>
      <c r="G75" s="52">
        <v>99.9</v>
      </c>
      <c r="H75" s="52">
        <v>199.8</v>
      </c>
      <c r="I75" s="52">
        <v>99.9</v>
      </c>
      <c r="J75"/>
      <c r="K75"/>
      <c r="L75"/>
      <c r="M75"/>
      <c r="N75" s="37"/>
      <c r="O75" s="53">
        <v>95.633333333333326</v>
      </c>
      <c r="P75" s="53">
        <v>191.26666666666665</v>
      </c>
      <c r="Q75" s="53">
        <v>95.633333333333326</v>
      </c>
      <c r="R75" s="53"/>
      <c r="S75" s="53">
        <v>95.633333333333326</v>
      </c>
      <c r="T75" s="53">
        <v>191.26666666666665</v>
      </c>
      <c r="U75" s="53">
        <v>95.633333333333326</v>
      </c>
      <c r="V75" s="53"/>
      <c r="W75" s="53"/>
      <c r="X75" s="53"/>
      <c r="Y75" s="53"/>
      <c r="Z75" s="53"/>
      <c r="AA75" s="53"/>
      <c r="AB75" s="53"/>
      <c r="AC75" s="53"/>
      <c r="AD75" s="53"/>
      <c r="AE75" s="53"/>
    </row>
    <row r="76" spans="6:31" s="21" customFormat="1" ht="14.25" x14ac:dyDescent="0.45">
      <c r="F76" s="49">
        <v>39234</v>
      </c>
      <c r="G76" s="52">
        <v>96.9</v>
      </c>
      <c r="H76" s="52">
        <v>193.8</v>
      </c>
      <c r="I76" s="52">
        <v>96.9</v>
      </c>
      <c r="J76"/>
      <c r="K76"/>
      <c r="L76"/>
      <c r="M76"/>
      <c r="N76" s="37"/>
      <c r="O76" s="53">
        <v>95.8</v>
      </c>
      <c r="P76" s="53">
        <v>191.6</v>
      </c>
      <c r="Q76" s="53">
        <v>95.8</v>
      </c>
      <c r="R76" s="53"/>
      <c r="S76" s="53">
        <v>95.8</v>
      </c>
      <c r="T76" s="53">
        <v>191.6</v>
      </c>
      <c r="U76" s="53">
        <v>95.8</v>
      </c>
      <c r="V76" s="53"/>
      <c r="W76" s="53"/>
      <c r="X76" s="53"/>
      <c r="Y76" s="53"/>
      <c r="Z76" s="53"/>
      <c r="AA76" s="53"/>
      <c r="AB76" s="53"/>
      <c r="AC76" s="53"/>
      <c r="AD76" s="53"/>
      <c r="AE76" s="53"/>
    </row>
    <row r="77" spans="6:31" s="21" customFormat="1" ht="14.25" x14ac:dyDescent="0.45">
      <c r="F77" s="49">
        <v>39264</v>
      </c>
      <c r="G77" s="52">
        <v>99.8</v>
      </c>
      <c r="H77" s="52">
        <v>199.6</v>
      </c>
      <c r="I77" s="52">
        <v>99.8</v>
      </c>
      <c r="J77"/>
      <c r="K77"/>
      <c r="L77"/>
      <c r="M77"/>
      <c r="N77" s="37"/>
      <c r="O77" s="53">
        <v>98.866666666666674</v>
      </c>
      <c r="P77" s="53">
        <v>197.73333333333335</v>
      </c>
      <c r="Q77" s="53">
        <v>98.866666666666674</v>
      </c>
      <c r="R77" s="53"/>
      <c r="S77" s="53">
        <v>98.866666666666674</v>
      </c>
      <c r="T77" s="53">
        <v>197.73333333333335</v>
      </c>
      <c r="U77" s="53">
        <v>98.866666666666674</v>
      </c>
      <c r="V77" s="53"/>
      <c r="W77" s="53"/>
      <c r="X77" s="53"/>
      <c r="Y77" s="53"/>
      <c r="Z77" s="53"/>
      <c r="AA77" s="53"/>
      <c r="AB77" s="53"/>
      <c r="AC77" s="53"/>
      <c r="AD77" s="53"/>
      <c r="AE77" s="53"/>
    </row>
    <row r="78" spans="6:31" s="21" customFormat="1" ht="14.25" x14ac:dyDescent="0.45">
      <c r="F78" s="49">
        <v>39295</v>
      </c>
      <c r="G78" s="52">
        <v>104.9</v>
      </c>
      <c r="H78" s="52">
        <v>209.8</v>
      </c>
      <c r="I78" s="52">
        <v>104.9</v>
      </c>
      <c r="J78"/>
      <c r="K78"/>
      <c r="L78"/>
      <c r="M78"/>
      <c r="N78" s="37"/>
      <c r="O78" s="53">
        <v>100.53333333333335</v>
      </c>
      <c r="P78" s="53">
        <v>201.06666666666669</v>
      </c>
      <c r="Q78" s="53">
        <v>100.53333333333335</v>
      </c>
      <c r="R78" s="53"/>
      <c r="S78" s="53">
        <v>100.53333333333335</v>
      </c>
      <c r="T78" s="53">
        <v>201.06666666666669</v>
      </c>
      <c r="U78" s="53">
        <v>100.53333333333335</v>
      </c>
      <c r="V78" s="53"/>
      <c r="W78" s="53"/>
      <c r="X78" s="53"/>
      <c r="Y78" s="53"/>
      <c r="Z78" s="53"/>
      <c r="AA78" s="53"/>
      <c r="AB78" s="53"/>
      <c r="AC78" s="53"/>
      <c r="AD78" s="53"/>
      <c r="AE78" s="53"/>
    </row>
    <row r="79" spans="6:31" s="21" customFormat="1" ht="14.25" x14ac:dyDescent="0.45">
      <c r="F79" s="49">
        <v>39326</v>
      </c>
      <c r="G79" s="52">
        <v>98.4</v>
      </c>
      <c r="H79" s="52">
        <v>196.8</v>
      </c>
      <c r="I79" s="52">
        <v>98.4</v>
      </c>
      <c r="J79"/>
      <c r="K79"/>
      <c r="L79"/>
      <c r="M79"/>
      <c r="N79" s="37"/>
      <c r="O79" s="53">
        <v>101.03333333333335</v>
      </c>
      <c r="P79" s="53">
        <v>202.06666666666669</v>
      </c>
      <c r="Q79" s="53">
        <v>101.03333333333335</v>
      </c>
      <c r="R79" s="53"/>
      <c r="S79" s="53">
        <v>101.03333333333335</v>
      </c>
      <c r="T79" s="53">
        <v>202.06666666666669</v>
      </c>
      <c r="U79" s="53">
        <v>101.03333333333335</v>
      </c>
      <c r="V79" s="53"/>
      <c r="W79" s="53"/>
      <c r="X79" s="53"/>
      <c r="Y79" s="53"/>
      <c r="Z79" s="53"/>
      <c r="AA79" s="53"/>
      <c r="AB79" s="53"/>
      <c r="AC79" s="53"/>
      <c r="AD79" s="53"/>
      <c r="AE79" s="53"/>
    </row>
    <row r="80" spans="6:31" s="21" customFormat="1" ht="14.25" x14ac:dyDescent="0.45">
      <c r="F80" s="49">
        <v>39356</v>
      </c>
      <c r="G80" s="52">
        <v>107.8</v>
      </c>
      <c r="H80" s="52">
        <v>215.6</v>
      </c>
      <c r="I80" s="52">
        <v>107.8</v>
      </c>
      <c r="J80"/>
      <c r="K80"/>
      <c r="L80"/>
      <c r="M80"/>
      <c r="N80" s="37"/>
      <c r="O80" s="53">
        <v>103.7</v>
      </c>
      <c r="P80" s="53">
        <v>207.4</v>
      </c>
      <c r="Q80" s="53">
        <v>103.7</v>
      </c>
      <c r="R80" s="53"/>
      <c r="S80" s="53">
        <v>103.7</v>
      </c>
      <c r="T80" s="53">
        <v>207.4</v>
      </c>
      <c r="U80" s="53">
        <v>103.7</v>
      </c>
      <c r="V80" s="53"/>
      <c r="W80" s="53"/>
      <c r="X80" s="53"/>
      <c r="Y80" s="53"/>
      <c r="Z80" s="53"/>
      <c r="AA80" s="53"/>
      <c r="AB80" s="53"/>
      <c r="AC80" s="53"/>
      <c r="AD80" s="53"/>
      <c r="AE80" s="53"/>
    </row>
    <row r="81" spans="6:31" s="21" customFormat="1" ht="14.25" x14ac:dyDescent="0.45">
      <c r="F81" s="49">
        <v>39387</v>
      </c>
      <c r="G81" s="52">
        <v>102.4</v>
      </c>
      <c r="H81" s="52">
        <v>204.8</v>
      </c>
      <c r="I81" s="52">
        <v>102.4</v>
      </c>
      <c r="J81"/>
      <c r="K81"/>
      <c r="L81"/>
      <c r="M81"/>
      <c r="N81" s="37"/>
      <c r="O81" s="53">
        <v>102.86666666666667</v>
      </c>
      <c r="P81" s="53">
        <v>205.73333333333335</v>
      </c>
      <c r="Q81" s="53">
        <v>102.86666666666667</v>
      </c>
      <c r="R81" s="53"/>
      <c r="S81" s="53">
        <v>102.86666666666667</v>
      </c>
      <c r="T81" s="53">
        <v>205.73333333333335</v>
      </c>
      <c r="U81" s="53">
        <v>102.86666666666667</v>
      </c>
      <c r="V81" s="53"/>
      <c r="W81" s="53"/>
      <c r="X81" s="53"/>
      <c r="Y81" s="53"/>
      <c r="Z81" s="53"/>
      <c r="AA81" s="53"/>
      <c r="AB81" s="53"/>
      <c r="AC81" s="53"/>
      <c r="AD81" s="53"/>
      <c r="AE81" s="53"/>
    </row>
    <row r="82" spans="6:31" s="21" customFormat="1" ht="14.25" x14ac:dyDescent="0.45">
      <c r="F82" s="49">
        <v>39417</v>
      </c>
      <c r="G82" s="52">
        <v>92.6</v>
      </c>
      <c r="H82" s="52">
        <v>185.2</v>
      </c>
      <c r="I82" s="52">
        <v>92.6</v>
      </c>
      <c r="J82"/>
      <c r="K82"/>
      <c r="L82"/>
      <c r="M82"/>
      <c r="N82" s="37"/>
      <c r="O82" s="53">
        <v>100.93333333333332</v>
      </c>
      <c r="P82" s="53">
        <v>201.86666666666665</v>
      </c>
      <c r="Q82" s="53">
        <v>100.93333333333332</v>
      </c>
      <c r="R82" s="53"/>
      <c r="S82" s="53">
        <v>100.93333333333332</v>
      </c>
      <c r="T82" s="53">
        <v>201.86666666666665</v>
      </c>
      <c r="U82" s="53">
        <v>100.93333333333332</v>
      </c>
      <c r="V82" s="53"/>
      <c r="W82" s="53"/>
      <c r="X82" s="53"/>
      <c r="Y82" s="53"/>
      <c r="Z82" s="53"/>
      <c r="AA82" s="53"/>
      <c r="AB82" s="53"/>
      <c r="AC82" s="53"/>
      <c r="AD82" s="53"/>
      <c r="AE82" s="53"/>
    </row>
    <row r="83" spans="6:31" s="21" customFormat="1" ht="14.25" x14ac:dyDescent="0.45">
      <c r="F83" s="49">
        <v>39448</v>
      </c>
      <c r="G83" s="52">
        <v>94.8</v>
      </c>
      <c r="H83" s="52">
        <v>189.6</v>
      </c>
      <c r="I83" s="52">
        <v>94.8</v>
      </c>
      <c r="J83"/>
      <c r="K83"/>
      <c r="L83"/>
      <c r="M83"/>
      <c r="N83" s="37"/>
      <c r="O83" s="53">
        <v>96.600000000000009</v>
      </c>
      <c r="P83" s="53">
        <v>193.20000000000002</v>
      </c>
      <c r="Q83" s="53">
        <v>96.600000000000009</v>
      </c>
      <c r="R83" s="53"/>
      <c r="S83" s="53">
        <v>96.600000000000009</v>
      </c>
      <c r="T83" s="53">
        <v>193.20000000000002</v>
      </c>
      <c r="U83" s="53">
        <v>96.600000000000009</v>
      </c>
      <c r="V83" s="53"/>
      <c r="W83" s="53"/>
      <c r="X83" s="53"/>
      <c r="Y83" s="53"/>
      <c r="Z83" s="53"/>
      <c r="AA83" s="53"/>
      <c r="AB83" s="53"/>
      <c r="AC83" s="53"/>
      <c r="AD83" s="53"/>
      <c r="AE83" s="53"/>
    </row>
    <row r="84" spans="6:31" s="21" customFormat="1" ht="14.25" x14ac:dyDescent="0.45">
      <c r="F84" s="49">
        <v>39479</v>
      </c>
      <c r="G84" s="52">
        <v>91.1</v>
      </c>
      <c r="H84" s="52">
        <v>182.2</v>
      </c>
      <c r="I84" s="52">
        <v>91.1</v>
      </c>
      <c r="J84"/>
      <c r="K84"/>
      <c r="L84"/>
      <c r="M84"/>
      <c r="N84" s="37"/>
      <c r="O84" s="53">
        <v>92.833333333333329</v>
      </c>
      <c r="P84" s="53">
        <v>185.66666666666666</v>
      </c>
      <c r="Q84" s="53">
        <v>92.833333333333329</v>
      </c>
      <c r="R84" s="53"/>
      <c r="S84" s="53">
        <v>92.833333333333329</v>
      </c>
      <c r="T84" s="53">
        <v>185.66666666666666</v>
      </c>
      <c r="U84" s="53">
        <v>92.833333333333329</v>
      </c>
      <c r="V84" s="53"/>
      <c r="W84" s="53"/>
      <c r="X84" s="53"/>
      <c r="Y84" s="53"/>
      <c r="Z84" s="53"/>
      <c r="AA84" s="53"/>
      <c r="AB84" s="53"/>
      <c r="AC84" s="53"/>
      <c r="AD84" s="53"/>
      <c r="AE84" s="53"/>
    </row>
    <row r="85" spans="6:31" s="21" customFormat="1" ht="14.25" x14ac:dyDescent="0.45">
      <c r="F85" s="49">
        <v>39508</v>
      </c>
      <c r="G85" s="52">
        <v>97.7</v>
      </c>
      <c r="H85" s="52">
        <v>195.4</v>
      </c>
      <c r="I85" s="52">
        <v>97.7</v>
      </c>
      <c r="J85"/>
      <c r="K85"/>
      <c r="L85"/>
      <c r="M85"/>
      <c r="N85" s="37"/>
      <c r="O85" s="53">
        <v>94.533333333333317</v>
      </c>
      <c r="P85" s="53">
        <v>189.06666666666663</v>
      </c>
      <c r="Q85" s="53">
        <v>94.533333333333317</v>
      </c>
      <c r="R85" s="53"/>
      <c r="S85" s="53">
        <v>94.533333333333317</v>
      </c>
      <c r="T85" s="53">
        <v>189.06666666666663</v>
      </c>
      <c r="U85" s="53">
        <v>94.533333333333317</v>
      </c>
      <c r="V85" s="53"/>
      <c r="W85" s="53"/>
      <c r="X85" s="53"/>
      <c r="Y85" s="53"/>
      <c r="Z85" s="53"/>
      <c r="AA85" s="53"/>
      <c r="AB85" s="53"/>
      <c r="AC85" s="53"/>
      <c r="AD85" s="53"/>
      <c r="AE85" s="53"/>
    </row>
    <row r="86" spans="6:31" s="21" customFormat="1" ht="14.25" x14ac:dyDescent="0.45">
      <c r="F86" s="49">
        <v>39539</v>
      </c>
      <c r="G86" s="52">
        <v>99.2</v>
      </c>
      <c r="H86" s="52">
        <v>198.4</v>
      </c>
      <c r="I86" s="52">
        <v>99.2</v>
      </c>
      <c r="J86"/>
      <c r="K86"/>
      <c r="L86"/>
      <c r="M86"/>
      <c r="N86" s="37"/>
      <c r="O86" s="53">
        <v>96</v>
      </c>
      <c r="P86" s="53">
        <v>192</v>
      </c>
      <c r="Q86" s="53">
        <v>96</v>
      </c>
      <c r="R86" s="53"/>
      <c r="S86" s="53">
        <v>96</v>
      </c>
      <c r="T86" s="53">
        <v>192</v>
      </c>
      <c r="U86" s="53">
        <v>96</v>
      </c>
      <c r="V86" s="53"/>
      <c r="W86" s="53"/>
      <c r="X86" s="53"/>
      <c r="Y86" s="53"/>
      <c r="Z86" s="53"/>
      <c r="AA86" s="53"/>
      <c r="AB86" s="53"/>
      <c r="AC86" s="53"/>
      <c r="AD86" s="53"/>
      <c r="AE86" s="53"/>
    </row>
    <row r="87" spans="6:31" s="21" customFormat="1" ht="14.25" x14ac:dyDescent="0.45">
      <c r="F87" s="49">
        <v>39569</v>
      </c>
      <c r="G87" s="52">
        <v>102.5</v>
      </c>
      <c r="H87" s="52">
        <v>205</v>
      </c>
      <c r="I87" s="52">
        <v>102.5</v>
      </c>
      <c r="J87"/>
      <c r="K87"/>
      <c r="L87"/>
      <c r="M87"/>
      <c r="N87" s="37"/>
      <c r="O87" s="53">
        <v>99.8</v>
      </c>
      <c r="P87" s="53">
        <v>199.6</v>
      </c>
      <c r="Q87" s="53">
        <v>99.8</v>
      </c>
      <c r="R87" s="53"/>
      <c r="S87" s="53">
        <v>99.8</v>
      </c>
      <c r="T87" s="53">
        <v>199.6</v>
      </c>
      <c r="U87" s="53">
        <v>99.8</v>
      </c>
      <c r="V87" s="53"/>
      <c r="W87" s="53"/>
      <c r="X87" s="53"/>
      <c r="Y87" s="53"/>
      <c r="Z87" s="53"/>
      <c r="AA87" s="53"/>
      <c r="AB87" s="53"/>
      <c r="AC87" s="53"/>
      <c r="AD87" s="53"/>
      <c r="AE87" s="53"/>
    </row>
    <row r="88" spans="6:31" s="21" customFormat="1" ht="14.25" x14ac:dyDescent="0.45">
      <c r="F88" s="49">
        <v>39600</v>
      </c>
      <c r="G88" s="52">
        <v>103.3</v>
      </c>
      <c r="H88" s="52">
        <v>206.6</v>
      </c>
      <c r="I88" s="52">
        <v>103.3</v>
      </c>
      <c r="J88"/>
      <c r="K88"/>
      <c r="L88"/>
      <c r="M88"/>
      <c r="N88" s="37"/>
      <c r="O88" s="53">
        <v>101.66666666666667</v>
      </c>
      <c r="P88" s="53">
        <v>203.33333333333334</v>
      </c>
      <c r="Q88" s="53">
        <v>101.66666666666667</v>
      </c>
      <c r="R88" s="53"/>
      <c r="S88" s="53">
        <v>101.66666666666667</v>
      </c>
      <c r="T88" s="53">
        <v>203.33333333333334</v>
      </c>
      <c r="U88" s="53">
        <v>101.66666666666667</v>
      </c>
      <c r="V88" s="53"/>
      <c r="W88" s="53"/>
      <c r="X88" s="53"/>
      <c r="Y88" s="53"/>
      <c r="Z88" s="53"/>
      <c r="AA88" s="53"/>
      <c r="AB88" s="53"/>
      <c r="AC88" s="53"/>
      <c r="AD88" s="53"/>
      <c r="AE88" s="53"/>
    </row>
    <row r="89" spans="6:31" s="21" customFormat="1" ht="14.25" x14ac:dyDescent="0.45">
      <c r="F89" s="49">
        <v>39630</v>
      </c>
      <c r="G89" s="52">
        <v>108.5</v>
      </c>
      <c r="H89" s="52">
        <v>217</v>
      </c>
      <c r="I89" s="52">
        <v>108.5</v>
      </c>
      <c r="J89"/>
      <c r="K89"/>
      <c r="L89"/>
      <c r="M89"/>
      <c r="N89" s="37"/>
      <c r="O89" s="53">
        <v>104.76666666666667</v>
      </c>
      <c r="P89" s="53">
        <v>209.53333333333333</v>
      </c>
      <c r="Q89" s="53">
        <v>104.76666666666667</v>
      </c>
      <c r="R89" s="53"/>
      <c r="S89" s="53">
        <v>104.76666666666667</v>
      </c>
      <c r="T89" s="53">
        <v>209.53333333333333</v>
      </c>
      <c r="U89" s="53">
        <v>104.76666666666667</v>
      </c>
      <c r="V89" s="53"/>
      <c r="W89" s="53"/>
      <c r="X89" s="53"/>
      <c r="Y89" s="53"/>
      <c r="Z89" s="53"/>
      <c r="AA89" s="53"/>
      <c r="AB89" s="53"/>
      <c r="AC89" s="53"/>
      <c r="AD89" s="53"/>
      <c r="AE89" s="53"/>
    </row>
    <row r="90" spans="6:31" s="21" customFormat="1" ht="14.25" x14ac:dyDescent="0.45">
      <c r="F90" s="49">
        <v>39661</v>
      </c>
      <c r="G90" s="52">
        <v>106.9</v>
      </c>
      <c r="H90" s="52">
        <v>213.8</v>
      </c>
      <c r="I90" s="52">
        <v>106.9</v>
      </c>
      <c r="J90"/>
      <c r="K90"/>
      <c r="L90"/>
      <c r="M90"/>
      <c r="N90" s="37"/>
      <c r="O90" s="53">
        <v>106.23333333333335</v>
      </c>
      <c r="P90" s="53">
        <v>212.4666666666667</v>
      </c>
      <c r="Q90" s="53">
        <v>106.23333333333335</v>
      </c>
      <c r="R90" s="53"/>
      <c r="S90" s="53">
        <v>106.23333333333335</v>
      </c>
      <c r="T90" s="53">
        <v>212.4666666666667</v>
      </c>
      <c r="U90" s="53">
        <v>106.23333333333335</v>
      </c>
      <c r="V90" s="53"/>
      <c r="W90" s="53"/>
      <c r="X90" s="53"/>
      <c r="Y90" s="53"/>
      <c r="Z90" s="53"/>
      <c r="AA90" s="53"/>
      <c r="AB90" s="53"/>
      <c r="AC90" s="53"/>
      <c r="AD90" s="53"/>
      <c r="AE90" s="53"/>
    </row>
    <row r="91" spans="6:31" s="21" customFormat="1" ht="14.25" x14ac:dyDescent="0.45">
      <c r="F91" s="49">
        <v>39692</v>
      </c>
      <c r="G91" s="52">
        <v>107.3</v>
      </c>
      <c r="H91" s="52">
        <v>214.6</v>
      </c>
      <c r="I91" s="52">
        <v>107.3</v>
      </c>
      <c r="J91"/>
      <c r="K91"/>
      <c r="L91"/>
      <c r="M91"/>
      <c r="N91" s="37"/>
      <c r="O91" s="53">
        <v>107.56666666666666</v>
      </c>
      <c r="P91" s="53">
        <v>215.13333333333333</v>
      </c>
      <c r="Q91" s="53">
        <v>107.56666666666666</v>
      </c>
      <c r="R91" s="53"/>
      <c r="S91" s="53">
        <v>107.56666666666666</v>
      </c>
      <c r="T91" s="53">
        <v>215.13333333333333</v>
      </c>
      <c r="U91" s="53">
        <v>107.56666666666666</v>
      </c>
      <c r="V91" s="53"/>
      <c r="W91" s="53"/>
      <c r="X91" s="53"/>
      <c r="Y91" s="53"/>
      <c r="Z91" s="53"/>
      <c r="AA91" s="53"/>
      <c r="AB91" s="53"/>
      <c r="AC91" s="53"/>
      <c r="AD91" s="53"/>
      <c r="AE91" s="53"/>
    </row>
    <row r="92" spans="6:31" s="21" customFormat="1" ht="14.25" x14ac:dyDescent="0.45">
      <c r="F92" s="49">
        <v>39722</v>
      </c>
      <c r="G92" s="52">
        <v>108.4</v>
      </c>
      <c r="H92" s="52">
        <v>216.8</v>
      </c>
      <c r="I92" s="52">
        <v>108.4</v>
      </c>
      <c r="J92"/>
      <c r="K92"/>
      <c r="L92"/>
      <c r="M92"/>
      <c r="N92" s="37"/>
      <c r="O92" s="53">
        <v>107.53333333333335</v>
      </c>
      <c r="P92" s="53">
        <v>215.06666666666669</v>
      </c>
      <c r="Q92" s="53">
        <v>107.53333333333335</v>
      </c>
      <c r="R92" s="53"/>
      <c r="S92" s="53">
        <v>107.53333333333335</v>
      </c>
      <c r="T92" s="53">
        <v>215.06666666666669</v>
      </c>
      <c r="U92" s="53">
        <v>107.53333333333335</v>
      </c>
      <c r="V92" s="53"/>
      <c r="W92" s="53"/>
      <c r="X92" s="53"/>
      <c r="Y92" s="53"/>
      <c r="Z92" s="53"/>
      <c r="AA92" s="53"/>
      <c r="AB92" s="53"/>
      <c r="AC92" s="53"/>
      <c r="AD92" s="53"/>
      <c r="AE92" s="53"/>
    </row>
    <row r="93" spans="6:31" s="21" customFormat="1" ht="14.25" x14ac:dyDescent="0.45">
      <c r="F93" s="49">
        <v>39753</v>
      </c>
      <c r="G93" s="52">
        <v>96.2</v>
      </c>
      <c r="H93" s="52">
        <v>192.4</v>
      </c>
      <c r="I93" s="52">
        <v>96.2</v>
      </c>
      <c r="J93"/>
      <c r="K93"/>
      <c r="L93"/>
      <c r="M93"/>
      <c r="N93" s="37"/>
      <c r="O93" s="53">
        <v>103.96666666666665</v>
      </c>
      <c r="P93" s="53">
        <v>207.93333333333331</v>
      </c>
      <c r="Q93" s="53">
        <v>103.96666666666665</v>
      </c>
      <c r="R93" s="53"/>
      <c r="S93" s="53">
        <v>103.96666666666665</v>
      </c>
      <c r="T93" s="53">
        <v>207.93333333333331</v>
      </c>
      <c r="U93" s="53">
        <v>103.96666666666665</v>
      </c>
      <c r="V93" s="53"/>
      <c r="W93" s="53"/>
      <c r="X93" s="53"/>
      <c r="Y93" s="53"/>
      <c r="Z93" s="53"/>
      <c r="AA93" s="53"/>
      <c r="AB93" s="53"/>
      <c r="AC93" s="53"/>
      <c r="AD93" s="53"/>
      <c r="AE93" s="53"/>
    </row>
    <row r="94" spans="6:31" s="21" customFormat="1" ht="14.25" x14ac:dyDescent="0.45">
      <c r="F94" s="49">
        <v>39783</v>
      </c>
      <c r="G94" s="52">
        <v>79.099999999999994</v>
      </c>
      <c r="H94" s="52">
        <v>158.19999999999999</v>
      </c>
      <c r="I94" s="52">
        <v>79.099999999999994</v>
      </c>
      <c r="J94"/>
      <c r="K94"/>
      <c r="L94"/>
      <c r="M94"/>
      <c r="N94" s="37"/>
      <c r="O94" s="53">
        <v>94.566666666666677</v>
      </c>
      <c r="P94" s="53">
        <v>189.13333333333335</v>
      </c>
      <c r="Q94" s="53">
        <v>94.566666666666677</v>
      </c>
      <c r="R94" s="53"/>
      <c r="S94" s="53">
        <v>94.566666666666677</v>
      </c>
      <c r="T94" s="53">
        <v>189.13333333333335</v>
      </c>
      <c r="U94" s="53">
        <v>94.566666666666677</v>
      </c>
      <c r="V94" s="53"/>
      <c r="W94" s="53"/>
      <c r="X94" s="53"/>
      <c r="Y94" s="53"/>
      <c r="Z94" s="53"/>
      <c r="AA94" s="53"/>
      <c r="AB94" s="53"/>
      <c r="AC94" s="53"/>
      <c r="AD94" s="53"/>
      <c r="AE94" s="53"/>
    </row>
    <row r="95" spans="6:31" s="21" customFormat="1" ht="14.25" x14ac:dyDescent="0.45">
      <c r="F95" s="49">
        <v>39814</v>
      </c>
      <c r="G95" s="52">
        <v>78.7</v>
      </c>
      <c r="H95" s="52">
        <v>157.4</v>
      </c>
      <c r="I95" s="52">
        <v>78.7</v>
      </c>
      <c r="J95"/>
      <c r="K95"/>
      <c r="L95"/>
      <c r="M95"/>
      <c r="N95" s="37"/>
      <c r="O95" s="53">
        <v>84.666666666666671</v>
      </c>
      <c r="P95" s="53">
        <v>169.33333333333334</v>
      </c>
      <c r="Q95" s="53">
        <v>84.666666666666671</v>
      </c>
      <c r="R95" s="53"/>
      <c r="S95" s="53">
        <v>84.666666666666671</v>
      </c>
      <c r="T95" s="53">
        <v>169.33333333333334</v>
      </c>
      <c r="U95" s="53">
        <v>84.666666666666671</v>
      </c>
      <c r="V95" s="53"/>
      <c r="W95" s="53"/>
      <c r="X95" s="53"/>
      <c r="Y95" s="53"/>
      <c r="Z95" s="53"/>
      <c r="AA95" s="53"/>
      <c r="AB95" s="53"/>
      <c r="AC95" s="53"/>
      <c r="AD95" s="53"/>
      <c r="AE95" s="53"/>
    </row>
    <row r="96" spans="6:31" s="21" customFormat="1" ht="14.25" x14ac:dyDescent="0.45">
      <c r="F96" s="49">
        <v>39845</v>
      </c>
      <c r="G96" s="52">
        <v>76.099999999999994</v>
      </c>
      <c r="H96" s="52">
        <v>152.19999999999999</v>
      </c>
      <c r="I96" s="52">
        <v>76.099999999999994</v>
      </c>
      <c r="J96"/>
      <c r="K96"/>
      <c r="L96"/>
      <c r="M96"/>
      <c r="N96" s="37"/>
      <c r="O96" s="53">
        <v>77.966666666666669</v>
      </c>
      <c r="P96" s="53">
        <v>155.93333333333334</v>
      </c>
      <c r="Q96" s="53">
        <v>77.966666666666669</v>
      </c>
      <c r="R96" s="53"/>
      <c r="S96" s="53">
        <v>77.966666666666669</v>
      </c>
      <c r="T96" s="53">
        <v>155.93333333333334</v>
      </c>
      <c r="U96" s="53">
        <v>77.966666666666669</v>
      </c>
      <c r="V96" s="53"/>
      <c r="W96" s="53"/>
      <c r="X96" s="53"/>
      <c r="Y96" s="53"/>
      <c r="Z96" s="53"/>
      <c r="AA96" s="53"/>
      <c r="AB96" s="53"/>
      <c r="AC96" s="53"/>
      <c r="AD96" s="53"/>
      <c r="AE96" s="53"/>
    </row>
    <row r="97" spans="6:31" s="21" customFormat="1" ht="14.25" x14ac:dyDescent="0.45">
      <c r="F97" s="49">
        <v>39873</v>
      </c>
      <c r="G97" s="52">
        <v>88.6</v>
      </c>
      <c r="H97" s="52">
        <v>177.2</v>
      </c>
      <c r="I97" s="52">
        <v>88.6</v>
      </c>
      <c r="J97"/>
      <c r="K97"/>
      <c r="L97"/>
      <c r="M97"/>
      <c r="N97" s="37"/>
      <c r="O97" s="53">
        <v>81.13333333333334</v>
      </c>
      <c r="P97" s="53">
        <v>162.26666666666668</v>
      </c>
      <c r="Q97" s="53">
        <v>81.13333333333334</v>
      </c>
      <c r="R97" s="53"/>
      <c r="S97" s="53">
        <v>81.13333333333334</v>
      </c>
      <c r="T97" s="53">
        <v>162.26666666666668</v>
      </c>
      <c r="U97" s="53">
        <v>81.13333333333334</v>
      </c>
      <c r="V97" s="53"/>
      <c r="W97" s="53"/>
      <c r="X97" s="53"/>
      <c r="Y97" s="53"/>
      <c r="Z97" s="53"/>
      <c r="AA97" s="53"/>
      <c r="AB97" s="53"/>
      <c r="AC97" s="53"/>
      <c r="AD97" s="53"/>
      <c r="AE97" s="53"/>
    </row>
    <row r="98" spans="6:31" s="21" customFormat="1" ht="14.25" x14ac:dyDescent="0.45">
      <c r="F98" s="49">
        <v>39904</v>
      </c>
      <c r="G98" s="52">
        <v>85.2</v>
      </c>
      <c r="H98" s="52">
        <v>170.4</v>
      </c>
      <c r="I98" s="52">
        <v>85.2</v>
      </c>
      <c r="J98"/>
      <c r="K98"/>
      <c r="L98"/>
      <c r="M98"/>
      <c r="N98" s="37"/>
      <c r="O98" s="53">
        <v>83.3</v>
      </c>
      <c r="P98" s="53">
        <v>166.6</v>
      </c>
      <c r="Q98" s="53">
        <v>83.3</v>
      </c>
      <c r="R98" s="53"/>
      <c r="S98" s="53">
        <v>83.3</v>
      </c>
      <c r="T98" s="53">
        <v>166.6</v>
      </c>
      <c r="U98" s="53">
        <v>83.3</v>
      </c>
      <c r="V98" s="53"/>
      <c r="W98" s="53"/>
      <c r="X98" s="53"/>
      <c r="Y98" s="53"/>
      <c r="Z98" s="53"/>
      <c r="AA98" s="53"/>
      <c r="AB98" s="53"/>
      <c r="AC98" s="53"/>
      <c r="AD98" s="53"/>
      <c r="AE98" s="53"/>
    </row>
    <row r="99" spans="6:31" s="21" customFormat="1" ht="14.25" x14ac:dyDescent="0.45">
      <c r="F99" s="49">
        <v>39934</v>
      </c>
      <c r="G99" s="52">
        <v>91.3</v>
      </c>
      <c r="H99" s="52">
        <v>182.6</v>
      </c>
      <c r="I99" s="52">
        <v>91.3</v>
      </c>
      <c r="J99"/>
      <c r="K99"/>
      <c r="L99"/>
      <c r="M99"/>
      <c r="N99" s="37"/>
      <c r="O99" s="53">
        <v>88.366666666666674</v>
      </c>
      <c r="P99" s="53">
        <v>176.73333333333335</v>
      </c>
      <c r="Q99" s="53">
        <v>88.366666666666674</v>
      </c>
      <c r="R99" s="53"/>
      <c r="S99" s="53">
        <v>88.366666666666674</v>
      </c>
      <c r="T99" s="53">
        <v>176.73333333333335</v>
      </c>
      <c r="U99" s="53">
        <v>88.366666666666674</v>
      </c>
      <c r="V99" s="53"/>
      <c r="W99" s="53"/>
      <c r="X99" s="53"/>
      <c r="Y99" s="53"/>
      <c r="Z99" s="53"/>
      <c r="AA99" s="53"/>
      <c r="AB99" s="53"/>
      <c r="AC99" s="53"/>
      <c r="AD99" s="53"/>
      <c r="AE99" s="53"/>
    </row>
    <row r="100" spans="6:31" s="21" customFormat="1" ht="14.25" x14ac:dyDescent="0.45">
      <c r="F100" s="49">
        <v>39965</v>
      </c>
      <c r="G100" s="52">
        <v>92.2</v>
      </c>
      <c r="H100" s="52">
        <v>184.4</v>
      </c>
      <c r="I100" s="52">
        <v>92.2</v>
      </c>
      <c r="J100"/>
      <c r="K100"/>
      <c r="L100"/>
      <c r="M100"/>
      <c r="N100" s="37"/>
      <c r="O100" s="53">
        <v>89.566666666666663</v>
      </c>
      <c r="P100" s="53">
        <v>179.13333333333333</v>
      </c>
      <c r="Q100" s="53">
        <v>89.566666666666663</v>
      </c>
      <c r="R100" s="53"/>
      <c r="S100" s="53">
        <v>89.566666666666663</v>
      </c>
      <c r="T100" s="53">
        <v>179.13333333333333</v>
      </c>
      <c r="U100" s="53">
        <v>89.566666666666663</v>
      </c>
      <c r="V100" s="53"/>
      <c r="W100" s="53"/>
      <c r="X100" s="53"/>
      <c r="Y100" s="53"/>
      <c r="Z100" s="53"/>
      <c r="AA100" s="53"/>
      <c r="AB100" s="53"/>
      <c r="AC100" s="53"/>
      <c r="AD100" s="53"/>
      <c r="AE100" s="53"/>
    </row>
    <row r="101" spans="6:31" s="21" customFormat="1" ht="14.25" x14ac:dyDescent="0.45">
      <c r="F101" s="49">
        <v>39995</v>
      </c>
      <c r="G101" s="52">
        <v>97.7</v>
      </c>
      <c r="H101" s="52">
        <v>195.4</v>
      </c>
      <c r="I101" s="52">
        <v>97.7</v>
      </c>
      <c r="J101"/>
      <c r="K101"/>
      <c r="L101"/>
      <c r="M101"/>
      <c r="N101" s="37"/>
      <c r="O101" s="53">
        <v>93.733333333333334</v>
      </c>
      <c r="P101" s="53">
        <v>187.46666666666667</v>
      </c>
      <c r="Q101" s="53">
        <v>93.733333333333334</v>
      </c>
      <c r="R101" s="53"/>
      <c r="S101" s="53">
        <v>93.733333333333334</v>
      </c>
      <c r="T101" s="53">
        <v>187.46666666666667</v>
      </c>
      <c r="U101" s="53">
        <v>93.733333333333334</v>
      </c>
      <c r="V101" s="53"/>
      <c r="W101" s="53"/>
      <c r="X101" s="53"/>
      <c r="Y101" s="53"/>
      <c r="Z101" s="53"/>
      <c r="AA101" s="53"/>
      <c r="AB101" s="53"/>
      <c r="AC101" s="53"/>
      <c r="AD101" s="53"/>
      <c r="AE101" s="53"/>
    </row>
    <row r="102" spans="6:31" s="21" customFormat="1" ht="14.25" x14ac:dyDescent="0.45">
      <c r="F102" s="49">
        <v>40026</v>
      </c>
      <c r="G102" s="52">
        <v>99.6</v>
      </c>
      <c r="H102" s="52">
        <v>199.2</v>
      </c>
      <c r="I102" s="52">
        <v>99.6</v>
      </c>
      <c r="J102"/>
      <c r="K102"/>
      <c r="L102"/>
      <c r="M102"/>
      <c r="N102" s="37"/>
      <c r="O102" s="53">
        <v>96.5</v>
      </c>
      <c r="P102" s="53">
        <v>193</v>
      </c>
      <c r="Q102" s="53">
        <v>96.5</v>
      </c>
      <c r="R102" s="53"/>
      <c r="S102" s="53">
        <v>96.5</v>
      </c>
      <c r="T102" s="53">
        <v>193</v>
      </c>
      <c r="U102" s="53">
        <v>96.5</v>
      </c>
      <c r="V102" s="53"/>
      <c r="W102" s="53"/>
      <c r="X102" s="53"/>
      <c r="Y102" s="53"/>
      <c r="Z102" s="53"/>
      <c r="AA102" s="53"/>
      <c r="AB102" s="53"/>
      <c r="AC102" s="53"/>
      <c r="AD102" s="53"/>
      <c r="AE102" s="53"/>
    </row>
    <row r="103" spans="6:31" s="21" customFormat="1" ht="14.25" x14ac:dyDescent="0.45">
      <c r="F103" s="49">
        <v>40057</v>
      </c>
      <c r="G103" s="52">
        <v>99.4</v>
      </c>
      <c r="H103" s="52">
        <v>198.8</v>
      </c>
      <c r="I103" s="52">
        <v>99.4</v>
      </c>
      <c r="J103"/>
      <c r="K103"/>
      <c r="L103"/>
      <c r="M103"/>
      <c r="N103" s="37"/>
      <c r="O103" s="53">
        <v>98.90000000000002</v>
      </c>
      <c r="P103" s="53">
        <v>197.80000000000004</v>
      </c>
      <c r="Q103" s="53">
        <v>98.90000000000002</v>
      </c>
      <c r="R103" s="53"/>
      <c r="S103" s="53">
        <v>98.90000000000002</v>
      </c>
      <c r="T103" s="53">
        <v>197.80000000000004</v>
      </c>
      <c r="U103" s="53">
        <v>98.90000000000002</v>
      </c>
      <c r="V103" s="53"/>
      <c r="W103" s="53"/>
      <c r="X103" s="53"/>
      <c r="Y103" s="53"/>
      <c r="Z103" s="53"/>
      <c r="AA103" s="53"/>
      <c r="AB103" s="53"/>
      <c r="AC103" s="53"/>
      <c r="AD103" s="53"/>
      <c r="AE103" s="53"/>
    </row>
    <row r="104" spans="6:31" s="21" customFormat="1" ht="14.25" x14ac:dyDescent="0.45">
      <c r="F104" s="49">
        <v>40087</v>
      </c>
      <c r="G104" s="52">
        <v>105.6</v>
      </c>
      <c r="H104" s="52">
        <v>211.2</v>
      </c>
      <c r="I104" s="52">
        <v>105.6</v>
      </c>
      <c r="J104"/>
      <c r="K104"/>
      <c r="L104"/>
      <c r="M104"/>
      <c r="N104" s="37"/>
      <c r="O104" s="53">
        <v>101.53333333333335</v>
      </c>
      <c r="P104" s="53">
        <v>203.06666666666669</v>
      </c>
      <c r="Q104" s="53">
        <v>101.53333333333335</v>
      </c>
      <c r="R104" s="53"/>
      <c r="S104" s="53">
        <v>101.53333333333335</v>
      </c>
      <c r="T104" s="53">
        <v>203.06666666666669</v>
      </c>
      <c r="U104" s="53">
        <v>101.53333333333335</v>
      </c>
      <c r="V104" s="53"/>
      <c r="W104" s="53"/>
      <c r="X104" s="53"/>
      <c r="Y104" s="53"/>
      <c r="Z104" s="53"/>
      <c r="AA104" s="53"/>
      <c r="AB104" s="53"/>
      <c r="AC104" s="53"/>
      <c r="AD104" s="53"/>
      <c r="AE104" s="53"/>
    </row>
    <row r="105" spans="6:31" s="21" customFormat="1" ht="14.25" x14ac:dyDescent="0.45">
      <c r="F105" s="49">
        <v>40118</v>
      </c>
      <c r="G105" s="52">
        <v>101.4</v>
      </c>
      <c r="H105" s="52">
        <v>202.8</v>
      </c>
      <c r="I105" s="52">
        <v>101.4</v>
      </c>
      <c r="J105"/>
      <c r="K105"/>
      <c r="L105"/>
      <c r="M105"/>
      <c r="N105" s="37"/>
      <c r="O105" s="53">
        <v>102.13333333333333</v>
      </c>
      <c r="P105" s="53">
        <v>204.26666666666665</v>
      </c>
      <c r="Q105" s="53">
        <v>102.13333333333333</v>
      </c>
      <c r="R105" s="53"/>
      <c r="S105" s="53">
        <v>102.13333333333333</v>
      </c>
      <c r="T105" s="53">
        <v>204.26666666666665</v>
      </c>
      <c r="U105" s="53">
        <v>102.13333333333333</v>
      </c>
      <c r="V105" s="53"/>
      <c r="W105" s="53"/>
      <c r="X105" s="53"/>
      <c r="Y105" s="53"/>
      <c r="Z105" s="53"/>
      <c r="AA105" s="53"/>
      <c r="AB105" s="53"/>
      <c r="AC105" s="53"/>
      <c r="AD105" s="53"/>
      <c r="AE105" s="53"/>
    </row>
    <row r="106" spans="6:31" s="21" customFormat="1" ht="14.25" x14ac:dyDescent="0.45">
      <c r="F106" s="49">
        <v>40148</v>
      </c>
      <c r="G106" s="52">
        <v>94.1</v>
      </c>
      <c r="H106" s="52">
        <v>188.2</v>
      </c>
      <c r="I106" s="52">
        <v>94.1</v>
      </c>
      <c r="J106"/>
      <c r="K106"/>
      <c r="L106"/>
      <c r="M106"/>
      <c r="N106" s="37"/>
      <c r="O106" s="53">
        <v>100.36666666666667</v>
      </c>
      <c r="P106" s="53">
        <v>200.73333333333335</v>
      </c>
      <c r="Q106" s="53">
        <v>100.36666666666667</v>
      </c>
      <c r="R106" s="53"/>
      <c r="S106" s="53">
        <v>100.36666666666667</v>
      </c>
      <c r="T106" s="53">
        <v>200.73333333333335</v>
      </c>
      <c r="U106" s="53">
        <v>100.36666666666667</v>
      </c>
      <c r="V106" s="53"/>
      <c r="W106" s="53"/>
      <c r="X106" s="53"/>
      <c r="Y106" s="53"/>
      <c r="Z106" s="53"/>
      <c r="AA106" s="53"/>
      <c r="AB106" s="53"/>
      <c r="AC106" s="53"/>
      <c r="AD106" s="53"/>
      <c r="AE106" s="53"/>
    </row>
    <row r="107" spans="6:31" s="21" customFormat="1" ht="14.25" x14ac:dyDescent="0.45">
      <c r="F107" s="49">
        <v>40179</v>
      </c>
      <c r="G107" s="52">
        <v>91.2</v>
      </c>
      <c r="H107" s="52">
        <v>182.4</v>
      </c>
      <c r="I107" s="52">
        <v>91.2</v>
      </c>
      <c r="J107"/>
      <c r="K107"/>
      <c r="L107"/>
      <c r="M107"/>
      <c r="N107" s="37"/>
      <c r="O107" s="53">
        <v>95.566666666666663</v>
      </c>
      <c r="P107" s="53">
        <v>191.13333333333333</v>
      </c>
      <c r="Q107" s="53">
        <v>95.566666666666663</v>
      </c>
      <c r="R107" s="53"/>
      <c r="S107" s="53">
        <v>95.566666666666663</v>
      </c>
      <c r="T107" s="53">
        <v>191.13333333333333</v>
      </c>
      <c r="U107" s="53">
        <v>95.566666666666663</v>
      </c>
      <c r="V107" s="53"/>
      <c r="W107" s="53"/>
      <c r="X107" s="53"/>
      <c r="Y107" s="53"/>
      <c r="Z107" s="53"/>
      <c r="AA107" s="53"/>
      <c r="AB107" s="53"/>
      <c r="AC107" s="53"/>
      <c r="AD107" s="53"/>
      <c r="AE107" s="53"/>
    </row>
    <row r="108" spans="6:31" s="21" customFormat="1" ht="14.25" x14ac:dyDescent="0.45">
      <c r="F108" s="49">
        <v>40210</v>
      </c>
      <c r="G108" s="52">
        <v>89</v>
      </c>
      <c r="H108" s="52">
        <v>178</v>
      </c>
      <c r="I108" s="52">
        <v>89</v>
      </c>
      <c r="J108"/>
      <c r="K108"/>
      <c r="L108"/>
      <c r="M108"/>
      <c r="N108" s="37"/>
      <c r="O108" s="53">
        <v>91.433333333333337</v>
      </c>
      <c r="P108" s="53">
        <v>182.86666666666667</v>
      </c>
      <c r="Q108" s="53">
        <v>91.433333333333337</v>
      </c>
      <c r="R108" s="53"/>
      <c r="S108" s="53">
        <v>91.433333333333337</v>
      </c>
      <c r="T108" s="53">
        <v>182.86666666666667</v>
      </c>
      <c r="U108" s="53">
        <v>91.433333333333337</v>
      </c>
      <c r="V108" s="53"/>
      <c r="W108" s="53"/>
      <c r="X108" s="53"/>
      <c r="Y108" s="53"/>
      <c r="Z108" s="53"/>
      <c r="AA108" s="53"/>
      <c r="AB108" s="53"/>
      <c r="AC108" s="53"/>
      <c r="AD108" s="53"/>
      <c r="AE108" s="53"/>
    </row>
    <row r="109" spans="6:31" s="21" customFormat="1" ht="14.25" x14ac:dyDescent="0.45">
      <c r="F109" s="49">
        <v>40238</v>
      </c>
      <c r="G109" s="52">
        <v>105.1</v>
      </c>
      <c r="H109" s="52">
        <v>210.2</v>
      </c>
      <c r="I109" s="52">
        <v>105.1</v>
      </c>
      <c r="J109"/>
      <c r="K109"/>
      <c r="L109"/>
      <c r="M109"/>
      <c r="N109" s="37"/>
      <c r="O109" s="53">
        <v>95.09999999999998</v>
      </c>
      <c r="P109" s="53">
        <v>190.19999999999996</v>
      </c>
      <c r="Q109" s="53">
        <v>95.09999999999998</v>
      </c>
      <c r="R109" s="53"/>
      <c r="S109" s="53">
        <v>95.09999999999998</v>
      </c>
      <c r="T109" s="53">
        <v>190.19999999999996</v>
      </c>
      <c r="U109" s="53">
        <v>95.09999999999998</v>
      </c>
      <c r="V109" s="53"/>
      <c r="W109" s="53"/>
      <c r="X109" s="53"/>
      <c r="Y109" s="53"/>
      <c r="Z109" s="53"/>
      <c r="AA109" s="53"/>
      <c r="AB109" s="53"/>
      <c r="AC109" s="53"/>
      <c r="AD109" s="53"/>
      <c r="AE109" s="53"/>
    </row>
    <row r="110" spans="6:31" s="21" customFormat="1" ht="14.25" x14ac:dyDescent="0.45">
      <c r="F110" s="49">
        <v>40269</v>
      </c>
      <c r="G110" s="52">
        <v>99.3</v>
      </c>
      <c r="H110" s="52">
        <v>198.6</v>
      </c>
      <c r="I110" s="52">
        <v>99.3</v>
      </c>
      <c r="J110"/>
      <c r="K110"/>
      <c r="L110"/>
      <c r="M110"/>
      <c r="N110" s="37"/>
      <c r="O110" s="53">
        <v>97.8</v>
      </c>
      <c r="P110" s="53">
        <v>195.6</v>
      </c>
      <c r="Q110" s="53">
        <v>97.8</v>
      </c>
      <c r="R110" s="53"/>
      <c r="S110" s="53">
        <v>97.8</v>
      </c>
      <c r="T110" s="53">
        <v>195.6</v>
      </c>
      <c r="U110" s="53">
        <v>97.8</v>
      </c>
      <c r="V110" s="53"/>
      <c r="W110" s="53"/>
      <c r="X110" s="53"/>
      <c r="Y110" s="53"/>
      <c r="Z110" s="53"/>
      <c r="AA110" s="53"/>
      <c r="AB110" s="53"/>
      <c r="AC110" s="53"/>
      <c r="AD110" s="53"/>
      <c r="AE110" s="53"/>
    </row>
    <row r="111" spans="6:31" s="21" customFormat="1" ht="14.25" x14ac:dyDescent="0.45">
      <c r="F111" s="49">
        <v>40299</v>
      </c>
      <c r="G111" s="52">
        <v>104.3</v>
      </c>
      <c r="H111" s="52">
        <v>208.6</v>
      </c>
      <c r="I111" s="52">
        <v>104.3</v>
      </c>
      <c r="J111"/>
      <c r="K111"/>
      <c r="L111"/>
      <c r="M111"/>
      <c r="N111" s="37"/>
      <c r="O111" s="53">
        <v>102.89999999999999</v>
      </c>
      <c r="P111" s="53">
        <v>205.79999999999998</v>
      </c>
      <c r="Q111" s="53">
        <v>102.89999999999999</v>
      </c>
      <c r="R111" s="53"/>
      <c r="S111" s="53">
        <v>102.89999999999999</v>
      </c>
      <c r="T111" s="53">
        <v>205.79999999999998</v>
      </c>
      <c r="U111" s="53">
        <v>102.89999999999999</v>
      </c>
      <c r="V111" s="53"/>
      <c r="W111" s="53"/>
      <c r="X111" s="53"/>
      <c r="Y111" s="53"/>
      <c r="Z111" s="53"/>
      <c r="AA111" s="53"/>
      <c r="AB111" s="53"/>
      <c r="AC111" s="53"/>
      <c r="AD111" s="53"/>
      <c r="AE111" s="53"/>
    </row>
    <row r="112" spans="6:31" s="21" customFormat="1" ht="14.25" x14ac:dyDescent="0.45">
      <c r="F112" s="49">
        <v>40330</v>
      </c>
      <c r="G112" s="52">
        <v>102.5</v>
      </c>
      <c r="H112" s="52">
        <v>205</v>
      </c>
      <c r="I112" s="52">
        <v>102.5</v>
      </c>
      <c r="J112"/>
      <c r="K112"/>
      <c r="L112"/>
      <c r="M112"/>
      <c r="N112" s="37"/>
      <c r="O112" s="53">
        <v>102.03333333333335</v>
      </c>
      <c r="P112" s="53">
        <v>204.06666666666669</v>
      </c>
      <c r="Q112" s="53">
        <v>102.03333333333335</v>
      </c>
      <c r="R112" s="53"/>
      <c r="S112" s="53">
        <v>102.03333333333335</v>
      </c>
      <c r="T112" s="53">
        <v>204.06666666666669</v>
      </c>
      <c r="U112" s="53">
        <v>102.03333333333335</v>
      </c>
      <c r="V112" s="53"/>
      <c r="W112" s="53"/>
      <c r="X112" s="53"/>
      <c r="Y112" s="53"/>
      <c r="Z112" s="53"/>
      <c r="AA112" s="53"/>
      <c r="AB112" s="53"/>
      <c r="AC112" s="53"/>
      <c r="AD112" s="53"/>
      <c r="AE112" s="53"/>
    </row>
    <row r="113" spans="6:31" s="21" customFormat="1" ht="14.25" x14ac:dyDescent="0.45">
      <c r="F113" s="49">
        <v>40360</v>
      </c>
      <c r="G113" s="52">
        <v>106.9</v>
      </c>
      <c r="H113" s="52">
        <v>213.8</v>
      </c>
      <c r="I113" s="52">
        <v>106.9</v>
      </c>
      <c r="J113"/>
      <c r="K113"/>
      <c r="L113"/>
      <c r="M113"/>
      <c r="N113" s="37"/>
      <c r="O113" s="53">
        <v>104.56666666666668</v>
      </c>
      <c r="P113" s="53">
        <v>209.13333333333335</v>
      </c>
      <c r="Q113" s="53">
        <v>104.56666666666668</v>
      </c>
      <c r="R113" s="53"/>
      <c r="S113" s="53">
        <v>104.56666666666668</v>
      </c>
      <c r="T113" s="53">
        <v>209.13333333333335</v>
      </c>
      <c r="U113" s="53">
        <v>104.56666666666668</v>
      </c>
      <c r="V113" s="53"/>
      <c r="W113" s="53"/>
      <c r="X113" s="53"/>
      <c r="Y113" s="53"/>
      <c r="Z113" s="53"/>
      <c r="AA113" s="53"/>
      <c r="AB113" s="53"/>
      <c r="AC113" s="53"/>
      <c r="AD113" s="53"/>
      <c r="AE113" s="53"/>
    </row>
    <row r="114" spans="6:31" s="21" customFormat="1" ht="14.25" x14ac:dyDescent="0.45">
      <c r="F114" s="49">
        <v>40391</v>
      </c>
      <c r="G114" s="52">
        <v>108.1</v>
      </c>
      <c r="H114" s="52">
        <v>216.2</v>
      </c>
      <c r="I114" s="52">
        <v>108.1</v>
      </c>
      <c r="J114"/>
      <c r="K114"/>
      <c r="L114"/>
      <c r="M114"/>
      <c r="N114" s="37"/>
      <c r="O114" s="53">
        <v>105.83333333333333</v>
      </c>
      <c r="P114" s="53">
        <v>211.66666666666666</v>
      </c>
      <c r="Q114" s="53">
        <v>105.83333333333333</v>
      </c>
      <c r="R114" s="53"/>
      <c r="S114" s="53">
        <v>105.83333333333333</v>
      </c>
      <c r="T114" s="53">
        <v>211.66666666666666</v>
      </c>
      <c r="U114" s="53">
        <v>105.83333333333333</v>
      </c>
      <c r="V114" s="53"/>
      <c r="W114" s="53"/>
      <c r="X114" s="53"/>
      <c r="Y114" s="53"/>
      <c r="Z114" s="53"/>
      <c r="AA114" s="53"/>
      <c r="AB114" s="53"/>
      <c r="AC114" s="53"/>
      <c r="AD114" s="53"/>
      <c r="AE114" s="53"/>
    </row>
    <row r="115" spans="6:31" s="21" customFormat="1" ht="14.25" x14ac:dyDescent="0.45">
      <c r="F115" s="49">
        <v>40422</v>
      </c>
      <c r="G115" s="52">
        <v>105.8</v>
      </c>
      <c r="H115" s="52">
        <v>211.6</v>
      </c>
      <c r="I115" s="52">
        <v>105.8</v>
      </c>
      <c r="J115"/>
      <c r="K115"/>
      <c r="L115"/>
      <c r="M115"/>
      <c r="N115" s="37"/>
      <c r="O115" s="53">
        <v>106.93333333333334</v>
      </c>
      <c r="P115" s="53">
        <v>213.86666666666667</v>
      </c>
      <c r="Q115" s="53">
        <v>106.93333333333334</v>
      </c>
      <c r="R115" s="53"/>
      <c r="S115" s="53">
        <v>106.93333333333334</v>
      </c>
      <c r="T115" s="53">
        <v>213.86666666666667</v>
      </c>
      <c r="U115" s="53">
        <v>106.93333333333334</v>
      </c>
      <c r="V115" s="53"/>
      <c r="W115" s="53"/>
      <c r="X115" s="53"/>
      <c r="Y115" s="53"/>
      <c r="Z115" s="53"/>
      <c r="AA115" s="53"/>
      <c r="AB115" s="53"/>
      <c r="AC115" s="53"/>
      <c r="AD115" s="53"/>
      <c r="AE115" s="53"/>
    </row>
    <row r="116" spans="6:31" s="21" customFormat="1" ht="14.25" x14ac:dyDescent="0.45">
      <c r="F116" s="49">
        <v>40452</v>
      </c>
      <c r="G116" s="52">
        <v>107.7</v>
      </c>
      <c r="H116" s="52">
        <v>215.4</v>
      </c>
      <c r="I116" s="52">
        <v>107.7</v>
      </c>
      <c r="J116"/>
      <c r="K116"/>
      <c r="L116"/>
      <c r="M116"/>
      <c r="N116" s="37"/>
      <c r="O116" s="53">
        <v>107.19999999999999</v>
      </c>
      <c r="P116" s="53">
        <v>214.39999999999998</v>
      </c>
      <c r="Q116" s="53">
        <v>107.19999999999999</v>
      </c>
      <c r="R116" s="53"/>
      <c r="S116" s="53">
        <v>107.19999999999999</v>
      </c>
      <c r="T116" s="53">
        <v>214.39999999999998</v>
      </c>
      <c r="U116" s="53">
        <v>107.19999999999999</v>
      </c>
      <c r="V116" s="53"/>
      <c r="W116" s="53"/>
      <c r="X116" s="53"/>
      <c r="Y116" s="53"/>
      <c r="Z116" s="53"/>
      <c r="AA116" s="53"/>
      <c r="AB116" s="53"/>
      <c r="AC116" s="53"/>
      <c r="AD116" s="53"/>
      <c r="AE116" s="53"/>
    </row>
    <row r="117" spans="6:31" s="21" customFormat="1" ht="14.25" x14ac:dyDescent="0.45">
      <c r="F117" s="49">
        <v>40483</v>
      </c>
      <c r="G117" s="52">
        <v>106.8</v>
      </c>
      <c r="H117" s="52">
        <v>213.6</v>
      </c>
      <c r="I117" s="52">
        <v>106.8</v>
      </c>
      <c r="J117"/>
      <c r="K117"/>
      <c r="L117"/>
      <c r="M117"/>
      <c r="N117" s="37"/>
      <c r="O117" s="53">
        <v>106.76666666666667</v>
      </c>
      <c r="P117" s="53">
        <v>213.53333333333333</v>
      </c>
      <c r="Q117" s="53">
        <v>106.76666666666667</v>
      </c>
      <c r="R117" s="53"/>
      <c r="S117" s="53">
        <v>106.76666666666667</v>
      </c>
      <c r="T117" s="53">
        <v>213.53333333333333</v>
      </c>
      <c r="U117" s="53">
        <v>106.76666666666667</v>
      </c>
      <c r="V117" s="53"/>
      <c r="W117" s="53"/>
      <c r="X117" s="53"/>
      <c r="Y117" s="53"/>
      <c r="Z117" s="53"/>
      <c r="AA117" s="53"/>
      <c r="AB117" s="53"/>
      <c r="AC117" s="53"/>
      <c r="AD117" s="53"/>
      <c r="AE117" s="53"/>
    </row>
    <row r="118" spans="6:31" s="21" customFormat="1" ht="14.25" x14ac:dyDescent="0.45">
      <c r="F118" s="49">
        <v>40513</v>
      </c>
      <c r="G118" s="52">
        <v>96.6</v>
      </c>
      <c r="H118" s="52">
        <v>193.2</v>
      </c>
      <c r="I118" s="52">
        <v>96.6</v>
      </c>
      <c r="J118"/>
      <c r="K118"/>
      <c r="L118"/>
      <c r="M118"/>
      <c r="N118" s="37"/>
      <c r="O118" s="53">
        <v>103.7</v>
      </c>
      <c r="P118" s="53">
        <v>207.4</v>
      </c>
      <c r="Q118" s="53">
        <v>103.7</v>
      </c>
      <c r="R118" s="53"/>
      <c r="S118" s="53">
        <v>103.7</v>
      </c>
      <c r="T118" s="53">
        <v>207.4</v>
      </c>
      <c r="U118" s="53">
        <v>103.7</v>
      </c>
      <c r="V118" s="53"/>
      <c r="W118" s="53"/>
      <c r="X118" s="53"/>
      <c r="Y118" s="53"/>
      <c r="Z118" s="53"/>
      <c r="AA118" s="53"/>
      <c r="AB118" s="53"/>
      <c r="AC118" s="53"/>
      <c r="AD118" s="53"/>
      <c r="AE118" s="53"/>
    </row>
    <row r="119" spans="6:31" s="21" customFormat="1" ht="14.25" x14ac:dyDescent="0.45">
      <c r="F119" s="49">
        <v>40544</v>
      </c>
      <c r="G119" s="52">
        <v>93.2</v>
      </c>
      <c r="H119" s="52">
        <v>186.4</v>
      </c>
      <c r="I119" s="52">
        <v>93.2</v>
      </c>
      <c r="J119"/>
      <c r="K119"/>
      <c r="L119"/>
      <c r="M119"/>
      <c r="N119" s="37"/>
      <c r="O119" s="53">
        <v>98.86666666666666</v>
      </c>
      <c r="P119" s="53">
        <v>197.73333333333332</v>
      </c>
      <c r="Q119" s="53">
        <v>98.86666666666666</v>
      </c>
      <c r="R119" s="53"/>
      <c r="S119" s="53">
        <v>98.86666666666666</v>
      </c>
      <c r="T119" s="53">
        <v>197.73333333333332</v>
      </c>
      <c r="U119" s="53">
        <v>98.86666666666666</v>
      </c>
      <c r="V119" s="53"/>
      <c r="W119" s="53"/>
      <c r="X119" s="53"/>
      <c r="Y119" s="53"/>
      <c r="Z119" s="53"/>
      <c r="AA119" s="53"/>
      <c r="AB119" s="53"/>
      <c r="AC119" s="53"/>
      <c r="AD119" s="53"/>
      <c r="AE119" s="53"/>
    </row>
    <row r="120" spans="6:31" s="21" customFormat="1" ht="14.25" x14ac:dyDescent="0.45">
      <c r="F120" s="49">
        <v>40575</v>
      </c>
      <c r="G120" s="52">
        <v>95.4</v>
      </c>
      <c r="H120" s="52">
        <v>190.8</v>
      </c>
      <c r="I120" s="52">
        <v>95.4</v>
      </c>
      <c r="J120"/>
      <c r="K120"/>
      <c r="L120"/>
      <c r="M120"/>
      <c r="N120" s="37"/>
      <c r="O120" s="53">
        <v>95.066666666666677</v>
      </c>
      <c r="P120" s="53">
        <v>190.13333333333335</v>
      </c>
      <c r="Q120" s="53">
        <v>95.066666666666677</v>
      </c>
      <c r="R120" s="53"/>
      <c r="S120" s="53">
        <v>95.066666666666677</v>
      </c>
      <c r="T120" s="53">
        <v>190.13333333333335</v>
      </c>
      <c r="U120" s="53">
        <v>95.066666666666677</v>
      </c>
      <c r="V120" s="53"/>
      <c r="W120" s="53"/>
      <c r="X120" s="53"/>
      <c r="Y120" s="53"/>
      <c r="Z120" s="53"/>
      <c r="AA120" s="53"/>
      <c r="AB120" s="53"/>
      <c r="AC120" s="53"/>
      <c r="AD120" s="53"/>
      <c r="AE120" s="53"/>
    </row>
    <row r="121" spans="6:31" s="21" customFormat="1" ht="14.25" x14ac:dyDescent="0.45">
      <c r="F121" s="49">
        <v>40603</v>
      </c>
      <c r="G121" s="52">
        <v>104.4</v>
      </c>
      <c r="H121" s="52">
        <v>208.8</v>
      </c>
      <c r="I121" s="52">
        <v>104.4</v>
      </c>
      <c r="J121"/>
      <c r="K121"/>
      <c r="L121"/>
      <c r="M121"/>
      <c r="N121" s="37"/>
      <c r="O121" s="53">
        <v>97.666666666666671</v>
      </c>
      <c r="P121" s="53">
        <v>195.33333333333334</v>
      </c>
      <c r="Q121" s="53">
        <v>97.666666666666671</v>
      </c>
      <c r="R121" s="53"/>
      <c r="S121" s="53">
        <v>97.666666666666671</v>
      </c>
      <c r="T121" s="53">
        <v>195.33333333333334</v>
      </c>
      <c r="U121" s="53">
        <v>97.666666666666671</v>
      </c>
      <c r="V121" s="53"/>
      <c r="W121" s="53"/>
      <c r="X121" s="53"/>
      <c r="Y121" s="53"/>
      <c r="Z121" s="53"/>
      <c r="AA121" s="53"/>
      <c r="AB121" s="53"/>
      <c r="AC121" s="53"/>
      <c r="AD121" s="53"/>
      <c r="AE121" s="53"/>
    </row>
    <row r="122" spans="6:31" s="21" customFormat="1" ht="14.25" x14ac:dyDescent="0.45">
      <c r="F122" s="49">
        <v>40634</v>
      </c>
      <c r="G122" s="52">
        <v>97.5</v>
      </c>
      <c r="H122" s="52">
        <v>195</v>
      </c>
      <c r="I122" s="52">
        <v>97.5</v>
      </c>
      <c r="J122"/>
      <c r="K122"/>
      <c r="L122"/>
      <c r="M122"/>
      <c r="N122" s="37"/>
      <c r="O122" s="53">
        <v>99.100000000000009</v>
      </c>
      <c r="P122" s="53">
        <v>198.20000000000002</v>
      </c>
      <c r="Q122" s="53">
        <v>99.100000000000009</v>
      </c>
      <c r="R122" s="53"/>
      <c r="S122" s="53">
        <v>99.100000000000009</v>
      </c>
      <c r="T122" s="53">
        <v>198.20000000000002</v>
      </c>
      <c r="U122" s="53">
        <v>99.100000000000009</v>
      </c>
      <c r="V122" s="53"/>
      <c r="W122" s="53"/>
      <c r="X122" s="53"/>
      <c r="Y122" s="53"/>
      <c r="Z122" s="53"/>
      <c r="AA122" s="53"/>
      <c r="AB122" s="53"/>
      <c r="AC122" s="53"/>
      <c r="AD122" s="53"/>
      <c r="AE122" s="53"/>
    </row>
    <row r="123" spans="6:31" s="21" customFormat="1" ht="14.25" x14ac:dyDescent="0.45">
      <c r="F123" s="49">
        <v>40664</v>
      </c>
      <c r="G123" s="52">
        <v>107.1</v>
      </c>
      <c r="H123" s="52">
        <v>214.2</v>
      </c>
      <c r="I123" s="52">
        <v>107.1</v>
      </c>
      <c r="J123"/>
      <c r="K123"/>
      <c r="L123"/>
      <c r="M123"/>
      <c r="N123" s="37"/>
      <c r="O123" s="53">
        <v>103</v>
      </c>
      <c r="P123" s="53">
        <v>206</v>
      </c>
      <c r="Q123" s="53">
        <v>103</v>
      </c>
      <c r="R123" s="53"/>
      <c r="S123" s="53">
        <v>103</v>
      </c>
      <c r="T123" s="53">
        <v>206</v>
      </c>
      <c r="U123" s="53">
        <v>103</v>
      </c>
      <c r="V123" s="53"/>
      <c r="W123" s="53"/>
      <c r="X123" s="53"/>
      <c r="Y123" s="53"/>
      <c r="Z123" s="53"/>
      <c r="AA123" s="53"/>
      <c r="AB123" s="53"/>
      <c r="AC123" s="53"/>
      <c r="AD123" s="53"/>
      <c r="AE123" s="53"/>
    </row>
    <row r="124" spans="6:31" s="21" customFormat="1" ht="14.25" x14ac:dyDescent="0.45">
      <c r="F124" s="49">
        <v>40695</v>
      </c>
      <c r="G124" s="52">
        <v>102.8</v>
      </c>
      <c r="H124" s="52">
        <v>205.6</v>
      </c>
      <c r="I124" s="52">
        <v>102.8</v>
      </c>
      <c r="J124"/>
      <c r="K124"/>
      <c r="L124"/>
      <c r="M124"/>
      <c r="N124" s="37"/>
      <c r="O124" s="53">
        <v>102.46666666666665</v>
      </c>
      <c r="P124" s="53">
        <v>204.93333333333331</v>
      </c>
      <c r="Q124" s="53">
        <v>102.46666666666665</v>
      </c>
      <c r="R124" s="53"/>
      <c r="S124" s="53">
        <v>102.46666666666665</v>
      </c>
      <c r="T124" s="53">
        <v>204.93333333333331</v>
      </c>
      <c r="U124" s="53">
        <v>102.46666666666665</v>
      </c>
      <c r="V124" s="53"/>
      <c r="W124" s="53"/>
      <c r="X124" s="53"/>
      <c r="Y124" s="53"/>
      <c r="Z124" s="53"/>
      <c r="AA124" s="53"/>
      <c r="AB124" s="53"/>
      <c r="AC124" s="53"/>
      <c r="AD124" s="53"/>
      <c r="AE124" s="53"/>
    </row>
    <row r="125" spans="6:31" s="21" customFormat="1" ht="14.25" x14ac:dyDescent="0.45">
      <c r="F125" s="49">
        <v>40725</v>
      </c>
      <c r="G125" s="52">
        <v>106.1</v>
      </c>
      <c r="H125" s="52">
        <v>212.2</v>
      </c>
      <c r="I125" s="52">
        <v>106.1</v>
      </c>
      <c r="J125"/>
      <c r="K125"/>
      <c r="L125"/>
      <c r="M125"/>
      <c r="N125" s="37"/>
      <c r="O125" s="53">
        <v>105.33333333333333</v>
      </c>
      <c r="P125" s="53">
        <v>210.66666666666666</v>
      </c>
      <c r="Q125" s="53">
        <v>105.33333333333333</v>
      </c>
      <c r="R125" s="53"/>
      <c r="S125" s="53">
        <v>105.33333333333333</v>
      </c>
      <c r="T125" s="53">
        <v>210.66666666666666</v>
      </c>
      <c r="U125" s="53">
        <v>105.33333333333333</v>
      </c>
      <c r="V125" s="53"/>
      <c r="W125" s="53"/>
      <c r="X125" s="53"/>
      <c r="Y125" s="53"/>
      <c r="Z125" s="53"/>
      <c r="AA125" s="53"/>
      <c r="AB125" s="53"/>
      <c r="AC125" s="53"/>
      <c r="AD125" s="53"/>
      <c r="AE125" s="53"/>
    </row>
    <row r="126" spans="6:31" s="21" customFormat="1" ht="14.25" x14ac:dyDescent="0.45">
      <c r="F126" s="49">
        <v>40756</v>
      </c>
      <c r="G126" s="52">
        <v>110.8</v>
      </c>
      <c r="H126" s="52">
        <v>221.6</v>
      </c>
      <c r="I126" s="52">
        <v>110.8</v>
      </c>
      <c r="J126"/>
      <c r="K126"/>
      <c r="L126"/>
      <c r="M126"/>
      <c r="N126" s="37"/>
      <c r="O126" s="53">
        <v>106.56666666666666</v>
      </c>
      <c r="P126" s="53">
        <v>213.13333333333333</v>
      </c>
      <c r="Q126" s="53">
        <v>106.56666666666666</v>
      </c>
      <c r="R126" s="53"/>
      <c r="S126" s="53">
        <v>106.56666666666666</v>
      </c>
      <c r="T126" s="53">
        <v>213.13333333333333</v>
      </c>
      <c r="U126" s="53">
        <v>106.56666666666666</v>
      </c>
      <c r="V126" s="53"/>
      <c r="W126" s="53"/>
      <c r="X126" s="53"/>
      <c r="Y126" s="53"/>
      <c r="Z126" s="53"/>
      <c r="AA126" s="53"/>
      <c r="AB126" s="53"/>
      <c r="AC126" s="53"/>
      <c r="AD126" s="53"/>
      <c r="AE126" s="53"/>
    </row>
    <row r="127" spans="6:31" s="21" customFormat="1" ht="14.25" x14ac:dyDescent="0.45">
      <c r="F127" s="49">
        <v>40787</v>
      </c>
      <c r="G127" s="52">
        <v>104.8</v>
      </c>
      <c r="H127" s="52">
        <v>209.6</v>
      </c>
      <c r="I127" s="52">
        <v>104.8</v>
      </c>
      <c r="J127"/>
      <c r="K127"/>
      <c r="L127"/>
      <c r="M127"/>
      <c r="N127" s="37"/>
      <c r="O127" s="53">
        <v>107.23333333333333</v>
      </c>
      <c r="P127" s="53">
        <v>214.46666666666667</v>
      </c>
      <c r="Q127" s="53">
        <v>107.23333333333333</v>
      </c>
      <c r="R127" s="53"/>
      <c r="S127" s="53">
        <v>107.23333333333333</v>
      </c>
      <c r="T127" s="53">
        <v>214.46666666666667</v>
      </c>
      <c r="U127" s="53">
        <v>107.23333333333333</v>
      </c>
      <c r="V127" s="53"/>
      <c r="W127" s="53"/>
      <c r="X127" s="53"/>
      <c r="Y127" s="53"/>
      <c r="Z127" s="53"/>
      <c r="AA127" s="53"/>
      <c r="AB127" s="53"/>
      <c r="AC127" s="53"/>
      <c r="AD127" s="53"/>
      <c r="AE127" s="53"/>
    </row>
    <row r="128" spans="6:31" s="21" customFormat="1" ht="14.25" x14ac:dyDescent="0.45">
      <c r="F128" s="49">
        <v>40817</v>
      </c>
      <c r="G128" s="52">
        <v>106.3</v>
      </c>
      <c r="H128" s="52">
        <v>212.6</v>
      </c>
      <c r="I128" s="52">
        <v>106.3</v>
      </c>
      <c r="J128"/>
      <c r="K128"/>
      <c r="L128"/>
      <c r="M128"/>
      <c r="N128" s="37"/>
      <c r="O128" s="53">
        <v>107.3</v>
      </c>
      <c r="P128" s="53">
        <v>214.6</v>
      </c>
      <c r="Q128" s="53">
        <v>107.3</v>
      </c>
      <c r="R128" s="53"/>
      <c r="S128" s="53">
        <v>107.3</v>
      </c>
      <c r="T128" s="53">
        <v>214.6</v>
      </c>
      <c r="U128" s="53">
        <v>107.3</v>
      </c>
      <c r="V128" s="53"/>
      <c r="W128" s="53"/>
      <c r="X128" s="53"/>
      <c r="Y128" s="53"/>
      <c r="Z128" s="53"/>
      <c r="AA128" s="53"/>
      <c r="AB128" s="53"/>
      <c r="AC128" s="53"/>
      <c r="AD128" s="53"/>
      <c r="AE128" s="53"/>
    </row>
    <row r="129" spans="6:31" s="21" customFormat="1" ht="14.25" x14ac:dyDescent="0.45">
      <c r="F129" s="49">
        <v>40848</v>
      </c>
      <c r="G129" s="52">
        <v>104.2</v>
      </c>
      <c r="H129" s="52">
        <v>208.4</v>
      </c>
      <c r="I129" s="52">
        <v>104.2</v>
      </c>
      <c r="J129"/>
      <c r="K129"/>
      <c r="L129"/>
      <c r="M129"/>
      <c r="N129" s="37"/>
      <c r="O129" s="53">
        <v>105.10000000000001</v>
      </c>
      <c r="P129" s="53">
        <v>210.20000000000002</v>
      </c>
      <c r="Q129" s="53">
        <v>105.10000000000001</v>
      </c>
      <c r="R129" s="53"/>
      <c r="S129" s="53">
        <v>105.10000000000001</v>
      </c>
      <c r="T129" s="53">
        <v>210.20000000000002</v>
      </c>
      <c r="U129" s="53">
        <v>105.10000000000001</v>
      </c>
      <c r="V129" s="53"/>
      <c r="W129" s="53"/>
      <c r="X129" s="53"/>
      <c r="Y129" s="53"/>
      <c r="Z129" s="53"/>
      <c r="AA129" s="53"/>
      <c r="AB129" s="53"/>
      <c r="AC129" s="53"/>
      <c r="AD129" s="53"/>
      <c r="AE129" s="53"/>
    </row>
    <row r="130" spans="6:31" s="21" customFormat="1" ht="14.25" x14ac:dyDescent="0.45">
      <c r="F130" s="49">
        <v>40878</v>
      </c>
      <c r="G130" s="52">
        <v>95.7</v>
      </c>
      <c r="H130" s="52">
        <v>191.4</v>
      </c>
      <c r="I130" s="52">
        <v>95.7</v>
      </c>
      <c r="J130"/>
      <c r="K130"/>
      <c r="L130"/>
      <c r="M130"/>
      <c r="N130" s="37"/>
      <c r="O130" s="53">
        <v>102.06666666666666</v>
      </c>
      <c r="P130" s="53">
        <v>204.13333333333333</v>
      </c>
      <c r="Q130" s="53">
        <v>102.06666666666666</v>
      </c>
      <c r="R130" s="53"/>
      <c r="S130" s="53">
        <v>102.06666666666666</v>
      </c>
      <c r="T130" s="53">
        <v>204.13333333333333</v>
      </c>
      <c r="U130" s="53">
        <v>102.06666666666666</v>
      </c>
      <c r="V130" s="53"/>
      <c r="W130" s="53"/>
      <c r="X130" s="53"/>
      <c r="Y130" s="53"/>
      <c r="Z130" s="53"/>
      <c r="AA130" s="53"/>
      <c r="AB130" s="53"/>
      <c r="AC130" s="53"/>
      <c r="AD130" s="53"/>
      <c r="AE130" s="53"/>
    </row>
    <row r="131" spans="6:31" s="21" customFormat="1" ht="14.25" x14ac:dyDescent="0.45">
      <c r="F131" s="49">
        <v>40909</v>
      </c>
      <c r="G131" s="52">
        <v>88.7</v>
      </c>
      <c r="H131" s="52">
        <v>177.4</v>
      </c>
      <c r="I131" s="52">
        <v>88.7</v>
      </c>
      <c r="J131"/>
      <c r="K131"/>
      <c r="L131"/>
      <c r="M131"/>
      <c r="N131" s="37"/>
      <c r="O131" s="53">
        <v>96.2</v>
      </c>
      <c r="P131" s="53">
        <v>192.4</v>
      </c>
      <c r="Q131" s="53">
        <v>96.2</v>
      </c>
      <c r="R131" s="53"/>
      <c r="S131" s="53">
        <v>96.2</v>
      </c>
      <c r="T131" s="53">
        <v>192.4</v>
      </c>
      <c r="U131" s="53">
        <v>96.2</v>
      </c>
      <c r="V131" s="53"/>
      <c r="W131" s="53"/>
      <c r="X131" s="53"/>
      <c r="Y131" s="53"/>
      <c r="Z131" s="53"/>
      <c r="AA131" s="53"/>
      <c r="AB131" s="53"/>
      <c r="AC131" s="53"/>
      <c r="AD131" s="53"/>
      <c r="AE131" s="53"/>
    </row>
    <row r="132" spans="6:31" s="21" customFormat="1" ht="14.25" x14ac:dyDescent="0.45">
      <c r="F132" s="49">
        <v>40940</v>
      </c>
      <c r="G132" s="52">
        <v>89.8</v>
      </c>
      <c r="H132" s="52">
        <v>179.6</v>
      </c>
      <c r="I132" s="52">
        <v>89.8</v>
      </c>
      <c r="J132"/>
      <c r="K132"/>
      <c r="L132"/>
      <c r="M132"/>
      <c r="N132" s="37"/>
      <c r="O132" s="53">
        <v>91.399999999999991</v>
      </c>
      <c r="P132" s="53">
        <v>182.79999999999998</v>
      </c>
      <c r="Q132" s="53">
        <v>91.399999999999991</v>
      </c>
      <c r="R132" s="53"/>
      <c r="S132" s="53">
        <v>91.399999999999991</v>
      </c>
      <c r="T132" s="53">
        <v>182.79999999999998</v>
      </c>
      <c r="U132" s="53">
        <v>91.399999999999991</v>
      </c>
      <c r="V132" s="53"/>
      <c r="W132" s="53"/>
      <c r="X132" s="53"/>
      <c r="Y132" s="53"/>
      <c r="Z132" s="53"/>
      <c r="AA132" s="53"/>
      <c r="AB132" s="53"/>
      <c r="AC132" s="53"/>
      <c r="AD132" s="53"/>
      <c r="AE132" s="53"/>
    </row>
    <row r="133" spans="6:31" s="21" customFormat="1" ht="14.25" x14ac:dyDescent="0.45">
      <c r="F133" s="49">
        <v>40969</v>
      </c>
      <c r="G133" s="52">
        <v>99.7</v>
      </c>
      <c r="H133" s="52">
        <v>199.4</v>
      </c>
      <c r="I133" s="52">
        <v>99.7</v>
      </c>
      <c r="J133"/>
      <c r="K133"/>
      <c r="L133"/>
      <c r="M133"/>
      <c r="N133" s="37"/>
      <c r="O133" s="53">
        <v>92.733333333333334</v>
      </c>
      <c r="P133" s="53">
        <v>185.46666666666667</v>
      </c>
      <c r="Q133" s="53">
        <v>92.733333333333334</v>
      </c>
      <c r="R133" s="53"/>
      <c r="S133" s="53">
        <v>92.733333333333334</v>
      </c>
      <c r="T133" s="53">
        <v>185.46666666666667</v>
      </c>
      <c r="U133" s="53">
        <v>92.733333333333334</v>
      </c>
      <c r="V133" s="53"/>
      <c r="W133" s="53"/>
      <c r="X133" s="53"/>
      <c r="Y133" s="53"/>
      <c r="Z133" s="53"/>
      <c r="AA133" s="53"/>
      <c r="AB133" s="53"/>
      <c r="AC133" s="53"/>
      <c r="AD133" s="53"/>
      <c r="AE133" s="53"/>
    </row>
    <row r="134" spans="6:31" s="21" customFormat="1" ht="14.25" x14ac:dyDescent="0.45">
      <c r="F134" s="49">
        <v>41000</v>
      </c>
      <c r="G134" s="52">
        <v>92.8</v>
      </c>
      <c r="H134" s="52">
        <v>185.6</v>
      </c>
      <c r="I134" s="52">
        <v>92.8</v>
      </c>
      <c r="J134"/>
      <c r="K134"/>
      <c r="L134"/>
      <c r="M134"/>
      <c r="N134" s="37"/>
      <c r="O134" s="53">
        <v>94.100000000000009</v>
      </c>
      <c r="P134" s="53">
        <v>188.20000000000002</v>
      </c>
      <c r="Q134" s="53">
        <v>94.100000000000009</v>
      </c>
      <c r="R134" s="53"/>
      <c r="S134" s="53">
        <v>94.100000000000009</v>
      </c>
      <c r="T134" s="53">
        <v>188.20000000000002</v>
      </c>
      <c r="U134" s="53">
        <v>94.100000000000009</v>
      </c>
      <c r="V134" s="53"/>
      <c r="W134" s="53"/>
      <c r="X134" s="53"/>
      <c r="Y134" s="53"/>
      <c r="Z134" s="53"/>
      <c r="AA134" s="53"/>
      <c r="AB134" s="53"/>
      <c r="AC134" s="53"/>
      <c r="AD134" s="53"/>
      <c r="AE134" s="53"/>
    </row>
    <row r="135" spans="6:31" s="21" customFormat="1" ht="14.25" x14ac:dyDescent="0.45">
      <c r="F135" s="49">
        <v>41030</v>
      </c>
      <c r="G135" s="52">
        <v>102.5</v>
      </c>
      <c r="H135" s="52">
        <v>205</v>
      </c>
      <c r="I135" s="52">
        <v>102.5</v>
      </c>
      <c r="J135"/>
      <c r="K135"/>
      <c r="L135"/>
      <c r="M135"/>
      <c r="N135" s="37"/>
      <c r="O135" s="53">
        <v>98.333333333333329</v>
      </c>
      <c r="P135" s="53">
        <v>196.66666666666666</v>
      </c>
      <c r="Q135" s="53">
        <v>98.333333333333329</v>
      </c>
      <c r="R135" s="53"/>
      <c r="S135" s="53">
        <v>98.333333333333329</v>
      </c>
      <c r="T135" s="53">
        <v>196.66666666666666</v>
      </c>
      <c r="U135" s="53">
        <v>98.333333333333329</v>
      </c>
      <c r="V135" s="53"/>
      <c r="W135" s="53"/>
      <c r="X135" s="53"/>
      <c r="Y135" s="53"/>
      <c r="Z135" s="53"/>
      <c r="AA135" s="53"/>
      <c r="AB135" s="53"/>
      <c r="AC135" s="53"/>
      <c r="AD135" s="53"/>
      <c r="AE135" s="53"/>
    </row>
    <row r="136" spans="6:31" s="21" customFormat="1" ht="14.25" x14ac:dyDescent="0.45">
      <c r="F136" s="49">
        <v>41061</v>
      </c>
      <c r="G136" s="52">
        <v>98.3</v>
      </c>
      <c r="H136" s="52">
        <v>196.6</v>
      </c>
      <c r="I136" s="52">
        <v>98.3</v>
      </c>
      <c r="J136"/>
      <c r="K136"/>
      <c r="L136"/>
      <c r="M136"/>
      <c r="N136" s="37"/>
      <c r="O136" s="53">
        <v>97.866666666666674</v>
      </c>
      <c r="P136" s="53">
        <v>195.73333333333335</v>
      </c>
      <c r="Q136" s="53">
        <v>97.866666666666674</v>
      </c>
      <c r="R136" s="53"/>
      <c r="S136" s="53">
        <v>97.866666666666674</v>
      </c>
      <c r="T136" s="53">
        <v>195.73333333333335</v>
      </c>
      <c r="U136" s="53">
        <v>97.866666666666674</v>
      </c>
      <c r="V136" s="53"/>
      <c r="W136" s="53"/>
      <c r="X136" s="53"/>
      <c r="Y136" s="53"/>
      <c r="Z136" s="53"/>
      <c r="AA136" s="53"/>
      <c r="AB136" s="53"/>
      <c r="AC136" s="53"/>
      <c r="AD136" s="53"/>
      <c r="AE136" s="53"/>
    </row>
    <row r="137" spans="6:31" s="21" customFormat="1" ht="14.25" x14ac:dyDescent="0.45">
      <c r="F137" s="49">
        <v>41091</v>
      </c>
      <c r="G137" s="52">
        <v>104.5</v>
      </c>
      <c r="H137" s="52">
        <v>209</v>
      </c>
      <c r="I137" s="52">
        <v>104.5</v>
      </c>
      <c r="J137"/>
      <c r="K137"/>
      <c r="L137"/>
      <c r="M137"/>
      <c r="N137" s="37"/>
      <c r="O137" s="53">
        <v>101.76666666666667</v>
      </c>
      <c r="P137" s="53">
        <v>203.53333333333333</v>
      </c>
      <c r="Q137" s="53">
        <v>101.76666666666667</v>
      </c>
      <c r="R137" s="53"/>
      <c r="S137" s="53">
        <v>101.76666666666667</v>
      </c>
      <c r="T137" s="53">
        <v>203.53333333333333</v>
      </c>
      <c r="U137" s="53">
        <v>101.76666666666667</v>
      </c>
      <c r="V137" s="53"/>
      <c r="W137" s="53"/>
      <c r="X137" s="53"/>
      <c r="Y137" s="53"/>
      <c r="Z137" s="53"/>
      <c r="AA137" s="53"/>
      <c r="AB137" s="53"/>
      <c r="AC137" s="53"/>
      <c r="AD137" s="53"/>
      <c r="AE137" s="53"/>
    </row>
    <row r="138" spans="6:31" s="21" customFormat="1" ht="14.25" x14ac:dyDescent="0.45">
      <c r="F138" s="49">
        <v>41122</v>
      </c>
      <c r="G138" s="52">
        <v>111.5</v>
      </c>
      <c r="H138" s="52">
        <v>223</v>
      </c>
      <c r="I138" s="52">
        <v>111.5</v>
      </c>
      <c r="J138"/>
      <c r="K138"/>
      <c r="L138"/>
      <c r="M138"/>
      <c r="N138" s="37"/>
      <c r="O138" s="53">
        <v>104.76666666666667</v>
      </c>
      <c r="P138" s="53">
        <v>209.53333333333333</v>
      </c>
      <c r="Q138" s="53">
        <v>104.76666666666667</v>
      </c>
      <c r="R138" s="53"/>
      <c r="S138" s="53">
        <v>104.76666666666667</v>
      </c>
      <c r="T138" s="53">
        <v>209.53333333333333</v>
      </c>
      <c r="U138" s="53">
        <v>104.76666666666667</v>
      </c>
      <c r="V138" s="53"/>
      <c r="W138" s="53"/>
      <c r="X138" s="53"/>
      <c r="Y138" s="53"/>
      <c r="Z138" s="53"/>
      <c r="AA138" s="53"/>
      <c r="AB138" s="53"/>
      <c r="AC138" s="53"/>
      <c r="AD138" s="53"/>
      <c r="AE138" s="53"/>
    </row>
    <row r="139" spans="6:31" s="21" customFormat="1" ht="14.25" x14ac:dyDescent="0.45">
      <c r="F139" s="49">
        <v>41153</v>
      </c>
      <c r="G139" s="52">
        <v>103.4</v>
      </c>
      <c r="H139" s="52">
        <v>206.8</v>
      </c>
      <c r="I139" s="52">
        <v>103.4</v>
      </c>
      <c r="J139"/>
      <c r="K139"/>
      <c r="L139"/>
      <c r="M139"/>
      <c r="N139" s="37"/>
      <c r="O139" s="53">
        <v>106.46666666666665</v>
      </c>
      <c r="P139" s="53">
        <v>212.93333333333331</v>
      </c>
      <c r="Q139" s="53">
        <v>106.46666666666665</v>
      </c>
      <c r="R139" s="53"/>
      <c r="S139" s="53">
        <v>106.46666666666665</v>
      </c>
      <c r="T139" s="53">
        <v>212.93333333333331</v>
      </c>
      <c r="U139" s="53">
        <v>106.46666666666665</v>
      </c>
      <c r="V139" s="53"/>
      <c r="W139" s="53"/>
      <c r="X139" s="53"/>
      <c r="Y139" s="53"/>
      <c r="Z139" s="53"/>
      <c r="AA139" s="53"/>
      <c r="AB139" s="53"/>
      <c r="AC139" s="53"/>
      <c r="AD139" s="53"/>
      <c r="AE139" s="53"/>
    </row>
    <row r="140" spans="6:31" s="21" customFormat="1" ht="14.25" x14ac:dyDescent="0.45">
      <c r="F140" s="49">
        <v>41183</v>
      </c>
      <c r="G140" s="52">
        <v>111.8</v>
      </c>
      <c r="H140" s="52">
        <v>223.6</v>
      </c>
      <c r="I140" s="52">
        <v>111.8</v>
      </c>
      <c r="J140"/>
      <c r="K140"/>
      <c r="L140"/>
      <c r="M140"/>
      <c r="N140" s="37"/>
      <c r="O140" s="53">
        <v>108.89999999999999</v>
      </c>
      <c r="P140" s="53">
        <v>217.79999999999998</v>
      </c>
      <c r="Q140" s="53">
        <v>108.89999999999999</v>
      </c>
      <c r="R140" s="53"/>
      <c r="S140" s="53">
        <v>108.89999999999999</v>
      </c>
      <c r="T140" s="53">
        <v>217.79999999999998</v>
      </c>
      <c r="U140" s="53">
        <v>108.89999999999999</v>
      </c>
      <c r="V140" s="53"/>
      <c r="W140" s="53"/>
      <c r="X140" s="53"/>
      <c r="Y140" s="53"/>
      <c r="Z140" s="53"/>
      <c r="AA140" s="53"/>
      <c r="AB140" s="53"/>
      <c r="AC140" s="53"/>
      <c r="AD140" s="53"/>
      <c r="AE140" s="53"/>
    </row>
    <row r="141" spans="6:31" s="21" customFormat="1" ht="14.25" x14ac:dyDescent="0.45">
      <c r="F141" s="49">
        <v>41214</v>
      </c>
      <c r="G141" s="52">
        <v>104.8</v>
      </c>
      <c r="H141" s="52">
        <v>209.6</v>
      </c>
      <c r="I141" s="52">
        <v>104.8</v>
      </c>
      <c r="J141"/>
      <c r="K141"/>
      <c r="L141"/>
      <c r="M141"/>
      <c r="N141" s="37"/>
      <c r="O141" s="53">
        <v>106.66666666666667</v>
      </c>
      <c r="P141" s="53">
        <v>213.33333333333334</v>
      </c>
      <c r="Q141" s="53">
        <v>106.66666666666667</v>
      </c>
      <c r="R141" s="53"/>
      <c r="S141" s="53">
        <v>106.66666666666667</v>
      </c>
      <c r="T141" s="53">
        <v>213.33333333333334</v>
      </c>
      <c r="U141" s="53">
        <v>106.66666666666667</v>
      </c>
      <c r="V141" s="53"/>
      <c r="W141" s="53"/>
      <c r="X141" s="53"/>
      <c r="Y141" s="53"/>
      <c r="Z141" s="53"/>
      <c r="AA141" s="53"/>
      <c r="AB141" s="53"/>
      <c r="AC141" s="53"/>
      <c r="AD141" s="53"/>
      <c r="AE141" s="53"/>
    </row>
    <row r="142" spans="6:31" s="21" customFormat="1" ht="14.25" x14ac:dyDescent="0.45">
      <c r="F142" s="49">
        <v>41244</v>
      </c>
      <c r="G142" s="52">
        <v>92.2</v>
      </c>
      <c r="H142" s="52">
        <v>184.4</v>
      </c>
      <c r="I142" s="52">
        <v>92.2</v>
      </c>
      <c r="J142"/>
      <c r="K142"/>
      <c r="L142"/>
      <c r="M142"/>
      <c r="N142" s="37"/>
      <c r="O142" s="53">
        <v>102.93333333333334</v>
      </c>
      <c r="P142" s="53">
        <v>205.86666666666667</v>
      </c>
      <c r="Q142" s="53">
        <v>102.93333333333334</v>
      </c>
      <c r="R142" s="53"/>
      <c r="S142" s="53">
        <v>102.93333333333334</v>
      </c>
      <c r="T142" s="53">
        <v>205.86666666666667</v>
      </c>
      <c r="U142" s="53">
        <v>102.93333333333334</v>
      </c>
      <c r="V142" s="53"/>
      <c r="W142" s="53"/>
      <c r="X142" s="53"/>
      <c r="Y142" s="53"/>
      <c r="Z142" s="53"/>
      <c r="AA142" s="53"/>
      <c r="AB142" s="53"/>
      <c r="AC142" s="53"/>
      <c r="AD142" s="53"/>
      <c r="AE142" s="53"/>
    </row>
    <row r="143" spans="6:31" s="21" customFormat="1" ht="14.25" x14ac:dyDescent="0.45">
      <c r="F143" s="49">
        <v>41275</v>
      </c>
      <c r="G143" s="52">
        <v>94.5</v>
      </c>
      <c r="H143" s="52">
        <v>189</v>
      </c>
      <c r="I143" s="52">
        <v>94.5</v>
      </c>
      <c r="J143"/>
      <c r="K143"/>
      <c r="L143"/>
      <c r="M143"/>
      <c r="N143" s="37"/>
      <c r="O143" s="53">
        <v>97.166666666666671</v>
      </c>
      <c r="P143" s="53">
        <v>194.33333333333334</v>
      </c>
      <c r="Q143" s="53">
        <v>97.166666666666671</v>
      </c>
      <c r="R143" s="53"/>
      <c r="S143" s="53">
        <v>97.166666666666671</v>
      </c>
      <c r="T143" s="53">
        <v>194.33333333333334</v>
      </c>
      <c r="U143" s="53">
        <v>97.166666666666671</v>
      </c>
      <c r="V143" s="53"/>
      <c r="W143" s="53"/>
      <c r="X143" s="53"/>
      <c r="Y143" s="53"/>
      <c r="Z143" s="53"/>
      <c r="AA143" s="53"/>
      <c r="AB143" s="53"/>
      <c r="AC143" s="53"/>
      <c r="AD143" s="53"/>
      <c r="AE143" s="53"/>
    </row>
    <row r="144" spans="6:31" s="21" customFormat="1" ht="14.25" x14ac:dyDescent="0.45">
      <c r="F144" s="49">
        <v>41306</v>
      </c>
      <c r="G144" s="52">
        <v>88.1</v>
      </c>
      <c r="H144" s="52">
        <v>176.2</v>
      </c>
      <c r="I144" s="52">
        <v>88.1</v>
      </c>
      <c r="J144"/>
      <c r="K144"/>
      <c r="L144"/>
      <c r="M144"/>
      <c r="N144" s="37"/>
      <c r="O144" s="53">
        <v>91.59999999999998</v>
      </c>
      <c r="P144" s="53">
        <v>183.19999999999996</v>
      </c>
      <c r="Q144" s="53">
        <v>91.59999999999998</v>
      </c>
      <c r="R144" s="53"/>
      <c r="S144" s="53">
        <v>91.59999999999998</v>
      </c>
      <c r="T144" s="53">
        <v>183.19999999999996</v>
      </c>
      <c r="U144" s="53">
        <v>91.59999999999998</v>
      </c>
      <c r="V144" s="53"/>
      <c r="W144" s="53"/>
      <c r="X144" s="53"/>
      <c r="Y144" s="53"/>
      <c r="Z144" s="53"/>
      <c r="AA144" s="53"/>
      <c r="AB144" s="53"/>
      <c r="AC144" s="53"/>
      <c r="AD144" s="53"/>
      <c r="AE144" s="53"/>
    </row>
    <row r="145" spans="6:31" s="21" customFormat="1" ht="14.25" x14ac:dyDescent="0.45">
      <c r="F145" s="49">
        <v>41334</v>
      </c>
      <c r="G145" s="52">
        <v>97.7</v>
      </c>
      <c r="H145" s="52">
        <v>195.4</v>
      </c>
      <c r="I145" s="52">
        <v>97.7</v>
      </c>
      <c r="J145"/>
      <c r="K145"/>
      <c r="L145"/>
      <c r="M145"/>
      <c r="N145" s="37"/>
      <c r="O145" s="53">
        <v>93.433333333333337</v>
      </c>
      <c r="P145" s="53">
        <v>186.86666666666667</v>
      </c>
      <c r="Q145" s="53">
        <v>93.433333333333337</v>
      </c>
      <c r="R145" s="53"/>
      <c r="S145" s="53">
        <v>93.433333333333337</v>
      </c>
      <c r="T145" s="53">
        <v>186.86666666666667</v>
      </c>
      <c r="U145" s="53">
        <v>93.433333333333337</v>
      </c>
      <c r="V145" s="53"/>
      <c r="W145" s="53"/>
      <c r="X145" s="53"/>
      <c r="Y145" s="53"/>
      <c r="Z145" s="53"/>
      <c r="AA145" s="53"/>
      <c r="AB145" s="53"/>
      <c r="AC145" s="53"/>
      <c r="AD145" s="53"/>
      <c r="AE145" s="53"/>
    </row>
    <row r="146" spans="6:31" s="21" customFormat="1" ht="14.25" x14ac:dyDescent="0.45">
      <c r="F146" s="49">
        <v>41365</v>
      </c>
      <c r="G146" s="52">
        <v>101.8</v>
      </c>
      <c r="H146" s="52">
        <v>203.6</v>
      </c>
      <c r="I146" s="52">
        <v>101.8</v>
      </c>
      <c r="J146"/>
      <c r="K146"/>
      <c r="L146"/>
      <c r="M146"/>
      <c r="N146" s="37"/>
      <c r="O146" s="53">
        <v>95.866666666666674</v>
      </c>
      <c r="P146" s="53">
        <v>191.73333333333335</v>
      </c>
      <c r="Q146" s="53">
        <v>95.866666666666674</v>
      </c>
      <c r="R146" s="53"/>
      <c r="S146" s="53">
        <v>95.866666666666674</v>
      </c>
      <c r="T146" s="53">
        <v>191.73333333333335</v>
      </c>
      <c r="U146" s="53">
        <v>95.866666666666674</v>
      </c>
      <c r="V146" s="53"/>
      <c r="W146" s="53"/>
      <c r="X146" s="53"/>
      <c r="Y146" s="53"/>
      <c r="Z146" s="53"/>
      <c r="AA146" s="53"/>
      <c r="AB146" s="53"/>
      <c r="AC146" s="53"/>
      <c r="AD146" s="53"/>
      <c r="AE146" s="53"/>
    </row>
    <row r="147" spans="6:31" s="21" customFormat="1" ht="14.25" x14ac:dyDescent="0.45">
      <c r="F147" s="49">
        <v>41395</v>
      </c>
      <c r="G147" s="52">
        <v>105</v>
      </c>
      <c r="H147" s="52">
        <v>210</v>
      </c>
      <c r="I147" s="52">
        <v>105</v>
      </c>
      <c r="J147"/>
      <c r="K147"/>
      <c r="L147"/>
      <c r="M147"/>
      <c r="N147" s="37"/>
      <c r="O147" s="53">
        <v>101.5</v>
      </c>
      <c r="P147" s="53">
        <v>203</v>
      </c>
      <c r="Q147" s="53">
        <v>101.5</v>
      </c>
      <c r="R147" s="53"/>
      <c r="S147" s="53">
        <v>101.5</v>
      </c>
      <c r="T147" s="53">
        <v>203</v>
      </c>
      <c r="U147" s="53">
        <v>101.5</v>
      </c>
      <c r="V147" s="53"/>
      <c r="W147" s="53"/>
      <c r="X147" s="53"/>
      <c r="Y147" s="53"/>
      <c r="Z147" s="53"/>
      <c r="AA147" s="53"/>
      <c r="AB147" s="53"/>
      <c r="AC147" s="53"/>
      <c r="AD147" s="53"/>
      <c r="AE147" s="53"/>
    </row>
    <row r="148" spans="6:31" s="21" customFormat="1" ht="14.25" x14ac:dyDescent="0.45">
      <c r="F148" s="49">
        <v>41426</v>
      </c>
      <c r="G148" s="52">
        <v>101.7</v>
      </c>
      <c r="H148" s="52">
        <v>203.4</v>
      </c>
      <c r="I148" s="52">
        <v>101.7</v>
      </c>
      <c r="J148"/>
      <c r="K148"/>
      <c r="L148"/>
      <c r="M148"/>
      <c r="N148" s="37"/>
      <c r="O148" s="53">
        <v>102.83333333333333</v>
      </c>
      <c r="P148" s="53">
        <v>205.66666666666666</v>
      </c>
      <c r="Q148" s="53">
        <v>102.83333333333333</v>
      </c>
      <c r="R148" s="53"/>
      <c r="S148" s="53">
        <v>102.83333333333333</v>
      </c>
      <c r="T148" s="53">
        <v>205.66666666666666</v>
      </c>
      <c r="U148" s="53">
        <v>102.83333333333333</v>
      </c>
      <c r="V148" s="53"/>
      <c r="W148" s="53"/>
      <c r="X148" s="53"/>
      <c r="Y148" s="53"/>
      <c r="Z148" s="53"/>
      <c r="AA148" s="53"/>
      <c r="AB148" s="53"/>
      <c r="AC148" s="53"/>
      <c r="AD148" s="53"/>
      <c r="AE148" s="53"/>
    </row>
    <row r="149" spans="6:31" s="21" customFormat="1" ht="14.25" x14ac:dyDescent="0.45">
      <c r="F149" s="49">
        <v>41456</v>
      </c>
      <c r="G149" s="52">
        <v>108</v>
      </c>
      <c r="H149" s="52">
        <v>216</v>
      </c>
      <c r="I149" s="52">
        <v>108</v>
      </c>
      <c r="J149"/>
      <c r="K149"/>
      <c r="L149"/>
      <c r="M149"/>
      <c r="N149" s="37"/>
      <c r="O149" s="53">
        <v>104.89999999999999</v>
      </c>
      <c r="P149" s="53">
        <v>209.79999999999998</v>
      </c>
      <c r="Q149" s="53">
        <v>104.89999999999999</v>
      </c>
      <c r="R149" s="53"/>
      <c r="S149" s="53">
        <v>104.89999999999999</v>
      </c>
      <c r="T149" s="53">
        <v>209.79999999999998</v>
      </c>
      <c r="U149" s="53">
        <v>104.89999999999999</v>
      </c>
      <c r="V149" s="53"/>
      <c r="W149" s="53"/>
      <c r="X149" s="53"/>
      <c r="Y149" s="53"/>
      <c r="Z149" s="53"/>
      <c r="AA149" s="53"/>
      <c r="AB149" s="53"/>
      <c r="AC149" s="53"/>
      <c r="AD149" s="53"/>
      <c r="AE149" s="53"/>
    </row>
    <row r="150" spans="6:31" s="21" customFormat="1" ht="14.25" x14ac:dyDescent="0.45">
      <c r="F150" s="49">
        <v>41487</v>
      </c>
      <c r="G150" s="52">
        <v>112</v>
      </c>
      <c r="H150" s="52">
        <v>224</v>
      </c>
      <c r="I150" s="52">
        <v>112</v>
      </c>
      <c r="J150"/>
      <c r="K150"/>
      <c r="L150"/>
      <c r="M150"/>
      <c r="N150" s="37"/>
      <c r="O150" s="53">
        <v>107.23333333333333</v>
      </c>
      <c r="P150" s="53">
        <v>214.46666666666667</v>
      </c>
      <c r="Q150" s="53">
        <v>107.23333333333333</v>
      </c>
      <c r="R150" s="53"/>
      <c r="S150" s="53">
        <v>107.23333333333333</v>
      </c>
      <c r="T150" s="53">
        <v>214.46666666666667</v>
      </c>
      <c r="U150" s="53">
        <v>107.23333333333333</v>
      </c>
      <c r="V150" s="53"/>
      <c r="W150" s="53"/>
      <c r="X150" s="53"/>
      <c r="Y150" s="53"/>
      <c r="Z150" s="53"/>
      <c r="AA150" s="53"/>
      <c r="AB150" s="53"/>
      <c r="AC150" s="53"/>
      <c r="AD150" s="53"/>
      <c r="AE150" s="53"/>
    </row>
    <row r="151" spans="6:31" s="21" customFormat="1" ht="14.25" x14ac:dyDescent="0.45">
      <c r="F151" s="49">
        <v>41518</v>
      </c>
      <c r="G151" s="52">
        <v>107.3</v>
      </c>
      <c r="H151" s="52">
        <v>214.6</v>
      </c>
      <c r="I151" s="52">
        <v>107.3</v>
      </c>
      <c r="J151"/>
      <c r="K151"/>
      <c r="L151"/>
      <c r="M151"/>
      <c r="N151" s="37"/>
      <c r="O151" s="53">
        <v>109.10000000000001</v>
      </c>
      <c r="P151" s="53">
        <v>218.20000000000002</v>
      </c>
      <c r="Q151" s="53">
        <v>109.10000000000001</v>
      </c>
      <c r="R151" s="53"/>
      <c r="S151" s="53">
        <v>109.10000000000001</v>
      </c>
      <c r="T151" s="53">
        <v>218.20000000000002</v>
      </c>
      <c r="U151" s="53">
        <v>109.10000000000001</v>
      </c>
      <c r="V151" s="53"/>
      <c r="W151" s="53"/>
      <c r="X151" s="53"/>
      <c r="Y151" s="53"/>
      <c r="Z151" s="53"/>
      <c r="AA151" s="53"/>
      <c r="AB151" s="53"/>
      <c r="AC151" s="53"/>
      <c r="AD151" s="53"/>
      <c r="AE151" s="53"/>
    </row>
    <row r="152" spans="6:31" s="21" customFormat="1" ht="14.25" x14ac:dyDescent="0.45">
      <c r="F152" s="49">
        <v>41548</v>
      </c>
      <c r="G152" s="52">
        <v>112.6</v>
      </c>
      <c r="H152" s="52">
        <v>225.2</v>
      </c>
      <c r="I152" s="52">
        <v>112.6</v>
      </c>
      <c r="J152"/>
      <c r="K152"/>
      <c r="L152"/>
      <c r="M152"/>
      <c r="N152" s="37"/>
      <c r="O152" s="53">
        <v>110.63333333333333</v>
      </c>
      <c r="P152" s="53">
        <v>221.26666666666665</v>
      </c>
      <c r="Q152" s="53">
        <v>110.63333333333333</v>
      </c>
      <c r="R152" s="53"/>
      <c r="S152" s="53">
        <v>110.63333333333333</v>
      </c>
      <c r="T152" s="53">
        <v>221.26666666666665</v>
      </c>
      <c r="U152" s="53">
        <v>110.63333333333333</v>
      </c>
      <c r="V152" s="53"/>
      <c r="W152" s="53"/>
      <c r="X152" s="53"/>
      <c r="Y152" s="53"/>
      <c r="Z152" s="53"/>
      <c r="AA152" s="53"/>
      <c r="AB152" s="53"/>
      <c r="AC152" s="53"/>
      <c r="AD152" s="53"/>
      <c r="AE152" s="53"/>
    </row>
    <row r="153" spans="6:31" s="21" customFormat="1" ht="14.25" x14ac:dyDescent="0.45">
      <c r="F153" s="49">
        <v>41579</v>
      </c>
      <c r="G153" s="52">
        <v>106.1</v>
      </c>
      <c r="H153" s="52">
        <v>212.2</v>
      </c>
      <c r="I153" s="52">
        <v>106.1</v>
      </c>
      <c r="J153"/>
      <c r="K153"/>
      <c r="L153"/>
      <c r="M153"/>
      <c r="N153" s="37"/>
      <c r="O153" s="53">
        <v>108.66666666666667</v>
      </c>
      <c r="P153" s="53">
        <v>217.33333333333334</v>
      </c>
      <c r="Q153" s="53">
        <v>108.66666666666667</v>
      </c>
      <c r="R153" s="53"/>
      <c r="S153" s="53">
        <v>108.66666666666667</v>
      </c>
      <c r="T153" s="53">
        <v>217.33333333333334</v>
      </c>
      <c r="U153" s="53">
        <v>108.66666666666667</v>
      </c>
      <c r="V153" s="53"/>
      <c r="W153" s="53"/>
      <c r="X153" s="53"/>
      <c r="Y153" s="53"/>
      <c r="Z153" s="53"/>
      <c r="AA153" s="53"/>
      <c r="AB153" s="53"/>
      <c r="AC153" s="53"/>
      <c r="AD153" s="53"/>
      <c r="AE153" s="53"/>
    </row>
    <row r="154" spans="6:31" s="21" customFormat="1" ht="14.25" x14ac:dyDescent="0.45">
      <c r="F154" s="49">
        <v>41609</v>
      </c>
      <c r="G154" s="52">
        <v>90.1</v>
      </c>
      <c r="H154" s="52">
        <v>180.2</v>
      </c>
      <c r="I154" s="52">
        <v>90.1</v>
      </c>
      <c r="J154"/>
      <c r="K154"/>
      <c r="L154"/>
      <c r="M154"/>
      <c r="N154" s="37"/>
      <c r="O154" s="53">
        <v>102.93333333333332</v>
      </c>
      <c r="P154" s="53">
        <v>205.86666666666665</v>
      </c>
      <c r="Q154" s="53">
        <v>102.93333333333332</v>
      </c>
      <c r="R154" s="53"/>
      <c r="S154" s="53">
        <v>102.93333333333332</v>
      </c>
      <c r="T154" s="53">
        <v>205.86666666666665</v>
      </c>
      <c r="U154" s="53">
        <v>102.93333333333332</v>
      </c>
      <c r="V154" s="53"/>
      <c r="W154" s="53"/>
      <c r="X154" s="53"/>
      <c r="Y154" s="53"/>
      <c r="Z154" s="53"/>
      <c r="AA154" s="53"/>
      <c r="AB154" s="53"/>
      <c r="AC154" s="53"/>
      <c r="AD154" s="53"/>
      <c r="AE154" s="53"/>
    </row>
    <row r="155" spans="6:31" s="21" customFormat="1" ht="14.25" x14ac:dyDescent="0.45">
      <c r="F155" s="49">
        <v>41640</v>
      </c>
      <c r="G155" s="52">
        <v>92.6</v>
      </c>
      <c r="H155" s="52">
        <v>185.2</v>
      </c>
      <c r="I155" s="52">
        <v>92.6</v>
      </c>
      <c r="J155"/>
      <c r="K155"/>
      <c r="L155"/>
      <c r="M155"/>
      <c r="N155" s="37"/>
      <c r="O155" s="53">
        <v>96.266666666666652</v>
      </c>
      <c r="P155" s="53">
        <v>192.5333333333333</v>
      </c>
      <c r="Q155" s="53">
        <v>96.266666666666652</v>
      </c>
      <c r="R155" s="53"/>
      <c r="S155" s="53">
        <v>96.266666666666652</v>
      </c>
      <c r="T155" s="53">
        <v>192.5333333333333</v>
      </c>
      <c r="U155" s="53">
        <v>96.266666666666652</v>
      </c>
      <c r="V155" s="53"/>
      <c r="W155" s="53"/>
      <c r="X155" s="53"/>
      <c r="Y155" s="53"/>
      <c r="Z155" s="53"/>
      <c r="AA155" s="53"/>
      <c r="AB155" s="53"/>
      <c r="AC155" s="53"/>
      <c r="AD155" s="53"/>
      <c r="AE155" s="53"/>
    </row>
    <row r="156" spans="6:31" s="21" customFormat="1" ht="14.25" x14ac:dyDescent="0.45">
      <c r="F156" s="49">
        <v>41671</v>
      </c>
      <c r="G156" s="52">
        <v>92.3</v>
      </c>
      <c r="H156" s="52">
        <v>184.6</v>
      </c>
      <c r="I156" s="52">
        <v>92.3</v>
      </c>
      <c r="J156"/>
      <c r="K156"/>
      <c r="L156"/>
      <c r="M156"/>
      <c r="N156" s="37"/>
      <c r="O156" s="53">
        <v>91.666666666666671</v>
      </c>
      <c r="P156" s="53">
        <v>183.33333333333334</v>
      </c>
      <c r="Q156" s="53">
        <v>91.666666666666671</v>
      </c>
      <c r="R156" s="53"/>
      <c r="S156" s="53">
        <v>91.666666666666671</v>
      </c>
      <c r="T156" s="53">
        <v>183.33333333333334</v>
      </c>
      <c r="U156" s="53">
        <v>91.666666666666671</v>
      </c>
      <c r="V156" s="53"/>
      <c r="W156" s="53"/>
      <c r="X156" s="53"/>
      <c r="Y156" s="53"/>
      <c r="Z156" s="53"/>
      <c r="AA156" s="53"/>
      <c r="AB156" s="53"/>
      <c r="AC156" s="53"/>
      <c r="AD156" s="53"/>
      <c r="AE156" s="53"/>
    </row>
    <row r="157" spans="6:31" s="21" customFormat="1" ht="14.25" x14ac:dyDescent="0.45">
      <c r="F157" s="49">
        <v>41699</v>
      </c>
      <c r="G157" s="52">
        <v>97.3</v>
      </c>
      <c r="H157" s="52">
        <v>194.6</v>
      </c>
      <c r="I157" s="52">
        <v>97.3</v>
      </c>
      <c r="J157"/>
      <c r="K157"/>
      <c r="L157"/>
      <c r="M157"/>
      <c r="N157" s="37"/>
      <c r="O157" s="53">
        <v>94.066666666666663</v>
      </c>
      <c r="P157" s="53">
        <v>188.13333333333333</v>
      </c>
      <c r="Q157" s="53">
        <v>94.066666666666663</v>
      </c>
      <c r="R157" s="53"/>
      <c r="S157" s="53">
        <v>94.066666666666663</v>
      </c>
      <c r="T157" s="53">
        <v>188.13333333333333</v>
      </c>
      <c r="U157" s="53">
        <v>94.066666666666663</v>
      </c>
      <c r="V157" s="53"/>
      <c r="W157" s="53"/>
      <c r="X157" s="53"/>
      <c r="Y157" s="53"/>
      <c r="Z157" s="53"/>
      <c r="AA157" s="53"/>
      <c r="AB157" s="53"/>
      <c r="AC157" s="53"/>
      <c r="AD157" s="53"/>
      <c r="AE157" s="53"/>
    </row>
    <row r="158" spans="6:31" s="21" customFormat="1" ht="14.25" x14ac:dyDescent="0.45">
      <c r="F158" s="49">
        <v>41730</v>
      </c>
      <c r="G158" s="52">
        <v>96</v>
      </c>
      <c r="H158" s="52">
        <v>192</v>
      </c>
      <c r="I158" s="52">
        <v>96</v>
      </c>
      <c r="J158"/>
      <c r="K158"/>
      <c r="L158"/>
      <c r="M158"/>
      <c r="N158" s="37"/>
      <c r="O158" s="53">
        <v>95.2</v>
      </c>
      <c r="P158" s="53">
        <v>190.4</v>
      </c>
      <c r="Q158" s="53">
        <v>95.2</v>
      </c>
      <c r="R158" s="53"/>
      <c r="S158" s="53">
        <v>95.2</v>
      </c>
      <c r="T158" s="53">
        <v>190.4</v>
      </c>
      <c r="U158" s="53">
        <v>95.2</v>
      </c>
      <c r="V158" s="53"/>
      <c r="W158" s="53"/>
      <c r="X158" s="53"/>
      <c r="Y158" s="53"/>
      <c r="Z158" s="53"/>
      <c r="AA158" s="53"/>
      <c r="AB158" s="53"/>
      <c r="AC158" s="53"/>
      <c r="AD158" s="53"/>
      <c r="AE158" s="53"/>
    </row>
    <row r="159" spans="6:31" s="21" customFormat="1" ht="14.25" x14ac:dyDescent="0.45">
      <c r="F159" s="49">
        <v>41760</v>
      </c>
      <c r="G159" s="52">
        <v>101.7</v>
      </c>
      <c r="H159" s="52">
        <v>203.4</v>
      </c>
      <c r="I159" s="52">
        <v>101.7</v>
      </c>
      <c r="J159"/>
      <c r="K159"/>
      <c r="L159"/>
      <c r="M159"/>
      <c r="N159" s="37"/>
      <c r="O159" s="53">
        <v>98.333333333333329</v>
      </c>
      <c r="P159" s="53">
        <v>196.66666666666666</v>
      </c>
      <c r="Q159" s="53">
        <v>98.333333333333329</v>
      </c>
      <c r="R159" s="53"/>
      <c r="S159" s="53">
        <v>98.333333333333329</v>
      </c>
      <c r="T159" s="53">
        <v>196.66666666666666</v>
      </c>
      <c r="U159" s="53">
        <v>98.333333333333329</v>
      </c>
      <c r="V159" s="53"/>
      <c r="W159" s="53"/>
      <c r="X159" s="53"/>
      <c r="Y159" s="53"/>
      <c r="Z159" s="53"/>
      <c r="AA159" s="53"/>
      <c r="AB159" s="53"/>
      <c r="AC159" s="53"/>
      <c r="AD159" s="53"/>
      <c r="AE159" s="53"/>
    </row>
    <row r="160" spans="6:31" s="21" customFormat="1" ht="14.25" x14ac:dyDescent="0.45">
      <c r="F160" s="49">
        <v>41791</v>
      </c>
      <c r="G160" s="52">
        <v>94.9</v>
      </c>
      <c r="H160" s="52">
        <v>189.8</v>
      </c>
      <c r="I160" s="52">
        <v>94.9</v>
      </c>
      <c r="J160"/>
      <c r="K160"/>
      <c r="L160"/>
      <c r="M160"/>
      <c r="N160" s="37"/>
      <c r="O160" s="53">
        <v>97.533333333333346</v>
      </c>
      <c r="P160" s="53">
        <v>195.06666666666669</v>
      </c>
      <c r="Q160" s="53">
        <v>97.533333333333346</v>
      </c>
      <c r="R160" s="53"/>
      <c r="S160" s="53">
        <v>97.533333333333346</v>
      </c>
      <c r="T160" s="53">
        <v>195.06666666666669</v>
      </c>
      <c r="U160" s="53">
        <v>97.533333333333346</v>
      </c>
      <c r="V160" s="53"/>
      <c r="W160" s="53"/>
      <c r="X160" s="53"/>
      <c r="Y160" s="53"/>
      <c r="Z160" s="53"/>
      <c r="AA160" s="53"/>
      <c r="AB160" s="53"/>
      <c r="AC160" s="53"/>
      <c r="AD160" s="53"/>
      <c r="AE160" s="53"/>
    </row>
    <row r="161" spans="6:31" s="21" customFormat="1" ht="14.25" x14ac:dyDescent="0.45">
      <c r="F161" s="49">
        <v>41821</v>
      </c>
      <c r="G161" s="52">
        <v>104.4</v>
      </c>
      <c r="H161" s="52">
        <v>208.8</v>
      </c>
      <c r="I161" s="52">
        <v>104.4</v>
      </c>
      <c r="J161"/>
      <c r="K161"/>
      <c r="L161"/>
      <c r="M161"/>
      <c r="N161" s="37"/>
      <c r="O161" s="53">
        <v>100.33333333333333</v>
      </c>
      <c r="P161" s="53">
        <v>200.66666666666666</v>
      </c>
      <c r="Q161" s="53">
        <v>100.33333333333333</v>
      </c>
      <c r="R161" s="53"/>
      <c r="S161" s="53">
        <v>100.33333333333333</v>
      </c>
      <c r="T161" s="53">
        <v>200.66666666666666</v>
      </c>
      <c r="U161" s="53">
        <v>100.33333333333333</v>
      </c>
      <c r="V161" s="53"/>
      <c r="W161" s="53"/>
      <c r="X161" s="53"/>
      <c r="Y161" s="53"/>
      <c r="Z161" s="53"/>
      <c r="AA161" s="53"/>
      <c r="AB161" s="53"/>
      <c r="AC161" s="53"/>
      <c r="AD161" s="53"/>
      <c r="AE161" s="53"/>
    </row>
    <row r="162" spans="6:31" s="21" customFormat="1" ht="14.25" x14ac:dyDescent="0.45">
      <c r="F162" s="49">
        <v>41852</v>
      </c>
      <c r="G162" s="52">
        <v>106.3</v>
      </c>
      <c r="H162" s="52">
        <v>212.6</v>
      </c>
      <c r="I162" s="52">
        <v>106.3</v>
      </c>
      <c r="J162"/>
      <c r="K162"/>
      <c r="L162"/>
      <c r="M162"/>
      <c r="N162" s="37"/>
      <c r="O162" s="53">
        <v>101.86666666666667</v>
      </c>
      <c r="P162" s="53">
        <v>203.73333333333335</v>
      </c>
      <c r="Q162" s="53">
        <v>101.86666666666667</v>
      </c>
      <c r="R162" s="53"/>
      <c r="S162" s="53">
        <v>101.86666666666667</v>
      </c>
      <c r="T162" s="53">
        <v>203.73333333333335</v>
      </c>
      <c r="U162" s="53">
        <v>101.86666666666667</v>
      </c>
      <c r="V162" s="53"/>
      <c r="W162" s="53"/>
      <c r="X162" s="53"/>
      <c r="Y162" s="53"/>
      <c r="Z162" s="53"/>
      <c r="AA162" s="53"/>
      <c r="AB162" s="53"/>
      <c r="AC162" s="53"/>
      <c r="AD162" s="53"/>
      <c r="AE162" s="53"/>
    </row>
    <row r="163" spans="6:31" s="21" customFormat="1" ht="14.25" x14ac:dyDescent="0.45">
      <c r="F163" s="49">
        <v>41883</v>
      </c>
      <c r="G163" s="52">
        <v>105.6</v>
      </c>
      <c r="H163" s="52">
        <v>211.2</v>
      </c>
      <c r="I163" s="52">
        <v>105.6</v>
      </c>
      <c r="J163"/>
      <c r="K163"/>
      <c r="L163"/>
      <c r="M163"/>
      <c r="N163" s="37"/>
      <c r="O163" s="53">
        <v>105.43333333333332</v>
      </c>
      <c r="P163" s="53">
        <v>210.86666666666665</v>
      </c>
      <c r="Q163" s="53">
        <v>105.43333333333332</v>
      </c>
      <c r="R163" s="53"/>
      <c r="S163" s="53">
        <v>105.43333333333332</v>
      </c>
      <c r="T163" s="53">
        <v>210.86666666666665</v>
      </c>
      <c r="U163" s="53">
        <v>105.43333333333332</v>
      </c>
      <c r="V163" s="53"/>
      <c r="W163" s="53"/>
      <c r="X163" s="53"/>
      <c r="Y163" s="53"/>
      <c r="Z163" s="53"/>
      <c r="AA163" s="53"/>
      <c r="AB163" s="53"/>
      <c r="AC163" s="53"/>
      <c r="AD163" s="53"/>
      <c r="AE163" s="53"/>
    </row>
    <row r="164" spans="6:31" s="21" customFormat="1" ht="14.25" x14ac:dyDescent="0.45">
      <c r="F164" s="49">
        <v>41913</v>
      </c>
      <c r="G164" s="52">
        <v>109.3</v>
      </c>
      <c r="H164" s="52">
        <v>218.6</v>
      </c>
      <c r="I164" s="52">
        <v>109.3</v>
      </c>
      <c r="J164"/>
      <c r="K164"/>
      <c r="L164"/>
      <c r="M164"/>
      <c r="N164" s="37"/>
      <c r="O164" s="53">
        <v>107.06666666666666</v>
      </c>
      <c r="P164" s="53">
        <v>214.13333333333333</v>
      </c>
      <c r="Q164" s="53">
        <v>107.06666666666666</v>
      </c>
      <c r="R164" s="53"/>
      <c r="S164" s="53">
        <v>107.06666666666666</v>
      </c>
      <c r="T164" s="53">
        <v>214.13333333333333</v>
      </c>
      <c r="U164" s="53">
        <v>107.06666666666666</v>
      </c>
      <c r="V164" s="53"/>
      <c r="W164" s="53"/>
      <c r="X164" s="53"/>
      <c r="Y164" s="53"/>
      <c r="Z164" s="53"/>
      <c r="AA164" s="53"/>
      <c r="AB164" s="53"/>
      <c r="AC164" s="53"/>
      <c r="AD164" s="53"/>
      <c r="AE164" s="53"/>
    </row>
    <row r="165" spans="6:31" s="21" customFormat="1" ht="14.25" x14ac:dyDescent="0.45">
      <c r="F165" s="49">
        <v>41944</v>
      </c>
      <c r="G165" s="52">
        <v>99.8</v>
      </c>
      <c r="H165" s="52">
        <v>199.6</v>
      </c>
      <c r="I165" s="52">
        <v>99.8</v>
      </c>
      <c r="J165"/>
      <c r="K165"/>
      <c r="L165"/>
      <c r="M165"/>
      <c r="N165" s="37"/>
      <c r="O165" s="53">
        <v>104.89999999999999</v>
      </c>
      <c r="P165" s="53">
        <v>209.79999999999998</v>
      </c>
      <c r="Q165" s="53">
        <v>104.89999999999999</v>
      </c>
      <c r="R165" s="53"/>
      <c r="S165" s="53">
        <v>104.89999999999999</v>
      </c>
      <c r="T165" s="53">
        <v>209.79999999999998</v>
      </c>
      <c r="U165" s="53">
        <v>104.89999999999999</v>
      </c>
      <c r="V165" s="53"/>
      <c r="W165" s="53"/>
      <c r="X165" s="53"/>
      <c r="Y165" s="53"/>
      <c r="Z165" s="53"/>
      <c r="AA165" s="53"/>
      <c r="AB165" s="53"/>
      <c r="AC165" s="53"/>
      <c r="AD165" s="53"/>
      <c r="AE165" s="53"/>
    </row>
    <row r="166" spans="6:31" s="21" customFormat="1" ht="14.25" x14ac:dyDescent="0.45">
      <c r="F166" s="49">
        <v>41974</v>
      </c>
      <c r="G166" s="52">
        <v>87.7</v>
      </c>
      <c r="H166" s="52">
        <v>175.4</v>
      </c>
      <c r="I166" s="52">
        <v>87.7</v>
      </c>
      <c r="J166"/>
      <c r="K166"/>
      <c r="L166"/>
      <c r="M166"/>
      <c r="N166" s="37"/>
      <c r="O166" s="53">
        <v>98.933333333333337</v>
      </c>
      <c r="P166" s="53">
        <v>197.86666666666667</v>
      </c>
      <c r="Q166" s="53">
        <v>98.933333333333337</v>
      </c>
      <c r="R166" s="53"/>
      <c r="S166" s="53">
        <v>98.933333333333337</v>
      </c>
      <c r="T166" s="53">
        <v>197.86666666666667</v>
      </c>
      <c r="U166" s="53">
        <v>98.933333333333337</v>
      </c>
      <c r="V166" s="53"/>
      <c r="W166" s="53"/>
      <c r="X166" s="53"/>
      <c r="Y166" s="53"/>
      <c r="Z166" s="53"/>
      <c r="AA166" s="53"/>
      <c r="AB166" s="53"/>
      <c r="AC166" s="53"/>
      <c r="AD166" s="53"/>
      <c r="AE166" s="53"/>
    </row>
    <row r="167" spans="6:31" s="21" customFormat="1" ht="14.25" x14ac:dyDescent="0.45">
      <c r="F167" s="49">
        <v>42005</v>
      </c>
      <c r="G167" s="52">
        <v>88.1</v>
      </c>
      <c r="H167" s="52">
        <v>176.2</v>
      </c>
      <c r="I167" s="52">
        <v>88.1</v>
      </c>
      <c r="J167"/>
      <c r="K167"/>
      <c r="L167"/>
      <c r="M167"/>
      <c r="N167" s="37"/>
      <c r="O167" s="53">
        <v>91.866666666666674</v>
      </c>
      <c r="P167" s="53">
        <v>183.73333333333335</v>
      </c>
      <c r="Q167" s="53">
        <v>91.866666666666674</v>
      </c>
      <c r="R167" s="53"/>
      <c r="S167" s="53">
        <v>91.866666666666674</v>
      </c>
      <c r="T167" s="53">
        <v>183.73333333333335</v>
      </c>
      <c r="U167" s="53">
        <v>91.866666666666674</v>
      </c>
      <c r="V167" s="53"/>
      <c r="W167" s="53"/>
      <c r="X167" s="53"/>
      <c r="Y167" s="53"/>
      <c r="Z167" s="53"/>
      <c r="AA167" s="53"/>
      <c r="AB167" s="53"/>
      <c r="AC167" s="53"/>
      <c r="AD167" s="53"/>
      <c r="AE167" s="53"/>
    </row>
    <row r="168" spans="6:31" s="21" customFormat="1" ht="14.25" x14ac:dyDescent="0.45">
      <c r="F168" s="49">
        <v>42036</v>
      </c>
      <c r="G168" s="52">
        <v>83.7</v>
      </c>
      <c r="H168" s="52">
        <v>167.4</v>
      </c>
      <c r="I168" s="52">
        <v>83.7</v>
      </c>
      <c r="J168"/>
      <c r="K168"/>
      <c r="L168"/>
      <c r="M168"/>
      <c r="N168" s="37"/>
      <c r="O168" s="53">
        <v>86.5</v>
      </c>
      <c r="P168" s="53">
        <v>173</v>
      </c>
      <c r="Q168" s="53">
        <v>86.5</v>
      </c>
      <c r="R168" s="53"/>
      <c r="S168" s="53">
        <v>86.5</v>
      </c>
      <c r="T168" s="53">
        <v>173</v>
      </c>
      <c r="U168" s="53">
        <v>86.5</v>
      </c>
      <c r="V168" s="53"/>
      <c r="W168" s="53"/>
      <c r="X168" s="53"/>
      <c r="Y168" s="53"/>
      <c r="Z168" s="53"/>
      <c r="AA168" s="53"/>
      <c r="AB168" s="53"/>
      <c r="AC168" s="53"/>
      <c r="AD168" s="53"/>
      <c r="AE168" s="53"/>
    </row>
    <row r="169" spans="6:31" s="21" customFormat="1" ht="14.25" x14ac:dyDescent="0.45">
      <c r="F169" s="49">
        <v>42064</v>
      </c>
      <c r="G169" s="52">
        <v>94.3</v>
      </c>
      <c r="H169" s="52">
        <v>188.6</v>
      </c>
      <c r="I169" s="52">
        <v>94.3</v>
      </c>
      <c r="J169"/>
      <c r="K169"/>
      <c r="L169"/>
      <c r="M169"/>
      <c r="N169" s="37"/>
      <c r="O169" s="53">
        <v>88.7</v>
      </c>
      <c r="P169" s="53">
        <v>177.4</v>
      </c>
      <c r="Q169" s="53">
        <v>88.7</v>
      </c>
      <c r="R169" s="53"/>
      <c r="S169" s="53">
        <v>88.7</v>
      </c>
      <c r="T169" s="53">
        <v>177.4</v>
      </c>
      <c r="U169" s="53">
        <v>88.7</v>
      </c>
      <c r="V169" s="53"/>
      <c r="W169" s="53"/>
      <c r="X169" s="53"/>
      <c r="Y169" s="53"/>
      <c r="Z169" s="53"/>
      <c r="AA169" s="53"/>
      <c r="AB169" s="53"/>
      <c r="AC169" s="53"/>
      <c r="AD169" s="53"/>
      <c r="AE169" s="53"/>
    </row>
    <row r="170" spans="6:31" s="21" customFormat="1" ht="14.25" x14ac:dyDescent="0.45">
      <c r="F170" s="49">
        <v>42095</v>
      </c>
      <c r="G170" s="52">
        <v>88.8</v>
      </c>
      <c r="H170" s="52">
        <v>177.6</v>
      </c>
      <c r="I170" s="52">
        <v>88.8</v>
      </c>
      <c r="J170"/>
      <c r="K170"/>
      <c r="L170"/>
      <c r="M170"/>
      <c r="N170" s="37"/>
      <c r="O170" s="53">
        <v>88.933333333333337</v>
      </c>
      <c r="P170" s="53">
        <v>177.86666666666667</v>
      </c>
      <c r="Q170" s="53">
        <v>88.933333333333337</v>
      </c>
      <c r="R170" s="53"/>
      <c r="S170" s="53">
        <v>88.933333333333337</v>
      </c>
      <c r="T170" s="53">
        <v>177.86666666666667</v>
      </c>
      <c r="U170" s="53">
        <v>88.933333333333337</v>
      </c>
      <c r="V170" s="53"/>
      <c r="W170" s="53"/>
      <c r="X170" s="53"/>
      <c r="Y170" s="53"/>
      <c r="Z170" s="53"/>
      <c r="AA170" s="53"/>
      <c r="AB170" s="53"/>
      <c r="AC170" s="53"/>
      <c r="AD170" s="53"/>
      <c r="AE170" s="53"/>
    </row>
    <row r="171" spans="6:31" s="21" customFormat="1" ht="14.25" x14ac:dyDescent="0.45">
      <c r="F171" s="49">
        <v>42125</v>
      </c>
      <c r="G171" s="52">
        <v>93.1</v>
      </c>
      <c r="H171" s="52">
        <v>186.2</v>
      </c>
      <c r="I171" s="52">
        <v>93.1</v>
      </c>
      <c r="J171"/>
      <c r="K171"/>
      <c r="L171"/>
      <c r="M171"/>
      <c r="N171" s="37"/>
      <c r="O171" s="53">
        <v>92.066666666666663</v>
      </c>
      <c r="P171" s="53">
        <v>184.13333333333333</v>
      </c>
      <c r="Q171" s="53">
        <v>92.066666666666663</v>
      </c>
      <c r="R171" s="53"/>
      <c r="S171" s="53">
        <v>92.066666666666663</v>
      </c>
      <c r="T171" s="53">
        <v>184.13333333333333</v>
      </c>
      <c r="U171" s="53">
        <v>92.066666666666663</v>
      </c>
      <c r="V171" s="53"/>
      <c r="W171" s="53"/>
      <c r="X171" s="53"/>
      <c r="Y171" s="53"/>
      <c r="Z171" s="53"/>
      <c r="AA171" s="53"/>
      <c r="AB171" s="53"/>
      <c r="AC171" s="53"/>
      <c r="AD171" s="53"/>
      <c r="AE171" s="53"/>
    </row>
    <row r="172" spans="6:31" s="21" customFormat="1" ht="14.25" x14ac:dyDescent="0.45">
      <c r="F172" s="49">
        <v>42156</v>
      </c>
      <c r="G172" s="52">
        <v>92.5</v>
      </c>
      <c r="H172" s="52">
        <v>185</v>
      </c>
      <c r="I172" s="52">
        <v>92.5</v>
      </c>
      <c r="J172"/>
      <c r="K172"/>
      <c r="L172"/>
      <c r="M172"/>
      <c r="N172" s="37"/>
      <c r="O172" s="53">
        <v>91.466666666666654</v>
      </c>
      <c r="P172" s="53">
        <v>182.93333333333331</v>
      </c>
      <c r="Q172" s="53">
        <v>91.466666666666654</v>
      </c>
      <c r="R172" s="53"/>
      <c r="S172" s="53">
        <v>91.466666666666654</v>
      </c>
      <c r="T172" s="53">
        <v>182.93333333333331</v>
      </c>
      <c r="U172" s="53">
        <v>91.466666666666654</v>
      </c>
      <c r="V172" s="53"/>
      <c r="W172" s="53"/>
      <c r="X172" s="53"/>
      <c r="Y172" s="53"/>
      <c r="Z172" s="53"/>
      <c r="AA172" s="53"/>
      <c r="AB172" s="53"/>
      <c r="AC172" s="53"/>
      <c r="AD172" s="53"/>
      <c r="AE172" s="53"/>
    </row>
    <row r="173" spans="6:31" s="21" customFormat="1" ht="14.25" x14ac:dyDescent="0.45">
      <c r="F173" s="49">
        <v>42186</v>
      </c>
      <c r="G173" s="52">
        <v>95.5</v>
      </c>
      <c r="H173" s="52">
        <v>191</v>
      </c>
      <c r="I173" s="52">
        <v>95.5</v>
      </c>
      <c r="J173"/>
      <c r="K173"/>
      <c r="L173"/>
      <c r="M173"/>
      <c r="N173" s="37"/>
      <c r="O173" s="53">
        <v>93.7</v>
      </c>
      <c r="P173" s="53">
        <v>187.4</v>
      </c>
      <c r="Q173" s="53">
        <v>93.7</v>
      </c>
      <c r="R173" s="53"/>
      <c r="S173" s="53">
        <v>93.7</v>
      </c>
      <c r="T173" s="53">
        <v>187.4</v>
      </c>
      <c r="U173" s="53">
        <v>93.7</v>
      </c>
      <c r="V173" s="53"/>
      <c r="W173" s="53"/>
      <c r="X173" s="53"/>
      <c r="Y173" s="53"/>
      <c r="Z173" s="53"/>
      <c r="AA173" s="53"/>
      <c r="AB173" s="53"/>
      <c r="AC173" s="53"/>
      <c r="AD173" s="53"/>
      <c r="AE173" s="53"/>
    </row>
    <row r="174" spans="6:31" s="21" customFormat="1" ht="14.25" x14ac:dyDescent="0.45">
      <c r="F174" s="49">
        <v>42217</v>
      </c>
      <c r="G174" s="52">
        <v>97.6</v>
      </c>
      <c r="H174" s="52">
        <v>195.2</v>
      </c>
      <c r="I174" s="52">
        <v>97.6</v>
      </c>
      <c r="J174"/>
      <c r="K174"/>
      <c r="L174"/>
      <c r="M174"/>
      <c r="N174" s="37"/>
      <c r="O174" s="53">
        <v>95.2</v>
      </c>
      <c r="P174" s="53">
        <v>190.4</v>
      </c>
      <c r="Q174" s="53">
        <v>95.2</v>
      </c>
      <c r="R174" s="53"/>
      <c r="S174" s="53">
        <v>95.2</v>
      </c>
      <c r="T174" s="53">
        <v>190.4</v>
      </c>
      <c r="U174" s="53">
        <v>95.2</v>
      </c>
      <c r="V174" s="53"/>
      <c r="W174" s="53"/>
      <c r="X174" s="53"/>
      <c r="Y174" s="53"/>
      <c r="Z174" s="53"/>
      <c r="AA174" s="53"/>
      <c r="AB174" s="53"/>
      <c r="AC174" s="53"/>
      <c r="AD174" s="53"/>
      <c r="AE174" s="53"/>
    </row>
    <row r="175" spans="6:31" s="21" customFormat="1" ht="14.25" x14ac:dyDescent="0.45">
      <c r="F175" s="49">
        <v>42248</v>
      </c>
      <c r="G175" s="52">
        <v>94.3</v>
      </c>
      <c r="H175" s="52">
        <v>188.6</v>
      </c>
      <c r="I175" s="52">
        <v>94.3</v>
      </c>
      <c r="J175"/>
      <c r="K175"/>
      <c r="L175"/>
      <c r="M175"/>
      <c r="N175" s="37"/>
      <c r="O175" s="53">
        <v>95.8</v>
      </c>
      <c r="P175" s="53">
        <v>191.6</v>
      </c>
      <c r="Q175" s="53">
        <v>95.8</v>
      </c>
      <c r="R175" s="53"/>
      <c r="S175" s="53">
        <v>95.8</v>
      </c>
      <c r="T175" s="53">
        <v>191.6</v>
      </c>
      <c r="U175" s="53">
        <v>95.8</v>
      </c>
      <c r="V175" s="53"/>
      <c r="W175" s="53"/>
      <c r="X175" s="53"/>
      <c r="Y175" s="53"/>
      <c r="Z175" s="53"/>
      <c r="AA175" s="53"/>
      <c r="AB175" s="53"/>
      <c r="AC175" s="53"/>
      <c r="AD175" s="53"/>
      <c r="AE175" s="53"/>
    </row>
    <row r="176" spans="6:31" s="21" customFormat="1" ht="14.25" x14ac:dyDescent="0.45">
      <c r="F176" s="49">
        <v>42278</v>
      </c>
      <c r="G176" s="52">
        <v>97.2</v>
      </c>
      <c r="H176" s="52">
        <v>194.4</v>
      </c>
      <c r="I176" s="52">
        <v>97.2</v>
      </c>
      <c r="J176"/>
      <c r="K176"/>
      <c r="L176"/>
      <c r="M176"/>
      <c r="N176" s="37"/>
      <c r="O176" s="53">
        <v>96.36666666666666</v>
      </c>
      <c r="P176" s="53">
        <v>192.73333333333332</v>
      </c>
      <c r="Q176" s="53">
        <v>96.36666666666666</v>
      </c>
      <c r="R176" s="53"/>
      <c r="S176" s="53">
        <v>96.36666666666666</v>
      </c>
      <c r="T176" s="53">
        <v>192.73333333333332</v>
      </c>
      <c r="U176" s="53">
        <v>96.36666666666666</v>
      </c>
      <c r="V176" s="53"/>
      <c r="W176" s="53"/>
      <c r="X176" s="53"/>
      <c r="Y176" s="53"/>
      <c r="Z176" s="53"/>
      <c r="AA176" s="53"/>
      <c r="AB176" s="53"/>
      <c r="AC176" s="53"/>
      <c r="AD176" s="53"/>
      <c r="AE176" s="53"/>
    </row>
    <row r="177" spans="6:31" s="21" customFormat="1" ht="14.25" x14ac:dyDescent="0.45">
      <c r="F177" s="49">
        <v>42309</v>
      </c>
      <c r="G177" s="52">
        <v>87.6</v>
      </c>
      <c r="H177" s="52">
        <v>175.2</v>
      </c>
      <c r="I177" s="52">
        <v>87.6</v>
      </c>
      <c r="J177"/>
      <c r="K177"/>
      <c r="L177"/>
      <c r="M177"/>
      <c r="N177" s="37"/>
      <c r="O177" s="53">
        <v>93.033333333333346</v>
      </c>
      <c r="P177" s="53">
        <v>186.06666666666669</v>
      </c>
      <c r="Q177" s="53">
        <v>93.033333333333346</v>
      </c>
      <c r="R177" s="53"/>
      <c r="S177" s="53">
        <v>93.033333333333346</v>
      </c>
      <c r="T177" s="53">
        <v>186.06666666666669</v>
      </c>
      <c r="U177" s="53">
        <v>93.033333333333346</v>
      </c>
      <c r="V177" s="53"/>
      <c r="W177" s="53"/>
      <c r="X177" s="53"/>
      <c r="Y177" s="53"/>
      <c r="Z177" s="53"/>
      <c r="AA177" s="53"/>
      <c r="AB177" s="53"/>
      <c r="AC177" s="53"/>
      <c r="AD177" s="53"/>
      <c r="AE177" s="53"/>
    </row>
    <row r="178" spans="6:31" s="21" customFormat="1" ht="14.25" x14ac:dyDescent="0.45">
      <c r="F178" s="49">
        <v>42339</v>
      </c>
      <c r="G178" s="52">
        <v>77.2</v>
      </c>
      <c r="H178" s="52">
        <v>154.4</v>
      </c>
      <c r="I178" s="52">
        <v>77.2</v>
      </c>
      <c r="J178"/>
      <c r="K178"/>
      <c r="L178"/>
      <c r="M178"/>
      <c r="N178" s="37"/>
      <c r="O178" s="53">
        <v>87.333333333333329</v>
      </c>
      <c r="P178" s="53">
        <v>174.66666666666666</v>
      </c>
      <c r="Q178" s="53">
        <v>87.333333333333329</v>
      </c>
      <c r="R178" s="53"/>
      <c r="S178" s="53">
        <v>87.333333333333329</v>
      </c>
      <c r="T178" s="53">
        <v>174.66666666666666</v>
      </c>
      <c r="U178" s="53">
        <v>87.333333333333329</v>
      </c>
      <c r="V178" s="53"/>
      <c r="W178" s="53"/>
      <c r="X178" s="53"/>
      <c r="Y178" s="53"/>
      <c r="Z178" s="53"/>
      <c r="AA178" s="53"/>
      <c r="AB178" s="53"/>
      <c r="AC178" s="53"/>
      <c r="AD178" s="53"/>
      <c r="AE178" s="53"/>
    </row>
    <row r="179" spans="6:31" s="21" customFormat="1" ht="14.25" x14ac:dyDescent="0.45">
      <c r="F179" s="49">
        <v>42370</v>
      </c>
      <c r="G179" s="52">
        <v>76.3</v>
      </c>
      <c r="H179" s="52">
        <v>152.6</v>
      </c>
      <c r="I179" s="52">
        <v>76.3</v>
      </c>
      <c r="J179"/>
      <c r="K179"/>
      <c r="L179"/>
      <c r="M179"/>
      <c r="N179" s="37"/>
      <c r="O179" s="53">
        <v>80.366666666666674</v>
      </c>
      <c r="P179" s="53">
        <v>160.73333333333335</v>
      </c>
      <c r="Q179" s="53">
        <v>80.366666666666674</v>
      </c>
      <c r="R179" s="53"/>
      <c r="S179" s="53">
        <v>80.366666666666674</v>
      </c>
      <c r="T179" s="53">
        <v>160.73333333333335</v>
      </c>
      <c r="U179" s="53">
        <v>80.366666666666674</v>
      </c>
      <c r="V179" s="53"/>
      <c r="W179" s="53"/>
      <c r="X179" s="53"/>
      <c r="Y179" s="53"/>
      <c r="Z179" s="53"/>
      <c r="AA179" s="53"/>
      <c r="AB179" s="53"/>
      <c r="AC179" s="53"/>
      <c r="AD179" s="53"/>
      <c r="AE179" s="53"/>
    </row>
    <row r="180" spans="6:31" s="21" customFormat="1" ht="14.25" x14ac:dyDescent="0.45">
      <c r="F180" s="49">
        <v>42401</v>
      </c>
      <c r="G180" s="52">
        <v>75.8</v>
      </c>
      <c r="H180" s="52">
        <v>151.6</v>
      </c>
      <c r="I180" s="52">
        <v>75.8</v>
      </c>
      <c r="J180"/>
      <c r="K180"/>
      <c r="L180"/>
      <c r="M180"/>
      <c r="N180" s="37"/>
      <c r="O180" s="53">
        <v>76.433333333333337</v>
      </c>
      <c r="P180" s="53">
        <v>152.86666666666667</v>
      </c>
      <c r="Q180" s="53">
        <v>76.433333333333337</v>
      </c>
      <c r="R180" s="53"/>
      <c r="S180" s="53">
        <v>76.433333333333337</v>
      </c>
      <c r="T180" s="53">
        <v>152.86666666666667</v>
      </c>
      <c r="U180" s="53">
        <v>76.433333333333337</v>
      </c>
      <c r="V180" s="53"/>
      <c r="W180" s="53"/>
      <c r="X180" s="53"/>
      <c r="Y180" s="53"/>
      <c r="Z180" s="53"/>
      <c r="AA180" s="53"/>
      <c r="AB180" s="53"/>
      <c r="AC180" s="53"/>
      <c r="AD180" s="53"/>
      <c r="AE180" s="53"/>
    </row>
    <row r="181" spans="6:31" s="21" customFormat="1" ht="14.25" x14ac:dyDescent="0.45">
      <c r="F181" s="49">
        <v>42430</v>
      </c>
      <c r="G181" s="52">
        <v>83.7</v>
      </c>
      <c r="H181" s="52">
        <v>167.4</v>
      </c>
      <c r="I181" s="52">
        <v>83.7</v>
      </c>
      <c r="J181"/>
      <c r="K181"/>
      <c r="L181"/>
      <c r="M181"/>
      <c r="N181" s="37"/>
      <c r="O181" s="53">
        <v>78.600000000000009</v>
      </c>
      <c r="P181" s="53">
        <v>157.20000000000002</v>
      </c>
      <c r="Q181" s="53">
        <v>78.600000000000009</v>
      </c>
      <c r="R181" s="53"/>
      <c r="S181" s="53">
        <v>78.600000000000009</v>
      </c>
      <c r="T181" s="53">
        <v>157.20000000000002</v>
      </c>
      <c r="U181" s="53">
        <v>78.600000000000009</v>
      </c>
      <c r="V181" s="53"/>
      <c r="W181" s="53"/>
      <c r="X181" s="53"/>
      <c r="Y181" s="53"/>
      <c r="Z181" s="53"/>
      <c r="AA181" s="53"/>
      <c r="AB181" s="53"/>
      <c r="AC181" s="53"/>
      <c r="AD181" s="53"/>
      <c r="AE181" s="53"/>
    </row>
    <row r="182" spans="6:31" s="21" customFormat="1" ht="14.25" x14ac:dyDescent="0.45">
      <c r="F182" s="49">
        <v>42461</v>
      </c>
      <c r="G182" s="52">
        <v>83</v>
      </c>
      <c r="H182" s="52">
        <v>166</v>
      </c>
      <c r="I182" s="52">
        <v>83</v>
      </c>
      <c r="J182"/>
      <c r="K182"/>
      <c r="L182"/>
      <c r="M182"/>
      <c r="N182" s="37"/>
      <c r="O182" s="53">
        <v>80.833333333333329</v>
      </c>
      <c r="P182" s="53">
        <v>161.66666666666666</v>
      </c>
      <c r="Q182" s="53">
        <v>80.833333333333329</v>
      </c>
      <c r="R182" s="53"/>
      <c r="S182" s="53">
        <v>80.833333333333329</v>
      </c>
      <c r="T182" s="53">
        <v>161.66666666666666</v>
      </c>
      <c r="U182" s="53">
        <v>80.833333333333329</v>
      </c>
      <c r="V182" s="53"/>
      <c r="W182" s="53"/>
      <c r="X182" s="53"/>
      <c r="Y182" s="53"/>
      <c r="Z182" s="53"/>
      <c r="AA182" s="53"/>
      <c r="AB182" s="53"/>
      <c r="AC182" s="53"/>
      <c r="AD182" s="53"/>
      <c r="AE182" s="53"/>
    </row>
    <row r="183" spans="6:31" s="21" customFormat="1" ht="14.25" x14ac:dyDescent="0.45">
      <c r="F183" s="49">
        <v>42491</v>
      </c>
      <c r="G183" s="52">
        <v>86.3</v>
      </c>
      <c r="H183" s="52">
        <v>172.6</v>
      </c>
      <c r="I183" s="52">
        <v>86.3</v>
      </c>
      <c r="J183"/>
      <c r="K183"/>
      <c r="L183"/>
      <c r="M183"/>
      <c r="N183" s="37"/>
      <c r="O183" s="53">
        <v>84.333333333333329</v>
      </c>
      <c r="P183" s="53">
        <v>168.66666666666666</v>
      </c>
      <c r="Q183" s="53">
        <v>84.333333333333329</v>
      </c>
      <c r="R183" s="53"/>
      <c r="S183" s="53">
        <v>84.333333333333329</v>
      </c>
      <c r="T183" s="53">
        <v>168.66666666666666</v>
      </c>
      <c r="U183" s="53">
        <v>84.333333333333329</v>
      </c>
      <c r="V183" s="53"/>
      <c r="W183" s="53"/>
      <c r="X183" s="53"/>
      <c r="Y183" s="53"/>
      <c r="Z183" s="53"/>
      <c r="AA183" s="53"/>
      <c r="AB183" s="53"/>
      <c r="AC183" s="53"/>
      <c r="AD183" s="53"/>
      <c r="AE183" s="53"/>
    </row>
    <row r="184" spans="6:31" s="21" customFormat="1" ht="14.25" x14ac:dyDescent="0.45">
      <c r="F184" s="49">
        <v>42522</v>
      </c>
      <c r="G184" s="52">
        <v>87.7</v>
      </c>
      <c r="H184" s="52">
        <v>175.4</v>
      </c>
      <c r="I184" s="52">
        <v>87.7</v>
      </c>
      <c r="J184"/>
      <c r="K184"/>
      <c r="L184"/>
      <c r="M184"/>
      <c r="N184" s="37"/>
      <c r="O184" s="53">
        <v>85.666666666666671</v>
      </c>
      <c r="P184" s="53">
        <v>171.33333333333334</v>
      </c>
      <c r="Q184" s="53">
        <v>85.666666666666671</v>
      </c>
      <c r="R184" s="53"/>
      <c r="S184" s="53">
        <v>85.666666666666671</v>
      </c>
      <c r="T184" s="53">
        <v>171.33333333333334</v>
      </c>
      <c r="U184" s="53">
        <v>85.666666666666671</v>
      </c>
      <c r="V184" s="53"/>
      <c r="W184" s="53"/>
      <c r="X184" s="53"/>
      <c r="Y184" s="53"/>
      <c r="Z184" s="53"/>
      <c r="AA184" s="53"/>
      <c r="AB184" s="53"/>
      <c r="AC184" s="53"/>
      <c r="AD184" s="53"/>
      <c r="AE184" s="53"/>
    </row>
    <row r="185" spans="6:31" s="21" customFormat="1" ht="14.25" x14ac:dyDescent="0.45">
      <c r="F185" s="49">
        <v>42552</v>
      </c>
      <c r="G185" s="52">
        <v>89.6</v>
      </c>
      <c r="H185" s="52">
        <v>179.2</v>
      </c>
      <c r="I185" s="52">
        <v>89.6</v>
      </c>
      <c r="J185"/>
      <c r="K185"/>
      <c r="L185"/>
      <c r="M185"/>
      <c r="N185" s="37"/>
      <c r="O185" s="53">
        <v>87.866666666666674</v>
      </c>
      <c r="P185" s="53">
        <v>175.73333333333335</v>
      </c>
      <c r="Q185" s="53">
        <v>87.866666666666674</v>
      </c>
      <c r="R185" s="53"/>
      <c r="S185" s="53">
        <v>87.866666666666674</v>
      </c>
      <c r="T185" s="53">
        <v>175.73333333333335</v>
      </c>
      <c r="U185" s="53">
        <v>87.866666666666674</v>
      </c>
      <c r="V185" s="53"/>
      <c r="W185" s="53"/>
      <c r="X185" s="53"/>
      <c r="Y185" s="53"/>
      <c r="Z185" s="53"/>
      <c r="AA185" s="53"/>
      <c r="AB185" s="53"/>
      <c r="AC185" s="53"/>
      <c r="AD185" s="53"/>
      <c r="AE185" s="53"/>
    </row>
    <row r="186" spans="6:31" s="21" customFormat="1" ht="14.25" x14ac:dyDescent="0.45">
      <c r="F186" s="49">
        <v>42583</v>
      </c>
      <c r="G186" s="52">
        <v>93</v>
      </c>
      <c r="H186" s="52">
        <v>186</v>
      </c>
      <c r="I186" s="52">
        <v>93</v>
      </c>
      <c r="J186"/>
      <c r="K186"/>
      <c r="L186"/>
      <c r="M186"/>
      <c r="N186" s="37"/>
      <c r="O186" s="53">
        <v>90.100000000000009</v>
      </c>
      <c r="P186" s="53">
        <v>180.20000000000002</v>
      </c>
      <c r="Q186" s="53">
        <v>90.100000000000009</v>
      </c>
      <c r="R186" s="53"/>
      <c r="S186" s="53">
        <v>90.100000000000009</v>
      </c>
      <c r="T186" s="53">
        <v>180.20000000000002</v>
      </c>
      <c r="U186" s="53">
        <v>90.100000000000009</v>
      </c>
      <c r="V186" s="53"/>
      <c r="W186" s="53"/>
      <c r="X186" s="53"/>
      <c r="Y186" s="53"/>
      <c r="Z186" s="53"/>
      <c r="AA186" s="53"/>
      <c r="AB186" s="53"/>
      <c r="AC186" s="53"/>
      <c r="AD186" s="53"/>
      <c r="AE186" s="53"/>
    </row>
    <row r="187" spans="6:31" s="21" customFormat="1" ht="14.25" x14ac:dyDescent="0.45">
      <c r="F187" s="49">
        <v>42614</v>
      </c>
      <c r="G187" s="52">
        <v>90.7</v>
      </c>
      <c r="H187" s="52">
        <v>181.4</v>
      </c>
      <c r="I187" s="52">
        <v>90.7</v>
      </c>
      <c r="J187"/>
      <c r="K187"/>
      <c r="L187"/>
      <c r="M187"/>
      <c r="N187" s="37"/>
      <c r="O187" s="53">
        <v>91.100000000000009</v>
      </c>
      <c r="P187" s="53">
        <v>182.20000000000002</v>
      </c>
      <c r="Q187" s="53">
        <v>91.100000000000009</v>
      </c>
      <c r="R187" s="53"/>
      <c r="S187" s="53">
        <v>91.100000000000009</v>
      </c>
      <c r="T187" s="53">
        <v>182.20000000000002</v>
      </c>
      <c r="U187" s="53">
        <v>91.100000000000009</v>
      </c>
      <c r="V187" s="53"/>
      <c r="W187" s="53"/>
      <c r="X187" s="53"/>
      <c r="Y187" s="53"/>
      <c r="Z187" s="53"/>
      <c r="AA187" s="53"/>
      <c r="AB187" s="53"/>
      <c r="AC187" s="53"/>
      <c r="AD187" s="53"/>
      <c r="AE187" s="53"/>
    </row>
    <row r="188" spans="6:31" s="21" customFormat="1" ht="14.25" x14ac:dyDescent="0.45">
      <c r="F188" s="49">
        <v>42644</v>
      </c>
      <c r="G188" s="52">
        <v>90.2</v>
      </c>
      <c r="H188" s="52">
        <v>180.4</v>
      </c>
      <c r="I188" s="52">
        <v>90.2</v>
      </c>
      <c r="J188"/>
      <c r="K188"/>
      <c r="L188"/>
      <c r="M188"/>
      <c r="N188" s="37"/>
      <c r="O188" s="53">
        <v>91.3</v>
      </c>
      <c r="P188" s="53">
        <v>182.6</v>
      </c>
      <c r="Q188" s="53">
        <v>91.3</v>
      </c>
      <c r="R188" s="53"/>
      <c r="S188" s="53">
        <v>91.3</v>
      </c>
      <c r="T188" s="53">
        <v>182.6</v>
      </c>
      <c r="U188" s="53">
        <v>91.3</v>
      </c>
      <c r="V188" s="53"/>
      <c r="W188" s="53"/>
      <c r="X188" s="53"/>
      <c r="Y188" s="53"/>
      <c r="Z188" s="53"/>
      <c r="AA188" s="53"/>
      <c r="AB188" s="53"/>
      <c r="AC188" s="53"/>
      <c r="AD188" s="53"/>
      <c r="AE188" s="53"/>
    </row>
    <row r="189" spans="6:31" s="21" customFormat="1" ht="14.25" x14ac:dyDescent="0.45">
      <c r="F189" s="49">
        <v>42675</v>
      </c>
      <c r="G189" s="52">
        <v>86.5</v>
      </c>
      <c r="H189" s="52">
        <v>173</v>
      </c>
      <c r="I189" s="52">
        <v>86.5</v>
      </c>
      <c r="J189"/>
      <c r="K189"/>
      <c r="L189"/>
      <c r="M189"/>
      <c r="N189" s="37"/>
      <c r="O189" s="53">
        <v>89.133333333333326</v>
      </c>
      <c r="P189" s="53">
        <v>178.26666666666665</v>
      </c>
      <c r="Q189" s="53">
        <v>89.133333333333326</v>
      </c>
      <c r="R189" s="53"/>
      <c r="S189" s="53">
        <v>89.133333333333326</v>
      </c>
      <c r="T189" s="53">
        <v>178.26666666666665</v>
      </c>
      <c r="U189" s="53">
        <v>89.133333333333326</v>
      </c>
      <c r="V189" s="53"/>
      <c r="W189" s="53"/>
      <c r="X189" s="53"/>
      <c r="Y189" s="53"/>
      <c r="Z189" s="53"/>
      <c r="AA189" s="53"/>
      <c r="AB189" s="53"/>
      <c r="AC189" s="53"/>
      <c r="AD189" s="53"/>
      <c r="AE189" s="53"/>
    </row>
    <row r="190" spans="6:31" s="21" customFormat="1" ht="14.25" x14ac:dyDescent="0.45">
      <c r="F190" s="49">
        <v>42705</v>
      </c>
      <c r="G190" s="52">
        <v>77.2</v>
      </c>
      <c r="H190" s="52">
        <v>154.4</v>
      </c>
      <c r="I190" s="52">
        <v>77.2</v>
      </c>
      <c r="J190"/>
      <c r="K190"/>
      <c r="L190"/>
      <c r="M190"/>
      <c r="N190" s="37"/>
      <c r="O190" s="53">
        <v>84.633333333333326</v>
      </c>
      <c r="P190" s="53">
        <v>169.26666666666665</v>
      </c>
      <c r="Q190" s="53">
        <v>84.633333333333326</v>
      </c>
      <c r="R190" s="53"/>
      <c r="S190" s="53">
        <v>84.633333333333326</v>
      </c>
      <c r="T190" s="53">
        <v>169.26666666666665</v>
      </c>
      <c r="U190" s="53">
        <v>84.633333333333326</v>
      </c>
      <c r="V190" s="53"/>
      <c r="W190" s="53"/>
      <c r="X190" s="53"/>
      <c r="Y190" s="53"/>
      <c r="Z190" s="53"/>
      <c r="AA190" s="53"/>
      <c r="AB190" s="53"/>
      <c r="AC190" s="53"/>
      <c r="AD190" s="53"/>
      <c r="AE190" s="53"/>
    </row>
    <row r="191" spans="6:31" s="21" customFormat="1" ht="14.25" x14ac:dyDescent="0.45">
      <c r="F191" s="49">
        <v>42736</v>
      </c>
      <c r="G191" s="52">
        <v>77.900000000000006</v>
      </c>
      <c r="H191" s="52">
        <v>155.80000000000001</v>
      </c>
      <c r="I191" s="52">
        <v>77.900000000000006</v>
      </c>
      <c r="J191"/>
      <c r="K191"/>
      <c r="L191"/>
      <c r="M191"/>
      <c r="N191" s="37"/>
      <c r="O191" s="53">
        <v>80.533333333333331</v>
      </c>
      <c r="P191" s="53">
        <v>161.06666666666666</v>
      </c>
      <c r="Q191" s="53">
        <v>80.533333333333331</v>
      </c>
      <c r="R191" s="53"/>
      <c r="S191" s="53">
        <v>80.533333333333331</v>
      </c>
      <c r="T191" s="53">
        <v>161.06666666666666</v>
      </c>
      <c r="U191" s="53">
        <v>80.533333333333331</v>
      </c>
      <c r="V191" s="53"/>
      <c r="W191" s="53"/>
      <c r="X191" s="53"/>
      <c r="Y191" s="53"/>
      <c r="Z191" s="53"/>
      <c r="AA191" s="53"/>
      <c r="AB191" s="53"/>
      <c r="AC191" s="53"/>
      <c r="AD191" s="53"/>
      <c r="AE191" s="53"/>
    </row>
    <row r="192" spans="6:31" s="21" customFormat="1" ht="14.25" x14ac:dyDescent="0.45">
      <c r="F192" s="49">
        <v>42767</v>
      </c>
      <c r="G192" s="52">
        <v>75.900000000000006</v>
      </c>
      <c r="H192" s="52">
        <v>151.80000000000001</v>
      </c>
      <c r="I192" s="52">
        <v>75.900000000000006</v>
      </c>
      <c r="J192"/>
      <c r="K192"/>
      <c r="L192"/>
      <c r="M192"/>
      <c r="N192" s="37"/>
      <c r="O192" s="53">
        <v>77.000000000000014</v>
      </c>
      <c r="P192" s="53">
        <v>154.00000000000003</v>
      </c>
      <c r="Q192" s="53">
        <v>77.000000000000014</v>
      </c>
      <c r="R192" s="53"/>
      <c r="S192" s="53">
        <v>77.000000000000014</v>
      </c>
      <c r="T192" s="53">
        <v>154.00000000000003</v>
      </c>
      <c r="U192" s="53">
        <v>77.000000000000014</v>
      </c>
      <c r="V192" s="53"/>
      <c r="W192" s="53"/>
      <c r="X192" s="53"/>
      <c r="Y192" s="53"/>
      <c r="Z192" s="53"/>
      <c r="AA192" s="53"/>
      <c r="AB192" s="53"/>
      <c r="AC192" s="53"/>
      <c r="AD192" s="53"/>
      <c r="AE192" s="53"/>
    </row>
    <row r="193" spans="6:31" s="21" customFormat="1" ht="14.25" x14ac:dyDescent="0.45">
      <c r="F193" s="49">
        <v>42795</v>
      </c>
      <c r="G193" s="52">
        <v>85.4</v>
      </c>
      <c r="H193" s="52">
        <v>170.8</v>
      </c>
      <c r="I193" s="52">
        <v>85.4</v>
      </c>
      <c r="J193"/>
      <c r="K193"/>
      <c r="L193"/>
      <c r="M193"/>
      <c r="N193" s="37"/>
      <c r="O193" s="53">
        <v>79.733333333333334</v>
      </c>
      <c r="P193" s="53">
        <v>159.46666666666667</v>
      </c>
      <c r="Q193" s="53">
        <v>79.733333333333334</v>
      </c>
      <c r="R193" s="53"/>
      <c r="S193" s="53">
        <v>79.733333333333334</v>
      </c>
      <c r="T193" s="53">
        <v>159.46666666666667</v>
      </c>
      <c r="U193" s="53">
        <v>79.733333333333334</v>
      </c>
      <c r="V193" s="53"/>
      <c r="W193" s="53"/>
      <c r="X193" s="53"/>
      <c r="Y193" s="53"/>
      <c r="Z193" s="53"/>
      <c r="AA193" s="53"/>
      <c r="AB193" s="53"/>
      <c r="AC193" s="53"/>
      <c r="AD193" s="53"/>
      <c r="AE193" s="53"/>
    </row>
    <row r="194" spans="6:31" s="21" customFormat="1" ht="14.25" x14ac:dyDescent="0.45">
      <c r="F194" s="49">
        <v>42826</v>
      </c>
      <c r="G194" s="52">
        <v>79.3</v>
      </c>
      <c r="H194" s="52">
        <v>158.6</v>
      </c>
      <c r="I194" s="52">
        <v>79.3</v>
      </c>
      <c r="J194"/>
      <c r="K194"/>
      <c r="L194"/>
      <c r="M194"/>
      <c r="N194" s="37"/>
      <c r="O194" s="53">
        <v>80.2</v>
      </c>
      <c r="P194" s="53">
        <v>160.4</v>
      </c>
      <c r="Q194" s="53">
        <v>80.2</v>
      </c>
      <c r="R194" s="53"/>
      <c r="S194" s="53">
        <v>80.2</v>
      </c>
      <c r="T194" s="53">
        <v>160.4</v>
      </c>
      <c r="U194" s="53">
        <v>80.2</v>
      </c>
      <c r="V194" s="53"/>
      <c r="W194" s="53"/>
      <c r="X194" s="53"/>
      <c r="Y194" s="53"/>
      <c r="Z194" s="53"/>
      <c r="AA194" s="53"/>
      <c r="AB194" s="53"/>
      <c r="AC194" s="53"/>
      <c r="AD194" s="53"/>
      <c r="AE194" s="53"/>
    </row>
    <row r="195" spans="6:31" s="21" customFormat="1" ht="14.25" x14ac:dyDescent="0.45">
      <c r="F195" s="49">
        <v>42856</v>
      </c>
      <c r="G195" s="52">
        <v>90.1</v>
      </c>
      <c r="H195" s="52">
        <v>180.2</v>
      </c>
      <c r="I195" s="52">
        <v>90.1</v>
      </c>
      <c r="J195"/>
      <c r="K195"/>
      <c r="L195"/>
      <c r="M195"/>
      <c r="N195" s="37"/>
      <c r="O195" s="53">
        <v>84.933333333333323</v>
      </c>
      <c r="P195" s="53">
        <v>169.86666666666665</v>
      </c>
      <c r="Q195" s="53">
        <v>84.933333333333323</v>
      </c>
      <c r="R195" s="53"/>
      <c r="S195" s="53">
        <v>84.933333333333323</v>
      </c>
      <c r="T195" s="53">
        <v>169.86666666666665</v>
      </c>
      <c r="U195" s="53">
        <v>84.933333333333323</v>
      </c>
      <c r="V195" s="53"/>
      <c r="W195" s="53"/>
      <c r="X195" s="53"/>
      <c r="Y195" s="53"/>
      <c r="Z195" s="53"/>
      <c r="AA195" s="53"/>
      <c r="AB195" s="53"/>
      <c r="AC195" s="53"/>
      <c r="AD195" s="53"/>
      <c r="AE195" s="53"/>
    </row>
    <row r="196" spans="6:31" s="21" customFormat="1" ht="14.25" x14ac:dyDescent="0.45">
      <c r="F196" s="49">
        <v>42887</v>
      </c>
      <c r="G196" s="52">
        <v>88.4</v>
      </c>
      <c r="H196" s="52">
        <v>176.8</v>
      </c>
      <c r="I196" s="52">
        <v>88.4</v>
      </c>
      <c r="J196"/>
      <c r="K196"/>
      <c r="L196"/>
      <c r="M196"/>
      <c r="N196" s="37"/>
      <c r="O196" s="53">
        <v>85.933333333333323</v>
      </c>
      <c r="P196" s="53">
        <v>171.86666666666665</v>
      </c>
      <c r="Q196" s="53">
        <v>85.933333333333323</v>
      </c>
      <c r="R196" s="53"/>
      <c r="S196" s="53">
        <v>85.933333333333323</v>
      </c>
      <c r="T196" s="53">
        <v>171.86666666666665</v>
      </c>
      <c r="U196" s="53">
        <v>85.933333333333323</v>
      </c>
      <c r="V196" s="53"/>
      <c r="W196" s="53"/>
      <c r="X196" s="53"/>
      <c r="Y196" s="53"/>
      <c r="Z196" s="53"/>
      <c r="AA196" s="53"/>
      <c r="AB196" s="53"/>
      <c r="AC196" s="53"/>
      <c r="AD196" s="53"/>
      <c r="AE196" s="53"/>
    </row>
    <row r="197" spans="6:31" s="21" customFormat="1" ht="14.25" x14ac:dyDescent="0.45">
      <c r="F197" s="49">
        <v>42917</v>
      </c>
      <c r="G197" s="52">
        <v>92.1</v>
      </c>
      <c r="H197" s="52">
        <v>184.2</v>
      </c>
      <c r="I197" s="52">
        <v>92.1</v>
      </c>
      <c r="J197"/>
      <c r="K197"/>
      <c r="L197"/>
      <c r="M197"/>
      <c r="N197" s="37"/>
      <c r="O197" s="53">
        <v>90.2</v>
      </c>
      <c r="P197" s="53">
        <v>180.4</v>
      </c>
      <c r="Q197" s="53">
        <v>90.2</v>
      </c>
      <c r="R197" s="53"/>
      <c r="S197" s="53">
        <v>90.2</v>
      </c>
      <c r="T197" s="53">
        <v>180.4</v>
      </c>
      <c r="U197" s="53">
        <v>90.2</v>
      </c>
      <c r="V197" s="53"/>
      <c r="W197" s="53"/>
      <c r="X197" s="53"/>
      <c r="Y197" s="53"/>
      <c r="Z197" s="53"/>
      <c r="AA197" s="53"/>
      <c r="AB197" s="53"/>
      <c r="AC197" s="53"/>
      <c r="AD197" s="53"/>
      <c r="AE197" s="53"/>
    </row>
    <row r="198" spans="6:31" s="21" customFormat="1" ht="14.25" x14ac:dyDescent="0.45">
      <c r="F198" s="49">
        <v>42948</v>
      </c>
      <c r="G198" s="52">
        <v>96.7</v>
      </c>
      <c r="H198" s="52">
        <v>193.4</v>
      </c>
      <c r="I198" s="52">
        <v>96.7</v>
      </c>
      <c r="J198"/>
      <c r="K198"/>
      <c r="L198"/>
      <c r="M198"/>
      <c r="N198" s="37"/>
      <c r="O198" s="53">
        <v>92.399999999999991</v>
      </c>
      <c r="P198" s="53">
        <v>184.79999999999998</v>
      </c>
      <c r="Q198" s="53">
        <v>92.399999999999991</v>
      </c>
      <c r="R198" s="53"/>
      <c r="S198" s="53">
        <v>92.399999999999991</v>
      </c>
      <c r="T198" s="53">
        <v>184.79999999999998</v>
      </c>
      <c r="U198" s="53">
        <v>92.399999999999991</v>
      </c>
      <c r="V198" s="53"/>
      <c r="W198" s="53"/>
      <c r="X198" s="53"/>
      <c r="Y198" s="53"/>
      <c r="Z198" s="53"/>
      <c r="AA198" s="53"/>
      <c r="AB198" s="53"/>
      <c r="AC198" s="53"/>
      <c r="AD198" s="53"/>
      <c r="AE198" s="53"/>
    </row>
    <row r="199" spans="6:31" s="21" customFormat="1" ht="14.25" x14ac:dyDescent="0.45">
      <c r="F199" s="49">
        <v>42979</v>
      </c>
      <c r="G199" s="52">
        <v>93</v>
      </c>
      <c r="H199" s="52">
        <v>186</v>
      </c>
      <c r="I199" s="52">
        <v>93</v>
      </c>
      <c r="J199"/>
      <c r="K199"/>
      <c r="L199"/>
      <c r="M199"/>
      <c r="N199" s="37"/>
      <c r="O199" s="53">
        <v>93.933333333333337</v>
      </c>
      <c r="P199" s="53">
        <v>187.86666666666667</v>
      </c>
      <c r="Q199" s="53">
        <v>93.933333333333337</v>
      </c>
      <c r="R199" s="53"/>
      <c r="S199" s="53">
        <v>93.933333333333337</v>
      </c>
      <c r="T199" s="53">
        <v>187.86666666666667</v>
      </c>
      <c r="U199" s="53">
        <v>93.933333333333337</v>
      </c>
      <c r="V199" s="53"/>
      <c r="W199" s="53"/>
      <c r="X199" s="53"/>
      <c r="Y199" s="53"/>
      <c r="Z199" s="53"/>
      <c r="AA199" s="53"/>
      <c r="AB199" s="53"/>
      <c r="AC199" s="53"/>
      <c r="AD199" s="53"/>
      <c r="AE199" s="53"/>
    </row>
    <row r="200" spans="6:31" s="21" customFormat="1" ht="14.25" x14ac:dyDescent="0.45">
      <c r="F200" s="49">
        <v>43009</v>
      </c>
      <c r="G200" s="52">
        <v>95.1</v>
      </c>
      <c r="H200" s="52">
        <v>190.2</v>
      </c>
      <c r="I200" s="52">
        <v>95.1</v>
      </c>
      <c r="J200"/>
      <c r="K200"/>
      <c r="L200"/>
      <c r="M200"/>
      <c r="N200" s="37"/>
      <c r="O200" s="53">
        <v>94.933333333333323</v>
      </c>
      <c r="P200" s="53">
        <v>189.86666666666665</v>
      </c>
      <c r="Q200" s="53">
        <v>94.933333333333323</v>
      </c>
      <c r="R200" s="53"/>
      <c r="S200" s="53">
        <v>94.933333333333323</v>
      </c>
      <c r="T200" s="53">
        <v>189.86666666666665</v>
      </c>
      <c r="U200" s="53">
        <v>94.933333333333323</v>
      </c>
      <c r="V200" s="53"/>
      <c r="W200" s="53"/>
      <c r="X200" s="53"/>
      <c r="Y200" s="53"/>
      <c r="Z200" s="53"/>
      <c r="AA200" s="53"/>
      <c r="AB200" s="53"/>
      <c r="AC200" s="53"/>
      <c r="AD200" s="53"/>
      <c r="AE200" s="53"/>
    </row>
    <row r="201" spans="6:31" s="21" customFormat="1" ht="14.25" x14ac:dyDescent="0.45">
      <c r="F201" s="49">
        <v>43040</v>
      </c>
      <c r="G201" s="52">
        <v>90.6</v>
      </c>
      <c r="H201" s="52">
        <v>181.2</v>
      </c>
      <c r="I201" s="52">
        <v>90.6</v>
      </c>
      <c r="J201"/>
      <c r="K201"/>
      <c r="L201"/>
      <c r="M201"/>
      <c r="N201" s="37"/>
      <c r="O201" s="53">
        <v>92.899999999999991</v>
      </c>
      <c r="P201" s="53">
        <v>185.79999999999998</v>
      </c>
      <c r="Q201" s="53">
        <v>92.899999999999991</v>
      </c>
      <c r="R201" s="53"/>
      <c r="S201" s="53">
        <v>92.899999999999991</v>
      </c>
      <c r="T201" s="53">
        <v>185.79999999999998</v>
      </c>
      <c r="U201" s="53">
        <v>92.899999999999991</v>
      </c>
      <c r="V201" s="53"/>
      <c r="W201" s="53"/>
      <c r="X201" s="53"/>
      <c r="Y201" s="53"/>
      <c r="Z201" s="53"/>
      <c r="AA201" s="53"/>
      <c r="AB201" s="53"/>
      <c r="AC201" s="53"/>
      <c r="AD201" s="53"/>
      <c r="AE201" s="53"/>
    </row>
    <row r="202" spans="6:31" s="21" customFormat="1" ht="14.25" x14ac:dyDescent="0.45">
      <c r="F202" s="49">
        <v>43070</v>
      </c>
      <c r="G202" s="52">
        <v>81</v>
      </c>
      <c r="H202" s="52">
        <v>162</v>
      </c>
      <c r="I202" s="52">
        <v>81</v>
      </c>
      <c r="J202"/>
      <c r="K202"/>
      <c r="L202"/>
      <c r="M202"/>
      <c r="N202" s="37"/>
      <c r="O202" s="53">
        <v>88.899999999999991</v>
      </c>
      <c r="P202" s="53">
        <v>177.79999999999998</v>
      </c>
      <c r="Q202" s="53">
        <v>88.899999999999991</v>
      </c>
      <c r="R202" s="53"/>
      <c r="S202" s="53">
        <v>88.899999999999991</v>
      </c>
      <c r="T202" s="53">
        <v>177.79999999999998</v>
      </c>
      <c r="U202" s="53">
        <v>88.899999999999991</v>
      </c>
      <c r="V202" s="53"/>
      <c r="W202" s="53"/>
      <c r="X202" s="53"/>
      <c r="Y202" s="53"/>
      <c r="Z202" s="53"/>
      <c r="AA202" s="53"/>
      <c r="AB202" s="53"/>
      <c r="AC202" s="53"/>
      <c r="AD202" s="53"/>
      <c r="AE202" s="53"/>
    </row>
    <row r="203" spans="6:31" s="21" customFormat="1" ht="14.25" x14ac:dyDescent="0.45">
      <c r="F203" s="49">
        <v>43101</v>
      </c>
      <c r="G203" s="52">
        <v>82.3</v>
      </c>
      <c r="H203" s="52">
        <v>164.6</v>
      </c>
      <c r="I203" s="52">
        <v>82.3</v>
      </c>
      <c r="J203"/>
      <c r="K203"/>
      <c r="L203"/>
      <c r="M203"/>
      <c r="N203" s="37"/>
      <c r="O203" s="53">
        <v>84.633333333333326</v>
      </c>
      <c r="P203" s="53">
        <v>169.26666666666665</v>
      </c>
      <c r="Q203" s="53">
        <v>84.633333333333326</v>
      </c>
      <c r="R203" s="53"/>
      <c r="S203" s="53">
        <v>84.633333333333326</v>
      </c>
      <c r="T203" s="53">
        <v>169.26666666666665</v>
      </c>
      <c r="U203" s="53">
        <v>84.633333333333326</v>
      </c>
      <c r="V203" s="53"/>
      <c r="W203" s="53"/>
      <c r="X203" s="53"/>
      <c r="Y203" s="53"/>
      <c r="Z203" s="53"/>
      <c r="AA203" s="53"/>
      <c r="AB203" s="53"/>
      <c r="AC203" s="53"/>
      <c r="AD203" s="53"/>
      <c r="AE203" s="53"/>
    </row>
    <row r="204" spans="6:31" s="21" customFormat="1" ht="14.25" x14ac:dyDescent="0.45">
      <c r="F204" s="49">
        <v>43132</v>
      </c>
      <c r="G204" s="52">
        <v>77.3</v>
      </c>
      <c r="H204" s="52">
        <v>154.6</v>
      </c>
      <c r="I204" s="52">
        <v>77.3</v>
      </c>
      <c r="J204"/>
      <c r="K204"/>
      <c r="L204"/>
      <c r="M204"/>
      <c r="N204" s="37"/>
      <c r="O204" s="53">
        <v>80.2</v>
      </c>
      <c r="P204" s="53">
        <v>160.4</v>
      </c>
      <c r="Q204" s="53">
        <v>80.2</v>
      </c>
      <c r="R204" s="53"/>
      <c r="S204" s="53">
        <v>80.2</v>
      </c>
      <c r="T204" s="53">
        <v>160.4</v>
      </c>
      <c r="U204" s="53">
        <v>80.2</v>
      </c>
      <c r="V204" s="53"/>
      <c r="W204" s="53"/>
      <c r="X204" s="53"/>
      <c r="Y204" s="53"/>
      <c r="Z204" s="53"/>
      <c r="AA204" s="53"/>
      <c r="AB204" s="53"/>
      <c r="AC204" s="53"/>
      <c r="AD204" s="53"/>
      <c r="AE204" s="53"/>
    </row>
    <row r="205" spans="6:31" s="21" customFormat="1" ht="14.25" x14ac:dyDescent="0.45">
      <c r="F205" s="49">
        <v>43160</v>
      </c>
      <c r="G205" s="52">
        <v>86.2</v>
      </c>
      <c r="H205" s="52">
        <v>172.4</v>
      </c>
      <c r="I205" s="52">
        <v>86.2</v>
      </c>
      <c r="J205"/>
      <c r="K205"/>
      <c r="L205"/>
      <c r="M205"/>
      <c r="N205" s="37"/>
      <c r="O205" s="53">
        <v>81.933333333333337</v>
      </c>
      <c r="P205" s="53">
        <v>163.86666666666667</v>
      </c>
      <c r="Q205" s="53">
        <v>81.933333333333337</v>
      </c>
      <c r="R205" s="53"/>
      <c r="S205" s="53">
        <v>81.933333333333337</v>
      </c>
      <c r="T205" s="53">
        <v>163.86666666666667</v>
      </c>
      <c r="U205" s="53">
        <v>81.933333333333337</v>
      </c>
      <c r="V205" s="53"/>
      <c r="W205" s="53"/>
      <c r="X205" s="53"/>
      <c r="Y205" s="53"/>
      <c r="Z205" s="53"/>
      <c r="AA205" s="53"/>
      <c r="AB205" s="53"/>
      <c r="AC205" s="53"/>
      <c r="AD205" s="53"/>
      <c r="AE205" s="53"/>
    </row>
    <row r="206" spans="6:31" s="21" customFormat="1" ht="14.25" x14ac:dyDescent="0.45">
      <c r="F206" s="49">
        <v>43191</v>
      </c>
      <c r="G206" s="52">
        <v>86.5</v>
      </c>
      <c r="H206" s="52">
        <v>173</v>
      </c>
      <c r="I206" s="52">
        <v>86.5</v>
      </c>
      <c r="J206"/>
      <c r="K206"/>
      <c r="L206"/>
      <c r="M206"/>
      <c r="N206" s="37"/>
      <c r="O206" s="53">
        <v>83.333333333333329</v>
      </c>
      <c r="P206" s="53">
        <v>166.66666666666666</v>
      </c>
      <c r="Q206" s="53">
        <v>83.333333333333329</v>
      </c>
      <c r="R206" s="53"/>
      <c r="S206" s="53">
        <v>83.333333333333329</v>
      </c>
      <c r="T206" s="53">
        <v>166.66666666666666</v>
      </c>
      <c r="U206" s="53">
        <v>83.333333333333329</v>
      </c>
      <c r="V206" s="53"/>
      <c r="W206" s="53"/>
      <c r="X206" s="53"/>
      <c r="Y206" s="53"/>
      <c r="Z206" s="53"/>
      <c r="AA206" s="53"/>
      <c r="AB206" s="53"/>
      <c r="AC206" s="53"/>
      <c r="AD206" s="53"/>
      <c r="AE206" s="53"/>
    </row>
    <row r="207" spans="6:31" s="21" customFormat="1" ht="14.25" x14ac:dyDescent="0.45">
      <c r="F207" s="49">
        <v>43221</v>
      </c>
      <c r="G207" s="52">
        <v>84.4</v>
      </c>
      <c r="H207" s="52">
        <v>168.8</v>
      </c>
      <c r="I207" s="52">
        <v>84.4</v>
      </c>
      <c r="J207"/>
      <c r="K207"/>
      <c r="L207"/>
      <c r="M207"/>
      <c r="N207" s="37"/>
      <c r="O207" s="53">
        <v>85.7</v>
      </c>
      <c r="P207" s="53">
        <v>171.4</v>
      </c>
      <c r="Q207" s="53">
        <v>85.7</v>
      </c>
      <c r="R207" s="53"/>
      <c r="S207" s="53">
        <v>85.7</v>
      </c>
      <c r="T207" s="53">
        <v>171.4</v>
      </c>
      <c r="U207" s="53">
        <v>85.7</v>
      </c>
      <c r="V207" s="53"/>
      <c r="W207" s="53"/>
      <c r="X207" s="53"/>
      <c r="Y207" s="53"/>
      <c r="Z207" s="53"/>
      <c r="AA207" s="53"/>
      <c r="AB207" s="53"/>
      <c r="AC207" s="53"/>
      <c r="AD207" s="53"/>
      <c r="AE207" s="53"/>
    </row>
    <row r="208" spans="6:31" s="21" customFormat="1" ht="14.25" x14ac:dyDescent="0.45">
      <c r="F208" s="49">
        <v>43252</v>
      </c>
      <c r="G208" s="52">
        <v>91.1</v>
      </c>
      <c r="H208" s="52">
        <v>182.2</v>
      </c>
      <c r="I208" s="52">
        <v>91.1</v>
      </c>
      <c r="J208"/>
      <c r="K208"/>
      <c r="L208"/>
      <c r="M208"/>
      <c r="N208" s="37"/>
      <c r="O208" s="53">
        <v>87.333333333333329</v>
      </c>
      <c r="P208" s="53">
        <v>174.66666666666666</v>
      </c>
      <c r="Q208" s="53">
        <v>87.333333333333329</v>
      </c>
      <c r="R208" s="53"/>
      <c r="S208" s="53">
        <v>87.333333333333329</v>
      </c>
      <c r="T208" s="53">
        <v>174.66666666666666</v>
      </c>
      <c r="U208" s="53">
        <v>87.333333333333329</v>
      </c>
      <c r="V208" s="53"/>
      <c r="W208" s="53"/>
      <c r="X208" s="53"/>
      <c r="Y208" s="53"/>
      <c r="Z208" s="53"/>
      <c r="AA208" s="53"/>
      <c r="AB208" s="53"/>
      <c r="AC208" s="53"/>
      <c r="AD208" s="53"/>
      <c r="AE208" s="53"/>
    </row>
    <row r="209" spans="6:31" s="21" customFormat="1" ht="14.25" x14ac:dyDescent="0.45">
      <c r="F209" s="49">
        <v>43282</v>
      </c>
      <c r="G209" s="52">
        <v>95.8</v>
      </c>
      <c r="H209" s="52">
        <v>191.6</v>
      </c>
      <c r="I209" s="52">
        <v>95.8</v>
      </c>
      <c r="J209"/>
      <c r="K209"/>
      <c r="L209"/>
      <c r="M209"/>
      <c r="N209" s="37"/>
      <c r="O209" s="53">
        <v>90.433333333333337</v>
      </c>
      <c r="P209" s="53">
        <v>180.86666666666667</v>
      </c>
      <c r="Q209" s="53">
        <v>90.433333333333337</v>
      </c>
      <c r="R209" s="53"/>
      <c r="S209" s="53">
        <v>90.433333333333337</v>
      </c>
      <c r="T209" s="53">
        <v>180.86666666666667</v>
      </c>
      <c r="U209" s="53">
        <v>90.433333333333337</v>
      </c>
      <c r="V209" s="53"/>
      <c r="W209" s="53"/>
      <c r="X209" s="53"/>
      <c r="Y209" s="53"/>
      <c r="Z209" s="53"/>
      <c r="AA209" s="53"/>
      <c r="AB209" s="53"/>
      <c r="AC209" s="53"/>
      <c r="AD209" s="53"/>
      <c r="AE209" s="53"/>
    </row>
    <row r="210" spans="6:31" s="21" customFormat="1" ht="14.25" x14ac:dyDescent="0.45">
      <c r="F210" s="49">
        <v>43313</v>
      </c>
      <c r="G210" s="52">
        <v>98.2</v>
      </c>
      <c r="H210" s="52">
        <v>196.4</v>
      </c>
      <c r="I210" s="52">
        <v>98.2</v>
      </c>
      <c r="J210"/>
      <c r="K210"/>
      <c r="L210"/>
      <c r="M210"/>
      <c r="N210" s="37"/>
      <c r="O210" s="53">
        <v>95.033333333333317</v>
      </c>
      <c r="P210" s="53">
        <v>190.06666666666663</v>
      </c>
      <c r="Q210" s="53">
        <v>95.033333333333317</v>
      </c>
      <c r="R210" s="53"/>
      <c r="S210" s="53">
        <v>95.033333333333317</v>
      </c>
      <c r="T210" s="53">
        <v>190.06666666666663</v>
      </c>
      <c r="U210" s="53">
        <v>95.033333333333317</v>
      </c>
      <c r="V210" s="53"/>
      <c r="W210" s="53"/>
      <c r="X210" s="53"/>
      <c r="Y210" s="53"/>
      <c r="Z210" s="53"/>
      <c r="AA210" s="53"/>
      <c r="AB210" s="53"/>
      <c r="AC210" s="53"/>
      <c r="AD210" s="53"/>
      <c r="AE210" s="53"/>
    </row>
    <row r="211" spans="6:31" s="21" customFormat="1" ht="14.25" x14ac:dyDescent="0.45">
      <c r="F211" s="49">
        <v>43344</v>
      </c>
      <c r="G211" s="52">
        <v>90.7</v>
      </c>
      <c r="H211" s="52">
        <v>181.4</v>
      </c>
      <c r="I211" s="52">
        <v>90.7</v>
      </c>
      <c r="J211"/>
      <c r="K211"/>
      <c r="L211"/>
      <c r="M211"/>
      <c r="N211" s="37"/>
      <c r="O211" s="53">
        <v>94.899999999999991</v>
      </c>
      <c r="P211" s="53">
        <v>189.79999999999998</v>
      </c>
      <c r="Q211" s="53">
        <v>94.899999999999991</v>
      </c>
      <c r="R211" s="53"/>
      <c r="S211" s="53">
        <v>94.899999999999991</v>
      </c>
      <c r="T211" s="53">
        <v>189.79999999999998</v>
      </c>
      <c r="U211" s="53">
        <v>94.899999999999991</v>
      </c>
      <c r="V211" s="53"/>
      <c r="W211" s="53"/>
      <c r="X211" s="53"/>
      <c r="Y211" s="53"/>
      <c r="Z211" s="53"/>
      <c r="AA211" s="53"/>
      <c r="AB211" s="53"/>
      <c r="AC211" s="53"/>
      <c r="AD211" s="53"/>
      <c r="AE211" s="53"/>
    </row>
    <row r="212" spans="6:31" s="21" customFormat="1" ht="14.25" x14ac:dyDescent="0.45">
      <c r="F212" s="49">
        <v>43374</v>
      </c>
      <c r="G212" s="52">
        <v>95.8</v>
      </c>
      <c r="H212" s="52">
        <v>191.6</v>
      </c>
      <c r="I212" s="52">
        <v>95.8</v>
      </c>
      <c r="J212"/>
      <c r="K212"/>
      <c r="L212"/>
      <c r="M212"/>
      <c r="N212" s="37"/>
      <c r="O212" s="53">
        <v>94.899999999999991</v>
      </c>
      <c r="P212" s="53">
        <v>189.79999999999998</v>
      </c>
      <c r="Q212" s="53">
        <v>94.899999999999991</v>
      </c>
      <c r="R212" s="53"/>
      <c r="S212" s="53">
        <v>94.899999999999991</v>
      </c>
      <c r="T212" s="53">
        <v>189.79999999999998</v>
      </c>
      <c r="U212" s="53">
        <v>94.899999999999991</v>
      </c>
      <c r="V212" s="53"/>
      <c r="W212" s="53"/>
      <c r="X212" s="53"/>
      <c r="Y212" s="53"/>
      <c r="Z212" s="53"/>
      <c r="AA212" s="53"/>
      <c r="AB212" s="53"/>
      <c r="AC212" s="53"/>
      <c r="AD212" s="53"/>
      <c r="AE212" s="53"/>
    </row>
    <row r="213" spans="6:31" s="21" customFormat="1" ht="14.25" x14ac:dyDescent="0.45">
      <c r="F213" s="49">
        <v>43405</v>
      </c>
      <c r="G213" s="52">
        <v>89.5</v>
      </c>
      <c r="H213" s="52">
        <v>179</v>
      </c>
      <c r="I213" s="52">
        <v>89.5</v>
      </c>
      <c r="J213"/>
      <c r="K213"/>
      <c r="L213"/>
      <c r="M213"/>
      <c r="N213" s="37"/>
      <c r="O213" s="53">
        <v>92</v>
      </c>
      <c r="P213" s="53">
        <v>184</v>
      </c>
      <c r="Q213" s="53">
        <v>92</v>
      </c>
      <c r="R213" s="53"/>
      <c r="S213" s="53">
        <v>92</v>
      </c>
      <c r="T213" s="53">
        <v>184</v>
      </c>
      <c r="U213" s="53">
        <v>92</v>
      </c>
      <c r="V213" s="53"/>
      <c r="W213" s="53"/>
      <c r="X213" s="53"/>
      <c r="Y213" s="53"/>
      <c r="Z213" s="53"/>
      <c r="AA213" s="53"/>
      <c r="AB213" s="53"/>
      <c r="AC213" s="53"/>
      <c r="AD213" s="53"/>
      <c r="AE213" s="53"/>
    </row>
    <row r="214" spans="6:31" s="21" customFormat="1" ht="14.25" x14ac:dyDescent="0.45">
      <c r="F214" s="49">
        <v>43435</v>
      </c>
      <c r="G214" s="52">
        <v>78</v>
      </c>
      <c r="H214" s="52">
        <v>156</v>
      </c>
      <c r="I214" s="52">
        <v>78</v>
      </c>
      <c r="J214"/>
      <c r="K214"/>
      <c r="L214"/>
      <c r="M214"/>
      <c r="N214" s="37"/>
      <c r="O214" s="53">
        <v>87.766666666666666</v>
      </c>
      <c r="P214" s="53">
        <v>175.53333333333333</v>
      </c>
      <c r="Q214" s="53">
        <v>87.766666666666666</v>
      </c>
      <c r="R214" s="53"/>
      <c r="S214" s="53">
        <v>87.766666666666666</v>
      </c>
      <c r="T214" s="53">
        <v>175.53333333333333</v>
      </c>
      <c r="U214" s="53">
        <v>87.766666666666666</v>
      </c>
      <c r="V214" s="53"/>
      <c r="W214" s="53"/>
      <c r="X214" s="53"/>
      <c r="Y214" s="53"/>
      <c r="Z214" s="53"/>
      <c r="AA214" s="53"/>
      <c r="AB214" s="53"/>
      <c r="AC214" s="53"/>
      <c r="AD214" s="53"/>
      <c r="AE214" s="53"/>
    </row>
    <row r="215" spans="6:31" s="21" customFormat="1" ht="14.25" x14ac:dyDescent="0.45">
      <c r="F215" s="49">
        <v>43466</v>
      </c>
      <c r="G215" s="52">
        <v>80.7</v>
      </c>
      <c r="H215" s="52">
        <v>161.4</v>
      </c>
      <c r="I215" s="52">
        <v>80.7</v>
      </c>
      <c r="J215"/>
      <c r="K215"/>
      <c r="L215"/>
      <c r="M215"/>
      <c r="N215" s="37"/>
      <c r="O215" s="53">
        <v>82.733333333333334</v>
      </c>
      <c r="P215" s="53">
        <v>165.46666666666667</v>
      </c>
      <c r="Q215" s="53">
        <v>82.733333333333334</v>
      </c>
      <c r="R215" s="53"/>
      <c r="S215" s="53">
        <v>82.733333333333334</v>
      </c>
      <c r="T215" s="53">
        <v>165.46666666666667</v>
      </c>
      <c r="U215" s="53">
        <v>82.733333333333334</v>
      </c>
      <c r="V215" s="53"/>
      <c r="W215" s="53"/>
      <c r="X215" s="53"/>
      <c r="Y215" s="53"/>
      <c r="Z215" s="53"/>
      <c r="AA215" s="53"/>
      <c r="AB215" s="53"/>
      <c r="AC215" s="53"/>
      <c r="AD215" s="53"/>
      <c r="AE215" s="53"/>
    </row>
    <row r="216" spans="6:31" s="21" customFormat="1" ht="14.25" x14ac:dyDescent="0.45">
      <c r="F216" s="49">
        <v>43497</v>
      </c>
      <c r="G216" s="52">
        <v>79.099999999999994</v>
      </c>
      <c r="H216" s="52">
        <v>158.19999999999999</v>
      </c>
      <c r="I216" s="52">
        <v>79.099999999999994</v>
      </c>
      <c r="J216"/>
      <c r="K216"/>
      <c r="L216"/>
      <c r="M216"/>
      <c r="N216" s="37"/>
      <c r="O216" s="53">
        <v>79.266666666666666</v>
      </c>
      <c r="P216" s="53">
        <v>158.53333333333333</v>
      </c>
      <c r="Q216" s="53">
        <v>79.266666666666666</v>
      </c>
      <c r="R216" s="53"/>
      <c r="S216" s="53">
        <v>79.266666666666666</v>
      </c>
      <c r="T216" s="53">
        <v>158.53333333333333</v>
      </c>
      <c r="U216" s="53">
        <v>79.266666666666666</v>
      </c>
      <c r="V216" s="53"/>
      <c r="W216" s="53"/>
      <c r="X216" s="53"/>
      <c r="Y216" s="53"/>
      <c r="Z216" s="53"/>
      <c r="AA216" s="53"/>
      <c r="AB216" s="53"/>
      <c r="AC216" s="53"/>
      <c r="AD216" s="53"/>
      <c r="AE216" s="53"/>
    </row>
    <row r="217" spans="6:31" s="21" customFormat="1" ht="14.25" x14ac:dyDescent="0.45">
      <c r="F217" s="49">
        <v>43525</v>
      </c>
      <c r="G217" s="52">
        <v>81</v>
      </c>
      <c r="H217" s="52">
        <v>162</v>
      </c>
      <c r="I217" s="52">
        <v>81</v>
      </c>
      <c r="J217"/>
      <c r="K217"/>
      <c r="L217"/>
      <c r="M217"/>
      <c r="N217" s="37"/>
      <c r="O217" s="53">
        <v>80.266666666666666</v>
      </c>
      <c r="P217" s="53">
        <v>160.53333333333333</v>
      </c>
      <c r="Q217" s="53">
        <v>80.266666666666666</v>
      </c>
      <c r="R217" s="53"/>
      <c r="S217" s="53">
        <v>80.266666666666666</v>
      </c>
      <c r="T217" s="53">
        <v>160.53333333333333</v>
      </c>
      <c r="U217" s="53">
        <v>80.266666666666666</v>
      </c>
      <c r="V217" s="53"/>
      <c r="W217" s="53"/>
      <c r="X217" s="53"/>
      <c r="Y217" s="53"/>
      <c r="Z217" s="53"/>
      <c r="AA217" s="53"/>
      <c r="AB217" s="53"/>
      <c r="AC217" s="53"/>
      <c r="AD217" s="53"/>
      <c r="AE217" s="53"/>
    </row>
    <row r="218" spans="6:31" s="21" customFormat="1" ht="14.25" x14ac:dyDescent="0.45">
      <c r="F218" s="49">
        <v>43556</v>
      </c>
      <c r="G218" s="52">
        <v>83.3</v>
      </c>
      <c r="H218" s="52">
        <v>166.6</v>
      </c>
      <c r="I218" s="52">
        <v>83.3</v>
      </c>
      <c r="J218"/>
      <c r="K218"/>
      <c r="L218"/>
      <c r="M218"/>
      <c r="N218" s="37"/>
      <c r="O218" s="53">
        <v>81.133333333333326</v>
      </c>
      <c r="P218" s="53">
        <v>162.26666666666665</v>
      </c>
      <c r="Q218" s="53">
        <v>81.133333333333326</v>
      </c>
      <c r="R218" s="53"/>
      <c r="S218" s="53">
        <v>81.133333333333326</v>
      </c>
      <c r="T218" s="53">
        <v>162.26666666666665</v>
      </c>
      <c r="U218" s="53">
        <v>81.133333333333326</v>
      </c>
      <c r="V218" s="53"/>
      <c r="W218" s="53"/>
      <c r="X218" s="53"/>
      <c r="Y218" s="53"/>
      <c r="Z218" s="53"/>
      <c r="AA218" s="53"/>
      <c r="AB218" s="53"/>
      <c r="AC218" s="53"/>
      <c r="AD218" s="53"/>
      <c r="AE218" s="53"/>
    </row>
    <row r="219" spans="6:31" s="21" customFormat="1" ht="14.25" x14ac:dyDescent="0.45">
      <c r="F219" s="49">
        <v>43586</v>
      </c>
      <c r="G219" s="52">
        <v>91</v>
      </c>
      <c r="H219" s="52">
        <v>182</v>
      </c>
      <c r="I219" s="52">
        <v>91</v>
      </c>
      <c r="J219"/>
      <c r="K219"/>
      <c r="L219"/>
      <c r="M219"/>
      <c r="N219" s="37"/>
      <c r="O219" s="53">
        <v>85.100000000000009</v>
      </c>
      <c r="P219" s="53">
        <v>170.20000000000002</v>
      </c>
      <c r="Q219" s="53">
        <v>85.100000000000009</v>
      </c>
      <c r="R219" s="53"/>
      <c r="S219" s="53">
        <v>85.100000000000009</v>
      </c>
      <c r="T219" s="53">
        <v>170.20000000000002</v>
      </c>
      <c r="U219" s="53">
        <v>85.100000000000009</v>
      </c>
      <c r="V219" s="53"/>
      <c r="W219" s="53"/>
      <c r="X219" s="53"/>
      <c r="Y219" s="53"/>
      <c r="Z219" s="53"/>
      <c r="AA219" s="53"/>
      <c r="AB219" s="53"/>
      <c r="AC219" s="53"/>
      <c r="AD219" s="53"/>
      <c r="AE219" s="53"/>
    </row>
    <row r="220" spans="6:31" s="21" customFormat="1" ht="14.25" x14ac:dyDescent="0.45">
      <c r="F220" s="49">
        <v>43617</v>
      </c>
      <c r="G220" s="52">
        <v>85.8</v>
      </c>
      <c r="H220" s="52">
        <v>171.6</v>
      </c>
      <c r="I220" s="52">
        <v>85.8</v>
      </c>
      <c r="J220"/>
      <c r="K220"/>
      <c r="L220"/>
      <c r="M220"/>
      <c r="N220" s="37"/>
      <c r="O220" s="53">
        <v>86.7</v>
      </c>
      <c r="P220" s="53">
        <v>173.4</v>
      </c>
      <c r="Q220" s="53">
        <v>86.7</v>
      </c>
      <c r="R220" s="53"/>
      <c r="S220" s="53">
        <v>86.7</v>
      </c>
      <c r="T220" s="53">
        <v>173.4</v>
      </c>
      <c r="U220" s="53">
        <v>86.7</v>
      </c>
      <c r="V220" s="53"/>
      <c r="W220" s="53"/>
      <c r="X220" s="53"/>
      <c r="Y220" s="53"/>
      <c r="Z220" s="53"/>
      <c r="AA220" s="53"/>
      <c r="AB220" s="53"/>
      <c r="AC220" s="53"/>
      <c r="AD220" s="53"/>
      <c r="AE220" s="53"/>
    </row>
    <row r="221" spans="6:31" s="21" customFormat="1" ht="14.25" x14ac:dyDescent="0.45">
      <c r="F221" s="49">
        <v>43647</v>
      </c>
      <c r="G221" s="52">
        <v>93.4</v>
      </c>
      <c r="H221" s="52">
        <v>186.8</v>
      </c>
      <c r="I221" s="52">
        <v>93.4</v>
      </c>
      <c r="J221"/>
      <c r="K221"/>
      <c r="L221"/>
      <c r="M221"/>
      <c r="N221" s="37"/>
      <c r="O221" s="53">
        <v>90.066666666666677</v>
      </c>
      <c r="P221" s="53">
        <v>180.13333333333335</v>
      </c>
      <c r="Q221" s="53">
        <v>90.066666666666677</v>
      </c>
      <c r="R221" s="53"/>
      <c r="S221" s="53">
        <v>90.066666666666677</v>
      </c>
      <c r="T221" s="53">
        <v>180.13333333333335</v>
      </c>
      <c r="U221" s="53">
        <v>90.066666666666677</v>
      </c>
      <c r="V221" s="53"/>
      <c r="W221" s="53"/>
      <c r="X221" s="53"/>
      <c r="Y221" s="53"/>
      <c r="Z221" s="53"/>
      <c r="AA221" s="53"/>
      <c r="AB221" s="53"/>
      <c r="AC221" s="53"/>
      <c r="AD221" s="53"/>
      <c r="AE221" s="53"/>
    </row>
    <row r="222" spans="6:31" s="21" customFormat="1" ht="14.25" x14ac:dyDescent="0.45">
      <c r="F222" s="49">
        <v>43678</v>
      </c>
      <c r="G222" s="52">
        <v>96.2</v>
      </c>
      <c r="H222" s="52">
        <v>192.4</v>
      </c>
      <c r="I222" s="52">
        <v>96.2</v>
      </c>
      <c r="J222"/>
      <c r="K222"/>
      <c r="L222"/>
      <c r="M222"/>
      <c r="N222" s="37"/>
      <c r="O222" s="53">
        <v>91.8</v>
      </c>
      <c r="P222" s="53">
        <v>183.6</v>
      </c>
      <c r="Q222" s="53">
        <v>91.8</v>
      </c>
      <c r="R222" s="53"/>
      <c r="S222" s="53">
        <v>91.8</v>
      </c>
      <c r="T222" s="53">
        <v>183.6</v>
      </c>
      <c r="U222" s="53">
        <v>91.8</v>
      </c>
      <c r="V222" s="53"/>
      <c r="W222" s="53"/>
      <c r="X222" s="53"/>
      <c r="Y222" s="53"/>
      <c r="Z222" s="53"/>
      <c r="AA222" s="53"/>
      <c r="AB222" s="53"/>
      <c r="AC222" s="53"/>
      <c r="AD222" s="53"/>
      <c r="AE222" s="53"/>
    </row>
    <row r="223" spans="6:31" s="21" customFormat="1" ht="14.25" x14ac:dyDescent="0.45">
      <c r="F223" s="49">
        <v>43709</v>
      </c>
      <c r="G223" s="52">
        <v>91.8</v>
      </c>
      <c r="H223" s="52">
        <v>183.6</v>
      </c>
      <c r="I223" s="52">
        <v>91.8</v>
      </c>
      <c r="J223"/>
      <c r="K223"/>
      <c r="L223"/>
      <c r="M223"/>
      <c r="N223" s="37"/>
      <c r="O223" s="53">
        <v>93.800000000000011</v>
      </c>
      <c r="P223" s="53">
        <v>187.60000000000002</v>
      </c>
      <c r="Q223" s="53">
        <v>93.800000000000011</v>
      </c>
      <c r="R223" s="53"/>
      <c r="S223" s="53">
        <v>93.800000000000011</v>
      </c>
      <c r="T223" s="53">
        <v>187.60000000000002</v>
      </c>
      <c r="U223" s="53">
        <v>93.800000000000011</v>
      </c>
      <c r="V223" s="53"/>
      <c r="W223" s="53"/>
      <c r="X223" s="53"/>
      <c r="Y223" s="53"/>
      <c r="Z223" s="53"/>
      <c r="AA223" s="53"/>
      <c r="AB223" s="53"/>
      <c r="AC223" s="53"/>
      <c r="AD223" s="53"/>
      <c r="AE223" s="53"/>
    </row>
    <row r="224" spans="6:31" s="21" customFormat="1" ht="14.25" x14ac:dyDescent="0.45">
      <c r="F224" s="49">
        <v>43739</v>
      </c>
      <c r="G224" s="52">
        <v>97</v>
      </c>
      <c r="H224" s="52">
        <v>194</v>
      </c>
      <c r="I224" s="52">
        <v>97</v>
      </c>
      <c r="J224"/>
      <c r="K224"/>
      <c r="L224"/>
      <c r="M224"/>
      <c r="N224" s="37"/>
      <c r="O224" s="53">
        <v>95</v>
      </c>
      <c r="P224" s="53">
        <v>190</v>
      </c>
      <c r="Q224" s="53">
        <v>95</v>
      </c>
      <c r="R224" s="53"/>
      <c r="S224" s="53">
        <v>95</v>
      </c>
      <c r="T224" s="53">
        <v>190</v>
      </c>
      <c r="U224" s="53">
        <v>95</v>
      </c>
      <c r="V224" s="53"/>
      <c r="W224" s="53"/>
      <c r="X224" s="53"/>
      <c r="Y224" s="53"/>
      <c r="Z224" s="53"/>
      <c r="AA224" s="53"/>
      <c r="AB224" s="53"/>
      <c r="AC224" s="53"/>
      <c r="AD224" s="53"/>
      <c r="AE224" s="53"/>
    </row>
    <row r="225" spans="6:31" s="21" customFormat="1" ht="14.25" x14ac:dyDescent="0.45">
      <c r="F225" s="49">
        <v>43770</v>
      </c>
      <c r="G225" s="52">
        <v>88</v>
      </c>
      <c r="H225" s="52">
        <v>176</v>
      </c>
      <c r="I225" s="52">
        <v>88</v>
      </c>
      <c r="J225"/>
      <c r="K225"/>
      <c r="L225"/>
      <c r="M225"/>
      <c r="N225" s="37"/>
      <c r="O225" s="53">
        <v>92.266666666666666</v>
      </c>
      <c r="P225" s="53">
        <v>184.53333333333333</v>
      </c>
      <c r="Q225" s="53">
        <v>92.266666666666666</v>
      </c>
      <c r="R225" s="53"/>
      <c r="S225" s="53">
        <v>92.266666666666666</v>
      </c>
      <c r="T225" s="53">
        <v>184.53333333333333</v>
      </c>
      <c r="U225" s="53">
        <v>92.266666666666666</v>
      </c>
      <c r="V225" s="53"/>
      <c r="W225" s="53"/>
      <c r="X225" s="53"/>
      <c r="Y225" s="53"/>
      <c r="Z225" s="53"/>
      <c r="AA225" s="53"/>
      <c r="AB225" s="53"/>
      <c r="AC225" s="53"/>
      <c r="AD225" s="53"/>
      <c r="AE225" s="53"/>
    </row>
    <row r="226" spans="6:31" s="21" customFormat="1" ht="14.25" x14ac:dyDescent="0.45">
      <c r="F226" s="49">
        <v>43800</v>
      </c>
      <c r="G226" s="52">
        <v>76.900000000000006</v>
      </c>
      <c r="H226" s="52">
        <v>153.80000000000001</v>
      </c>
      <c r="I226" s="52">
        <v>76.900000000000006</v>
      </c>
      <c r="J226"/>
      <c r="K226"/>
      <c r="L226"/>
      <c r="M226"/>
      <c r="N226" s="37"/>
      <c r="O226" s="53">
        <v>87.3</v>
      </c>
      <c r="P226" s="53">
        <v>174.6</v>
      </c>
      <c r="Q226" s="53">
        <v>87.3</v>
      </c>
      <c r="R226" s="53"/>
      <c r="S226" s="53">
        <v>87.3</v>
      </c>
      <c r="T226" s="53">
        <v>174.6</v>
      </c>
      <c r="U226" s="53">
        <v>87.3</v>
      </c>
      <c r="V226" s="53"/>
      <c r="W226" s="53"/>
      <c r="X226" s="53"/>
      <c r="Y226" s="53"/>
      <c r="Z226" s="53"/>
      <c r="AA226" s="53"/>
      <c r="AB226" s="53"/>
      <c r="AC226" s="53"/>
      <c r="AD226" s="53"/>
      <c r="AE226" s="53"/>
    </row>
    <row r="227" spans="6:31" s="21" customFormat="1" ht="14.25" x14ac:dyDescent="0.45">
      <c r="F227" s="49">
        <v>43831</v>
      </c>
      <c r="G227" s="52">
        <v>80</v>
      </c>
      <c r="H227" s="52">
        <v>160</v>
      </c>
      <c r="I227" s="52">
        <v>80</v>
      </c>
      <c r="J227"/>
      <c r="K227"/>
      <c r="L227"/>
      <c r="M227"/>
      <c r="N227" s="37"/>
      <c r="O227" s="53">
        <v>81.63333333333334</v>
      </c>
      <c r="P227" s="53">
        <v>163.26666666666668</v>
      </c>
      <c r="Q227" s="53">
        <v>81.63333333333334</v>
      </c>
      <c r="R227" s="53"/>
      <c r="S227" s="53">
        <v>81.63333333333334</v>
      </c>
      <c r="T227" s="53">
        <v>163.26666666666668</v>
      </c>
      <c r="U227" s="53">
        <v>81.63333333333334</v>
      </c>
      <c r="V227" s="53"/>
      <c r="W227" s="53"/>
      <c r="X227" s="53"/>
      <c r="Y227" s="53"/>
      <c r="Z227" s="53"/>
      <c r="AA227" s="53"/>
      <c r="AB227" s="53"/>
      <c r="AC227" s="53"/>
      <c r="AD227" s="53"/>
      <c r="AE227" s="53"/>
    </row>
    <row r="228" spans="6:31" s="21" customFormat="1" ht="14.25" x14ac:dyDescent="0.45">
      <c r="F228" s="49">
        <v>43862</v>
      </c>
      <c r="G228" s="52">
        <v>78.900000000000006</v>
      </c>
      <c r="H228" s="52">
        <v>157.80000000000001</v>
      </c>
      <c r="I228" s="52">
        <v>78.900000000000006</v>
      </c>
      <c r="J228"/>
      <c r="K228"/>
      <c r="L228"/>
      <c r="M228"/>
      <c r="N228" s="37"/>
      <c r="O228" s="53">
        <v>78.600000000000009</v>
      </c>
      <c r="P228" s="53">
        <v>157.20000000000002</v>
      </c>
      <c r="Q228" s="53">
        <v>78.600000000000009</v>
      </c>
      <c r="R228" s="53"/>
      <c r="S228" s="53">
        <v>78.600000000000009</v>
      </c>
      <c r="T228" s="53">
        <v>157.20000000000002</v>
      </c>
      <c r="U228" s="53">
        <v>78.600000000000009</v>
      </c>
      <c r="V228" s="53"/>
      <c r="W228" s="53"/>
      <c r="X228" s="53"/>
      <c r="Y228" s="53"/>
      <c r="Z228" s="53"/>
      <c r="AA228" s="53"/>
      <c r="AB228" s="53"/>
      <c r="AC228" s="53"/>
      <c r="AD228" s="53"/>
      <c r="AE228" s="53"/>
    </row>
    <row r="229" spans="6:31" s="21" customFormat="1" ht="14.25" x14ac:dyDescent="0.45">
      <c r="F229" s="49">
        <v>43891</v>
      </c>
      <c r="G229" s="52">
        <v>77.900000000000006</v>
      </c>
      <c r="H229" s="52">
        <v>155.80000000000001</v>
      </c>
      <c r="I229" s="52">
        <v>77.900000000000006</v>
      </c>
      <c r="J229"/>
      <c r="K229"/>
      <c r="L229"/>
      <c r="M229"/>
      <c r="N229" s="37"/>
      <c r="O229" s="53">
        <v>78.933333333333337</v>
      </c>
      <c r="P229" s="53">
        <v>157.86666666666667</v>
      </c>
      <c r="Q229" s="53">
        <v>78.933333333333337</v>
      </c>
      <c r="R229" s="53"/>
      <c r="S229" s="53">
        <v>78.933333333333337</v>
      </c>
      <c r="T229" s="53">
        <v>157.86666666666667</v>
      </c>
      <c r="U229" s="53">
        <v>78.933333333333337</v>
      </c>
      <c r="V229" s="53"/>
      <c r="W229" s="53"/>
      <c r="X229" s="53"/>
      <c r="Y229" s="53"/>
      <c r="Z229" s="53"/>
      <c r="AA229" s="53"/>
      <c r="AB229" s="53"/>
      <c r="AC229" s="53"/>
      <c r="AD229" s="53"/>
      <c r="AE229" s="53"/>
    </row>
    <row r="230" spans="6:31" s="21" customFormat="1" ht="14.25" x14ac:dyDescent="0.45">
      <c r="F230" s="49">
        <v>43922</v>
      </c>
      <c r="G230" s="52">
        <v>60.3</v>
      </c>
      <c r="H230" s="52">
        <v>120.6</v>
      </c>
      <c r="I230" s="52">
        <v>60.3</v>
      </c>
      <c r="J230"/>
      <c r="K230"/>
      <c r="L230"/>
      <c r="M230"/>
      <c r="N230" s="37"/>
      <c r="O230" s="53">
        <v>72.366666666666674</v>
      </c>
      <c r="P230" s="53">
        <v>144.73333333333335</v>
      </c>
      <c r="Q230" s="53">
        <v>72.366666666666674</v>
      </c>
      <c r="R230" s="53"/>
      <c r="S230" s="53">
        <v>72.366666666666674</v>
      </c>
      <c r="T230" s="53">
        <v>144.73333333333335</v>
      </c>
      <c r="U230" s="53">
        <v>72.366666666666674</v>
      </c>
      <c r="V230" s="53"/>
      <c r="W230" s="53"/>
      <c r="X230" s="53"/>
      <c r="Y230" s="53"/>
      <c r="Z230" s="53"/>
      <c r="AA230" s="53"/>
      <c r="AB230" s="53"/>
      <c r="AC230" s="53"/>
      <c r="AD230" s="53"/>
      <c r="AE230" s="53"/>
    </row>
    <row r="231" spans="6:31" s="21" customFormat="1" ht="14.25" x14ac:dyDescent="0.45">
      <c r="F231" s="49">
        <v>43952</v>
      </c>
      <c r="G231" s="52">
        <v>71.2</v>
      </c>
      <c r="H231" s="52">
        <v>142.4</v>
      </c>
      <c r="I231" s="52">
        <v>71.2</v>
      </c>
      <c r="J231"/>
      <c r="K231"/>
      <c r="L231"/>
      <c r="M231"/>
      <c r="N231" s="37"/>
      <c r="O231" s="53">
        <v>69.8</v>
      </c>
      <c r="P231" s="53">
        <v>139.6</v>
      </c>
      <c r="Q231" s="53">
        <v>69.8</v>
      </c>
      <c r="R231" s="53"/>
      <c r="S231" s="53">
        <v>69.8</v>
      </c>
      <c r="T231" s="53">
        <v>139.6</v>
      </c>
      <c r="U231" s="53">
        <v>69.8</v>
      </c>
      <c r="V231" s="53"/>
      <c r="W231" s="53"/>
      <c r="X231" s="53"/>
      <c r="Y231" s="53"/>
      <c r="Z231" s="53"/>
      <c r="AA231" s="53"/>
      <c r="AB231" s="53"/>
      <c r="AC231" s="53"/>
      <c r="AD231" s="53"/>
      <c r="AE231" s="53"/>
    </row>
    <row r="232" spans="6:31" s="21" customFormat="1" ht="14.25" x14ac:dyDescent="0.45">
      <c r="F232" s="49">
        <v>43983</v>
      </c>
      <c r="G232" s="52">
        <v>78.400000000000006</v>
      </c>
      <c r="H232" s="52">
        <v>156.80000000000001</v>
      </c>
      <c r="I232" s="52">
        <v>78.400000000000006</v>
      </c>
      <c r="J232"/>
      <c r="K232"/>
      <c r="L232"/>
      <c r="M232"/>
      <c r="N232" s="37"/>
      <c r="O232" s="53">
        <v>69.966666666666669</v>
      </c>
      <c r="P232" s="53">
        <v>139.93333333333334</v>
      </c>
      <c r="Q232" s="53">
        <v>69.966666666666669</v>
      </c>
      <c r="R232" s="53"/>
      <c r="S232" s="53">
        <v>69.966666666666669</v>
      </c>
      <c r="T232" s="53">
        <v>139.93333333333334</v>
      </c>
      <c r="U232" s="53">
        <v>69.966666666666669</v>
      </c>
      <c r="V232" s="53"/>
      <c r="W232" s="53"/>
      <c r="X232" s="53"/>
      <c r="Y232" s="53"/>
      <c r="Z232" s="53"/>
      <c r="AA232" s="53"/>
      <c r="AB232" s="53"/>
      <c r="AC232" s="53"/>
      <c r="AD232" s="53"/>
      <c r="AE232" s="53"/>
    </row>
    <row r="233" spans="6:31" s="21" customFormat="1" ht="14.25" x14ac:dyDescent="0.45">
      <c r="F233" s="49">
        <v>44013</v>
      </c>
      <c r="G233" s="52">
        <v>91</v>
      </c>
      <c r="H233" s="52">
        <v>182</v>
      </c>
      <c r="I233" s="52">
        <v>91</v>
      </c>
      <c r="J233"/>
      <c r="K233"/>
      <c r="L233"/>
      <c r="M233"/>
      <c r="N233" s="37"/>
      <c r="O233" s="53">
        <v>80.2</v>
      </c>
      <c r="P233" s="53">
        <v>160.4</v>
      </c>
      <c r="Q233" s="53">
        <v>80.2</v>
      </c>
      <c r="R233" s="53"/>
      <c r="S233" s="53">
        <v>80.2</v>
      </c>
      <c r="T233" s="53">
        <v>160.4</v>
      </c>
      <c r="U233" s="53">
        <v>80.2</v>
      </c>
      <c r="V233" s="53"/>
      <c r="W233" s="53"/>
      <c r="X233" s="53"/>
      <c r="Y233" s="53"/>
      <c r="Z233" s="53"/>
      <c r="AA233" s="53"/>
      <c r="AB233" s="53"/>
      <c r="AC233" s="53"/>
      <c r="AD233" s="53"/>
      <c r="AE233" s="53"/>
    </row>
    <row r="234" spans="6:31" s="21" customFormat="1" ht="14.25" x14ac:dyDescent="0.45">
      <c r="F234" s="49">
        <v>44044</v>
      </c>
      <c r="G234" s="52">
        <v>93.9</v>
      </c>
      <c r="H234" s="52">
        <v>187.8</v>
      </c>
      <c r="I234" s="52">
        <v>93.9</v>
      </c>
      <c r="J234"/>
      <c r="K234"/>
      <c r="L234"/>
      <c r="M234"/>
      <c r="N234" s="37"/>
      <c r="O234" s="53">
        <v>87.766666666666666</v>
      </c>
      <c r="P234" s="53">
        <v>175.53333333333333</v>
      </c>
      <c r="Q234" s="53">
        <v>87.766666666666666</v>
      </c>
      <c r="R234" s="53"/>
      <c r="S234" s="53">
        <v>87.766666666666666</v>
      </c>
      <c r="T234" s="53">
        <v>175.53333333333333</v>
      </c>
      <c r="U234" s="53">
        <v>87.766666666666666</v>
      </c>
      <c r="V234" s="53"/>
      <c r="W234" s="53"/>
      <c r="X234" s="53"/>
      <c r="Y234" s="53"/>
      <c r="Z234" s="53"/>
      <c r="AA234" s="53"/>
      <c r="AB234" s="53"/>
      <c r="AC234" s="53"/>
      <c r="AD234" s="53"/>
      <c r="AE234" s="53"/>
    </row>
    <row r="235" spans="6:31" s="21" customFormat="1" ht="14.25" x14ac:dyDescent="0.45">
      <c r="F235" s="49">
        <v>44075</v>
      </c>
      <c r="G235" s="52">
        <v>95.4</v>
      </c>
      <c r="H235" s="52">
        <v>190.8</v>
      </c>
      <c r="I235" s="52">
        <v>95.4</v>
      </c>
      <c r="J235"/>
      <c r="K235"/>
      <c r="L235"/>
      <c r="M235"/>
      <c r="N235" s="37"/>
      <c r="O235" s="53">
        <v>93.433333333333337</v>
      </c>
      <c r="P235" s="53">
        <v>186.86666666666667</v>
      </c>
      <c r="Q235" s="53">
        <v>93.433333333333337</v>
      </c>
      <c r="R235" s="53"/>
      <c r="S235" s="53">
        <v>93.433333333333337</v>
      </c>
      <c r="T235" s="53">
        <v>186.86666666666667</v>
      </c>
      <c r="U235" s="53">
        <v>93.433333333333337</v>
      </c>
      <c r="V235" s="53"/>
      <c r="W235" s="53"/>
      <c r="X235" s="53"/>
      <c r="Y235" s="53"/>
      <c r="Z235" s="53"/>
      <c r="AA235" s="53"/>
      <c r="AB235" s="53"/>
      <c r="AC235" s="53"/>
      <c r="AD235" s="53"/>
      <c r="AE235" s="53"/>
    </row>
    <row r="236" spans="6:31" s="21" customFormat="1" ht="14.25" x14ac:dyDescent="0.45">
      <c r="F236" s="49">
        <v>44105</v>
      </c>
      <c r="G236" s="52">
        <v>97.3</v>
      </c>
      <c r="H236" s="52">
        <v>194.6</v>
      </c>
      <c r="I236" s="52">
        <v>97.3</v>
      </c>
      <c r="J236"/>
      <c r="K236"/>
      <c r="L236"/>
      <c r="M236"/>
      <c r="N236" s="37"/>
      <c r="O236" s="53">
        <v>95.533333333333346</v>
      </c>
      <c r="P236" s="53">
        <v>191.06666666666669</v>
      </c>
      <c r="Q236" s="53">
        <v>95.533333333333346</v>
      </c>
      <c r="R236" s="53"/>
      <c r="S236" s="53">
        <v>95.533333333333346</v>
      </c>
      <c r="T236" s="53">
        <v>191.06666666666669</v>
      </c>
      <c r="U236" s="53">
        <v>95.533333333333346</v>
      </c>
      <c r="V236" s="53"/>
      <c r="W236" s="53"/>
      <c r="X236" s="53"/>
      <c r="Y236" s="53"/>
      <c r="Z236" s="53"/>
      <c r="AA236" s="53"/>
      <c r="AB236" s="53"/>
      <c r="AC236" s="53"/>
      <c r="AD236" s="53"/>
      <c r="AE236" s="53"/>
    </row>
    <row r="237" spans="6:31" s="21" customFormat="1" ht="14.25" x14ac:dyDescent="0.45">
      <c r="F237" s="49">
        <v>44136</v>
      </c>
      <c r="G237" s="52">
        <v>90.2</v>
      </c>
      <c r="H237" s="52">
        <v>180.4</v>
      </c>
      <c r="I237" s="52">
        <v>90.2</v>
      </c>
      <c r="J237"/>
      <c r="K237"/>
      <c r="L237"/>
      <c r="M237"/>
      <c r="N237" s="37"/>
      <c r="O237" s="53">
        <v>94.3</v>
      </c>
      <c r="P237" s="53">
        <v>188.6</v>
      </c>
      <c r="Q237" s="53">
        <v>94.3</v>
      </c>
      <c r="R237" s="53"/>
      <c r="S237" s="53">
        <v>94.3</v>
      </c>
      <c r="T237" s="53">
        <v>188.6</v>
      </c>
      <c r="U237" s="53">
        <v>94.3</v>
      </c>
      <c r="V237" s="53"/>
      <c r="W237" s="53"/>
      <c r="X237" s="53"/>
      <c r="Y237" s="53"/>
      <c r="Z237" s="53"/>
      <c r="AA237" s="53"/>
      <c r="AB237" s="53"/>
      <c r="AC237" s="53"/>
      <c r="AD237" s="53"/>
      <c r="AE237" s="53"/>
    </row>
    <row r="238" spans="6:31" s="21" customFormat="1" ht="14.25" x14ac:dyDescent="0.45">
      <c r="F238" s="49">
        <v>44166</v>
      </c>
      <c r="G238" s="52">
        <v>83.3</v>
      </c>
      <c r="H238" s="52">
        <v>166.6</v>
      </c>
      <c r="I238" s="52">
        <v>83.3</v>
      </c>
      <c r="J238"/>
      <c r="K238"/>
      <c r="L238"/>
      <c r="M238"/>
      <c r="N238" s="37"/>
      <c r="O238" s="53">
        <v>90.266666666666666</v>
      </c>
      <c r="P238" s="53">
        <v>180.53333333333333</v>
      </c>
      <c r="Q238" s="53">
        <v>90.266666666666666</v>
      </c>
      <c r="R238" s="53"/>
      <c r="S238" s="53">
        <v>90.266666666666666</v>
      </c>
      <c r="T238" s="53">
        <v>180.53333333333333</v>
      </c>
      <c r="U238" s="53">
        <v>90.266666666666666</v>
      </c>
      <c r="V238" s="53"/>
      <c r="W238" s="53"/>
      <c r="X238" s="53"/>
      <c r="Y238" s="53"/>
      <c r="Z238" s="53"/>
      <c r="AA238" s="53"/>
      <c r="AB238" s="53"/>
      <c r="AC238" s="53"/>
      <c r="AD238" s="53"/>
      <c r="AE238" s="53"/>
    </row>
    <row r="239" spans="6:31" s="21" customFormat="1" ht="14.25" x14ac:dyDescent="0.45">
      <c r="F239" s="49">
        <v>44197</v>
      </c>
      <c r="G239" s="52">
        <v>81.900000000000006</v>
      </c>
      <c r="H239" s="52">
        <v>163.80000000000001</v>
      </c>
      <c r="I239" s="52">
        <v>81.900000000000006</v>
      </c>
      <c r="J239"/>
      <c r="K239"/>
      <c r="L239"/>
      <c r="M239"/>
      <c r="N239" s="37"/>
      <c r="O239" s="53">
        <v>85.13333333333334</v>
      </c>
      <c r="P239" s="53">
        <v>170.26666666666668</v>
      </c>
      <c r="Q239" s="53">
        <v>85.13333333333334</v>
      </c>
      <c r="R239" s="53"/>
      <c r="S239" s="53">
        <v>85.13333333333334</v>
      </c>
      <c r="T239" s="53">
        <v>170.26666666666668</v>
      </c>
      <c r="U239" s="53">
        <v>85.13333333333334</v>
      </c>
      <c r="V239" s="53"/>
      <c r="W239" s="53"/>
      <c r="X239" s="53"/>
      <c r="Y239" s="53"/>
      <c r="Z239" s="53"/>
      <c r="AA239" s="53"/>
      <c r="AB239" s="53"/>
      <c r="AC239" s="53"/>
      <c r="AD239" s="53"/>
      <c r="AE239" s="53"/>
    </row>
    <row r="240" spans="6:31" s="21" customFormat="1" ht="14.25" x14ac:dyDescent="0.45">
      <c r="F240" s="49">
        <v>44228</v>
      </c>
      <c r="G240" s="52">
        <v>79.099999999999994</v>
      </c>
      <c r="H240" s="52">
        <v>158.19999999999999</v>
      </c>
      <c r="I240" s="52">
        <v>79.099999999999994</v>
      </c>
      <c r="J240"/>
      <c r="K240"/>
      <c r="L240"/>
      <c r="M240"/>
      <c r="N240" s="37"/>
      <c r="O240" s="53">
        <v>81.433333333333323</v>
      </c>
      <c r="P240" s="53">
        <v>162.86666666666665</v>
      </c>
      <c r="Q240" s="53">
        <v>81.433333333333323</v>
      </c>
      <c r="R240" s="53"/>
      <c r="S240" s="53">
        <v>81.433333333333323</v>
      </c>
      <c r="T240" s="53">
        <v>162.86666666666665</v>
      </c>
      <c r="U240" s="53">
        <v>81.433333333333323</v>
      </c>
      <c r="V240" s="53"/>
      <c r="W240" s="53"/>
      <c r="X240" s="53"/>
      <c r="Y240" s="53"/>
      <c r="Z240" s="53"/>
      <c r="AA240" s="53"/>
      <c r="AB240" s="53"/>
      <c r="AC240" s="53"/>
      <c r="AD240" s="53"/>
      <c r="AE240" s="53"/>
    </row>
    <row r="241" spans="6:31" s="21" customFormat="1" ht="14.25" x14ac:dyDescent="0.45">
      <c r="F241" s="49">
        <v>44256</v>
      </c>
      <c r="G241" s="52">
        <v>86.1</v>
      </c>
      <c r="H241" s="52">
        <v>172.2</v>
      </c>
      <c r="I241" s="52">
        <v>86.1</v>
      </c>
      <c r="J241"/>
      <c r="K241"/>
      <c r="L241"/>
      <c r="M241"/>
      <c r="N241" s="37"/>
      <c r="O241" s="53">
        <v>82.36666666666666</v>
      </c>
      <c r="P241" s="53">
        <v>164.73333333333332</v>
      </c>
      <c r="Q241" s="53">
        <v>82.36666666666666</v>
      </c>
      <c r="R241" s="53"/>
      <c r="S241" s="53">
        <v>82.36666666666666</v>
      </c>
      <c r="T241" s="53">
        <v>164.73333333333332</v>
      </c>
      <c r="U241" s="53">
        <v>82.36666666666666</v>
      </c>
      <c r="V241" s="53"/>
      <c r="W241" s="53"/>
      <c r="X241" s="53"/>
      <c r="Y241" s="53"/>
      <c r="Z241" s="53"/>
      <c r="AA241" s="53"/>
      <c r="AB241" s="53"/>
      <c r="AC241" s="53"/>
      <c r="AD241" s="53"/>
      <c r="AE241" s="53"/>
    </row>
    <row r="242" spans="6:31" s="21" customFormat="1" ht="14.25" x14ac:dyDescent="0.45">
      <c r="F242" s="49">
        <v>44287</v>
      </c>
      <c r="G242" s="52">
        <v>81.3</v>
      </c>
      <c r="H242" s="52">
        <v>162.6</v>
      </c>
      <c r="I242" s="52">
        <v>81.3</v>
      </c>
      <c r="J242"/>
      <c r="K242"/>
      <c r="L242"/>
      <c r="M242"/>
      <c r="N242" s="37"/>
      <c r="O242" s="53">
        <v>82.166666666666671</v>
      </c>
      <c r="P242" s="53">
        <v>164.33333333333334</v>
      </c>
      <c r="Q242" s="53">
        <v>82.166666666666671</v>
      </c>
      <c r="R242" s="53"/>
      <c r="S242" s="53">
        <v>82.166666666666671</v>
      </c>
      <c r="T242" s="53">
        <v>164.33333333333334</v>
      </c>
      <c r="U242" s="53">
        <v>82.166666666666671</v>
      </c>
      <c r="V242" s="53"/>
      <c r="W242" s="53"/>
      <c r="X242" s="53"/>
      <c r="Y242" s="53"/>
      <c r="Z242" s="53"/>
      <c r="AA242" s="53"/>
      <c r="AB242" s="53"/>
      <c r="AC242" s="53"/>
      <c r="AD242" s="53"/>
      <c r="AE242" s="53"/>
    </row>
    <row r="243" spans="6:31" s="21" customFormat="1" ht="14.25" x14ac:dyDescent="0.45">
      <c r="F243" s="49">
        <v>44317</v>
      </c>
      <c r="G243" s="52">
        <v>88.4</v>
      </c>
      <c r="H243" s="52">
        <v>176.8</v>
      </c>
      <c r="I243" s="52">
        <v>88.4</v>
      </c>
      <c r="J243"/>
      <c r="K243"/>
      <c r="L243"/>
      <c r="M243"/>
      <c r="N243" s="37"/>
      <c r="O243" s="53">
        <v>85.266666666666666</v>
      </c>
      <c r="P243" s="53">
        <v>170.53333333333333</v>
      </c>
      <c r="Q243" s="53">
        <v>85.266666666666666</v>
      </c>
      <c r="R243" s="53"/>
      <c r="S243" s="53">
        <v>85.266666666666666</v>
      </c>
      <c r="T243" s="53">
        <v>170.53333333333333</v>
      </c>
      <c r="U243" s="53">
        <v>85.266666666666666</v>
      </c>
      <c r="V243" s="53"/>
      <c r="W243" s="53"/>
      <c r="X243" s="53"/>
      <c r="Y243" s="53"/>
      <c r="Z243" s="53"/>
      <c r="AA243" s="53"/>
      <c r="AB243" s="53"/>
      <c r="AC243" s="53"/>
      <c r="AD243" s="53"/>
      <c r="AE243" s="53"/>
    </row>
    <row r="244" spans="6:31" s="21" customFormat="1" ht="14.25" x14ac:dyDescent="0.45">
      <c r="F244" s="49">
        <v>44348</v>
      </c>
      <c r="G244" s="52">
        <v>87.9</v>
      </c>
      <c r="H244" s="52">
        <v>175.8</v>
      </c>
      <c r="I244" s="52">
        <v>87.9</v>
      </c>
      <c r="J244"/>
      <c r="K244"/>
      <c r="L244"/>
      <c r="M244"/>
      <c r="N244" s="37"/>
      <c r="O244" s="53">
        <v>85.866666666666674</v>
      </c>
      <c r="P244" s="53">
        <v>171.73333333333335</v>
      </c>
      <c r="Q244" s="53">
        <v>85.866666666666674</v>
      </c>
      <c r="R244" s="53"/>
      <c r="S244" s="53">
        <v>85.866666666666674</v>
      </c>
      <c r="T244" s="53">
        <v>171.73333333333335</v>
      </c>
      <c r="U244" s="53">
        <v>85.866666666666674</v>
      </c>
      <c r="V244" s="53"/>
      <c r="W244" s="53"/>
      <c r="X244" s="53"/>
      <c r="Y244" s="53"/>
      <c r="Z244" s="53"/>
      <c r="AA244" s="53"/>
      <c r="AB244" s="53"/>
      <c r="AC244" s="53"/>
      <c r="AD244" s="53"/>
      <c r="AE244" s="53"/>
    </row>
    <row r="245" spans="6:31" s="21" customFormat="1" ht="14.25" x14ac:dyDescent="0.45">
      <c r="F245" s="49">
        <v>44378</v>
      </c>
      <c r="G245" s="52">
        <v>92.2</v>
      </c>
      <c r="H245" s="52">
        <v>184.4</v>
      </c>
      <c r="I245" s="52">
        <v>92.2</v>
      </c>
      <c r="J245"/>
      <c r="K245"/>
      <c r="L245"/>
      <c r="M245"/>
      <c r="N245" s="37"/>
      <c r="O245" s="53">
        <v>89.5</v>
      </c>
      <c r="P245" s="53">
        <v>179</v>
      </c>
      <c r="Q245" s="53">
        <v>89.5</v>
      </c>
      <c r="R245" s="53"/>
      <c r="S245" s="53">
        <v>89.5</v>
      </c>
      <c r="T245" s="53">
        <v>179</v>
      </c>
      <c r="U245" s="53">
        <v>89.5</v>
      </c>
      <c r="V245" s="53"/>
      <c r="W245" s="53"/>
      <c r="X245" s="53"/>
      <c r="Y245" s="53"/>
      <c r="Z245" s="53"/>
      <c r="AA245" s="53"/>
      <c r="AB245" s="53"/>
      <c r="AC245" s="53"/>
      <c r="AD245" s="53"/>
      <c r="AE245" s="53"/>
    </row>
    <row r="246" spans="6:31" s="21" customFormat="1" ht="14.25" x14ac:dyDescent="0.45">
      <c r="F246" s="49">
        <v>44409</v>
      </c>
      <c r="G246" s="52">
        <v>93.4</v>
      </c>
      <c r="H246" s="52">
        <v>186.8</v>
      </c>
      <c r="I246" s="52">
        <v>93.4</v>
      </c>
      <c r="J246"/>
      <c r="K246"/>
      <c r="L246"/>
      <c r="M246"/>
      <c r="N246" s="37"/>
      <c r="O246" s="53">
        <v>91.166666666666671</v>
      </c>
      <c r="P246" s="53">
        <v>182.33333333333334</v>
      </c>
      <c r="Q246" s="53">
        <v>91.166666666666671</v>
      </c>
      <c r="R246" s="53"/>
      <c r="S246" s="53">
        <v>91.166666666666671</v>
      </c>
      <c r="T246" s="53">
        <v>182.33333333333334</v>
      </c>
      <c r="U246" s="53">
        <v>91.166666666666671</v>
      </c>
      <c r="V246" s="53"/>
      <c r="W246" s="53"/>
      <c r="X246" s="53"/>
      <c r="Y246" s="53"/>
      <c r="Z246" s="53"/>
      <c r="AA246" s="53"/>
      <c r="AB246" s="53"/>
      <c r="AC246" s="53"/>
      <c r="AD246" s="53"/>
      <c r="AE246" s="53"/>
    </row>
    <row r="247" spans="6:31" s="21" customFormat="1" ht="14.25" x14ac:dyDescent="0.45">
      <c r="F247" s="49">
        <v>44440</v>
      </c>
      <c r="G247" s="52">
        <v>91.5</v>
      </c>
      <c r="H247" s="52">
        <v>183</v>
      </c>
      <c r="I247" s="52">
        <v>91.5</v>
      </c>
      <c r="J247"/>
      <c r="K247"/>
      <c r="L247"/>
      <c r="M247"/>
      <c r="N247" s="37"/>
      <c r="O247" s="53">
        <v>92.366666666666674</v>
      </c>
      <c r="P247" s="53">
        <v>184.73333333333335</v>
      </c>
      <c r="Q247" s="53">
        <v>92.366666666666674</v>
      </c>
      <c r="R247" s="53"/>
      <c r="S247" s="53">
        <v>92.366666666666674</v>
      </c>
      <c r="T247" s="53">
        <v>184.73333333333335</v>
      </c>
      <c r="U247" s="53">
        <v>92.366666666666674</v>
      </c>
      <c r="V247" s="53"/>
      <c r="W247" s="53"/>
      <c r="X247" s="53"/>
      <c r="Y247" s="53"/>
      <c r="Z247" s="53"/>
      <c r="AA247" s="53"/>
      <c r="AB247" s="53"/>
      <c r="AC247" s="53"/>
      <c r="AD247" s="53"/>
      <c r="AE247" s="53"/>
    </row>
    <row r="248" spans="6:31" s="21" customFormat="1" ht="14.25" x14ac:dyDescent="0.45">
      <c r="F248" s="49">
        <v>44470</v>
      </c>
      <c r="G248" s="52">
        <v>89.7</v>
      </c>
      <c r="H248" s="52">
        <v>179.4</v>
      </c>
      <c r="I248" s="52">
        <v>89.7</v>
      </c>
      <c r="J248"/>
      <c r="K248"/>
      <c r="L248"/>
      <c r="M248"/>
      <c r="N248" s="37"/>
      <c r="O248" s="53">
        <v>91.533333333333346</v>
      </c>
      <c r="P248" s="53">
        <v>183.06666666666669</v>
      </c>
      <c r="Q248" s="53">
        <v>91.533333333333346</v>
      </c>
      <c r="R248" s="53"/>
      <c r="S248" s="53">
        <v>91.533333333333346</v>
      </c>
      <c r="T248" s="53">
        <v>183.06666666666669</v>
      </c>
      <c r="U248" s="53">
        <v>91.533333333333346</v>
      </c>
      <c r="V248" s="53"/>
      <c r="W248" s="53"/>
      <c r="X248" s="53"/>
      <c r="Y248" s="53"/>
      <c r="Z248" s="53"/>
      <c r="AA248" s="53"/>
      <c r="AB248" s="53"/>
      <c r="AC248" s="53"/>
      <c r="AD248" s="53"/>
      <c r="AE248" s="53"/>
    </row>
    <row r="249" spans="6:31" s="21" customFormat="1" ht="14.25" x14ac:dyDescent="0.45">
      <c r="F249" s="49">
        <v>44501</v>
      </c>
      <c r="G249" s="52">
        <v>86.3</v>
      </c>
      <c r="H249" s="52">
        <v>172.6</v>
      </c>
      <c r="I249" s="52">
        <v>86.3</v>
      </c>
      <c r="J249"/>
      <c r="K249"/>
      <c r="L249"/>
      <c r="M249"/>
      <c r="N249" s="37"/>
      <c r="O249" s="53">
        <v>89.166666666666671</v>
      </c>
      <c r="P249" s="53">
        <v>178.33333333333334</v>
      </c>
      <c r="Q249" s="53">
        <v>89.166666666666671</v>
      </c>
      <c r="R249" s="53"/>
      <c r="S249" s="53">
        <v>89.166666666666671</v>
      </c>
      <c r="T249" s="53">
        <v>178.33333333333334</v>
      </c>
      <c r="U249" s="53">
        <v>89.166666666666671</v>
      </c>
      <c r="V249" s="53"/>
      <c r="W249" s="53"/>
      <c r="X249" s="53"/>
      <c r="Y249" s="53"/>
      <c r="Z249" s="53"/>
      <c r="AA249" s="53"/>
      <c r="AB249" s="53"/>
      <c r="AC249" s="53"/>
      <c r="AD249" s="53"/>
      <c r="AE249" s="53"/>
    </row>
    <row r="250" spans="6:31" s="21" customFormat="1" ht="14.25" x14ac:dyDescent="0.45">
      <c r="F250" s="49">
        <v>44531</v>
      </c>
      <c r="G250" s="52">
        <v>79.2</v>
      </c>
      <c r="H250" s="52">
        <v>158.4</v>
      </c>
      <c r="I250" s="52">
        <v>79.2</v>
      </c>
      <c r="J250"/>
      <c r="K250"/>
      <c r="L250"/>
      <c r="M250"/>
      <c r="N250" s="37"/>
      <c r="O250" s="53">
        <v>85.066666666666663</v>
      </c>
      <c r="P250" s="53">
        <v>170.13333333333333</v>
      </c>
      <c r="Q250" s="53">
        <v>85.066666666666663</v>
      </c>
      <c r="R250" s="53"/>
      <c r="S250" s="53">
        <v>85.066666666666663</v>
      </c>
      <c r="T250" s="53">
        <v>170.13333333333333</v>
      </c>
      <c r="U250" s="53">
        <v>85.066666666666663</v>
      </c>
      <c r="V250" s="53"/>
      <c r="W250" s="53"/>
      <c r="X250" s="53"/>
      <c r="Y250" s="53"/>
      <c r="Z250" s="53"/>
      <c r="AA250" s="53"/>
      <c r="AB250" s="53"/>
      <c r="AC250" s="53"/>
      <c r="AD250" s="53"/>
      <c r="AE250" s="53"/>
    </row>
  </sheetData>
  <mergeCells count="2">
    <mergeCell ref="D14:D15"/>
    <mergeCell ref="G10:I10"/>
  </mergeCell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86F91-B527-4C26-BAD4-E8178C654E06}">
  <sheetPr codeName="Planilha42">
    <tabColor theme="9" tint="0.59999389629810485"/>
  </sheetPr>
  <dimension ref="A1:AB250"/>
  <sheetViews>
    <sheetView showGridLines="0" workbookViewId="0"/>
  </sheetViews>
  <sheetFormatPr defaultColWidth="8.796875" defaultRowHeight="18" x14ac:dyDescent="0.55000000000000004"/>
  <cols>
    <col min="1" max="1" width="12.6640625" style="17" customWidth="1"/>
    <col min="2" max="2" width="33.1328125" customWidth="1"/>
    <col min="4" max="4" width="44.33203125" bestFit="1" customWidth="1"/>
    <col min="5" max="5" width="4.6640625" customWidth="1"/>
    <col min="6" max="9" width="7.1328125" bestFit="1" customWidth="1"/>
    <col min="10" max="11" width="9.33203125" bestFit="1" customWidth="1"/>
    <col min="12" max="12" width="10.6640625" bestFit="1" customWidth="1"/>
    <col min="13" max="13" width="12.33203125" bestFit="1" customWidth="1"/>
    <col min="15" max="17" width="5.6640625" style="15" bestFit="1" customWidth="1"/>
    <col min="18" max="19" width="14.796875" style="15" customWidth="1"/>
    <col min="20" max="28" width="8.796875" style="15"/>
  </cols>
  <sheetData>
    <row r="1" spans="1:28" x14ac:dyDescent="0.55000000000000004">
      <c r="A1" s="16" t="s">
        <v>523</v>
      </c>
      <c r="O1" s="14"/>
      <c r="P1" s="14"/>
      <c r="Q1" s="14"/>
      <c r="R1" s="14"/>
      <c r="S1" s="14"/>
      <c r="T1" s="14"/>
      <c r="U1" s="14"/>
      <c r="V1" s="14"/>
      <c r="W1" s="14"/>
      <c r="X1" s="14"/>
      <c r="Y1" s="14"/>
      <c r="Z1" s="14"/>
      <c r="AA1" s="14"/>
      <c r="AB1" s="14"/>
    </row>
    <row r="2" spans="1:28" x14ac:dyDescent="0.55000000000000004">
      <c r="A2" s="17" t="s">
        <v>526</v>
      </c>
      <c r="O2" s="14"/>
      <c r="P2" s="14"/>
      <c r="Q2" s="14"/>
      <c r="R2" s="14"/>
      <c r="S2" s="14"/>
      <c r="T2" s="14"/>
      <c r="U2" s="14"/>
      <c r="V2" s="14"/>
      <c r="W2" s="14"/>
      <c r="X2" s="14"/>
      <c r="Y2" s="14"/>
      <c r="Z2" s="14"/>
      <c r="AA2" s="14"/>
      <c r="AB2" s="14"/>
    </row>
    <row r="4" spans="1:28" ht="15.75" x14ac:dyDescent="0.5">
      <c r="A4" s="2" t="s">
        <v>15</v>
      </c>
      <c r="B4" s="2" t="s">
        <v>16</v>
      </c>
    </row>
    <row r="5" spans="1:28" ht="15.75" x14ac:dyDescent="0.5">
      <c r="A5" s="23" t="s">
        <v>165</v>
      </c>
      <c r="B5" s="24" t="s">
        <v>167</v>
      </c>
    </row>
    <row r="6" spans="1:28" ht="31.5" x14ac:dyDescent="0.5">
      <c r="A6" s="23" t="s">
        <v>54</v>
      </c>
      <c r="B6" s="24" t="s">
        <v>518</v>
      </c>
    </row>
    <row r="7" spans="1:28" ht="31.5" x14ac:dyDescent="0.5">
      <c r="A7" s="23" t="s">
        <v>84</v>
      </c>
      <c r="B7" s="24" t="s">
        <v>352</v>
      </c>
    </row>
    <row r="8" spans="1:28" ht="31.5" x14ac:dyDescent="0.5">
      <c r="A8" s="23" t="s">
        <v>519</v>
      </c>
      <c r="B8" s="24" t="s">
        <v>522</v>
      </c>
    </row>
    <row r="9" spans="1:28" ht="47.25" customHeight="1" x14ac:dyDescent="0.5">
      <c r="A9" s="23" t="s">
        <v>209</v>
      </c>
      <c r="B9" s="24" t="s">
        <v>521</v>
      </c>
    </row>
    <row r="10" spans="1:28" x14ac:dyDescent="0.55000000000000004">
      <c r="D10" s="1" t="s">
        <v>17</v>
      </c>
      <c r="G10" s="171" t="s">
        <v>165</v>
      </c>
      <c r="H10" s="174"/>
      <c r="I10" s="170"/>
      <c r="J10" s="13" t="s">
        <v>35</v>
      </c>
      <c r="K10" s="13" t="s">
        <v>136</v>
      </c>
      <c r="L10" s="13" t="s">
        <v>514</v>
      </c>
      <c r="M10" s="13" t="s">
        <v>212</v>
      </c>
    </row>
    <row r="11" spans="1:28" x14ac:dyDescent="0.55000000000000004">
      <c r="D11" t="s">
        <v>176</v>
      </c>
      <c r="F11" s="49">
        <v>37257</v>
      </c>
      <c r="G11" s="52">
        <v>72.400000000000006</v>
      </c>
      <c r="H11" s="52">
        <v>144.80000000000001</v>
      </c>
      <c r="I11" s="52">
        <v>72.400000000000006</v>
      </c>
      <c r="J11" s="54">
        <v>3</v>
      </c>
      <c r="K11" s="54">
        <v>1</v>
      </c>
      <c r="L11" s="54" t="s">
        <v>520</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SUM(INDEX(_xlpm.values, _xlfn.SEQUENCE(_xlpm.N,1,_xlpm.row-_xlpm.N+1), _xlpm.col))))) ), _xlpm.dropParam, 0),
IF(_xlpm.dim=2,
_xlfn.DROP( IF(_xlpm.N=1, _xlpm.values, _xlfn.MAKEARRAY(ROWS(_xlpm.values), COLUMNS(_xlpm.values), _xlfn.LAMBDA(_xlpm.row,_xlpm.col, IF(_xlpm.col &lt; _xlpm.N, NA(), SUM(INDEX(_xlpm.values, _xlpm.row, _xlfn.SEQUENCE(1,_xlpm.N,_xlpm.col-_xlpm.N+1)))))) ), 0, _xlpm.dropParam),
"# dim must be either 1 or 2"
))
) )($G$11:$I$250,$J$11,$K$11,$L$11,$M$11)</f>
        <v>#N/A</v>
      </c>
      <c r="P11" s="53" t="e">
        <v>#N/A</v>
      </c>
      <c r="Q11" s="53" t="e">
        <v>#N/A</v>
      </c>
      <c r="R11" s="53"/>
      <c r="S11" s="53" t="e" cm="1">
        <f t="array" ref="S11:U250">MOVSUM($G$11:$I$250,$J$11,$K$11,$L$11,$M$11)</f>
        <v>#N/A</v>
      </c>
      <c r="T11" s="15" t="e">
        <v>#N/A</v>
      </c>
      <c r="U11" s="15" t="e">
        <v>#N/A</v>
      </c>
    </row>
    <row r="12" spans="1:28" x14ac:dyDescent="0.55000000000000004">
      <c r="D12" t="s">
        <v>177</v>
      </c>
      <c r="F12" s="49">
        <v>37288</v>
      </c>
      <c r="G12" s="52">
        <v>69.7</v>
      </c>
      <c r="H12" s="52">
        <v>139.4</v>
      </c>
      <c r="I12" s="52">
        <v>69.7</v>
      </c>
      <c r="N12" s="37"/>
      <c r="O12" s="53" t="e">
        <v>#N/A</v>
      </c>
      <c r="P12" s="53" t="e">
        <v>#N/A</v>
      </c>
      <c r="Q12" s="53" t="e">
        <v>#N/A</v>
      </c>
      <c r="R12" s="53"/>
      <c r="S12" s="53" t="e">
        <v>#N/A</v>
      </c>
      <c r="T12" s="15" t="e">
        <v>#N/A</v>
      </c>
      <c r="U12" s="15" t="e">
        <v>#N/A</v>
      </c>
    </row>
    <row r="13" spans="1:28" x14ac:dyDescent="0.55000000000000004">
      <c r="F13" s="49">
        <v>37316</v>
      </c>
      <c r="G13" s="52">
        <v>77.400000000000006</v>
      </c>
      <c r="H13" s="52">
        <v>154.80000000000001</v>
      </c>
      <c r="I13" s="52">
        <v>77.400000000000006</v>
      </c>
      <c r="N13" s="37"/>
      <c r="O13" s="53">
        <v>219.50000000000003</v>
      </c>
      <c r="P13" s="53">
        <v>439.00000000000006</v>
      </c>
      <c r="Q13" s="53">
        <v>219.50000000000003</v>
      </c>
      <c r="R13" s="53"/>
      <c r="S13" s="53">
        <v>219.50000000000003</v>
      </c>
      <c r="T13" s="15">
        <v>439.00000000000006</v>
      </c>
      <c r="U13" s="15">
        <v>219.50000000000003</v>
      </c>
    </row>
    <row r="14" spans="1:28" ht="18.75" customHeight="1" x14ac:dyDescent="0.55000000000000004">
      <c r="D14" s="173"/>
      <c r="F14" s="49">
        <v>37347</v>
      </c>
      <c r="G14" s="52">
        <v>79.599999999999994</v>
      </c>
      <c r="H14" s="52">
        <v>159.19999999999999</v>
      </c>
      <c r="I14" s="52">
        <v>79.599999999999994</v>
      </c>
      <c r="N14" s="37"/>
      <c r="O14" s="53">
        <v>226.70000000000002</v>
      </c>
      <c r="P14" s="53">
        <v>453.40000000000003</v>
      </c>
      <c r="Q14" s="53">
        <v>226.70000000000002</v>
      </c>
      <c r="R14" s="53"/>
      <c r="S14" s="53">
        <v>226.70000000000002</v>
      </c>
      <c r="T14" s="15">
        <v>453.40000000000003</v>
      </c>
      <c r="U14" s="15">
        <v>226.70000000000002</v>
      </c>
    </row>
    <row r="15" spans="1:28" x14ac:dyDescent="0.55000000000000004">
      <c r="D15" s="173"/>
      <c r="F15" s="49">
        <v>37377</v>
      </c>
      <c r="G15" s="52">
        <v>80.400000000000006</v>
      </c>
      <c r="H15" s="52">
        <v>160.80000000000001</v>
      </c>
      <c r="I15" s="52">
        <v>80.400000000000006</v>
      </c>
      <c r="N15" s="37"/>
      <c r="O15" s="53">
        <v>237.4</v>
      </c>
      <c r="P15" s="53">
        <v>474.8</v>
      </c>
      <c r="Q15" s="53">
        <v>237.4</v>
      </c>
      <c r="R15" s="53"/>
      <c r="S15" s="53">
        <v>237.4</v>
      </c>
      <c r="T15" s="15">
        <v>474.8</v>
      </c>
      <c r="U15" s="15">
        <v>237.4</v>
      </c>
    </row>
    <row r="16" spans="1:28" x14ac:dyDescent="0.55000000000000004">
      <c r="D16" s="46"/>
      <c r="F16" s="49">
        <v>37408</v>
      </c>
      <c r="G16" s="52">
        <v>77.5</v>
      </c>
      <c r="H16" s="52">
        <v>155</v>
      </c>
      <c r="I16" s="52">
        <v>77.5</v>
      </c>
      <c r="N16" s="37"/>
      <c r="O16" s="53">
        <v>237.5</v>
      </c>
      <c r="P16" s="53">
        <v>475</v>
      </c>
      <c r="Q16" s="53">
        <v>237.5</v>
      </c>
      <c r="R16" s="53"/>
      <c r="S16" s="53">
        <v>237.5</v>
      </c>
      <c r="T16" s="15">
        <v>475</v>
      </c>
      <c r="U16" s="15">
        <v>237.5</v>
      </c>
    </row>
    <row r="17" spans="6:28" x14ac:dyDescent="0.55000000000000004">
      <c r="F17" s="49">
        <v>37438</v>
      </c>
      <c r="G17" s="52">
        <v>83.3</v>
      </c>
      <c r="H17" s="52">
        <v>166.6</v>
      </c>
      <c r="I17" s="52">
        <v>83.3</v>
      </c>
      <c r="N17" s="37"/>
      <c r="O17" s="53">
        <v>241.2</v>
      </c>
      <c r="P17" s="53">
        <v>482.4</v>
      </c>
      <c r="Q17" s="53">
        <v>241.2</v>
      </c>
      <c r="R17" s="53"/>
      <c r="S17" s="53">
        <v>241.2</v>
      </c>
      <c r="T17" s="15">
        <v>482.4</v>
      </c>
      <c r="U17" s="15">
        <v>241.2</v>
      </c>
    </row>
    <row r="18" spans="6:28" x14ac:dyDescent="0.55000000000000004">
      <c r="F18" s="49">
        <v>37469</v>
      </c>
      <c r="G18" s="52">
        <v>83.6</v>
      </c>
      <c r="H18" s="52">
        <v>167.2</v>
      </c>
      <c r="I18" s="52">
        <v>83.6</v>
      </c>
      <c r="N18" s="37"/>
      <c r="O18" s="53">
        <v>244.4</v>
      </c>
      <c r="P18" s="53">
        <v>488.8</v>
      </c>
      <c r="Q18" s="53">
        <v>244.4</v>
      </c>
      <c r="R18" s="53"/>
      <c r="S18" s="53">
        <v>244.4</v>
      </c>
      <c r="T18" s="15">
        <v>488.8</v>
      </c>
      <c r="U18" s="15">
        <v>244.4</v>
      </c>
    </row>
    <row r="19" spans="6:28" s="21" customFormat="1" ht="14.25" x14ac:dyDescent="0.45">
      <c r="F19" s="49">
        <v>37500</v>
      </c>
      <c r="G19" s="52">
        <v>82.1</v>
      </c>
      <c r="H19" s="52">
        <v>164.2</v>
      </c>
      <c r="I19" s="52">
        <v>82.1</v>
      </c>
      <c r="J19"/>
      <c r="K19"/>
      <c r="L19"/>
      <c r="M19"/>
      <c r="N19" s="37"/>
      <c r="O19" s="53">
        <v>248.99999999999997</v>
      </c>
      <c r="P19" s="53">
        <v>497.99999999999994</v>
      </c>
      <c r="Q19" s="53">
        <v>248.99999999999997</v>
      </c>
      <c r="R19" s="53"/>
      <c r="S19" s="53">
        <v>248.99999999999997</v>
      </c>
      <c r="T19" s="15">
        <v>497.99999999999994</v>
      </c>
      <c r="U19" s="15">
        <v>248.99999999999997</v>
      </c>
      <c r="V19" s="15"/>
      <c r="W19" s="15"/>
      <c r="X19" s="15"/>
      <c r="Y19" s="15"/>
      <c r="Z19" s="15"/>
      <c r="AA19" s="15"/>
      <c r="AB19" s="15"/>
    </row>
    <row r="20" spans="6:28" s="21" customFormat="1" ht="14.25" x14ac:dyDescent="0.45">
      <c r="F20" s="49">
        <v>37530</v>
      </c>
      <c r="G20" s="52">
        <v>89.2</v>
      </c>
      <c r="H20" s="52">
        <v>178.4</v>
      </c>
      <c r="I20" s="52">
        <v>89.2</v>
      </c>
      <c r="J20"/>
      <c r="K20"/>
      <c r="L20"/>
      <c r="M20"/>
      <c r="N20" s="37"/>
      <c r="O20" s="53">
        <v>254.89999999999998</v>
      </c>
      <c r="P20" s="53">
        <v>509.79999999999995</v>
      </c>
      <c r="Q20" s="53">
        <v>254.89999999999998</v>
      </c>
      <c r="R20" s="53"/>
      <c r="S20" s="53">
        <v>254.89999999999998</v>
      </c>
      <c r="T20" s="15">
        <v>509.79999999999995</v>
      </c>
      <c r="U20" s="15">
        <v>254.89999999999998</v>
      </c>
      <c r="V20" s="15"/>
      <c r="W20" s="15"/>
      <c r="X20" s="15"/>
      <c r="Y20" s="15"/>
      <c r="Z20" s="15"/>
      <c r="AA20" s="15"/>
      <c r="AB20" s="15"/>
    </row>
    <row r="21" spans="6:28" s="21" customFormat="1" ht="14.25" x14ac:dyDescent="0.45">
      <c r="F21" s="49">
        <v>37561</v>
      </c>
      <c r="G21" s="52">
        <v>83.9</v>
      </c>
      <c r="H21" s="52">
        <v>167.8</v>
      </c>
      <c r="I21" s="52">
        <v>83.9</v>
      </c>
      <c r="J21"/>
      <c r="K21"/>
      <c r="L21"/>
      <c r="M21"/>
      <c r="N21" s="37"/>
      <c r="O21" s="53">
        <v>255.20000000000002</v>
      </c>
      <c r="P21" s="53">
        <v>510.40000000000003</v>
      </c>
      <c r="Q21" s="53">
        <v>255.20000000000002</v>
      </c>
      <c r="R21" s="53"/>
      <c r="S21" s="53">
        <v>255.20000000000002</v>
      </c>
      <c r="T21" s="15">
        <v>510.40000000000003</v>
      </c>
      <c r="U21" s="15">
        <v>255.20000000000002</v>
      </c>
      <c r="V21" s="15"/>
      <c r="W21" s="15"/>
      <c r="X21" s="15"/>
      <c r="Y21" s="15"/>
      <c r="Z21" s="15"/>
      <c r="AA21" s="15"/>
      <c r="AB21" s="15"/>
    </row>
    <row r="22" spans="6:28" s="21" customFormat="1" ht="14.25" x14ac:dyDescent="0.45">
      <c r="F22" s="49">
        <v>37591</v>
      </c>
      <c r="G22" s="52">
        <v>74.599999999999994</v>
      </c>
      <c r="H22" s="52">
        <v>149.19999999999999</v>
      </c>
      <c r="I22" s="52">
        <v>74.599999999999994</v>
      </c>
      <c r="J22"/>
      <c r="K22"/>
      <c r="L22"/>
      <c r="M22"/>
      <c r="N22" s="37"/>
      <c r="O22" s="53">
        <v>247.70000000000002</v>
      </c>
      <c r="P22" s="53">
        <v>495.40000000000003</v>
      </c>
      <c r="Q22" s="53">
        <v>247.70000000000002</v>
      </c>
      <c r="R22" s="53"/>
      <c r="S22" s="53">
        <v>247.70000000000002</v>
      </c>
      <c r="T22" s="15">
        <v>495.40000000000003</v>
      </c>
      <c r="U22" s="15">
        <v>247.70000000000002</v>
      </c>
      <c r="V22" s="15"/>
      <c r="W22" s="15"/>
      <c r="X22" s="15"/>
      <c r="Y22" s="15"/>
      <c r="Z22" s="15"/>
      <c r="AA22" s="15"/>
      <c r="AB22" s="15"/>
    </row>
    <row r="23" spans="6:28" s="21" customFormat="1" ht="14.25" x14ac:dyDescent="0.45">
      <c r="F23" s="49">
        <v>37622</v>
      </c>
      <c r="G23" s="52">
        <v>74</v>
      </c>
      <c r="H23" s="52">
        <v>148</v>
      </c>
      <c r="I23" s="52">
        <v>74</v>
      </c>
      <c r="J23"/>
      <c r="K23"/>
      <c r="L23"/>
      <c r="M23"/>
      <c r="N23" s="37"/>
      <c r="O23" s="53">
        <v>232.5</v>
      </c>
      <c r="P23" s="53">
        <v>465</v>
      </c>
      <c r="Q23" s="53">
        <v>232.5</v>
      </c>
      <c r="R23" s="53"/>
      <c r="S23" s="53">
        <v>232.5</v>
      </c>
      <c r="T23" s="15">
        <v>465</v>
      </c>
      <c r="U23" s="15">
        <v>232.5</v>
      </c>
      <c r="V23" s="15"/>
      <c r="W23" s="15"/>
      <c r="X23" s="15"/>
      <c r="Y23" s="15"/>
      <c r="Z23" s="15"/>
      <c r="AA23" s="15"/>
      <c r="AB23" s="15"/>
    </row>
    <row r="24" spans="6:28" s="21" customFormat="1" ht="14.25" x14ac:dyDescent="0.45">
      <c r="F24" s="49">
        <v>37653</v>
      </c>
      <c r="G24" s="52">
        <v>71.8</v>
      </c>
      <c r="H24" s="52">
        <v>143.6</v>
      </c>
      <c r="I24" s="52">
        <v>71.8</v>
      </c>
      <c r="J24"/>
      <c r="K24"/>
      <c r="L24"/>
      <c r="M24"/>
      <c r="N24" s="37"/>
      <c r="O24" s="53">
        <v>220.39999999999998</v>
      </c>
      <c r="P24" s="53">
        <v>440.79999999999995</v>
      </c>
      <c r="Q24" s="53">
        <v>220.39999999999998</v>
      </c>
      <c r="R24" s="53"/>
      <c r="S24" s="53">
        <v>220.39999999999998</v>
      </c>
      <c r="T24" s="15">
        <v>440.79999999999995</v>
      </c>
      <c r="U24" s="15">
        <v>220.39999999999998</v>
      </c>
      <c r="V24" s="15"/>
      <c r="W24" s="15"/>
      <c r="X24" s="15"/>
      <c r="Y24" s="15"/>
      <c r="Z24" s="15"/>
      <c r="AA24" s="15"/>
      <c r="AB24" s="15"/>
    </row>
    <row r="25" spans="6:28" s="21" customFormat="1" ht="14.25" x14ac:dyDescent="0.45">
      <c r="F25" s="49">
        <v>37681</v>
      </c>
      <c r="G25" s="52">
        <v>77.400000000000006</v>
      </c>
      <c r="H25" s="52">
        <v>154.80000000000001</v>
      </c>
      <c r="I25" s="52">
        <v>77.400000000000006</v>
      </c>
      <c r="J25"/>
      <c r="K25"/>
      <c r="L25"/>
      <c r="M25"/>
      <c r="N25" s="37"/>
      <c r="O25" s="53">
        <v>223.20000000000002</v>
      </c>
      <c r="P25" s="53">
        <v>446.40000000000003</v>
      </c>
      <c r="Q25" s="53">
        <v>223.20000000000002</v>
      </c>
      <c r="R25" s="53"/>
      <c r="S25" s="53">
        <v>223.20000000000002</v>
      </c>
      <c r="T25" s="15">
        <v>446.40000000000003</v>
      </c>
      <c r="U25" s="15">
        <v>223.20000000000002</v>
      </c>
      <c r="V25" s="15"/>
      <c r="W25" s="15"/>
      <c r="X25" s="15"/>
      <c r="Y25" s="15"/>
      <c r="Z25" s="15"/>
      <c r="AA25" s="15"/>
      <c r="AB25" s="15"/>
    </row>
    <row r="26" spans="6:28" s="21" customFormat="1" ht="14.25" x14ac:dyDescent="0.45">
      <c r="F26" s="49">
        <v>37712</v>
      </c>
      <c r="G26" s="52">
        <v>76.5</v>
      </c>
      <c r="H26" s="52">
        <v>153</v>
      </c>
      <c r="I26" s="52">
        <v>76.5</v>
      </c>
      <c r="J26"/>
      <c r="K26"/>
      <c r="L26"/>
      <c r="M26"/>
      <c r="N26" s="37"/>
      <c r="O26" s="53">
        <v>225.7</v>
      </c>
      <c r="P26" s="53">
        <v>451.4</v>
      </c>
      <c r="Q26" s="53">
        <v>225.7</v>
      </c>
      <c r="R26" s="53"/>
      <c r="S26" s="53">
        <v>225.7</v>
      </c>
      <c r="T26" s="15">
        <v>451.4</v>
      </c>
      <c r="U26" s="15">
        <v>225.7</v>
      </c>
      <c r="V26" s="15"/>
      <c r="W26" s="15"/>
      <c r="X26" s="15"/>
      <c r="Y26" s="15"/>
      <c r="Z26" s="15"/>
      <c r="AA26" s="15"/>
      <c r="AB26" s="15"/>
    </row>
    <row r="27" spans="6:28" s="21" customFormat="1" ht="14.25" x14ac:dyDescent="0.45">
      <c r="F27" s="49">
        <v>37742</v>
      </c>
      <c r="G27" s="52">
        <v>79.7</v>
      </c>
      <c r="H27" s="52">
        <v>159.4</v>
      </c>
      <c r="I27" s="52">
        <v>79.7</v>
      </c>
      <c r="J27"/>
      <c r="K27"/>
      <c r="L27"/>
      <c r="M27"/>
      <c r="N27" s="37"/>
      <c r="O27" s="53">
        <v>233.60000000000002</v>
      </c>
      <c r="P27" s="53">
        <v>467.20000000000005</v>
      </c>
      <c r="Q27" s="53">
        <v>233.60000000000002</v>
      </c>
      <c r="R27" s="53"/>
      <c r="S27" s="53">
        <v>233.60000000000002</v>
      </c>
      <c r="T27" s="15">
        <v>467.20000000000005</v>
      </c>
      <c r="U27" s="15">
        <v>233.60000000000002</v>
      </c>
      <c r="V27" s="15"/>
      <c r="W27" s="15"/>
      <c r="X27" s="15"/>
      <c r="Y27" s="15"/>
      <c r="Z27" s="15"/>
      <c r="AA27" s="15"/>
      <c r="AB27" s="15"/>
    </row>
    <row r="28" spans="6:28" s="21" customFormat="1" ht="14.25" x14ac:dyDescent="0.45">
      <c r="F28" s="49">
        <v>37773</v>
      </c>
      <c r="G28" s="52">
        <v>76.3</v>
      </c>
      <c r="H28" s="52">
        <v>152.6</v>
      </c>
      <c r="I28" s="52">
        <v>76.3</v>
      </c>
      <c r="J28"/>
      <c r="K28"/>
      <c r="L28"/>
      <c r="M28"/>
      <c r="N28" s="37"/>
      <c r="O28" s="53">
        <v>232.5</v>
      </c>
      <c r="P28" s="53">
        <v>465</v>
      </c>
      <c r="Q28" s="53">
        <v>232.5</v>
      </c>
      <c r="R28" s="53"/>
      <c r="S28" s="53">
        <v>232.5</v>
      </c>
      <c r="T28" s="15">
        <v>465</v>
      </c>
      <c r="U28" s="15">
        <v>232.5</v>
      </c>
      <c r="V28" s="15"/>
      <c r="W28" s="15"/>
      <c r="X28" s="15"/>
      <c r="Y28" s="15"/>
      <c r="Z28" s="15"/>
      <c r="AA28" s="15"/>
      <c r="AB28" s="15"/>
    </row>
    <row r="29" spans="6:28" s="21" customFormat="1" ht="14.25" x14ac:dyDescent="0.45">
      <c r="F29" s="49">
        <v>37803</v>
      </c>
      <c r="G29" s="52">
        <v>81.3</v>
      </c>
      <c r="H29" s="52">
        <v>162.6</v>
      </c>
      <c r="I29" s="52">
        <v>81.3</v>
      </c>
      <c r="J29"/>
      <c r="K29"/>
      <c r="L29"/>
      <c r="M29"/>
      <c r="N29" s="37"/>
      <c r="O29" s="53">
        <v>237.3</v>
      </c>
      <c r="P29" s="53">
        <v>474.6</v>
      </c>
      <c r="Q29" s="53">
        <v>237.3</v>
      </c>
      <c r="R29" s="53"/>
      <c r="S29" s="53">
        <v>237.3</v>
      </c>
      <c r="T29" s="15">
        <v>474.6</v>
      </c>
      <c r="U29" s="15">
        <v>237.3</v>
      </c>
      <c r="V29" s="15"/>
      <c r="W29" s="15"/>
      <c r="X29" s="15"/>
      <c r="Y29" s="15"/>
      <c r="Z29" s="15"/>
      <c r="AA29" s="15"/>
      <c r="AB29" s="15"/>
    </row>
    <row r="30" spans="6:28" s="21" customFormat="1" ht="14.25" x14ac:dyDescent="0.45">
      <c r="F30" s="49">
        <v>37834</v>
      </c>
      <c r="G30" s="52">
        <v>81.599999999999994</v>
      </c>
      <c r="H30" s="52">
        <v>163.19999999999999</v>
      </c>
      <c r="I30" s="52">
        <v>81.599999999999994</v>
      </c>
      <c r="J30"/>
      <c r="K30"/>
      <c r="L30"/>
      <c r="M30"/>
      <c r="N30" s="37"/>
      <c r="O30" s="53">
        <v>239.2</v>
      </c>
      <c r="P30" s="53">
        <v>478.4</v>
      </c>
      <c r="Q30" s="53">
        <v>239.2</v>
      </c>
      <c r="R30" s="53"/>
      <c r="S30" s="53">
        <v>239.2</v>
      </c>
      <c r="T30" s="15">
        <v>478.4</v>
      </c>
      <c r="U30" s="15">
        <v>239.2</v>
      </c>
      <c r="V30" s="15"/>
      <c r="W30" s="15"/>
      <c r="X30" s="15"/>
      <c r="Y30" s="15"/>
      <c r="Z30" s="15"/>
      <c r="AA30" s="15"/>
      <c r="AB30" s="15"/>
    </row>
    <row r="31" spans="6:28" s="21" customFormat="1" ht="14.25" x14ac:dyDescent="0.45">
      <c r="F31" s="49">
        <v>37865</v>
      </c>
      <c r="G31" s="52">
        <v>85.7</v>
      </c>
      <c r="H31" s="52">
        <v>171.4</v>
      </c>
      <c r="I31" s="52">
        <v>85.7</v>
      </c>
      <c r="J31"/>
      <c r="K31"/>
      <c r="L31"/>
      <c r="M31"/>
      <c r="N31" s="37"/>
      <c r="O31" s="53">
        <v>248.59999999999997</v>
      </c>
      <c r="P31" s="53">
        <v>497.19999999999993</v>
      </c>
      <c r="Q31" s="53">
        <v>248.59999999999997</v>
      </c>
      <c r="R31" s="53"/>
      <c r="S31" s="53">
        <v>248.59999999999997</v>
      </c>
      <c r="T31" s="15">
        <v>497.19999999999993</v>
      </c>
      <c r="U31" s="15">
        <v>248.59999999999997</v>
      </c>
      <c r="V31" s="15"/>
      <c r="W31" s="15"/>
      <c r="X31" s="15"/>
      <c r="Y31" s="15"/>
      <c r="Z31" s="15"/>
      <c r="AA31" s="15"/>
      <c r="AB31" s="15"/>
    </row>
    <row r="32" spans="6:28" s="21" customFormat="1" ht="14.25" x14ac:dyDescent="0.45">
      <c r="F32" s="49">
        <v>37895</v>
      </c>
      <c r="G32" s="52">
        <v>90</v>
      </c>
      <c r="H32" s="52">
        <v>180</v>
      </c>
      <c r="I32" s="52">
        <v>90</v>
      </c>
      <c r="J32"/>
      <c r="K32"/>
      <c r="L32"/>
      <c r="M32"/>
      <c r="N32" s="37"/>
      <c r="O32" s="53">
        <v>257.3</v>
      </c>
      <c r="P32" s="53">
        <v>514.6</v>
      </c>
      <c r="Q32" s="53">
        <v>257.3</v>
      </c>
      <c r="R32" s="53"/>
      <c r="S32" s="53">
        <v>257.3</v>
      </c>
      <c r="T32" s="15">
        <v>514.6</v>
      </c>
      <c r="U32" s="15">
        <v>257.3</v>
      </c>
      <c r="V32" s="15"/>
      <c r="W32" s="15"/>
      <c r="X32" s="15"/>
      <c r="Y32" s="15"/>
      <c r="Z32" s="15"/>
      <c r="AA32" s="15"/>
      <c r="AB32" s="15"/>
    </row>
    <row r="33" spans="6:28" s="21" customFormat="1" ht="14.25" x14ac:dyDescent="0.45">
      <c r="F33" s="49">
        <v>37926</v>
      </c>
      <c r="G33" s="52">
        <v>84.6</v>
      </c>
      <c r="H33" s="52">
        <v>169.2</v>
      </c>
      <c r="I33" s="52">
        <v>84.6</v>
      </c>
      <c r="J33"/>
      <c r="K33"/>
      <c r="L33"/>
      <c r="M33"/>
      <c r="N33" s="37"/>
      <c r="O33" s="53">
        <v>260.29999999999995</v>
      </c>
      <c r="P33" s="53">
        <v>520.59999999999991</v>
      </c>
      <c r="Q33" s="53">
        <v>260.29999999999995</v>
      </c>
      <c r="R33" s="53"/>
      <c r="S33" s="53">
        <v>260.29999999999995</v>
      </c>
      <c r="T33" s="15">
        <v>520.59999999999991</v>
      </c>
      <c r="U33" s="15">
        <v>260.29999999999995</v>
      </c>
      <c r="V33" s="15"/>
      <c r="W33" s="15"/>
      <c r="X33" s="15"/>
      <c r="Y33" s="15"/>
      <c r="Z33" s="15"/>
      <c r="AA33" s="15"/>
      <c r="AB33" s="15"/>
    </row>
    <row r="34" spans="6:28" s="21" customFormat="1" ht="14.25" x14ac:dyDescent="0.45">
      <c r="F34" s="49">
        <v>37956</v>
      </c>
      <c r="G34" s="52">
        <v>77.900000000000006</v>
      </c>
      <c r="H34" s="52">
        <v>155.80000000000001</v>
      </c>
      <c r="I34" s="52">
        <v>77.900000000000006</v>
      </c>
      <c r="J34"/>
      <c r="K34"/>
      <c r="L34"/>
      <c r="M34"/>
      <c r="N34" s="37"/>
      <c r="O34" s="53">
        <v>252.5</v>
      </c>
      <c r="P34" s="53">
        <v>505</v>
      </c>
      <c r="Q34" s="53">
        <v>252.5</v>
      </c>
      <c r="R34" s="53"/>
      <c r="S34" s="53">
        <v>252.5</v>
      </c>
      <c r="T34" s="15">
        <v>505</v>
      </c>
      <c r="U34" s="15">
        <v>252.5</v>
      </c>
      <c r="V34" s="15"/>
      <c r="W34" s="15"/>
      <c r="X34" s="15"/>
      <c r="Y34" s="15"/>
      <c r="Z34" s="15"/>
      <c r="AA34" s="15"/>
      <c r="AB34" s="15"/>
    </row>
    <row r="35" spans="6:28" s="21" customFormat="1" ht="14.25" x14ac:dyDescent="0.45">
      <c r="F35" s="49">
        <v>37987</v>
      </c>
      <c r="G35" s="52">
        <v>76.8</v>
      </c>
      <c r="H35" s="52">
        <v>153.6</v>
      </c>
      <c r="I35" s="52">
        <v>76.8</v>
      </c>
      <c r="J35"/>
      <c r="K35"/>
      <c r="L35"/>
      <c r="M35"/>
      <c r="N35" s="37"/>
      <c r="O35" s="53">
        <v>239.3</v>
      </c>
      <c r="P35" s="53">
        <v>478.6</v>
      </c>
      <c r="Q35" s="53">
        <v>239.3</v>
      </c>
      <c r="R35" s="53"/>
      <c r="S35" s="53">
        <v>239.3</v>
      </c>
      <c r="T35" s="15">
        <v>478.6</v>
      </c>
      <c r="U35" s="15">
        <v>239.3</v>
      </c>
      <c r="V35" s="15"/>
      <c r="W35" s="15"/>
      <c r="X35" s="15"/>
      <c r="Y35" s="15"/>
      <c r="Z35" s="15"/>
      <c r="AA35" s="15"/>
      <c r="AB35" s="15"/>
    </row>
    <row r="36" spans="6:28" s="21" customFormat="1" ht="14.25" x14ac:dyDescent="0.45">
      <c r="F36" s="49">
        <v>38018</v>
      </c>
      <c r="G36" s="52">
        <v>74</v>
      </c>
      <c r="H36" s="52">
        <v>148</v>
      </c>
      <c r="I36" s="52">
        <v>74</v>
      </c>
      <c r="J36"/>
      <c r="K36"/>
      <c r="L36"/>
      <c r="M36"/>
      <c r="N36" s="37"/>
      <c r="O36" s="53">
        <v>228.7</v>
      </c>
      <c r="P36" s="53">
        <v>457.4</v>
      </c>
      <c r="Q36" s="53">
        <v>228.7</v>
      </c>
      <c r="R36" s="53"/>
      <c r="S36" s="53">
        <v>228.7</v>
      </c>
      <c r="T36" s="15">
        <v>457.4</v>
      </c>
      <c r="U36" s="15">
        <v>228.7</v>
      </c>
      <c r="V36" s="15"/>
      <c r="W36" s="15"/>
      <c r="X36" s="15"/>
      <c r="Y36" s="15"/>
      <c r="Z36" s="15"/>
      <c r="AA36" s="15"/>
      <c r="AB36" s="15"/>
    </row>
    <row r="37" spans="6:28" s="21" customFormat="1" ht="14.25" x14ac:dyDescent="0.45">
      <c r="F37" s="49">
        <v>38047</v>
      </c>
      <c r="G37" s="52">
        <v>86.9</v>
      </c>
      <c r="H37" s="52">
        <v>173.8</v>
      </c>
      <c r="I37" s="52">
        <v>86.9</v>
      </c>
      <c r="J37"/>
      <c r="K37"/>
      <c r="L37"/>
      <c r="M37"/>
      <c r="N37" s="37"/>
      <c r="O37" s="53">
        <v>237.70000000000002</v>
      </c>
      <c r="P37" s="53">
        <v>475.40000000000003</v>
      </c>
      <c r="Q37" s="53">
        <v>237.70000000000002</v>
      </c>
      <c r="R37" s="53"/>
      <c r="S37" s="53">
        <v>237.70000000000002</v>
      </c>
      <c r="T37" s="15">
        <v>475.40000000000003</v>
      </c>
      <c r="U37" s="15">
        <v>237.70000000000002</v>
      </c>
      <c r="V37" s="15"/>
      <c r="W37" s="15"/>
      <c r="X37" s="15"/>
      <c r="Y37" s="15"/>
      <c r="Z37" s="15"/>
      <c r="AA37" s="15"/>
      <c r="AB37" s="15"/>
    </row>
    <row r="38" spans="6:28" s="21" customFormat="1" ht="14.25" x14ac:dyDescent="0.45">
      <c r="F38" s="49">
        <v>38078</v>
      </c>
      <c r="G38" s="52">
        <v>82.2</v>
      </c>
      <c r="H38" s="52">
        <v>164.4</v>
      </c>
      <c r="I38" s="52">
        <v>82.2</v>
      </c>
      <c r="J38"/>
      <c r="K38"/>
      <c r="L38"/>
      <c r="M38"/>
      <c r="N38" s="37"/>
      <c r="O38" s="53">
        <v>243.10000000000002</v>
      </c>
      <c r="P38" s="53">
        <v>486.20000000000005</v>
      </c>
      <c r="Q38" s="53">
        <v>243.10000000000002</v>
      </c>
      <c r="R38" s="53"/>
      <c r="S38" s="53">
        <v>243.10000000000002</v>
      </c>
      <c r="T38" s="15">
        <v>486.20000000000005</v>
      </c>
      <c r="U38" s="15">
        <v>243.10000000000002</v>
      </c>
      <c r="V38" s="15"/>
      <c r="W38" s="15"/>
      <c r="X38" s="15"/>
      <c r="Y38" s="15"/>
      <c r="Z38" s="15"/>
      <c r="AA38" s="15"/>
      <c r="AB38" s="15"/>
    </row>
    <row r="39" spans="6:28" s="21" customFormat="1" ht="14.25" x14ac:dyDescent="0.45">
      <c r="F39" s="49">
        <v>38108</v>
      </c>
      <c r="G39" s="52">
        <v>86.3</v>
      </c>
      <c r="H39" s="52">
        <v>172.6</v>
      </c>
      <c r="I39" s="52">
        <v>86.3</v>
      </c>
      <c r="J39"/>
      <c r="K39"/>
      <c r="L39"/>
      <c r="M39"/>
      <c r="N39" s="37"/>
      <c r="O39" s="53">
        <v>255.40000000000003</v>
      </c>
      <c r="P39" s="53">
        <v>510.80000000000007</v>
      </c>
      <c r="Q39" s="53">
        <v>255.40000000000003</v>
      </c>
      <c r="R39" s="53"/>
      <c r="S39" s="53">
        <v>255.40000000000003</v>
      </c>
      <c r="T39" s="15">
        <v>510.80000000000007</v>
      </c>
      <c r="U39" s="15">
        <v>255.40000000000003</v>
      </c>
      <c r="V39" s="15"/>
      <c r="W39" s="15"/>
      <c r="X39" s="15"/>
      <c r="Y39" s="15"/>
      <c r="Z39" s="15"/>
      <c r="AA39" s="15"/>
      <c r="AB39" s="15"/>
    </row>
    <row r="40" spans="6:28" s="21" customFormat="1" ht="14.25" x14ac:dyDescent="0.45">
      <c r="F40" s="49">
        <v>38139</v>
      </c>
      <c r="G40" s="52">
        <v>86.1</v>
      </c>
      <c r="H40" s="52">
        <v>172.2</v>
      </c>
      <c r="I40" s="52">
        <v>86.1</v>
      </c>
      <c r="J40"/>
      <c r="K40"/>
      <c r="L40"/>
      <c r="M40"/>
      <c r="N40" s="37"/>
      <c r="O40" s="53">
        <v>254.6</v>
      </c>
      <c r="P40" s="53">
        <v>509.2</v>
      </c>
      <c r="Q40" s="53">
        <v>254.6</v>
      </c>
      <c r="R40" s="53"/>
      <c r="S40" s="53">
        <v>254.6</v>
      </c>
      <c r="T40" s="15">
        <v>509.2</v>
      </c>
      <c r="U40" s="15">
        <v>254.6</v>
      </c>
      <c r="V40" s="15"/>
      <c r="W40" s="15"/>
      <c r="X40" s="15"/>
      <c r="Y40" s="15"/>
      <c r="Z40" s="15"/>
      <c r="AA40" s="15"/>
      <c r="AB40" s="15"/>
    </row>
    <row r="41" spans="6:28" s="21" customFormat="1" ht="14.25" x14ac:dyDescent="0.45">
      <c r="F41" s="49">
        <v>38169</v>
      </c>
      <c r="G41" s="52">
        <v>90.1</v>
      </c>
      <c r="H41" s="52">
        <v>180.2</v>
      </c>
      <c r="I41" s="52">
        <v>90.1</v>
      </c>
      <c r="J41"/>
      <c r="K41"/>
      <c r="L41"/>
      <c r="M41"/>
      <c r="N41" s="37"/>
      <c r="O41" s="53">
        <v>262.5</v>
      </c>
      <c r="P41" s="53">
        <v>525</v>
      </c>
      <c r="Q41" s="53">
        <v>262.5</v>
      </c>
      <c r="R41" s="53"/>
      <c r="S41" s="53">
        <v>262.5</v>
      </c>
      <c r="T41" s="15">
        <v>525</v>
      </c>
      <c r="U41" s="15">
        <v>262.5</v>
      </c>
      <c r="V41" s="15"/>
      <c r="W41" s="15"/>
      <c r="X41" s="15"/>
      <c r="Y41" s="15"/>
      <c r="Z41" s="15"/>
      <c r="AA41" s="15"/>
      <c r="AB41" s="15"/>
    </row>
    <row r="42" spans="6:28" s="21" customFormat="1" ht="14.25" x14ac:dyDescent="0.45">
      <c r="F42" s="49">
        <v>38200</v>
      </c>
      <c r="G42" s="52">
        <v>92.1</v>
      </c>
      <c r="H42" s="52">
        <v>184.2</v>
      </c>
      <c r="I42" s="52">
        <v>92.1</v>
      </c>
      <c r="J42"/>
      <c r="K42"/>
      <c r="L42"/>
      <c r="M42"/>
      <c r="N42" s="37"/>
      <c r="O42" s="53">
        <v>268.29999999999995</v>
      </c>
      <c r="P42" s="53">
        <v>536.59999999999991</v>
      </c>
      <c r="Q42" s="53">
        <v>268.29999999999995</v>
      </c>
      <c r="R42" s="53"/>
      <c r="S42" s="53">
        <v>268.29999999999995</v>
      </c>
      <c r="T42" s="15">
        <v>536.59999999999991</v>
      </c>
      <c r="U42" s="15">
        <v>268.29999999999995</v>
      </c>
      <c r="V42" s="15"/>
      <c r="W42" s="15"/>
      <c r="X42" s="15"/>
      <c r="Y42" s="15"/>
      <c r="Z42" s="15"/>
      <c r="AA42" s="15"/>
      <c r="AB42" s="15"/>
    </row>
    <row r="43" spans="6:28" s="21" customFormat="1" ht="14.25" x14ac:dyDescent="0.45">
      <c r="F43" s="49">
        <v>38231</v>
      </c>
      <c r="G43" s="52">
        <v>92.1</v>
      </c>
      <c r="H43" s="52">
        <v>184.2</v>
      </c>
      <c r="I43" s="52">
        <v>92.1</v>
      </c>
      <c r="J43"/>
      <c r="K43"/>
      <c r="L43"/>
      <c r="M43"/>
      <c r="N43" s="37"/>
      <c r="O43" s="53">
        <v>274.29999999999995</v>
      </c>
      <c r="P43" s="53">
        <v>548.59999999999991</v>
      </c>
      <c r="Q43" s="53">
        <v>274.29999999999995</v>
      </c>
      <c r="R43" s="53"/>
      <c r="S43" s="53">
        <v>274.29999999999995</v>
      </c>
      <c r="T43" s="15">
        <v>548.59999999999991</v>
      </c>
      <c r="U43" s="15">
        <v>274.29999999999995</v>
      </c>
      <c r="V43" s="15"/>
      <c r="W43" s="15"/>
      <c r="X43" s="15"/>
      <c r="Y43" s="15"/>
      <c r="Z43" s="15"/>
      <c r="AA43" s="15"/>
      <c r="AB43" s="15"/>
    </row>
    <row r="44" spans="6:28" s="21" customFormat="1" ht="14.25" x14ac:dyDescent="0.45">
      <c r="F44" s="49">
        <v>38261</v>
      </c>
      <c r="G44" s="52">
        <v>93.5</v>
      </c>
      <c r="H44" s="52">
        <v>187</v>
      </c>
      <c r="I44" s="52">
        <v>93.5</v>
      </c>
      <c r="J44"/>
      <c r="K44"/>
      <c r="L44"/>
      <c r="M44"/>
      <c r="N44" s="37"/>
      <c r="O44" s="53">
        <v>277.7</v>
      </c>
      <c r="P44" s="53">
        <v>555.4</v>
      </c>
      <c r="Q44" s="53">
        <v>277.7</v>
      </c>
      <c r="R44" s="53"/>
      <c r="S44" s="53">
        <v>277.7</v>
      </c>
      <c r="T44" s="15">
        <v>555.4</v>
      </c>
      <c r="U44" s="15">
        <v>277.7</v>
      </c>
      <c r="V44" s="15"/>
      <c r="W44" s="15"/>
      <c r="X44" s="15"/>
      <c r="Y44" s="15"/>
      <c r="Z44" s="15"/>
      <c r="AA44" s="15"/>
      <c r="AB44" s="15"/>
    </row>
    <row r="45" spans="6:28" s="21" customFormat="1" ht="14.25" x14ac:dyDescent="0.45">
      <c r="F45" s="49">
        <v>38292</v>
      </c>
      <c r="G45" s="52">
        <v>91.8</v>
      </c>
      <c r="H45" s="52">
        <v>183.6</v>
      </c>
      <c r="I45" s="52">
        <v>91.8</v>
      </c>
      <c r="J45"/>
      <c r="K45"/>
      <c r="L45"/>
      <c r="M45"/>
      <c r="N45" s="37"/>
      <c r="O45" s="53">
        <v>277.39999999999998</v>
      </c>
      <c r="P45" s="53">
        <v>554.79999999999995</v>
      </c>
      <c r="Q45" s="53">
        <v>277.39999999999998</v>
      </c>
      <c r="R45" s="53"/>
      <c r="S45" s="53">
        <v>277.39999999999998</v>
      </c>
      <c r="T45" s="15">
        <v>554.79999999999995</v>
      </c>
      <c r="U45" s="15">
        <v>277.39999999999998</v>
      </c>
      <c r="V45" s="15"/>
      <c r="W45" s="15"/>
      <c r="X45" s="15"/>
      <c r="Y45" s="15"/>
      <c r="Z45" s="15"/>
      <c r="AA45" s="15"/>
      <c r="AB45" s="15"/>
    </row>
    <row r="46" spans="6:28" s="21" customFormat="1" ht="14.25" x14ac:dyDescent="0.45">
      <c r="F46" s="49">
        <v>38322</v>
      </c>
      <c r="G46" s="52">
        <v>84.7</v>
      </c>
      <c r="H46" s="52">
        <v>169.4</v>
      </c>
      <c r="I46" s="52">
        <v>84.7</v>
      </c>
      <c r="J46"/>
      <c r="K46"/>
      <c r="L46"/>
      <c r="M46"/>
      <c r="N46" s="37"/>
      <c r="O46" s="53">
        <v>270</v>
      </c>
      <c r="P46" s="53">
        <v>540</v>
      </c>
      <c r="Q46" s="53">
        <v>270</v>
      </c>
      <c r="R46" s="53"/>
      <c r="S46" s="53">
        <v>270</v>
      </c>
      <c r="T46" s="15">
        <v>540</v>
      </c>
      <c r="U46" s="15">
        <v>270</v>
      </c>
      <c r="V46" s="15"/>
      <c r="W46" s="15"/>
      <c r="X46" s="15"/>
      <c r="Y46" s="15"/>
      <c r="Z46" s="15"/>
      <c r="AA46" s="15"/>
      <c r="AB46" s="15"/>
    </row>
    <row r="47" spans="6:28" s="21" customFormat="1" ht="14.25" x14ac:dyDescent="0.45">
      <c r="F47" s="49">
        <v>38353</v>
      </c>
      <c r="G47" s="52">
        <v>81</v>
      </c>
      <c r="H47" s="52">
        <v>162</v>
      </c>
      <c r="I47" s="52">
        <v>81</v>
      </c>
      <c r="J47"/>
      <c r="K47"/>
      <c r="L47"/>
      <c r="M47"/>
      <c r="N47" s="37"/>
      <c r="O47" s="53">
        <v>257.5</v>
      </c>
      <c r="P47" s="53">
        <v>515</v>
      </c>
      <c r="Q47" s="53">
        <v>257.5</v>
      </c>
      <c r="R47" s="53"/>
      <c r="S47" s="53">
        <v>257.5</v>
      </c>
      <c r="T47" s="15">
        <v>515</v>
      </c>
      <c r="U47" s="15">
        <v>257.5</v>
      </c>
      <c r="V47" s="15"/>
      <c r="W47" s="15"/>
      <c r="X47" s="15"/>
      <c r="Y47" s="15"/>
      <c r="Z47" s="15"/>
      <c r="AA47" s="15"/>
      <c r="AB47" s="15"/>
    </row>
    <row r="48" spans="6:28" s="21" customFormat="1" ht="14.25" x14ac:dyDescent="0.45">
      <c r="F48" s="49">
        <v>38384</v>
      </c>
      <c r="G48" s="52">
        <v>76.400000000000006</v>
      </c>
      <c r="H48" s="52">
        <v>152.80000000000001</v>
      </c>
      <c r="I48" s="52">
        <v>76.400000000000006</v>
      </c>
      <c r="J48"/>
      <c r="K48"/>
      <c r="L48"/>
      <c r="M48"/>
      <c r="N48" s="37"/>
      <c r="O48" s="53">
        <v>242.1</v>
      </c>
      <c r="P48" s="53">
        <v>484.2</v>
      </c>
      <c r="Q48" s="53">
        <v>242.1</v>
      </c>
      <c r="R48" s="53"/>
      <c r="S48" s="53">
        <v>242.1</v>
      </c>
      <c r="T48" s="15">
        <v>484.2</v>
      </c>
      <c r="U48" s="15">
        <v>242.1</v>
      </c>
      <c r="V48" s="15"/>
      <c r="W48" s="15"/>
      <c r="X48" s="15"/>
      <c r="Y48" s="15"/>
      <c r="Z48" s="15"/>
      <c r="AA48" s="15"/>
      <c r="AB48" s="15"/>
    </row>
    <row r="49" spans="6:28" s="21" customFormat="1" ht="14.25" x14ac:dyDescent="0.45">
      <c r="F49" s="49">
        <v>38412</v>
      </c>
      <c r="G49" s="52">
        <v>88</v>
      </c>
      <c r="H49" s="52">
        <v>176</v>
      </c>
      <c r="I49" s="52">
        <v>88</v>
      </c>
      <c r="J49"/>
      <c r="K49"/>
      <c r="L49"/>
      <c r="M49"/>
      <c r="N49" s="37"/>
      <c r="O49" s="53">
        <v>245.4</v>
      </c>
      <c r="P49" s="53">
        <v>490.8</v>
      </c>
      <c r="Q49" s="53">
        <v>245.4</v>
      </c>
      <c r="R49" s="53"/>
      <c r="S49" s="53">
        <v>245.4</v>
      </c>
      <c r="T49" s="15">
        <v>490.8</v>
      </c>
      <c r="U49" s="15">
        <v>245.4</v>
      </c>
      <c r="V49" s="15"/>
      <c r="W49" s="15"/>
      <c r="X49" s="15"/>
      <c r="Y49" s="15"/>
      <c r="Z49" s="15"/>
      <c r="AA49" s="15"/>
      <c r="AB49" s="15"/>
    </row>
    <row r="50" spans="6:28" s="21" customFormat="1" ht="14.25" x14ac:dyDescent="0.45">
      <c r="F50" s="49">
        <v>38443</v>
      </c>
      <c r="G50" s="52">
        <v>87</v>
      </c>
      <c r="H50" s="52">
        <v>174</v>
      </c>
      <c r="I50" s="52">
        <v>87</v>
      </c>
      <c r="J50"/>
      <c r="K50"/>
      <c r="L50"/>
      <c r="M50"/>
      <c r="N50" s="37"/>
      <c r="O50" s="53">
        <v>251.4</v>
      </c>
      <c r="P50" s="53">
        <v>502.8</v>
      </c>
      <c r="Q50" s="53">
        <v>251.4</v>
      </c>
      <c r="R50" s="53"/>
      <c r="S50" s="53">
        <v>251.4</v>
      </c>
      <c r="T50" s="15">
        <v>502.8</v>
      </c>
      <c r="U50" s="15">
        <v>251.4</v>
      </c>
      <c r="V50" s="15"/>
      <c r="W50" s="15"/>
      <c r="X50" s="15"/>
      <c r="Y50" s="15"/>
      <c r="Z50" s="15"/>
      <c r="AA50" s="15"/>
      <c r="AB50" s="15"/>
    </row>
    <row r="51" spans="6:28" s="21" customFormat="1" ht="14.25" x14ac:dyDescent="0.45">
      <c r="F51" s="49">
        <v>38473</v>
      </c>
      <c r="G51" s="52">
        <v>91.1</v>
      </c>
      <c r="H51" s="52">
        <v>182.2</v>
      </c>
      <c r="I51" s="52">
        <v>91.1</v>
      </c>
      <c r="J51"/>
      <c r="K51"/>
      <c r="L51"/>
      <c r="M51"/>
      <c r="N51" s="37"/>
      <c r="O51" s="53">
        <v>266.10000000000002</v>
      </c>
      <c r="P51" s="53">
        <v>532.20000000000005</v>
      </c>
      <c r="Q51" s="53">
        <v>266.10000000000002</v>
      </c>
      <c r="R51" s="53"/>
      <c r="S51" s="53">
        <v>266.10000000000002</v>
      </c>
      <c r="T51" s="15">
        <v>532.20000000000005</v>
      </c>
      <c r="U51" s="15">
        <v>266.10000000000002</v>
      </c>
      <c r="V51" s="15"/>
      <c r="W51" s="15"/>
      <c r="X51" s="15"/>
      <c r="Y51" s="15"/>
      <c r="Z51" s="15"/>
      <c r="AA51" s="15"/>
      <c r="AB51" s="15"/>
    </row>
    <row r="52" spans="6:28" s="21" customFormat="1" ht="14.25" x14ac:dyDescent="0.45">
      <c r="F52" s="49">
        <v>38504</v>
      </c>
      <c r="G52" s="52">
        <v>91.4</v>
      </c>
      <c r="H52" s="52">
        <v>182.8</v>
      </c>
      <c r="I52" s="52">
        <v>91.4</v>
      </c>
      <c r="J52"/>
      <c r="K52"/>
      <c r="L52"/>
      <c r="M52"/>
      <c r="N52" s="37"/>
      <c r="O52" s="53">
        <v>269.5</v>
      </c>
      <c r="P52" s="53">
        <v>539</v>
      </c>
      <c r="Q52" s="53">
        <v>269.5</v>
      </c>
      <c r="R52" s="53"/>
      <c r="S52" s="53">
        <v>269.5</v>
      </c>
      <c r="T52" s="15">
        <v>539</v>
      </c>
      <c r="U52" s="15">
        <v>269.5</v>
      </c>
      <c r="V52" s="15"/>
      <c r="W52" s="15"/>
      <c r="X52" s="15"/>
      <c r="Y52" s="15"/>
      <c r="Z52" s="15"/>
      <c r="AA52" s="15"/>
      <c r="AB52" s="15"/>
    </row>
    <row r="53" spans="6:28" s="21" customFormat="1" ht="14.25" x14ac:dyDescent="0.45">
      <c r="F53" s="49">
        <v>38534</v>
      </c>
      <c r="G53" s="52">
        <v>90.5</v>
      </c>
      <c r="H53" s="52">
        <v>181</v>
      </c>
      <c r="I53" s="52">
        <v>90.5</v>
      </c>
      <c r="J53"/>
      <c r="K53"/>
      <c r="L53"/>
      <c r="M53"/>
      <c r="N53" s="37"/>
      <c r="O53" s="53">
        <v>273</v>
      </c>
      <c r="P53" s="53">
        <v>546</v>
      </c>
      <c r="Q53" s="53">
        <v>273</v>
      </c>
      <c r="R53" s="53"/>
      <c r="S53" s="53">
        <v>273</v>
      </c>
      <c r="T53" s="15">
        <v>546</v>
      </c>
      <c r="U53" s="15">
        <v>273</v>
      </c>
      <c r="V53" s="15"/>
      <c r="W53" s="15"/>
      <c r="X53" s="15"/>
      <c r="Y53" s="15"/>
      <c r="Z53" s="15"/>
      <c r="AA53" s="15"/>
      <c r="AB53" s="15"/>
    </row>
    <row r="54" spans="6:28" s="21" customFormat="1" ht="14.25" x14ac:dyDescent="0.45">
      <c r="F54" s="49">
        <v>38565</v>
      </c>
      <c r="G54" s="52">
        <v>95.6</v>
      </c>
      <c r="H54" s="52">
        <v>191.2</v>
      </c>
      <c r="I54" s="52">
        <v>95.6</v>
      </c>
      <c r="J54"/>
      <c r="K54"/>
      <c r="L54"/>
      <c r="M54"/>
      <c r="N54" s="37"/>
      <c r="O54" s="53">
        <v>277.5</v>
      </c>
      <c r="P54" s="53">
        <v>555</v>
      </c>
      <c r="Q54" s="53">
        <v>277.5</v>
      </c>
      <c r="R54" s="53"/>
      <c r="S54" s="53">
        <v>277.5</v>
      </c>
      <c r="T54" s="15">
        <v>555</v>
      </c>
      <c r="U54" s="15">
        <v>277.5</v>
      </c>
      <c r="V54" s="15"/>
      <c r="W54" s="15"/>
      <c r="X54" s="15"/>
      <c r="Y54" s="15"/>
      <c r="Z54" s="15"/>
      <c r="AA54" s="15"/>
      <c r="AB54" s="15"/>
    </row>
    <row r="55" spans="6:28" s="21" customFormat="1" ht="14.25" x14ac:dyDescent="0.45">
      <c r="F55" s="49">
        <v>38596</v>
      </c>
      <c r="G55" s="52">
        <v>92</v>
      </c>
      <c r="H55" s="52">
        <v>184</v>
      </c>
      <c r="I55" s="52">
        <v>92</v>
      </c>
      <c r="J55"/>
      <c r="K55"/>
      <c r="L55"/>
      <c r="M55"/>
      <c r="N55" s="37"/>
      <c r="O55" s="53">
        <v>278.10000000000002</v>
      </c>
      <c r="P55" s="53">
        <v>556.20000000000005</v>
      </c>
      <c r="Q55" s="53">
        <v>278.10000000000002</v>
      </c>
      <c r="R55" s="53"/>
      <c r="S55" s="53">
        <v>278.10000000000002</v>
      </c>
      <c r="T55" s="15">
        <v>556.20000000000005</v>
      </c>
      <c r="U55" s="15">
        <v>278.10000000000002</v>
      </c>
      <c r="V55" s="15"/>
      <c r="W55" s="15"/>
      <c r="X55" s="15"/>
      <c r="Y55" s="15"/>
      <c r="Z55" s="15"/>
      <c r="AA55" s="15"/>
      <c r="AB55" s="15"/>
    </row>
    <row r="56" spans="6:28" s="21" customFormat="1" ht="14.25" x14ac:dyDescent="0.45">
      <c r="F56" s="49">
        <v>38626</v>
      </c>
      <c r="G56" s="52">
        <v>93.7</v>
      </c>
      <c r="H56" s="52">
        <v>187.4</v>
      </c>
      <c r="I56" s="52">
        <v>93.7</v>
      </c>
      <c r="J56"/>
      <c r="K56"/>
      <c r="L56"/>
      <c r="M56"/>
      <c r="N56" s="37"/>
      <c r="O56" s="53">
        <v>281.3</v>
      </c>
      <c r="P56" s="53">
        <v>562.6</v>
      </c>
      <c r="Q56" s="53">
        <v>281.3</v>
      </c>
      <c r="R56" s="53"/>
      <c r="S56" s="53">
        <v>281.3</v>
      </c>
      <c r="T56" s="15">
        <v>562.6</v>
      </c>
      <c r="U56" s="15">
        <v>281.3</v>
      </c>
      <c r="V56" s="15"/>
      <c r="W56" s="15"/>
      <c r="X56" s="15"/>
      <c r="Y56" s="15"/>
      <c r="Z56" s="15"/>
      <c r="AA56" s="15"/>
      <c r="AB56" s="15"/>
    </row>
    <row r="57" spans="6:28" s="21" customFormat="1" ht="14.25" x14ac:dyDescent="0.45">
      <c r="F57" s="49">
        <v>38657</v>
      </c>
      <c r="G57" s="52">
        <v>92.4</v>
      </c>
      <c r="H57" s="52">
        <v>184.8</v>
      </c>
      <c r="I57" s="52">
        <v>92.4</v>
      </c>
      <c r="J57"/>
      <c r="K57"/>
      <c r="L57"/>
      <c r="M57"/>
      <c r="N57" s="37"/>
      <c r="O57" s="53">
        <v>278.10000000000002</v>
      </c>
      <c r="P57" s="53">
        <v>556.20000000000005</v>
      </c>
      <c r="Q57" s="53">
        <v>278.10000000000002</v>
      </c>
      <c r="R57" s="53"/>
      <c r="S57" s="53">
        <v>278.10000000000002</v>
      </c>
      <c r="T57" s="15">
        <v>556.20000000000005</v>
      </c>
      <c r="U57" s="15">
        <v>278.10000000000002</v>
      </c>
      <c r="V57" s="15"/>
      <c r="W57" s="15"/>
      <c r="X57" s="15"/>
      <c r="Y57" s="15"/>
      <c r="Z57" s="15"/>
      <c r="AA57" s="15"/>
      <c r="AB57" s="15"/>
    </row>
    <row r="58" spans="6:28" s="21" customFormat="1" ht="14.25" x14ac:dyDescent="0.45">
      <c r="F58" s="49">
        <v>38687</v>
      </c>
      <c r="G58" s="52">
        <v>86.6</v>
      </c>
      <c r="H58" s="52">
        <v>173.2</v>
      </c>
      <c r="I58" s="52">
        <v>86.6</v>
      </c>
      <c r="J58"/>
      <c r="K58"/>
      <c r="L58"/>
      <c r="M58"/>
      <c r="N58" s="37"/>
      <c r="O58" s="53">
        <v>272.70000000000005</v>
      </c>
      <c r="P58" s="53">
        <v>545.40000000000009</v>
      </c>
      <c r="Q58" s="53">
        <v>272.70000000000005</v>
      </c>
      <c r="R58" s="53"/>
      <c r="S58" s="53">
        <v>272.70000000000005</v>
      </c>
      <c r="T58" s="15">
        <v>545.40000000000009</v>
      </c>
      <c r="U58" s="15">
        <v>272.70000000000005</v>
      </c>
      <c r="V58" s="15"/>
      <c r="W58" s="15"/>
      <c r="X58" s="15"/>
      <c r="Y58" s="15"/>
      <c r="Z58" s="15"/>
      <c r="AA58" s="15"/>
      <c r="AB58" s="15"/>
    </row>
    <row r="59" spans="6:28" s="21" customFormat="1" ht="14.25" x14ac:dyDescent="0.45">
      <c r="F59" s="49">
        <v>38718</v>
      </c>
      <c r="G59" s="52">
        <v>83.7</v>
      </c>
      <c r="H59" s="52">
        <v>167.4</v>
      </c>
      <c r="I59" s="52">
        <v>83.7</v>
      </c>
      <c r="J59"/>
      <c r="K59"/>
      <c r="L59"/>
      <c r="M59"/>
      <c r="N59" s="37"/>
      <c r="O59" s="53">
        <v>262.7</v>
      </c>
      <c r="P59" s="53">
        <v>525.4</v>
      </c>
      <c r="Q59" s="53">
        <v>262.7</v>
      </c>
      <c r="R59" s="53"/>
      <c r="S59" s="53">
        <v>262.7</v>
      </c>
      <c r="T59" s="15">
        <v>525.4</v>
      </c>
      <c r="U59" s="15">
        <v>262.7</v>
      </c>
      <c r="V59" s="15"/>
      <c r="W59" s="15"/>
      <c r="X59" s="15"/>
      <c r="Y59" s="15"/>
      <c r="Z59" s="15"/>
      <c r="AA59" s="15"/>
      <c r="AB59" s="15"/>
    </row>
    <row r="60" spans="6:28" s="21" customFormat="1" ht="14.25" x14ac:dyDescent="0.45">
      <c r="F60" s="49">
        <v>38749</v>
      </c>
      <c r="G60" s="52">
        <v>80.2</v>
      </c>
      <c r="H60" s="52">
        <v>160.4</v>
      </c>
      <c r="I60" s="52">
        <v>80.2</v>
      </c>
      <c r="J60"/>
      <c r="K60"/>
      <c r="L60"/>
      <c r="M60"/>
      <c r="N60" s="37"/>
      <c r="O60" s="53">
        <v>250.5</v>
      </c>
      <c r="P60" s="53">
        <v>501</v>
      </c>
      <c r="Q60" s="53">
        <v>250.5</v>
      </c>
      <c r="R60" s="53"/>
      <c r="S60" s="53">
        <v>250.5</v>
      </c>
      <c r="T60" s="15">
        <v>501</v>
      </c>
      <c r="U60" s="15">
        <v>250.5</v>
      </c>
      <c r="V60" s="15"/>
      <c r="W60" s="15"/>
      <c r="X60" s="15"/>
      <c r="Y60" s="15"/>
      <c r="Z60" s="15"/>
      <c r="AA60" s="15"/>
      <c r="AB60" s="15"/>
    </row>
    <row r="61" spans="6:28" s="21" customFormat="1" ht="14.25" x14ac:dyDescent="0.45">
      <c r="F61" s="49">
        <v>38777</v>
      </c>
      <c r="G61" s="52">
        <v>92.4</v>
      </c>
      <c r="H61" s="52">
        <v>184.8</v>
      </c>
      <c r="I61" s="52">
        <v>92.4</v>
      </c>
      <c r="J61"/>
      <c r="K61"/>
      <c r="L61"/>
      <c r="M61"/>
      <c r="N61" s="37"/>
      <c r="O61" s="53">
        <v>256.3</v>
      </c>
      <c r="P61" s="53">
        <v>512.6</v>
      </c>
      <c r="Q61" s="53">
        <v>256.3</v>
      </c>
      <c r="R61" s="53"/>
      <c r="S61" s="53">
        <v>256.3</v>
      </c>
      <c r="T61" s="15">
        <v>512.6</v>
      </c>
      <c r="U61" s="15">
        <v>256.3</v>
      </c>
      <c r="V61" s="15"/>
      <c r="W61" s="15"/>
      <c r="X61" s="15"/>
      <c r="Y61" s="15"/>
      <c r="Z61" s="15"/>
      <c r="AA61" s="15"/>
      <c r="AB61" s="15"/>
    </row>
    <row r="62" spans="6:28" s="21" customFormat="1" ht="14.25" x14ac:dyDescent="0.45">
      <c r="F62" s="49">
        <v>38808</v>
      </c>
      <c r="G62" s="52">
        <v>85.7</v>
      </c>
      <c r="H62" s="52">
        <v>171.4</v>
      </c>
      <c r="I62" s="52">
        <v>85.7</v>
      </c>
      <c r="J62"/>
      <c r="K62"/>
      <c r="L62"/>
      <c r="M62"/>
      <c r="N62" s="37"/>
      <c r="O62" s="53">
        <v>258.3</v>
      </c>
      <c r="P62" s="53">
        <v>516.6</v>
      </c>
      <c r="Q62" s="53">
        <v>258.3</v>
      </c>
      <c r="R62" s="53"/>
      <c r="S62" s="53">
        <v>258.3</v>
      </c>
      <c r="T62" s="15">
        <v>516.6</v>
      </c>
      <c r="U62" s="15">
        <v>258.3</v>
      </c>
      <c r="V62" s="15"/>
      <c r="W62" s="15"/>
      <c r="X62" s="15"/>
      <c r="Y62" s="15"/>
      <c r="Z62" s="15"/>
      <c r="AA62" s="15"/>
      <c r="AB62" s="15"/>
    </row>
    <row r="63" spans="6:28" s="21" customFormat="1" ht="14.25" x14ac:dyDescent="0.45">
      <c r="F63" s="49">
        <v>38838</v>
      </c>
      <c r="G63" s="52">
        <v>95.4</v>
      </c>
      <c r="H63" s="52">
        <v>190.8</v>
      </c>
      <c r="I63" s="52">
        <v>95.4</v>
      </c>
      <c r="J63"/>
      <c r="K63"/>
      <c r="L63"/>
      <c r="M63"/>
      <c r="N63" s="37"/>
      <c r="O63" s="53">
        <v>273.5</v>
      </c>
      <c r="P63" s="53">
        <v>547</v>
      </c>
      <c r="Q63" s="53">
        <v>273.5</v>
      </c>
      <c r="R63" s="53"/>
      <c r="S63" s="53">
        <v>273.5</v>
      </c>
      <c r="T63" s="15">
        <v>547</v>
      </c>
      <c r="U63" s="15">
        <v>273.5</v>
      </c>
      <c r="V63" s="15"/>
      <c r="W63" s="15"/>
      <c r="X63" s="15"/>
      <c r="Y63" s="15"/>
      <c r="Z63" s="15"/>
      <c r="AA63" s="15"/>
      <c r="AB63" s="15"/>
    </row>
    <row r="64" spans="6:28" s="21" customFormat="1" ht="14.25" x14ac:dyDescent="0.45">
      <c r="F64" s="49">
        <v>38869</v>
      </c>
      <c r="G64" s="52">
        <v>91.1</v>
      </c>
      <c r="H64" s="52">
        <v>182.2</v>
      </c>
      <c r="I64" s="52">
        <v>91.1</v>
      </c>
      <c r="J64"/>
      <c r="K64"/>
      <c r="L64"/>
      <c r="M64"/>
      <c r="N64" s="37"/>
      <c r="O64" s="53">
        <v>272.20000000000005</v>
      </c>
      <c r="P64" s="53">
        <v>544.40000000000009</v>
      </c>
      <c r="Q64" s="53">
        <v>272.20000000000005</v>
      </c>
      <c r="R64" s="53"/>
      <c r="S64" s="53">
        <v>272.20000000000005</v>
      </c>
      <c r="T64" s="15">
        <v>544.40000000000009</v>
      </c>
      <c r="U64" s="15">
        <v>272.20000000000005</v>
      </c>
      <c r="V64" s="15"/>
      <c r="W64" s="15"/>
      <c r="X64" s="15"/>
      <c r="Y64" s="15"/>
      <c r="Z64" s="15"/>
      <c r="AA64" s="15"/>
      <c r="AB64" s="15"/>
    </row>
    <row r="65" spans="6:28" s="21" customFormat="1" ht="14.25" x14ac:dyDescent="0.45">
      <c r="F65" s="49">
        <v>38899</v>
      </c>
      <c r="G65" s="52">
        <v>93.8</v>
      </c>
      <c r="H65" s="52">
        <v>187.6</v>
      </c>
      <c r="I65" s="52">
        <v>93.8</v>
      </c>
      <c r="J65"/>
      <c r="K65"/>
      <c r="L65"/>
      <c r="M65"/>
      <c r="N65" s="37"/>
      <c r="O65" s="53">
        <v>280.3</v>
      </c>
      <c r="P65" s="53">
        <v>560.6</v>
      </c>
      <c r="Q65" s="53">
        <v>280.3</v>
      </c>
      <c r="R65" s="53"/>
      <c r="S65" s="53">
        <v>280.3</v>
      </c>
      <c r="T65" s="15">
        <v>560.6</v>
      </c>
      <c r="U65" s="15">
        <v>280.3</v>
      </c>
      <c r="V65" s="15"/>
      <c r="W65" s="15"/>
      <c r="X65" s="15"/>
      <c r="Y65" s="15"/>
      <c r="Z65" s="15"/>
      <c r="AA65" s="15"/>
      <c r="AB65" s="15"/>
    </row>
    <row r="66" spans="6:28" s="21" customFormat="1" ht="14.25" x14ac:dyDescent="0.45">
      <c r="F66" s="49">
        <v>38930</v>
      </c>
      <c r="G66" s="52">
        <v>98.6</v>
      </c>
      <c r="H66" s="52">
        <v>197.2</v>
      </c>
      <c r="I66" s="52">
        <v>98.6</v>
      </c>
      <c r="J66"/>
      <c r="K66"/>
      <c r="L66"/>
      <c r="M66"/>
      <c r="N66" s="37"/>
      <c r="O66" s="53">
        <v>283.5</v>
      </c>
      <c r="P66" s="53">
        <v>567</v>
      </c>
      <c r="Q66" s="53">
        <v>283.5</v>
      </c>
      <c r="R66" s="53"/>
      <c r="S66" s="53">
        <v>283.5</v>
      </c>
      <c r="T66" s="15">
        <v>567</v>
      </c>
      <c r="U66" s="15">
        <v>283.5</v>
      </c>
      <c r="V66" s="15"/>
      <c r="W66" s="15"/>
      <c r="X66" s="15"/>
      <c r="Y66" s="15"/>
      <c r="Z66" s="15"/>
      <c r="AA66" s="15"/>
      <c r="AB66" s="15"/>
    </row>
    <row r="67" spans="6:28" s="21" customFormat="1" ht="14.25" x14ac:dyDescent="0.45">
      <c r="F67" s="49">
        <v>38961</v>
      </c>
      <c r="G67" s="52">
        <v>93.2</v>
      </c>
      <c r="H67" s="52">
        <v>186.4</v>
      </c>
      <c r="I67" s="52">
        <v>93.2</v>
      </c>
      <c r="J67"/>
      <c r="K67"/>
      <c r="L67"/>
      <c r="M67"/>
      <c r="N67" s="37"/>
      <c r="O67" s="53">
        <v>285.59999999999997</v>
      </c>
      <c r="P67" s="53">
        <v>571.19999999999993</v>
      </c>
      <c r="Q67" s="53">
        <v>285.59999999999997</v>
      </c>
      <c r="R67" s="53"/>
      <c r="S67" s="53">
        <v>285.59999999999997</v>
      </c>
      <c r="T67" s="15">
        <v>571.19999999999993</v>
      </c>
      <c r="U67" s="15">
        <v>285.59999999999997</v>
      </c>
      <c r="V67" s="15"/>
      <c r="W67" s="15"/>
      <c r="X67" s="15"/>
      <c r="Y67" s="15"/>
      <c r="Z67" s="15"/>
      <c r="AA67" s="15"/>
      <c r="AB67" s="15"/>
    </row>
    <row r="68" spans="6:28" s="21" customFormat="1" ht="14.25" x14ac:dyDescent="0.45">
      <c r="F68" s="49">
        <v>38991</v>
      </c>
      <c r="G68" s="52">
        <v>97.5</v>
      </c>
      <c r="H68" s="52">
        <v>195</v>
      </c>
      <c r="I68" s="52">
        <v>97.5</v>
      </c>
      <c r="J68"/>
      <c r="K68"/>
      <c r="L68"/>
      <c r="M68"/>
      <c r="N68" s="37"/>
      <c r="O68" s="53">
        <v>289.3</v>
      </c>
      <c r="P68" s="53">
        <v>578.6</v>
      </c>
      <c r="Q68" s="53">
        <v>289.3</v>
      </c>
      <c r="R68" s="53"/>
      <c r="S68" s="53">
        <v>289.3</v>
      </c>
      <c r="T68" s="15">
        <v>578.6</v>
      </c>
      <c r="U68" s="15">
        <v>289.3</v>
      </c>
      <c r="V68" s="15"/>
      <c r="W68" s="15"/>
      <c r="X68" s="15"/>
      <c r="Y68" s="15"/>
      <c r="Z68" s="15"/>
      <c r="AA68" s="15"/>
      <c r="AB68" s="15"/>
    </row>
    <row r="69" spans="6:28" s="21" customFormat="1" ht="14.25" x14ac:dyDescent="0.45">
      <c r="F69" s="49">
        <v>39022</v>
      </c>
      <c r="G69" s="52">
        <v>95.9</v>
      </c>
      <c r="H69" s="52">
        <v>191.8</v>
      </c>
      <c r="I69" s="52">
        <v>95.9</v>
      </c>
      <c r="J69"/>
      <c r="K69"/>
      <c r="L69"/>
      <c r="M69"/>
      <c r="N69" s="37"/>
      <c r="O69" s="53">
        <v>286.60000000000002</v>
      </c>
      <c r="P69" s="53">
        <v>573.20000000000005</v>
      </c>
      <c r="Q69" s="53">
        <v>286.60000000000002</v>
      </c>
      <c r="R69" s="53"/>
      <c r="S69" s="53">
        <v>286.60000000000002</v>
      </c>
      <c r="T69" s="15">
        <v>573.20000000000005</v>
      </c>
      <c r="U69" s="15">
        <v>286.60000000000002</v>
      </c>
      <c r="V69" s="15"/>
      <c r="W69" s="15"/>
      <c r="X69" s="15"/>
      <c r="Y69" s="15"/>
      <c r="Z69" s="15"/>
      <c r="AA69" s="15"/>
      <c r="AB69" s="15"/>
    </row>
    <row r="70" spans="6:28" s="21" customFormat="1" ht="14.25" x14ac:dyDescent="0.45">
      <c r="F70" s="49">
        <v>39052</v>
      </c>
      <c r="G70" s="52">
        <v>87</v>
      </c>
      <c r="H70" s="52">
        <v>174</v>
      </c>
      <c r="I70" s="52">
        <v>87</v>
      </c>
      <c r="J70"/>
      <c r="K70"/>
      <c r="L70"/>
      <c r="M70"/>
      <c r="N70" s="37"/>
      <c r="O70" s="53">
        <v>280.39999999999998</v>
      </c>
      <c r="P70" s="53">
        <v>560.79999999999995</v>
      </c>
      <c r="Q70" s="53">
        <v>280.39999999999998</v>
      </c>
      <c r="R70" s="53"/>
      <c r="S70" s="53">
        <v>280.39999999999998</v>
      </c>
      <c r="T70" s="15">
        <v>560.79999999999995</v>
      </c>
      <c r="U70" s="15">
        <v>280.39999999999998</v>
      </c>
      <c r="V70" s="15"/>
      <c r="W70" s="15"/>
      <c r="X70" s="15"/>
      <c r="Y70" s="15"/>
      <c r="Z70" s="15"/>
      <c r="AA70" s="15"/>
      <c r="AB70" s="15"/>
    </row>
    <row r="71" spans="6:28" s="21" customFormat="1" ht="14.25" x14ac:dyDescent="0.45">
      <c r="F71" s="49">
        <v>39083</v>
      </c>
      <c r="G71" s="52">
        <v>87</v>
      </c>
      <c r="H71" s="52">
        <v>174</v>
      </c>
      <c r="I71" s="52">
        <v>87</v>
      </c>
      <c r="J71"/>
      <c r="K71"/>
      <c r="L71"/>
      <c r="M71"/>
      <c r="N71" s="37"/>
      <c r="O71" s="53">
        <v>269.89999999999998</v>
      </c>
      <c r="P71" s="53">
        <v>539.79999999999995</v>
      </c>
      <c r="Q71" s="53">
        <v>269.89999999999998</v>
      </c>
      <c r="R71" s="53"/>
      <c r="S71" s="53">
        <v>269.89999999999998</v>
      </c>
      <c r="T71" s="15">
        <v>539.79999999999995</v>
      </c>
      <c r="U71" s="15">
        <v>269.89999999999998</v>
      </c>
      <c r="V71" s="15"/>
      <c r="W71" s="15"/>
      <c r="X71" s="15"/>
      <c r="Y71" s="15"/>
      <c r="Z71" s="15"/>
      <c r="AA71" s="15"/>
      <c r="AB71" s="15"/>
    </row>
    <row r="72" spans="6:28" s="21" customFormat="1" ht="14.25" x14ac:dyDescent="0.45">
      <c r="F72" s="49">
        <v>39114</v>
      </c>
      <c r="G72" s="52">
        <v>82.6</v>
      </c>
      <c r="H72" s="52">
        <v>165.2</v>
      </c>
      <c r="I72" s="52">
        <v>82.6</v>
      </c>
      <c r="J72"/>
      <c r="K72"/>
      <c r="L72"/>
      <c r="M72"/>
      <c r="N72" s="37"/>
      <c r="O72" s="53">
        <v>256.60000000000002</v>
      </c>
      <c r="P72" s="53">
        <v>513.20000000000005</v>
      </c>
      <c r="Q72" s="53">
        <v>256.60000000000002</v>
      </c>
      <c r="R72" s="53"/>
      <c r="S72" s="53">
        <v>256.60000000000002</v>
      </c>
      <c r="T72" s="15">
        <v>513.20000000000005</v>
      </c>
      <c r="U72" s="15">
        <v>256.60000000000002</v>
      </c>
      <c r="V72" s="15"/>
      <c r="W72" s="15"/>
      <c r="X72" s="15"/>
      <c r="Y72" s="15"/>
      <c r="Z72" s="15"/>
      <c r="AA72" s="15"/>
      <c r="AB72" s="15"/>
    </row>
    <row r="73" spans="6:28" s="21" customFormat="1" ht="14.25" x14ac:dyDescent="0.45">
      <c r="F73" s="49">
        <v>39142</v>
      </c>
      <c r="G73" s="52">
        <v>96.4</v>
      </c>
      <c r="H73" s="52">
        <v>192.8</v>
      </c>
      <c r="I73" s="52">
        <v>96.4</v>
      </c>
      <c r="J73"/>
      <c r="K73"/>
      <c r="L73"/>
      <c r="M73"/>
      <c r="N73" s="37"/>
      <c r="O73" s="53">
        <v>266</v>
      </c>
      <c r="P73" s="53">
        <v>532</v>
      </c>
      <c r="Q73" s="53">
        <v>266</v>
      </c>
      <c r="R73" s="53"/>
      <c r="S73" s="53">
        <v>266</v>
      </c>
      <c r="T73" s="15">
        <v>532</v>
      </c>
      <c r="U73" s="15">
        <v>266</v>
      </c>
      <c r="V73" s="15"/>
      <c r="W73" s="15"/>
      <c r="X73" s="15"/>
      <c r="Y73" s="15"/>
      <c r="Z73" s="15"/>
      <c r="AA73" s="15"/>
      <c r="AB73" s="15"/>
    </row>
    <row r="74" spans="6:28" s="21" customFormat="1" ht="14.25" x14ac:dyDescent="0.45">
      <c r="F74" s="49">
        <v>39173</v>
      </c>
      <c r="G74" s="52">
        <v>90.6</v>
      </c>
      <c r="H74" s="52">
        <v>181.2</v>
      </c>
      <c r="I74" s="52">
        <v>90.6</v>
      </c>
      <c r="J74"/>
      <c r="K74"/>
      <c r="L74"/>
      <c r="M74"/>
      <c r="N74" s="37"/>
      <c r="O74" s="53">
        <v>269.60000000000002</v>
      </c>
      <c r="P74" s="53">
        <v>539.20000000000005</v>
      </c>
      <c r="Q74" s="53">
        <v>269.60000000000002</v>
      </c>
      <c r="R74" s="53"/>
      <c r="S74" s="53">
        <v>269.60000000000002</v>
      </c>
      <c r="T74" s="15">
        <v>539.20000000000005</v>
      </c>
      <c r="U74" s="15">
        <v>269.60000000000002</v>
      </c>
      <c r="V74" s="15"/>
      <c r="W74" s="15"/>
      <c r="X74" s="15"/>
      <c r="Y74" s="15"/>
      <c r="Z74" s="15"/>
      <c r="AA74" s="15"/>
      <c r="AB74" s="15"/>
    </row>
    <row r="75" spans="6:28" s="21" customFormat="1" ht="14.25" x14ac:dyDescent="0.45">
      <c r="F75" s="49">
        <v>39203</v>
      </c>
      <c r="G75" s="52">
        <v>99.9</v>
      </c>
      <c r="H75" s="52">
        <v>199.8</v>
      </c>
      <c r="I75" s="52">
        <v>99.9</v>
      </c>
      <c r="J75"/>
      <c r="K75"/>
      <c r="L75"/>
      <c r="M75"/>
      <c r="N75" s="37"/>
      <c r="O75" s="53">
        <v>286.89999999999998</v>
      </c>
      <c r="P75" s="53">
        <v>573.79999999999995</v>
      </c>
      <c r="Q75" s="53">
        <v>286.89999999999998</v>
      </c>
      <c r="R75" s="53"/>
      <c r="S75" s="53">
        <v>286.89999999999998</v>
      </c>
      <c r="T75" s="15">
        <v>573.79999999999995</v>
      </c>
      <c r="U75" s="15">
        <v>286.89999999999998</v>
      </c>
      <c r="V75" s="15"/>
      <c r="W75" s="15"/>
      <c r="X75" s="15"/>
      <c r="Y75" s="15"/>
      <c r="Z75" s="15"/>
      <c r="AA75" s="15"/>
      <c r="AB75" s="15"/>
    </row>
    <row r="76" spans="6:28" s="21" customFormat="1" ht="14.25" x14ac:dyDescent="0.45">
      <c r="F76" s="49">
        <v>39234</v>
      </c>
      <c r="G76" s="52">
        <v>96.9</v>
      </c>
      <c r="H76" s="52">
        <v>193.8</v>
      </c>
      <c r="I76" s="52">
        <v>96.9</v>
      </c>
      <c r="J76"/>
      <c r="K76"/>
      <c r="L76"/>
      <c r="M76"/>
      <c r="N76" s="37"/>
      <c r="O76" s="53">
        <v>287.39999999999998</v>
      </c>
      <c r="P76" s="53">
        <v>574.79999999999995</v>
      </c>
      <c r="Q76" s="53">
        <v>287.39999999999998</v>
      </c>
      <c r="R76" s="53"/>
      <c r="S76" s="53">
        <v>287.39999999999998</v>
      </c>
      <c r="T76" s="15">
        <v>574.79999999999995</v>
      </c>
      <c r="U76" s="15">
        <v>287.39999999999998</v>
      </c>
      <c r="V76" s="15"/>
      <c r="W76" s="15"/>
      <c r="X76" s="15"/>
      <c r="Y76" s="15"/>
      <c r="Z76" s="15"/>
      <c r="AA76" s="15"/>
      <c r="AB76" s="15"/>
    </row>
    <row r="77" spans="6:28" s="21" customFormat="1" ht="14.25" x14ac:dyDescent="0.45">
      <c r="F77" s="49">
        <v>39264</v>
      </c>
      <c r="G77" s="52">
        <v>99.8</v>
      </c>
      <c r="H77" s="52">
        <v>199.6</v>
      </c>
      <c r="I77" s="52">
        <v>99.8</v>
      </c>
      <c r="J77"/>
      <c r="K77"/>
      <c r="L77"/>
      <c r="M77"/>
      <c r="N77" s="37"/>
      <c r="O77" s="53">
        <v>296.60000000000002</v>
      </c>
      <c r="P77" s="53">
        <v>593.20000000000005</v>
      </c>
      <c r="Q77" s="53">
        <v>296.60000000000002</v>
      </c>
      <c r="R77" s="53"/>
      <c r="S77" s="53">
        <v>296.60000000000002</v>
      </c>
      <c r="T77" s="15">
        <v>593.20000000000005</v>
      </c>
      <c r="U77" s="15">
        <v>296.60000000000002</v>
      </c>
      <c r="V77" s="15"/>
      <c r="W77" s="15"/>
      <c r="X77" s="15"/>
      <c r="Y77" s="15"/>
      <c r="Z77" s="15"/>
      <c r="AA77" s="15"/>
      <c r="AB77" s="15"/>
    </row>
    <row r="78" spans="6:28" s="21" customFormat="1" ht="14.25" x14ac:dyDescent="0.45">
      <c r="F78" s="49">
        <v>39295</v>
      </c>
      <c r="G78" s="52">
        <v>104.9</v>
      </c>
      <c r="H78" s="52">
        <v>209.8</v>
      </c>
      <c r="I78" s="52">
        <v>104.9</v>
      </c>
      <c r="J78"/>
      <c r="K78"/>
      <c r="L78"/>
      <c r="M78"/>
      <c r="N78" s="37"/>
      <c r="O78" s="53">
        <v>301.60000000000002</v>
      </c>
      <c r="P78" s="53">
        <v>603.20000000000005</v>
      </c>
      <c r="Q78" s="53">
        <v>301.60000000000002</v>
      </c>
      <c r="R78" s="53"/>
      <c r="S78" s="53">
        <v>301.60000000000002</v>
      </c>
      <c r="T78" s="15">
        <v>603.20000000000005</v>
      </c>
      <c r="U78" s="15">
        <v>301.60000000000002</v>
      </c>
      <c r="V78" s="15"/>
      <c r="W78" s="15"/>
      <c r="X78" s="15"/>
      <c r="Y78" s="15"/>
      <c r="Z78" s="15"/>
      <c r="AA78" s="15"/>
      <c r="AB78" s="15"/>
    </row>
    <row r="79" spans="6:28" s="21" customFormat="1" ht="14.25" x14ac:dyDescent="0.45">
      <c r="F79" s="49">
        <v>39326</v>
      </c>
      <c r="G79" s="52">
        <v>98.4</v>
      </c>
      <c r="H79" s="52">
        <v>196.8</v>
      </c>
      <c r="I79" s="52">
        <v>98.4</v>
      </c>
      <c r="J79"/>
      <c r="K79"/>
      <c r="L79"/>
      <c r="M79"/>
      <c r="N79" s="37"/>
      <c r="O79" s="53">
        <v>303.10000000000002</v>
      </c>
      <c r="P79" s="53">
        <v>606.20000000000005</v>
      </c>
      <c r="Q79" s="53">
        <v>303.10000000000002</v>
      </c>
      <c r="R79" s="53"/>
      <c r="S79" s="53">
        <v>303.10000000000002</v>
      </c>
      <c r="T79" s="15">
        <v>606.20000000000005</v>
      </c>
      <c r="U79" s="15">
        <v>303.10000000000002</v>
      </c>
      <c r="V79" s="15"/>
      <c r="W79" s="15"/>
      <c r="X79" s="15"/>
      <c r="Y79" s="15"/>
      <c r="Z79" s="15"/>
      <c r="AA79" s="15"/>
      <c r="AB79" s="15"/>
    </row>
    <row r="80" spans="6:28" s="21" customFormat="1" ht="14.25" x14ac:dyDescent="0.45">
      <c r="F80" s="49">
        <v>39356</v>
      </c>
      <c r="G80" s="52">
        <v>107.8</v>
      </c>
      <c r="H80" s="52">
        <v>215.6</v>
      </c>
      <c r="I80" s="52">
        <v>107.8</v>
      </c>
      <c r="J80"/>
      <c r="K80"/>
      <c r="L80"/>
      <c r="M80"/>
      <c r="N80" s="37"/>
      <c r="O80" s="53">
        <v>311.10000000000002</v>
      </c>
      <c r="P80" s="53">
        <v>622.20000000000005</v>
      </c>
      <c r="Q80" s="53">
        <v>311.10000000000002</v>
      </c>
      <c r="R80" s="53"/>
      <c r="S80" s="53">
        <v>311.10000000000002</v>
      </c>
      <c r="T80" s="15">
        <v>622.20000000000005</v>
      </c>
      <c r="U80" s="15">
        <v>311.10000000000002</v>
      </c>
      <c r="V80" s="15"/>
      <c r="W80" s="15"/>
      <c r="X80" s="15"/>
      <c r="Y80" s="15"/>
      <c r="Z80" s="15"/>
      <c r="AA80" s="15"/>
      <c r="AB80" s="15"/>
    </row>
    <row r="81" spans="6:28" s="21" customFormat="1" ht="14.25" x14ac:dyDescent="0.45">
      <c r="F81" s="49">
        <v>39387</v>
      </c>
      <c r="G81" s="52">
        <v>102.4</v>
      </c>
      <c r="H81" s="52">
        <v>204.8</v>
      </c>
      <c r="I81" s="52">
        <v>102.4</v>
      </c>
      <c r="J81"/>
      <c r="K81"/>
      <c r="L81"/>
      <c r="M81"/>
      <c r="N81" s="37"/>
      <c r="O81" s="53">
        <v>308.60000000000002</v>
      </c>
      <c r="P81" s="53">
        <v>617.20000000000005</v>
      </c>
      <c r="Q81" s="53">
        <v>308.60000000000002</v>
      </c>
      <c r="R81" s="53"/>
      <c r="S81" s="53">
        <v>308.60000000000002</v>
      </c>
      <c r="T81" s="15">
        <v>617.20000000000005</v>
      </c>
      <c r="U81" s="15">
        <v>308.60000000000002</v>
      </c>
      <c r="V81" s="15"/>
      <c r="W81" s="15"/>
      <c r="X81" s="15"/>
      <c r="Y81" s="15"/>
      <c r="Z81" s="15"/>
      <c r="AA81" s="15"/>
      <c r="AB81" s="15"/>
    </row>
    <row r="82" spans="6:28" s="21" customFormat="1" ht="14.25" x14ac:dyDescent="0.45">
      <c r="F82" s="49">
        <v>39417</v>
      </c>
      <c r="G82" s="52">
        <v>92.6</v>
      </c>
      <c r="H82" s="52">
        <v>185.2</v>
      </c>
      <c r="I82" s="52">
        <v>92.6</v>
      </c>
      <c r="J82"/>
      <c r="K82"/>
      <c r="L82"/>
      <c r="M82"/>
      <c r="N82" s="37"/>
      <c r="O82" s="53">
        <v>302.79999999999995</v>
      </c>
      <c r="P82" s="53">
        <v>605.59999999999991</v>
      </c>
      <c r="Q82" s="53">
        <v>302.79999999999995</v>
      </c>
      <c r="R82" s="53"/>
      <c r="S82" s="53">
        <v>302.79999999999995</v>
      </c>
      <c r="T82" s="15">
        <v>605.59999999999991</v>
      </c>
      <c r="U82" s="15">
        <v>302.79999999999995</v>
      </c>
      <c r="V82" s="15"/>
      <c r="W82" s="15"/>
      <c r="X82" s="15"/>
      <c r="Y82" s="15"/>
      <c r="Z82" s="15"/>
      <c r="AA82" s="15"/>
      <c r="AB82" s="15"/>
    </row>
    <row r="83" spans="6:28" s="21" customFormat="1" ht="14.25" x14ac:dyDescent="0.45">
      <c r="F83" s="49">
        <v>39448</v>
      </c>
      <c r="G83" s="52">
        <v>94.8</v>
      </c>
      <c r="H83" s="52">
        <v>189.6</v>
      </c>
      <c r="I83" s="52">
        <v>94.8</v>
      </c>
      <c r="J83"/>
      <c r="K83"/>
      <c r="L83"/>
      <c r="M83"/>
      <c r="N83" s="37"/>
      <c r="O83" s="53">
        <v>289.8</v>
      </c>
      <c r="P83" s="53">
        <v>579.6</v>
      </c>
      <c r="Q83" s="53">
        <v>289.8</v>
      </c>
      <c r="R83" s="53"/>
      <c r="S83" s="53">
        <v>289.8</v>
      </c>
      <c r="T83" s="15">
        <v>579.6</v>
      </c>
      <c r="U83" s="15">
        <v>289.8</v>
      </c>
      <c r="V83" s="15"/>
      <c r="W83" s="15"/>
      <c r="X83" s="15"/>
      <c r="Y83" s="15"/>
      <c r="Z83" s="15"/>
      <c r="AA83" s="15"/>
      <c r="AB83" s="15"/>
    </row>
    <row r="84" spans="6:28" s="21" customFormat="1" ht="14.25" x14ac:dyDescent="0.45">
      <c r="F84" s="49">
        <v>39479</v>
      </c>
      <c r="G84" s="52">
        <v>91.1</v>
      </c>
      <c r="H84" s="52">
        <v>182.2</v>
      </c>
      <c r="I84" s="52">
        <v>91.1</v>
      </c>
      <c r="J84"/>
      <c r="K84"/>
      <c r="L84"/>
      <c r="M84"/>
      <c r="N84" s="37"/>
      <c r="O84" s="53">
        <v>278.5</v>
      </c>
      <c r="P84" s="53">
        <v>557</v>
      </c>
      <c r="Q84" s="53">
        <v>278.5</v>
      </c>
      <c r="R84" s="53"/>
      <c r="S84" s="53">
        <v>278.5</v>
      </c>
      <c r="T84" s="15">
        <v>557</v>
      </c>
      <c r="U84" s="15">
        <v>278.5</v>
      </c>
      <c r="V84" s="15"/>
      <c r="W84" s="15"/>
      <c r="X84" s="15"/>
      <c r="Y84" s="15"/>
      <c r="Z84" s="15"/>
      <c r="AA84" s="15"/>
      <c r="AB84" s="15"/>
    </row>
    <row r="85" spans="6:28" s="21" customFormat="1" ht="14.25" x14ac:dyDescent="0.45">
      <c r="F85" s="49">
        <v>39508</v>
      </c>
      <c r="G85" s="52">
        <v>97.7</v>
      </c>
      <c r="H85" s="52">
        <v>195.4</v>
      </c>
      <c r="I85" s="52">
        <v>97.7</v>
      </c>
      <c r="J85"/>
      <c r="K85"/>
      <c r="L85"/>
      <c r="M85"/>
      <c r="N85" s="37"/>
      <c r="O85" s="53">
        <v>283.59999999999997</v>
      </c>
      <c r="P85" s="53">
        <v>567.19999999999993</v>
      </c>
      <c r="Q85" s="53">
        <v>283.59999999999997</v>
      </c>
      <c r="R85" s="53"/>
      <c r="S85" s="53">
        <v>283.59999999999997</v>
      </c>
      <c r="T85" s="15">
        <v>567.19999999999993</v>
      </c>
      <c r="U85" s="15">
        <v>283.59999999999997</v>
      </c>
      <c r="V85" s="15"/>
      <c r="W85" s="15"/>
      <c r="X85" s="15"/>
      <c r="Y85" s="15"/>
      <c r="Z85" s="15"/>
      <c r="AA85" s="15"/>
      <c r="AB85" s="15"/>
    </row>
    <row r="86" spans="6:28" s="21" customFormat="1" ht="14.25" x14ac:dyDescent="0.45">
      <c r="F86" s="49">
        <v>39539</v>
      </c>
      <c r="G86" s="52">
        <v>99.2</v>
      </c>
      <c r="H86" s="52">
        <v>198.4</v>
      </c>
      <c r="I86" s="52">
        <v>99.2</v>
      </c>
      <c r="J86"/>
      <c r="K86"/>
      <c r="L86"/>
      <c r="M86"/>
      <c r="N86" s="37"/>
      <c r="O86" s="53">
        <v>288</v>
      </c>
      <c r="P86" s="53">
        <v>576</v>
      </c>
      <c r="Q86" s="53">
        <v>288</v>
      </c>
      <c r="R86" s="53"/>
      <c r="S86" s="53">
        <v>288</v>
      </c>
      <c r="T86" s="15">
        <v>576</v>
      </c>
      <c r="U86" s="15">
        <v>288</v>
      </c>
      <c r="V86" s="15"/>
      <c r="W86" s="15"/>
      <c r="X86" s="15"/>
      <c r="Y86" s="15"/>
      <c r="Z86" s="15"/>
      <c r="AA86" s="15"/>
      <c r="AB86" s="15"/>
    </row>
    <row r="87" spans="6:28" s="21" customFormat="1" ht="14.25" x14ac:dyDescent="0.45">
      <c r="F87" s="49">
        <v>39569</v>
      </c>
      <c r="G87" s="52">
        <v>102.5</v>
      </c>
      <c r="H87" s="52">
        <v>205</v>
      </c>
      <c r="I87" s="52">
        <v>102.5</v>
      </c>
      <c r="J87"/>
      <c r="K87"/>
      <c r="L87"/>
      <c r="M87"/>
      <c r="N87" s="37"/>
      <c r="O87" s="53">
        <v>299.39999999999998</v>
      </c>
      <c r="P87" s="53">
        <v>598.79999999999995</v>
      </c>
      <c r="Q87" s="53">
        <v>299.39999999999998</v>
      </c>
      <c r="R87" s="53"/>
      <c r="S87" s="53">
        <v>299.39999999999998</v>
      </c>
      <c r="T87" s="15">
        <v>598.79999999999995</v>
      </c>
      <c r="U87" s="15">
        <v>299.39999999999998</v>
      </c>
      <c r="V87" s="15"/>
      <c r="W87" s="15"/>
      <c r="X87" s="15"/>
      <c r="Y87" s="15"/>
      <c r="Z87" s="15"/>
      <c r="AA87" s="15"/>
      <c r="AB87" s="15"/>
    </row>
    <row r="88" spans="6:28" s="21" customFormat="1" ht="14.25" x14ac:dyDescent="0.45">
      <c r="F88" s="49">
        <v>39600</v>
      </c>
      <c r="G88" s="52">
        <v>103.3</v>
      </c>
      <c r="H88" s="52">
        <v>206.6</v>
      </c>
      <c r="I88" s="52">
        <v>103.3</v>
      </c>
      <c r="J88"/>
      <c r="K88"/>
      <c r="L88"/>
      <c r="M88"/>
      <c r="N88" s="37"/>
      <c r="O88" s="53">
        <v>305</v>
      </c>
      <c r="P88" s="53">
        <v>610</v>
      </c>
      <c r="Q88" s="53">
        <v>305</v>
      </c>
      <c r="R88" s="53"/>
      <c r="S88" s="53">
        <v>305</v>
      </c>
      <c r="T88" s="15">
        <v>610</v>
      </c>
      <c r="U88" s="15">
        <v>305</v>
      </c>
      <c r="V88" s="15"/>
      <c r="W88" s="15"/>
      <c r="X88" s="15"/>
      <c r="Y88" s="15"/>
      <c r="Z88" s="15"/>
      <c r="AA88" s="15"/>
      <c r="AB88" s="15"/>
    </row>
    <row r="89" spans="6:28" s="21" customFormat="1" ht="14.25" x14ac:dyDescent="0.45">
      <c r="F89" s="49">
        <v>39630</v>
      </c>
      <c r="G89" s="52">
        <v>108.5</v>
      </c>
      <c r="H89" s="52">
        <v>217</v>
      </c>
      <c r="I89" s="52">
        <v>108.5</v>
      </c>
      <c r="J89"/>
      <c r="K89"/>
      <c r="L89"/>
      <c r="M89"/>
      <c r="N89" s="37"/>
      <c r="O89" s="53">
        <v>314.3</v>
      </c>
      <c r="P89" s="53">
        <v>628.6</v>
      </c>
      <c r="Q89" s="53">
        <v>314.3</v>
      </c>
      <c r="R89" s="53"/>
      <c r="S89" s="53">
        <v>314.3</v>
      </c>
      <c r="T89" s="15">
        <v>628.6</v>
      </c>
      <c r="U89" s="15">
        <v>314.3</v>
      </c>
      <c r="V89" s="15"/>
      <c r="W89" s="15"/>
      <c r="X89" s="15"/>
      <c r="Y89" s="15"/>
      <c r="Z89" s="15"/>
      <c r="AA89" s="15"/>
      <c r="AB89" s="15"/>
    </row>
    <row r="90" spans="6:28" s="21" customFormat="1" ht="14.25" x14ac:dyDescent="0.45">
      <c r="F90" s="49">
        <v>39661</v>
      </c>
      <c r="G90" s="52">
        <v>106.9</v>
      </c>
      <c r="H90" s="52">
        <v>213.8</v>
      </c>
      <c r="I90" s="52">
        <v>106.9</v>
      </c>
      <c r="J90"/>
      <c r="K90"/>
      <c r="L90"/>
      <c r="M90"/>
      <c r="N90" s="37"/>
      <c r="O90" s="53">
        <v>318.70000000000005</v>
      </c>
      <c r="P90" s="53">
        <v>637.40000000000009</v>
      </c>
      <c r="Q90" s="53">
        <v>318.70000000000005</v>
      </c>
      <c r="R90" s="53"/>
      <c r="S90" s="53">
        <v>318.70000000000005</v>
      </c>
      <c r="T90" s="15">
        <v>637.40000000000009</v>
      </c>
      <c r="U90" s="15">
        <v>318.70000000000005</v>
      </c>
      <c r="V90" s="15"/>
      <c r="W90" s="15"/>
      <c r="X90" s="15"/>
      <c r="Y90" s="15"/>
      <c r="Z90" s="15"/>
      <c r="AA90" s="15"/>
      <c r="AB90" s="15"/>
    </row>
    <row r="91" spans="6:28" s="21" customFormat="1" ht="14.25" x14ac:dyDescent="0.45">
      <c r="F91" s="49">
        <v>39692</v>
      </c>
      <c r="G91" s="52">
        <v>107.3</v>
      </c>
      <c r="H91" s="52">
        <v>214.6</v>
      </c>
      <c r="I91" s="52">
        <v>107.3</v>
      </c>
      <c r="J91"/>
      <c r="K91"/>
      <c r="L91"/>
      <c r="M91"/>
      <c r="N91" s="37"/>
      <c r="O91" s="53">
        <v>322.7</v>
      </c>
      <c r="P91" s="53">
        <v>645.4</v>
      </c>
      <c r="Q91" s="53">
        <v>322.7</v>
      </c>
      <c r="R91" s="53"/>
      <c r="S91" s="53">
        <v>322.7</v>
      </c>
      <c r="T91" s="15">
        <v>645.4</v>
      </c>
      <c r="U91" s="15">
        <v>322.7</v>
      </c>
      <c r="V91" s="15"/>
      <c r="W91" s="15"/>
      <c r="X91" s="15"/>
      <c r="Y91" s="15"/>
      <c r="Z91" s="15"/>
      <c r="AA91" s="15"/>
      <c r="AB91" s="15"/>
    </row>
    <row r="92" spans="6:28" s="21" customFormat="1" ht="14.25" x14ac:dyDescent="0.45">
      <c r="F92" s="49">
        <v>39722</v>
      </c>
      <c r="G92" s="52">
        <v>108.4</v>
      </c>
      <c r="H92" s="52">
        <v>216.8</v>
      </c>
      <c r="I92" s="52">
        <v>108.4</v>
      </c>
      <c r="J92"/>
      <c r="K92"/>
      <c r="L92"/>
      <c r="M92"/>
      <c r="N92" s="37"/>
      <c r="O92" s="53">
        <v>322.60000000000002</v>
      </c>
      <c r="P92" s="53">
        <v>645.20000000000005</v>
      </c>
      <c r="Q92" s="53">
        <v>322.60000000000002</v>
      </c>
      <c r="R92" s="53"/>
      <c r="S92" s="53">
        <v>322.60000000000002</v>
      </c>
      <c r="T92" s="15">
        <v>645.20000000000005</v>
      </c>
      <c r="U92" s="15">
        <v>322.60000000000002</v>
      </c>
      <c r="V92" s="15"/>
      <c r="W92" s="15"/>
      <c r="X92" s="15"/>
      <c r="Y92" s="15"/>
      <c r="Z92" s="15"/>
      <c r="AA92" s="15"/>
      <c r="AB92" s="15"/>
    </row>
    <row r="93" spans="6:28" s="21" customFormat="1" ht="14.25" x14ac:dyDescent="0.45">
      <c r="F93" s="49">
        <v>39753</v>
      </c>
      <c r="G93" s="52">
        <v>96.2</v>
      </c>
      <c r="H93" s="52">
        <v>192.4</v>
      </c>
      <c r="I93" s="52">
        <v>96.2</v>
      </c>
      <c r="J93"/>
      <c r="K93"/>
      <c r="L93"/>
      <c r="M93"/>
      <c r="N93" s="37"/>
      <c r="O93" s="53">
        <v>311.89999999999998</v>
      </c>
      <c r="P93" s="53">
        <v>623.79999999999995</v>
      </c>
      <c r="Q93" s="53">
        <v>311.89999999999998</v>
      </c>
      <c r="R93" s="53"/>
      <c r="S93" s="53">
        <v>311.89999999999998</v>
      </c>
      <c r="T93" s="15">
        <v>623.79999999999995</v>
      </c>
      <c r="U93" s="15">
        <v>311.89999999999998</v>
      </c>
      <c r="V93" s="15"/>
      <c r="W93" s="15"/>
      <c r="X93" s="15"/>
      <c r="Y93" s="15"/>
      <c r="Z93" s="15"/>
      <c r="AA93" s="15"/>
      <c r="AB93" s="15"/>
    </row>
    <row r="94" spans="6:28" s="21" customFormat="1" ht="14.25" x14ac:dyDescent="0.45">
      <c r="F94" s="49">
        <v>39783</v>
      </c>
      <c r="G94" s="52">
        <v>79.099999999999994</v>
      </c>
      <c r="H94" s="52">
        <v>158.19999999999999</v>
      </c>
      <c r="I94" s="52">
        <v>79.099999999999994</v>
      </c>
      <c r="J94"/>
      <c r="K94"/>
      <c r="L94"/>
      <c r="M94"/>
      <c r="N94" s="37"/>
      <c r="O94" s="53">
        <v>283.70000000000005</v>
      </c>
      <c r="P94" s="53">
        <v>567.40000000000009</v>
      </c>
      <c r="Q94" s="53">
        <v>283.70000000000005</v>
      </c>
      <c r="R94" s="53"/>
      <c r="S94" s="53">
        <v>283.70000000000005</v>
      </c>
      <c r="T94" s="15">
        <v>567.40000000000009</v>
      </c>
      <c r="U94" s="15">
        <v>283.70000000000005</v>
      </c>
      <c r="V94" s="15"/>
      <c r="W94" s="15"/>
      <c r="X94" s="15"/>
      <c r="Y94" s="15"/>
      <c r="Z94" s="15"/>
      <c r="AA94" s="15"/>
      <c r="AB94" s="15"/>
    </row>
    <row r="95" spans="6:28" s="21" customFormat="1" ht="14.25" x14ac:dyDescent="0.45">
      <c r="F95" s="49">
        <v>39814</v>
      </c>
      <c r="G95" s="52">
        <v>78.7</v>
      </c>
      <c r="H95" s="52">
        <v>157.4</v>
      </c>
      <c r="I95" s="52">
        <v>78.7</v>
      </c>
      <c r="J95"/>
      <c r="K95"/>
      <c r="L95"/>
      <c r="M95"/>
      <c r="N95" s="37"/>
      <c r="O95" s="53">
        <v>254</v>
      </c>
      <c r="P95" s="53">
        <v>508</v>
      </c>
      <c r="Q95" s="53">
        <v>254</v>
      </c>
      <c r="R95" s="53"/>
      <c r="S95" s="53">
        <v>254</v>
      </c>
      <c r="T95" s="15">
        <v>508</v>
      </c>
      <c r="U95" s="15">
        <v>254</v>
      </c>
      <c r="V95" s="15"/>
      <c r="W95" s="15"/>
      <c r="X95" s="15"/>
      <c r="Y95" s="15"/>
      <c r="Z95" s="15"/>
      <c r="AA95" s="15"/>
      <c r="AB95" s="15"/>
    </row>
    <row r="96" spans="6:28" s="21" customFormat="1" ht="14.25" x14ac:dyDescent="0.45">
      <c r="F96" s="49">
        <v>39845</v>
      </c>
      <c r="G96" s="52">
        <v>76.099999999999994</v>
      </c>
      <c r="H96" s="52">
        <v>152.19999999999999</v>
      </c>
      <c r="I96" s="52">
        <v>76.099999999999994</v>
      </c>
      <c r="J96"/>
      <c r="K96"/>
      <c r="L96"/>
      <c r="M96"/>
      <c r="N96" s="37"/>
      <c r="O96" s="53">
        <v>233.9</v>
      </c>
      <c r="P96" s="53">
        <v>467.8</v>
      </c>
      <c r="Q96" s="53">
        <v>233.9</v>
      </c>
      <c r="R96" s="53"/>
      <c r="S96" s="53">
        <v>233.9</v>
      </c>
      <c r="T96" s="15">
        <v>467.8</v>
      </c>
      <c r="U96" s="15">
        <v>233.9</v>
      </c>
      <c r="V96" s="15"/>
      <c r="W96" s="15"/>
      <c r="X96" s="15"/>
      <c r="Y96" s="15"/>
      <c r="Z96" s="15"/>
      <c r="AA96" s="15"/>
      <c r="AB96" s="15"/>
    </row>
    <row r="97" spans="6:28" s="21" customFormat="1" ht="14.25" x14ac:dyDescent="0.45">
      <c r="F97" s="49">
        <v>39873</v>
      </c>
      <c r="G97" s="52">
        <v>88.6</v>
      </c>
      <c r="H97" s="52">
        <v>177.2</v>
      </c>
      <c r="I97" s="52">
        <v>88.6</v>
      </c>
      <c r="J97"/>
      <c r="K97"/>
      <c r="L97"/>
      <c r="M97"/>
      <c r="N97" s="37"/>
      <c r="O97" s="53">
        <v>243.4</v>
      </c>
      <c r="P97" s="53">
        <v>486.8</v>
      </c>
      <c r="Q97" s="53">
        <v>243.4</v>
      </c>
      <c r="R97" s="53"/>
      <c r="S97" s="53">
        <v>243.4</v>
      </c>
      <c r="T97" s="15">
        <v>486.8</v>
      </c>
      <c r="U97" s="15">
        <v>243.4</v>
      </c>
      <c r="V97" s="15"/>
      <c r="W97" s="15"/>
      <c r="X97" s="15"/>
      <c r="Y97" s="15"/>
      <c r="Z97" s="15"/>
      <c r="AA97" s="15"/>
      <c r="AB97" s="15"/>
    </row>
    <row r="98" spans="6:28" s="21" customFormat="1" ht="14.25" x14ac:dyDescent="0.45">
      <c r="F98" s="49">
        <v>39904</v>
      </c>
      <c r="G98" s="52">
        <v>85.2</v>
      </c>
      <c r="H98" s="52">
        <v>170.4</v>
      </c>
      <c r="I98" s="52">
        <v>85.2</v>
      </c>
      <c r="J98"/>
      <c r="K98"/>
      <c r="L98"/>
      <c r="M98"/>
      <c r="N98" s="37"/>
      <c r="O98" s="53">
        <v>249.89999999999998</v>
      </c>
      <c r="P98" s="53">
        <v>499.79999999999995</v>
      </c>
      <c r="Q98" s="53">
        <v>249.89999999999998</v>
      </c>
      <c r="R98" s="53"/>
      <c r="S98" s="53">
        <v>249.89999999999998</v>
      </c>
      <c r="T98" s="15">
        <v>499.79999999999995</v>
      </c>
      <c r="U98" s="15">
        <v>249.89999999999998</v>
      </c>
      <c r="V98" s="15"/>
      <c r="W98" s="15"/>
      <c r="X98" s="15"/>
      <c r="Y98" s="15"/>
      <c r="Z98" s="15"/>
      <c r="AA98" s="15"/>
      <c r="AB98" s="15"/>
    </row>
    <row r="99" spans="6:28" s="21" customFormat="1" ht="14.25" x14ac:dyDescent="0.45">
      <c r="F99" s="49">
        <v>39934</v>
      </c>
      <c r="G99" s="52">
        <v>91.3</v>
      </c>
      <c r="H99" s="52">
        <v>182.6</v>
      </c>
      <c r="I99" s="52">
        <v>91.3</v>
      </c>
      <c r="J99"/>
      <c r="K99"/>
      <c r="L99"/>
      <c r="M99"/>
      <c r="N99" s="37"/>
      <c r="O99" s="53">
        <v>265.10000000000002</v>
      </c>
      <c r="P99" s="53">
        <v>530.20000000000005</v>
      </c>
      <c r="Q99" s="53">
        <v>265.10000000000002</v>
      </c>
      <c r="R99" s="53"/>
      <c r="S99" s="53">
        <v>265.10000000000002</v>
      </c>
      <c r="T99" s="15">
        <v>530.20000000000005</v>
      </c>
      <c r="U99" s="15">
        <v>265.10000000000002</v>
      </c>
      <c r="V99" s="15"/>
      <c r="W99" s="15"/>
      <c r="X99" s="15"/>
      <c r="Y99" s="15"/>
      <c r="Z99" s="15"/>
      <c r="AA99" s="15"/>
      <c r="AB99" s="15"/>
    </row>
    <row r="100" spans="6:28" s="21" customFormat="1" ht="14.25" x14ac:dyDescent="0.45">
      <c r="F100" s="49">
        <v>39965</v>
      </c>
      <c r="G100" s="52">
        <v>92.2</v>
      </c>
      <c r="H100" s="52">
        <v>184.4</v>
      </c>
      <c r="I100" s="52">
        <v>92.2</v>
      </c>
      <c r="J100"/>
      <c r="K100"/>
      <c r="L100"/>
      <c r="M100"/>
      <c r="N100" s="37"/>
      <c r="O100" s="53">
        <v>268.7</v>
      </c>
      <c r="P100" s="53">
        <v>537.4</v>
      </c>
      <c r="Q100" s="53">
        <v>268.7</v>
      </c>
      <c r="R100" s="53"/>
      <c r="S100" s="53">
        <v>268.7</v>
      </c>
      <c r="T100" s="15">
        <v>537.4</v>
      </c>
      <c r="U100" s="15">
        <v>268.7</v>
      </c>
      <c r="V100" s="15"/>
      <c r="W100" s="15"/>
      <c r="X100" s="15"/>
      <c r="Y100" s="15"/>
      <c r="Z100" s="15"/>
      <c r="AA100" s="15"/>
      <c r="AB100" s="15"/>
    </row>
    <row r="101" spans="6:28" s="21" customFormat="1" ht="14.25" x14ac:dyDescent="0.45">
      <c r="F101" s="49">
        <v>39995</v>
      </c>
      <c r="G101" s="52">
        <v>97.7</v>
      </c>
      <c r="H101" s="52">
        <v>195.4</v>
      </c>
      <c r="I101" s="52">
        <v>97.7</v>
      </c>
      <c r="J101"/>
      <c r="K101"/>
      <c r="L101"/>
      <c r="M101"/>
      <c r="N101" s="37"/>
      <c r="O101" s="53">
        <v>281.2</v>
      </c>
      <c r="P101" s="53">
        <v>562.4</v>
      </c>
      <c r="Q101" s="53">
        <v>281.2</v>
      </c>
      <c r="R101" s="53"/>
      <c r="S101" s="53">
        <v>281.2</v>
      </c>
      <c r="T101" s="15">
        <v>562.4</v>
      </c>
      <c r="U101" s="15">
        <v>281.2</v>
      </c>
      <c r="V101" s="15"/>
      <c r="W101" s="15"/>
      <c r="X101" s="15"/>
      <c r="Y101" s="15"/>
      <c r="Z101" s="15"/>
      <c r="AA101" s="15"/>
      <c r="AB101" s="15"/>
    </row>
    <row r="102" spans="6:28" s="21" customFormat="1" ht="14.25" x14ac:dyDescent="0.45">
      <c r="F102" s="49">
        <v>40026</v>
      </c>
      <c r="G102" s="52">
        <v>99.6</v>
      </c>
      <c r="H102" s="52">
        <v>199.2</v>
      </c>
      <c r="I102" s="52">
        <v>99.6</v>
      </c>
      <c r="J102"/>
      <c r="K102"/>
      <c r="L102"/>
      <c r="M102"/>
      <c r="N102" s="37"/>
      <c r="O102" s="53">
        <v>289.5</v>
      </c>
      <c r="P102" s="53">
        <v>579</v>
      </c>
      <c r="Q102" s="53">
        <v>289.5</v>
      </c>
      <c r="R102" s="53"/>
      <c r="S102" s="53">
        <v>289.5</v>
      </c>
      <c r="T102" s="15">
        <v>579</v>
      </c>
      <c r="U102" s="15">
        <v>289.5</v>
      </c>
      <c r="V102" s="15"/>
      <c r="W102" s="15"/>
      <c r="X102" s="15"/>
      <c r="Y102" s="15"/>
      <c r="Z102" s="15"/>
      <c r="AA102" s="15"/>
      <c r="AB102" s="15"/>
    </row>
    <row r="103" spans="6:28" s="21" customFormat="1" ht="14.25" x14ac:dyDescent="0.45">
      <c r="F103" s="49">
        <v>40057</v>
      </c>
      <c r="G103" s="52">
        <v>99.4</v>
      </c>
      <c r="H103" s="52">
        <v>198.8</v>
      </c>
      <c r="I103" s="52">
        <v>99.4</v>
      </c>
      <c r="J103"/>
      <c r="K103"/>
      <c r="L103"/>
      <c r="M103"/>
      <c r="N103" s="37"/>
      <c r="O103" s="53">
        <v>296.70000000000005</v>
      </c>
      <c r="P103" s="53">
        <v>593.40000000000009</v>
      </c>
      <c r="Q103" s="53">
        <v>296.70000000000005</v>
      </c>
      <c r="R103" s="53"/>
      <c r="S103" s="53">
        <v>296.70000000000005</v>
      </c>
      <c r="T103" s="15">
        <v>593.40000000000009</v>
      </c>
      <c r="U103" s="15">
        <v>296.70000000000005</v>
      </c>
      <c r="V103" s="15"/>
      <c r="W103" s="15"/>
      <c r="X103" s="15"/>
      <c r="Y103" s="15"/>
      <c r="Z103" s="15"/>
      <c r="AA103" s="15"/>
      <c r="AB103" s="15"/>
    </row>
    <row r="104" spans="6:28" s="21" customFormat="1" ht="14.25" x14ac:dyDescent="0.45">
      <c r="F104" s="49">
        <v>40087</v>
      </c>
      <c r="G104" s="52">
        <v>105.6</v>
      </c>
      <c r="H104" s="52">
        <v>211.2</v>
      </c>
      <c r="I104" s="52">
        <v>105.6</v>
      </c>
      <c r="J104"/>
      <c r="K104"/>
      <c r="L104"/>
      <c r="M104"/>
      <c r="N104" s="37"/>
      <c r="O104" s="53">
        <v>304.60000000000002</v>
      </c>
      <c r="P104" s="53">
        <v>609.20000000000005</v>
      </c>
      <c r="Q104" s="53">
        <v>304.60000000000002</v>
      </c>
      <c r="R104" s="53"/>
      <c r="S104" s="53">
        <v>304.60000000000002</v>
      </c>
      <c r="T104" s="15">
        <v>609.20000000000005</v>
      </c>
      <c r="U104" s="15">
        <v>304.60000000000002</v>
      </c>
      <c r="V104" s="15"/>
      <c r="W104" s="15"/>
      <c r="X104" s="15"/>
      <c r="Y104" s="15"/>
      <c r="Z104" s="15"/>
      <c r="AA104" s="15"/>
      <c r="AB104" s="15"/>
    </row>
    <row r="105" spans="6:28" s="21" customFormat="1" ht="14.25" x14ac:dyDescent="0.45">
      <c r="F105" s="49">
        <v>40118</v>
      </c>
      <c r="G105" s="52">
        <v>101.4</v>
      </c>
      <c r="H105" s="52">
        <v>202.8</v>
      </c>
      <c r="I105" s="52">
        <v>101.4</v>
      </c>
      <c r="J105"/>
      <c r="K105"/>
      <c r="L105"/>
      <c r="M105"/>
      <c r="N105" s="37"/>
      <c r="O105" s="53">
        <v>306.39999999999998</v>
      </c>
      <c r="P105" s="53">
        <v>612.79999999999995</v>
      </c>
      <c r="Q105" s="53">
        <v>306.39999999999998</v>
      </c>
      <c r="R105" s="53"/>
      <c r="S105" s="53">
        <v>306.39999999999998</v>
      </c>
      <c r="T105" s="15">
        <v>612.79999999999995</v>
      </c>
      <c r="U105" s="15">
        <v>306.39999999999998</v>
      </c>
      <c r="V105" s="15"/>
      <c r="W105" s="15"/>
      <c r="X105" s="15"/>
      <c r="Y105" s="15"/>
      <c r="Z105" s="15"/>
      <c r="AA105" s="15"/>
      <c r="AB105" s="15"/>
    </row>
    <row r="106" spans="6:28" s="21" customFormat="1" ht="14.25" x14ac:dyDescent="0.45">
      <c r="F106" s="49">
        <v>40148</v>
      </c>
      <c r="G106" s="52">
        <v>94.1</v>
      </c>
      <c r="H106" s="52">
        <v>188.2</v>
      </c>
      <c r="I106" s="52">
        <v>94.1</v>
      </c>
      <c r="J106"/>
      <c r="K106"/>
      <c r="L106"/>
      <c r="M106"/>
      <c r="N106" s="37"/>
      <c r="O106" s="53">
        <v>301.10000000000002</v>
      </c>
      <c r="P106" s="53">
        <v>602.20000000000005</v>
      </c>
      <c r="Q106" s="53">
        <v>301.10000000000002</v>
      </c>
      <c r="R106" s="53"/>
      <c r="S106" s="53">
        <v>301.10000000000002</v>
      </c>
      <c r="T106" s="15">
        <v>602.20000000000005</v>
      </c>
      <c r="U106" s="15">
        <v>301.10000000000002</v>
      </c>
      <c r="V106" s="15"/>
      <c r="W106" s="15"/>
      <c r="X106" s="15"/>
      <c r="Y106" s="15"/>
      <c r="Z106" s="15"/>
      <c r="AA106" s="15"/>
      <c r="AB106" s="15"/>
    </row>
    <row r="107" spans="6:28" s="21" customFormat="1" ht="14.25" x14ac:dyDescent="0.45">
      <c r="F107" s="49">
        <v>40179</v>
      </c>
      <c r="G107" s="52">
        <v>91.2</v>
      </c>
      <c r="H107" s="52">
        <v>182.4</v>
      </c>
      <c r="I107" s="52">
        <v>91.2</v>
      </c>
      <c r="J107"/>
      <c r="K107"/>
      <c r="L107"/>
      <c r="M107"/>
      <c r="N107" s="37"/>
      <c r="O107" s="53">
        <v>286.7</v>
      </c>
      <c r="P107" s="53">
        <v>573.4</v>
      </c>
      <c r="Q107" s="53">
        <v>286.7</v>
      </c>
      <c r="R107" s="53"/>
      <c r="S107" s="53">
        <v>286.7</v>
      </c>
      <c r="T107" s="15">
        <v>573.4</v>
      </c>
      <c r="U107" s="15">
        <v>286.7</v>
      </c>
      <c r="V107" s="15"/>
      <c r="W107" s="15"/>
      <c r="X107" s="15"/>
      <c r="Y107" s="15"/>
      <c r="Z107" s="15"/>
      <c r="AA107" s="15"/>
      <c r="AB107" s="15"/>
    </row>
    <row r="108" spans="6:28" s="21" customFormat="1" ht="14.25" x14ac:dyDescent="0.45">
      <c r="F108" s="49">
        <v>40210</v>
      </c>
      <c r="G108" s="52">
        <v>89</v>
      </c>
      <c r="H108" s="52">
        <v>178</v>
      </c>
      <c r="I108" s="52">
        <v>89</v>
      </c>
      <c r="J108"/>
      <c r="K108"/>
      <c r="L108"/>
      <c r="M108"/>
      <c r="N108" s="37"/>
      <c r="O108" s="53">
        <v>274.3</v>
      </c>
      <c r="P108" s="53">
        <v>548.6</v>
      </c>
      <c r="Q108" s="53">
        <v>274.3</v>
      </c>
      <c r="R108" s="53"/>
      <c r="S108" s="53">
        <v>274.3</v>
      </c>
      <c r="T108" s="15">
        <v>548.6</v>
      </c>
      <c r="U108" s="15">
        <v>274.3</v>
      </c>
      <c r="V108" s="15"/>
      <c r="W108" s="15"/>
      <c r="X108" s="15"/>
      <c r="Y108" s="15"/>
      <c r="Z108" s="15"/>
      <c r="AA108" s="15"/>
      <c r="AB108" s="15"/>
    </row>
    <row r="109" spans="6:28" s="21" customFormat="1" ht="14.25" x14ac:dyDescent="0.45">
      <c r="F109" s="49">
        <v>40238</v>
      </c>
      <c r="G109" s="52">
        <v>105.1</v>
      </c>
      <c r="H109" s="52">
        <v>210.2</v>
      </c>
      <c r="I109" s="52">
        <v>105.1</v>
      </c>
      <c r="J109"/>
      <c r="K109"/>
      <c r="L109"/>
      <c r="M109"/>
      <c r="N109" s="37"/>
      <c r="O109" s="53">
        <v>285.29999999999995</v>
      </c>
      <c r="P109" s="53">
        <v>570.59999999999991</v>
      </c>
      <c r="Q109" s="53">
        <v>285.29999999999995</v>
      </c>
      <c r="R109" s="53"/>
      <c r="S109" s="53">
        <v>285.29999999999995</v>
      </c>
      <c r="T109" s="15">
        <v>570.59999999999991</v>
      </c>
      <c r="U109" s="15">
        <v>285.29999999999995</v>
      </c>
      <c r="V109" s="15"/>
      <c r="W109" s="15"/>
      <c r="X109" s="15"/>
      <c r="Y109" s="15"/>
      <c r="Z109" s="15"/>
      <c r="AA109" s="15"/>
      <c r="AB109" s="15"/>
    </row>
    <row r="110" spans="6:28" s="21" customFormat="1" ht="14.25" x14ac:dyDescent="0.45">
      <c r="F110" s="49">
        <v>40269</v>
      </c>
      <c r="G110" s="52">
        <v>99.3</v>
      </c>
      <c r="H110" s="52">
        <v>198.6</v>
      </c>
      <c r="I110" s="52">
        <v>99.3</v>
      </c>
      <c r="J110"/>
      <c r="K110"/>
      <c r="L110"/>
      <c r="M110"/>
      <c r="N110" s="37"/>
      <c r="O110" s="53">
        <v>293.39999999999998</v>
      </c>
      <c r="P110" s="53">
        <v>586.79999999999995</v>
      </c>
      <c r="Q110" s="53">
        <v>293.39999999999998</v>
      </c>
      <c r="R110" s="53"/>
      <c r="S110" s="53">
        <v>293.39999999999998</v>
      </c>
      <c r="T110" s="15">
        <v>586.79999999999995</v>
      </c>
      <c r="U110" s="15">
        <v>293.39999999999998</v>
      </c>
      <c r="V110" s="15"/>
      <c r="W110" s="15"/>
      <c r="X110" s="15"/>
      <c r="Y110" s="15"/>
      <c r="Z110" s="15"/>
      <c r="AA110" s="15"/>
      <c r="AB110" s="15"/>
    </row>
    <row r="111" spans="6:28" s="21" customFormat="1" ht="14.25" x14ac:dyDescent="0.45">
      <c r="F111" s="49">
        <v>40299</v>
      </c>
      <c r="G111" s="52">
        <v>104.3</v>
      </c>
      <c r="H111" s="52">
        <v>208.6</v>
      </c>
      <c r="I111" s="52">
        <v>104.3</v>
      </c>
      <c r="J111"/>
      <c r="K111"/>
      <c r="L111"/>
      <c r="M111"/>
      <c r="N111" s="37"/>
      <c r="O111" s="53">
        <v>308.7</v>
      </c>
      <c r="P111" s="53">
        <v>617.4</v>
      </c>
      <c r="Q111" s="53">
        <v>308.7</v>
      </c>
      <c r="R111" s="53"/>
      <c r="S111" s="53">
        <v>308.7</v>
      </c>
      <c r="T111" s="15">
        <v>617.4</v>
      </c>
      <c r="U111" s="15">
        <v>308.7</v>
      </c>
      <c r="V111" s="15"/>
      <c r="W111" s="15"/>
      <c r="X111" s="15"/>
      <c r="Y111" s="15"/>
      <c r="Z111" s="15"/>
      <c r="AA111" s="15"/>
      <c r="AB111" s="15"/>
    </row>
    <row r="112" spans="6:28" s="21" customFormat="1" ht="14.25" x14ac:dyDescent="0.45">
      <c r="F112" s="49">
        <v>40330</v>
      </c>
      <c r="G112" s="52">
        <v>102.5</v>
      </c>
      <c r="H112" s="52">
        <v>205</v>
      </c>
      <c r="I112" s="52">
        <v>102.5</v>
      </c>
      <c r="J112"/>
      <c r="K112"/>
      <c r="L112"/>
      <c r="M112"/>
      <c r="N112" s="37"/>
      <c r="O112" s="53">
        <v>306.10000000000002</v>
      </c>
      <c r="P112" s="53">
        <v>612.20000000000005</v>
      </c>
      <c r="Q112" s="53">
        <v>306.10000000000002</v>
      </c>
      <c r="R112" s="53"/>
      <c r="S112" s="53">
        <v>306.10000000000002</v>
      </c>
      <c r="T112" s="15">
        <v>612.20000000000005</v>
      </c>
      <c r="U112" s="15">
        <v>306.10000000000002</v>
      </c>
      <c r="V112" s="15"/>
      <c r="W112" s="15"/>
      <c r="X112" s="15"/>
      <c r="Y112" s="15"/>
      <c r="Z112" s="15"/>
      <c r="AA112" s="15"/>
      <c r="AB112" s="15"/>
    </row>
    <row r="113" spans="6:28" s="21" customFormat="1" ht="14.25" x14ac:dyDescent="0.45">
      <c r="F113" s="49">
        <v>40360</v>
      </c>
      <c r="G113" s="52">
        <v>106.9</v>
      </c>
      <c r="H113" s="52">
        <v>213.8</v>
      </c>
      <c r="I113" s="52">
        <v>106.9</v>
      </c>
      <c r="J113"/>
      <c r="K113"/>
      <c r="L113"/>
      <c r="M113"/>
      <c r="N113" s="37"/>
      <c r="O113" s="53">
        <v>313.70000000000005</v>
      </c>
      <c r="P113" s="53">
        <v>627.40000000000009</v>
      </c>
      <c r="Q113" s="53">
        <v>313.70000000000005</v>
      </c>
      <c r="R113" s="53"/>
      <c r="S113" s="53">
        <v>313.70000000000005</v>
      </c>
      <c r="T113" s="15">
        <v>627.40000000000009</v>
      </c>
      <c r="U113" s="15">
        <v>313.70000000000005</v>
      </c>
      <c r="V113" s="15"/>
      <c r="W113" s="15"/>
      <c r="X113" s="15"/>
      <c r="Y113" s="15"/>
      <c r="Z113" s="15"/>
      <c r="AA113" s="15"/>
      <c r="AB113" s="15"/>
    </row>
    <row r="114" spans="6:28" s="21" customFormat="1" ht="14.25" x14ac:dyDescent="0.45">
      <c r="F114" s="49">
        <v>40391</v>
      </c>
      <c r="G114" s="52">
        <v>108.1</v>
      </c>
      <c r="H114" s="52">
        <v>216.2</v>
      </c>
      <c r="I114" s="52">
        <v>108.1</v>
      </c>
      <c r="J114"/>
      <c r="K114"/>
      <c r="L114"/>
      <c r="M114"/>
      <c r="N114" s="37"/>
      <c r="O114" s="53">
        <v>317.5</v>
      </c>
      <c r="P114" s="53">
        <v>635</v>
      </c>
      <c r="Q114" s="53">
        <v>317.5</v>
      </c>
      <c r="R114" s="53"/>
      <c r="S114" s="53">
        <v>317.5</v>
      </c>
      <c r="T114" s="15">
        <v>635</v>
      </c>
      <c r="U114" s="15">
        <v>317.5</v>
      </c>
      <c r="V114" s="15"/>
      <c r="W114" s="15"/>
      <c r="X114" s="15"/>
      <c r="Y114" s="15"/>
      <c r="Z114" s="15"/>
      <c r="AA114" s="15"/>
      <c r="AB114" s="15"/>
    </row>
    <row r="115" spans="6:28" s="21" customFormat="1" ht="14.25" x14ac:dyDescent="0.45">
      <c r="F115" s="49">
        <v>40422</v>
      </c>
      <c r="G115" s="52">
        <v>105.8</v>
      </c>
      <c r="H115" s="52">
        <v>211.6</v>
      </c>
      <c r="I115" s="52">
        <v>105.8</v>
      </c>
      <c r="J115"/>
      <c r="K115"/>
      <c r="L115"/>
      <c r="M115"/>
      <c r="N115" s="37"/>
      <c r="O115" s="53">
        <v>320.8</v>
      </c>
      <c r="P115" s="53">
        <v>641.6</v>
      </c>
      <c r="Q115" s="53">
        <v>320.8</v>
      </c>
      <c r="R115" s="53"/>
      <c r="S115" s="53">
        <v>320.8</v>
      </c>
      <c r="T115" s="15">
        <v>641.6</v>
      </c>
      <c r="U115" s="15">
        <v>320.8</v>
      </c>
      <c r="V115" s="15"/>
      <c r="W115" s="15"/>
      <c r="X115" s="15"/>
      <c r="Y115" s="15"/>
      <c r="Z115" s="15"/>
      <c r="AA115" s="15"/>
      <c r="AB115" s="15"/>
    </row>
    <row r="116" spans="6:28" s="21" customFormat="1" ht="14.25" x14ac:dyDescent="0.45">
      <c r="F116" s="49">
        <v>40452</v>
      </c>
      <c r="G116" s="52">
        <v>107.7</v>
      </c>
      <c r="H116" s="52">
        <v>215.4</v>
      </c>
      <c r="I116" s="52">
        <v>107.7</v>
      </c>
      <c r="J116"/>
      <c r="K116"/>
      <c r="L116"/>
      <c r="M116"/>
      <c r="N116" s="37"/>
      <c r="O116" s="53">
        <v>321.59999999999997</v>
      </c>
      <c r="P116" s="53">
        <v>643.19999999999993</v>
      </c>
      <c r="Q116" s="53">
        <v>321.59999999999997</v>
      </c>
      <c r="R116" s="53"/>
      <c r="S116" s="53">
        <v>321.59999999999997</v>
      </c>
      <c r="T116" s="15">
        <v>643.19999999999993</v>
      </c>
      <c r="U116" s="15">
        <v>321.59999999999997</v>
      </c>
      <c r="V116" s="15"/>
      <c r="W116" s="15"/>
      <c r="X116" s="15"/>
      <c r="Y116" s="15"/>
      <c r="Z116" s="15"/>
      <c r="AA116" s="15"/>
      <c r="AB116" s="15"/>
    </row>
    <row r="117" spans="6:28" s="21" customFormat="1" ht="14.25" x14ac:dyDescent="0.45">
      <c r="F117" s="49">
        <v>40483</v>
      </c>
      <c r="G117" s="52">
        <v>106.8</v>
      </c>
      <c r="H117" s="52">
        <v>213.6</v>
      </c>
      <c r="I117" s="52">
        <v>106.8</v>
      </c>
      <c r="J117"/>
      <c r="K117"/>
      <c r="L117"/>
      <c r="M117"/>
      <c r="N117" s="37"/>
      <c r="O117" s="53">
        <v>320.3</v>
      </c>
      <c r="P117" s="53">
        <v>640.6</v>
      </c>
      <c r="Q117" s="53">
        <v>320.3</v>
      </c>
      <c r="R117" s="53"/>
      <c r="S117" s="53">
        <v>320.3</v>
      </c>
      <c r="T117" s="15">
        <v>640.6</v>
      </c>
      <c r="U117" s="15">
        <v>320.3</v>
      </c>
      <c r="V117" s="15"/>
      <c r="W117" s="15"/>
      <c r="X117" s="15"/>
      <c r="Y117" s="15"/>
      <c r="Z117" s="15"/>
      <c r="AA117" s="15"/>
      <c r="AB117" s="15"/>
    </row>
    <row r="118" spans="6:28" s="21" customFormat="1" ht="14.25" x14ac:dyDescent="0.45">
      <c r="F118" s="49">
        <v>40513</v>
      </c>
      <c r="G118" s="52">
        <v>96.6</v>
      </c>
      <c r="H118" s="52">
        <v>193.2</v>
      </c>
      <c r="I118" s="52">
        <v>96.6</v>
      </c>
      <c r="J118"/>
      <c r="K118"/>
      <c r="L118"/>
      <c r="M118"/>
      <c r="N118" s="37"/>
      <c r="O118" s="53">
        <v>311.10000000000002</v>
      </c>
      <c r="P118" s="53">
        <v>622.20000000000005</v>
      </c>
      <c r="Q118" s="53">
        <v>311.10000000000002</v>
      </c>
      <c r="R118" s="53"/>
      <c r="S118" s="53">
        <v>311.10000000000002</v>
      </c>
      <c r="T118" s="15">
        <v>622.20000000000005</v>
      </c>
      <c r="U118" s="15">
        <v>311.10000000000002</v>
      </c>
      <c r="V118" s="15"/>
      <c r="W118" s="15"/>
      <c r="X118" s="15"/>
      <c r="Y118" s="15"/>
      <c r="Z118" s="15"/>
      <c r="AA118" s="15"/>
      <c r="AB118" s="15"/>
    </row>
    <row r="119" spans="6:28" s="21" customFormat="1" ht="14.25" x14ac:dyDescent="0.45">
      <c r="F119" s="49">
        <v>40544</v>
      </c>
      <c r="G119" s="52">
        <v>93.2</v>
      </c>
      <c r="H119" s="52">
        <v>186.4</v>
      </c>
      <c r="I119" s="52">
        <v>93.2</v>
      </c>
      <c r="J119"/>
      <c r="K119"/>
      <c r="L119"/>
      <c r="M119"/>
      <c r="N119" s="37"/>
      <c r="O119" s="53">
        <v>296.59999999999997</v>
      </c>
      <c r="P119" s="53">
        <v>593.19999999999993</v>
      </c>
      <c r="Q119" s="53">
        <v>296.59999999999997</v>
      </c>
      <c r="R119" s="53"/>
      <c r="S119" s="53">
        <v>296.59999999999997</v>
      </c>
      <c r="T119" s="15">
        <v>593.19999999999993</v>
      </c>
      <c r="U119" s="15">
        <v>296.59999999999997</v>
      </c>
      <c r="V119" s="15"/>
      <c r="W119" s="15"/>
      <c r="X119" s="15"/>
      <c r="Y119" s="15"/>
      <c r="Z119" s="15"/>
      <c r="AA119" s="15"/>
      <c r="AB119" s="15"/>
    </row>
    <row r="120" spans="6:28" s="21" customFormat="1" ht="14.25" x14ac:dyDescent="0.45">
      <c r="F120" s="49">
        <v>40575</v>
      </c>
      <c r="G120" s="52">
        <v>95.4</v>
      </c>
      <c r="H120" s="52">
        <v>190.8</v>
      </c>
      <c r="I120" s="52">
        <v>95.4</v>
      </c>
      <c r="J120"/>
      <c r="K120"/>
      <c r="L120"/>
      <c r="M120"/>
      <c r="N120" s="37"/>
      <c r="O120" s="53">
        <v>285.20000000000005</v>
      </c>
      <c r="P120" s="53">
        <v>570.40000000000009</v>
      </c>
      <c r="Q120" s="53">
        <v>285.20000000000005</v>
      </c>
      <c r="R120" s="53"/>
      <c r="S120" s="53">
        <v>285.20000000000005</v>
      </c>
      <c r="T120" s="15">
        <v>570.40000000000009</v>
      </c>
      <c r="U120" s="15">
        <v>285.20000000000005</v>
      </c>
      <c r="V120" s="15"/>
      <c r="W120" s="15"/>
      <c r="X120" s="15"/>
      <c r="Y120" s="15"/>
      <c r="Z120" s="15"/>
      <c r="AA120" s="15"/>
      <c r="AB120" s="15"/>
    </row>
    <row r="121" spans="6:28" s="21" customFormat="1" ht="14.25" x14ac:dyDescent="0.45">
      <c r="F121" s="49">
        <v>40603</v>
      </c>
      <c r="G121" s="52">
        <v>104.4</v>
      </c>
      <c r="H121" s="52">
        <v>208.8</v>
      </c>
      <c r="I121" s="52">
        <v>104.4</v>
      </c>
      <c r="J121"/>
      <c r="K121"/>
      <c r="L121"/>
      <c r="M121"/>
      <c r="N121" s="37"/>
      <c r="O121" s="53">
        <v>293</v>
      </c>
      <c r="P121" s="53">
        <v>586</v>
      </c>
      <c r="Q121" s="53">
        <v>293</v>
      </c>
      <c r="R121" s="53"/>
      <c r="S121" s="53">
        <v>293</v>
      </c>
      <c r="T121" s="15">
        <v>586</v>
      </c>
      <c r="U121" s="15">
        <v>293</v>
      </c>
      <c r="V121" s="15"/>
      <c r="W121" s="15"/>
      <c r="X121" s="15"/>
      <c r="Y121" s="15"/>
      <c r="Z121" s="15"/>
      <c r="AA121" s="15"/>
      <c r="AB121" s="15"/>
    </row>
    <row r="122" spans="6:28" s="21" customFormat="1" ht="14.25" x14ac:dyDescent="0.45">
      <c r="F122" s="49">
        <v>40634</v>
      </c>
      <c r="G122" s="52">
        <v>97.5</v>
      </c>
      <c r="H122" s="52">
        <v>195</v>
      </c>
      <c r="I122" s="52">
        <v>97.5</v>
      </c>
      <c r="J122"/>
      <c r="K122"/>
      <c r="L122"/>
      <c r="M122"/>
      <c r="N122" s="37"/>
      <c r="O122" s="53">
        <v>297.3</v>
      </c>
      <c r="P122" s="53">
        <v>594.6</v>
      </c>
      <c r="Q122" s="53">
        <v>297.3</v>
      </c>
      <c r="R122" s="53"/>
      <c r="S122" s="53">
        <v>297.3</v>
      </c>
      <c r="T122" s="15">
        <v>594.6</v>
      </c>
      <c r="U122" s="15">
        <v>297.3</v>
      </c>
      <c r="V122" s="15"/>
      <c r="W122" s="15"/>
      <c r="X122" s="15"/>
      <c r="Y122" s="15"/>
      <c r="Z122" s="15"/>
      <c r="AA122" s="15"/>
      <c r="AB122" s="15"/>
    </row>
    <row r="123" spans="6:28" s="21" customFormat="1" ht="14.25" x14ac:dyDescent="0.45">
      <c r="F123" s="49">
        <v>40664</v>
      </c>
      <c r="G123" s="52">
        <v>107.1</v>
      </c>
      <c r="H123" s="52">
        <v>214.2</v>
      </c>
      <c r="I123" s="52">
        <v>107.1</v>
      </c>
      <c r="J123"/>
      <c r="K123"/>
      <c r="L123"/>
      <c r="M123"/>
      <c r="N123" s="37"/>
      <c r="O123" s="53">
        <v>309</v>
      </c>
      <c r="P123" s="53">
        <v>618</v>
      </c>
      <c r="Q123" s="53">
        <v>309</v>
      </c>
      <c r="R123" s="53"/>
      <c r="S123" s="53">
        <v>309</v>
      </c>
      <c r="T123" s="15">
        <v>618</v>
      </c>
      <c r="U123" s="15">
        <v>309</v>
      </c>
      <c r="V123" s="15"/>
      <c r="W123" s="15"/>
      <c r="X123" s="15"/>
      <c r="Y123" s="15"/>
      <c r="Z123" s="15"/>
      <c r="AA123" s="15"/>
      <c r="AB123" s="15"/>
    </row>
    <row r="124" spans="6:28" s="21" customFormat="1" ht="14.25" x14ac:dyDescent="0.45">
      <c r="F124" s="49">
        <v>40695</v>
      </c>
      <c r="G124" s="52">
        <v>102.8</v>
      </c>
      <c r="H124" s="52">
        <v>205.6</v>
      </c>
      <c r="I124" s="52">
        <v>102.8</v>
      </c>
      <c r="J124"/>
      <c r="K124"/>
      <c r="L124"/>
      <c r="M124"/>
      <c r="N124" s="37"/>
      <c r="O124" s="53">
        <v>307.39999999999998</v>
      </c>
      <c r="P124" s="53">
        <v>614.79999999999995</v>
      </c>
      <c r="Q124" s="53">
        <v>307.39999999999998</v>
      </c>
      <c r="R124" s="53"/>
      <c r="S124" s="53">
        <v>307.39999999999998</v>
      </c>
      <c r="T124" s="15">
        <v>614.79999999999995</v>
      </c>
      <c r="U124" s="15">
        <v>307.39999999999998</v>
      </c>
      <c r="V124" s="15"/>
      <c r="W124" s="15"/>
      <c r="X124" s="15"/>
      <c r="Y124" s="15"/>
      <c r="Z124" s="15"/>
      <c r="AA124" s="15"/>
      <c r="AB124" s="15"/>
    </row>
    <row r="125" spans="6:28" s="21" customFormat="1" ht="14.25" x14ac:dyDescent="0.45">
      <c r="F125" s="49">
        <v>40725</v>
      </c>
      <c r="G125" s="52">
        <v>106.1</v>
      </c>
      <c r="H125" s="52">
        <v>212.2</v>
      </c>
      <c r="I125" s="52">
        <v>106.1</v>
      </c>
      <c r="J125"/>
      <c r="K125"/>
      <c r="L125"/>
      <c r="M125"/>
      <c r="N125" s="37"/>
      <c r="O125" s="53">
        <v>316</v>
      </c>
      <c r="P125" s="53">
        <v>632</v>
      </c>
      <c r="Q125" s="53">
        <v>316</v>
      </c>
      <c r="R125" s="53"/>
      <c r="S125" s="53">
        <v>316</v>
      </c>
      <c r="T125" s="15">
        <v>632</v>
      </c>
      <c r="U125" s="15">
        <v>316</v>
      </c>
      <c r="V125" s="15"/>
      <c r="W125" s="15"/>
      <c r="X125" s="15"/>
      <c r="Y125" s="15"/>
      <c r="Z125" s="15"/>
      <c r="AA125" s="15"/>
      <c r="AB125" s="15"/>
    </row>
    <row r="126" spans="6:28" s="21" customFormat="1" ht="14.25" x14ac:dyDescent="0.45">
      <c r="F126" s="49">
        <v>40756</v>
      </c>
      <c r="G126" s="52">
        <v>110.8</v>
      </c>
      <c r="H126" s="52">
        <v>221.6</v>
      </c>
      <c r="I126" s="52">
        <v>110.8</v>
      </c>
      <c r="J126"/>
      <c r="K126"/>
      <c r="L126"/>
      <c r="M126"/>
      <c r="N126" s="37"/>
      <c r="O126" s="53">
        <v>319.7</v>
      </c>
      <c r="P126" s="53">
        <v>639.4</v>
      </c>
      <c r="Q126" s="53">
        <v>319.7</v>
      </c>
      <c r="R126" s="53"/>
      <c r="S126" s="53">
        <v>319.7</v>
      </c>
      <c r="T126" s="15">
        <v>639.4</v>
      </c>
      <c r="U126" s="15">
        <v>319.7</v>
      </c>
      <c r="V126" s="15"/>
      <c r="W126" s="15"/>
      <c r="X126" s="15"/>
      <c r="Y126" s="15"/>
      <c r="Z126" s="15"/>
      <c r="AA126" s="15"/>
      <c r="AB126" s="15"/>
    </row>
    <row r="127" spans="6:28" s="21" customFormat="1" ht="14.25" x14ac:dyDescent="0.45">
      <c r="F127" s="49">
        <v>40787</v>
      </c>
      <c r="G127" s="52">
        <v>104.8</v>
      </c>
      <c r="H127" s="52">
        <v>209.6</v>
      </c>
      <c r="I127" s="52">
        <v>104.8</v>
      </c>
      <c r="J127"/>
      <c r="K127"/>
      <c r="L127"/>
      <c r="M127"/>
      <c r="N127" s="37"/>
      <c r="O127" s="53">
        <v>321.7</v>
      </c>
      <c r="P127" s="53">
        <v>643.4</v>
      </c>
      <c r="Q127" s="53">
        <v>321.7</v>
      </c>
      <c r="R127" s="53"/>
      <c r="S127" s="53">
        <v>321.7</v>
      </c>
      <c r="T127" s="15">
        <v>643.4</v>
      </c>
      <c r="U127" s="15">
        <v>321.7</v>
      </c>
      <c r="V127" s="15"/>
      <c r="W127" s="15"/>
      <c r="X127" s="15"/>
      <c r="Y127" s="15"/>
      <c r="Z127" s="15"/>
      <c r="AA127" s="15"/>
      <c r="AB127" s="15"/>
    </row>
    <row r="128" spans="6:28" s="21" customFormat="1" ht="14.25" x14ac:dyDescent="0.45">
      <c r="F128" s="49">
        <v>40817</v>
      </c>
      <c r="G128" s="52">
        <v>106.3</v>
      </c>
      <c r="H128" s="52">
        <v>212.6</v>
      </c>
      <c r="I128" s="52">
        <v>106.3</v>
      </c>
      <c r="J128"/>
      <c r="K128"/>
      <c r="L128"/>
      <c r="M128"/>
      <c r="N128" s="37"/>
      <c r="O128" s="53">
        <v>321.89999999999998</v>
      </c>
      <c r="P128" s="53">
        <v>643.79999999999995</v>
      </c>
      <c r="Q128" s="53">
        <v>321.89999999999998</v>
      </c>
      <c r="R128" s="53"/>
      <c r="S128" s="53">
        <v>321.89999999999998</v>
      </c>
      <c r="T128" s="15">
        <v>643.79999999999995</v>
      </c>
      <c r="U128" s="15">
        <v>321.89999999999998</v>
      </c>
      <c r="V128" s="15"/>
      <c r="W128" s="15"/>
      <c r="X128" s="15"/>
      <c r="Y128" s="15"/>
      <c r="Z128" s="15"/>
      <c r="AA128" s="15"/>
      <c r="AB128" s="15"/>
    </row>
    <row r="129" spans="6:28" s="21" customFormat="1" ht="14.25" x14ac:dyDescent="0.45">
      <c r="F129" s="49">
        <v>40848</v>
      </c>
      <c r="G129" s="52">
        <v>104.2</v>
      </c>
      <c r="H129" s="52">
        <v>208.4</v>
      </c>
      <c r="I129" s="52">
        <v>104.2</v>
      </c>
      <c r="J129"/>
      <c r="K129"/>
      <c r="L129"/>
      <c r="M129"/>
      <c r="N129" s="37"/>
      <c r="O129" s="53">
        <v>315.3</v>
      </c>
      <c r="P129" s="53">
        <v>630.6</v>
      </c>
      <c r="Q129" s="53">
        <v>315.3</v>
      </c>
      <c r="R129" s="53"/>
      <c r="S129" s="53">
        <v>315.3</v>
      </c>
      <c r="T129" s="15">
        <v>630.6</v>
      </c>
      <c r="U129" s="15">
        <v>315.3</v>
      </c>
      <c r="V129" s="15"/>
      <c r="W129" s="15"/>
      <c r="X129" s="15"/>
      <c r="Y129" s="15"/>
      <c r="Z129" s="15"/>
      <c r="AA129" s="15"/>
      <c r="AB129" s="15"/>
    </row>
    <row r="130" spans="6:28" s="21" customFormat="1" ht="14.25" x14ac:dyDescent="0.45">
      <c r="F130" s="49">
        <v>40878</v>
      </c>
      <c r="G130" s="52">
        <v>95.7</v>
      </c>
      <c r="H130" s="52">
        <v>191.4</v>
      </c>
      <c r="I130" s="52">
        <v>95.7</v>
      </c>
      <c r="J130"/>
      <c r="K130"/>
      <c r="L130"/>
      <c r="M130"/>
      <c r="N130" s="37"/>
      <c r="O130" s="53">
        <v>306.2</v>
      </c>
      <c r="P130" s="53">
        <v>612.4</v>
      </c>
      <c r="Q130" s="53">
        <v>306.2</v>
      </c>
      <c r="R130" s="53"/>
      <c r="S130" s="53">
        <v>306.2</v>
      </c>
      <c r="T130" s="15">
        <v>612.4</v>
      </c>
      <c r="U130" s="15">
        <v>306.2</v>
      </c>
      <c r="V130" s="15"/>
      <c r="W130" s="15"/>
      <c r="X130" s="15"/>
      <c r="Y130" s="15"/>
      <c r="Z130" s="15"/>
      <c r="AA130" s="15"/>
      <c r="AB130" s="15"/>
    </row>
    <row r="131" spans="6:28" s="21" customFormat="1" ht="14.25" x14ac:dyDescent="0.45">
      <c r="F131" s="49">
        <v>40909</v>
      </c>
      <c r="G131" s="52">
        <v>88.7</v>
      </c>
      <c r="H131" s="52">
        <v>177.4</v>
      </c>
      <c r="I131" s="52">
        <v>88.7</v>
      </c>
      <c r="J131"/>
      <c r="K131"/>
      <c r="L131"/>
      <c r="M131"/>
      <c r="N131" s="37"/>
      <c r="O131" s="53">
        <v>288.60000000000002</v>
      </c>
      <c r="P131" s="53">
        <v>577.20000000000005</v>
      </c>
      <c r="Q131" s="53">
        <v>288.60000000000002</v>
      </c>
      <c r="R131" s="53"/>
      <c r="S131" s="53">
        <v>288.60000000000002</v>
      </c>
      <c r="T131" s="15">
        <v>577.20000000000005</v>
      </c>
      <c r="U131" s="15">
        <v>288.60000000000002</v>
      </c>
      <c r="V131" s="15"/>
      <c r="W131" s="15"/>
      <c r="X131" s="15"/>
      <c r="Y131" s="15"/>
      <c r="Z131" s="15"/>
      <c r="AA131" s="15"/>
      <c r="AB131" s="15"/>
    </row>
    <row r="132" spans="6:28" s="21" customFormat="1" ht="14.25" x14ac:dyDescent="0.45">
      <c r="F132" s="49">
        <v>40940</v>
      </c>
      <c r="G132" s="52">
        <v>89.8</v>
      </c>
      <c r="H132" s="52">
        <v>179.6</v>
      </c>
      <c r="I132" s="52">
        <v>89.8</v>
      </c>
      <c r="J132"/>
      <c r="K132"/>
      <c r="L132"/>
      <c r="M132"/>
      <c r="N132" s="37"/>
      <c r="O132" s="53">
        <v>274.2</v>
      </c>
      <c r="P132" s="53">
        <v>548.4</v>
      </c>
      <c r="Q132" s="53">
        <v>274.2</v>
      </c>
      <c r="R132" s="53"/>
      <c r="S132" s="53">
        <v>274.2</v>
      </c>
      <c r="T132" s="15">
        <v>548.4</v>
      </c>
      <c r="U132" s="15">
        <v>274.2</v>
      </c>
      <c r="V132" s="15"/>
      <c r="W132" s="15"/>
      <c r="X132" s="15"/>
      <c r="Y132" s="15"/>
      <c r="Z132" s="15"/>
      <c r="AA132" s="15"/>
      <c r="AB132" s="15"/>
    </row>
    <row r="133" spans="6:28" s="21" customFormat="1" ht="14.25" x14ac:dyDescent="0.45">
      <c r="F133" s="49">
        <v>40969</v>
      </c>
      <c r="G133" s="52">
        <v>99.7</v>
      </c>
      <c r="H133" s="52">
        <v>199.4</v>
      </c>
      <c r="I133" s="52">
        <v>99.7</v>
      </c>
      <c r="J133"/>
      <c r="K133"/>
      <c r="L133"/>
      <c r="M133"/>
      <c r="N133" s="37"/>
      <c r="O133" s="53">
        <v>278.2</v>
      </c>
      <c r="P133" s="53">
        <v>556.4</v>
      </c>
      <c r="Q133" s="53">
        <v>278.2</v>
      </c>
      <c r="R133" s="53"/>
      <c r="S133" s="53">
        <v>278.2</v>
      </c>
      <c r="T133" s="15">
        <v>556.4</v>
      </c>
      <c r="U133" s="15">
        <v>278.2</v>
      </c>
      <c r="V133" s="15"/>
      <c r="W133" s="15"/>
      <c r="X133" s="15"/>
      <c r="Y133" s="15"/>
      <c r="Z133" s="15"/>
      <c r="AA133" s="15"/>
      <c r="AB133" s="15"/>
    </row>
    <row r="134" spans="6:28" s="21" customFormat="1" ht="14.25" x14ac:dyDescent="0.45">
      <c r="F134" s="49">
        <v>41000</v>
      </c>
      <c r="G134" s="52">
        <v>92.8</v>
      </c>
      <c r="H134" s="52">
        <v>185.6</v>
      </c>
      <c r="I134" s="52">
        <v>92.8</v>
      </c>
      <c r="J134"/>
      <c r="K134"/>
      <c r="L134"/>
      <c r="M134"/>
      <c r="N134" s="37"/>
      <c r="O134" s="53">
        <v>282.3</v>
      </c>
      <c r="P134" s="53">
        <v>564.6</v>
      </c>
      <c r="Q134" s="53">
        <v>282.3</v>
      </c>
      <c r="R134" s="53"/>
      <c r="S134" s="53">
        <v>282.3</v>
      </c>
      <c r="T134" s="15">
        <v>564.6</v>
      </c>
      <c r="U134" s="15">
        <v>282.3</v>
      </c>
      <c r="V134" s="15"/>
      <c r="W134" s="15"/>
      <c r="X134" s="15"/>
      <c r="Y134" s="15"/>
      <c r="Z134" s="15"/>
      <c r="AA134" s="15"/>
      <c r="AB134" s="15"/>
    </row>
    <row r="135" spans="6:28" s="21" customFormat="1" ht="14.25" x14ac:dyDescent="0.45">
      <c r="F135" s="49">
        <v>41030</v>
      </c>
      <c r="G135" s="52">
        <v>102.5</v>
      </c>
      <c r="H135" s="52">
        <v>205</v>
      </c>
      <c r="I135" s="52">
        <v>102.5</v>
      </c>
      <c r="J135"/>
      <c r="K135"/>
      <c r="L135"/>
      <c r="M135"/>
      <c r="N135" s="37"/>
      <c r="O135" s="53">
        <v>295</v>
      </c>
      <c r="P135" s="53">
        <v>590</v>
      </c>
      <c r="Q135" s="53">
        <v>295</v>
      </c>
      <c r="R135" s="53"/>
      <c r="S135" s="53">
        <v>295</v>
      </c>
      <c r="T135" s="15">
        <v>590</v>
      </c>
      <c r="U135" s="15">
        <v>295</v>
      </c>
      <c r="V135" s="15"/>
      <c r="W135" s="15"/>
      <c r="X135" s="15"/>
      <c r="Y135" s="15"/>
      <c r="Z135" s="15"/>
      <c r="AA135" s="15"/>
      <c r="AB135" s="15"/>
    </row>
    <row r="136" spans="6:28" s="21" customFormat="1" ht="14.25" x14ac:dyDescent="0.45">
      <c r="F136" s="49">
        <v>41061</v>
      </c>
      <c r="G136" s="52">
        <v>98.3</v>
      </c>
      <c r="H136" s="52">
        <v>196.6</v>
      </c>
      <c r="I136" s="52">
        <v>98.3</v>
      </c>
      <c r="J136"/>
      <c r="K136"/>
      <c r="L136"/>
      <c r="M136"/>
      <c r="N136" s="37"/>
      <c r="O136" s="53">
        <v>293.60000000000002</v>
      </c>
      <c r="P136" s="53">
        <v>587.20000000000005</v>
      </c>
      <c r="Q136" s="53">
        <v>293.60000000000002</v>
      </c>
      <c r="R136" s="53"/>
      <c r="S136" s="53">
        <v>293.60000000000002</v>
      </c>
      <c r="T136" s="15">
        <v>587.20000000000005</v>
      </c>
      <c r="U136" s="15">
        <v>293.60000000000002</v>
      </c>
      <c r="V136" s="15"/>
      <c r="W136" s="15"/>
      <c r="X136" s="15"/>
      <c r="Y136" s="15"/>
      <c r="Z136" s="15"/>
      <c r="AA136" s="15"/>
      <c r="AB136" s="15"/>
    </row>
    <row r="137" spans="6:28" s="21" customFormat="1" ht="14.25" x14ac:dyDescent="0.45">
      <c r="F137" s="49">
        <v>41091</v>
      </c>
      <c r="G137" s="52">
        <v>104.5</v>
      </c>
      <c r="H137" s="52">
        <v>209</v>
      </c>
      <c r="I137" s="52">
        <v>104.5</v>
      </c>
      <c r="J137"/>
      <c r="K137"/>
      <c r="L137"/>
      <c r="M137"/>
      <c r="N137" s="37"/>
      <c r="O137" s="53">
        <v>305.3</v>
      </c>
      <c r="P137" s="53">
        <v>610.6</v>
      </c>
      <c r="Q137" s="53">
        <v>305.3</v>
      </c>
      <c r="R137" s="53"/>
      <c r="S137" s="53">
        <v>305.3</v>
      </c>
      <c r="T137" s="15">
        <v>610.6</v>
      </c>
      <c r="U137" s="15">
        <v>305.3</v>
      </c>
      <c r="V137" s="15"/>
      <c r="W137" s="15"/>
      <c r="X137" s="15"/>
      <c r="Y137" s="15"/>
      <c r="Z137" s="15"/>
      <c r="AA137" s="15"/>
      <c r="AB137" s="15"/>
    </row>
    <row r="138" spans="6:28" s="21" customFormat="1" ht="14.25" x14ac:dyDescent="0.45">
      <c r="F138" s="49">
        <v>41122</v>
      </c>
      <c r="G138" s="52">
        <v>111.5</v>
      </c>
      <c r="H138" s="52">
        <v>223</v>
      </c>
      <c r="I138" s="52">
        <v>111.5</v>
      </c>
      <c r="J138"/>
      <c r="K138"/>
      <c r="L138"/>
      <c r="M138"/>
      <c r="N138" s="37"/>
      <c r="O138" s="53">
        <v>314.3</v>
      </c>
      <c r="P138" s="53">
        <v>628.6</v>
      </c>
      <c r="Q138" s="53">
        <v>314.3</v>
      </c>
      <c r="R138" s="53"/>
      <c r="S138" s="53">
        <v>314.3</v>
      </c>
      <c r="T138" s="15">
        <v>628.6</v>
      </c>
      <c r="U138" s="15">
        <v>314.3</v>
      </c>
      <c r="V138" s="15"/>
      <c r="W138" s="15"/>
      <c r="X138" s="15"/>
      <c r="Y138" s="15"/>
      <c r="Z138" s="15"/>
      <c r="AA138" s="15"/>
      <c r="AB138" s="15"/>
    </row>
    <row r="139" spans="6:28" s="21" customFormat="1" ht="14.25" x14ac:dyDescent="0.45">
      <c r="F139" s="49">
        <v>41153</v>
      </c>
      <c r="G139" s="52">
        <v>103.4</v>
      </c>
      <c r="H139" s="52">
        <v>206.8</v>
      </c>
      <c r="I139" s="52">
        <v>103.4</v>
      </c>
      <c r="J139"/>
      <c r="K139"/>
      <c r="L139"/>
      <c r="M139"/>
      <c r="N139" s="37"/>
      <c r="O139" s="53">
        <v>319.39999999999998</v>
      </c>
      <c r="P139" s="53">
        <v>638.79999999999995</v>
      </c>
      <c r="Q139" s="53">
        <v>319.39999999999998</v>
      </c>
      <c r="R139" s="53"/>
      <c r="S139" s="53">
        <v>319.39999999999998</v>
      </c>
      <c r="T139" s="15">
        <v>638.79999999999995</v>
      </c>
      <c r="U139" s="15">
        <v>319.39999999999998</v>
      </c>
      <c r="V139" s="15"/>
      <c r="W139" s="15"/>
      <c r="X139" s="15"/>
      <c r="Y139" s="15"/>
      <c r="Z139" s="15"/>
      <c r="AA139" s="15"/>
      <c r="AB139" s="15"/>
    </row>
    <row r="140" spans="6:28" s="21" customFormat="1" ht="14.25" x14ac:dyDescent="0.45">
      <c r="F140" s="49">
        <v>41183</v>
      </c>
      <c r="G140" s="52">
        <v>111.8</v>
      </c>
      <c r="H140" s="52">
        <v>223.6</v>
      </c>
      <c r="I140" s="52">
        <v>111.8</v>
      </c>
      <c r="J140"/>
      <c r="K140"/>
      <c r="L140"/>
      <c r="M140"/>
      <c r="N140" s="37"/>
      <c r="O140" s="53">
        <v>326.7</v>
      </c>
      <c r="P140" s="53">
        <v>653.4</v>
      </c>
      <c r="Q140" s="53">
        <v>326.7</v>
      </c>
      <c r="R140" s="53"/>
      <c r="S140" s="53">
        <v>326.7</v>
      </c>
      <c r="T140" s="15">
        <v>653.4</v>
      </c>
      <c r="U140" s="15">
        <v>326.7</v>
      </c>
      <c r="V140" s="15"/>
      <c r="W140" s="15"/>
      <c r="X140" s="15"/>
      <c r="Y140" s="15"/>
      <c r="Z140" s="15"/>
      <c r="AA140" s="15"/>
      <c r="AB140" s="15"/>
    </row>
    <row r="141" spans="6:28" s="21" customFormat="1" ht="14.25" x14ac:dyDescent="0.45">
      <c r="F141" s="49">
        <v>41214</v>
      </c>
      <c r="G141" s="52">
        <v>104.8</v>
      </c>
      <c r="H141" s="52">
        <v>209.6</v>
      </c>
      <c r="I141" s="52">
        <v>104.8</v>
      </c>
      <c r="J141"/>
      <c r="K141"/>
      <c r="L141"/>
      <c r="M141"/>
      <c r="N141" s="37"/>
      <c r="O141" s="53">
        <v>320</v>
      </c>
      <c r="P141" s="53">
        <v>640</v>
      </c>
      <c r="Q141" s="53">
        <v>320</v>
      </c>
      <c r="R141" s="53"/>
      <c r="S141" s="53">
        <v>320</v>
      </c>
      <c r="T141" s="15">
        <v>640</v>
      </c>
      <c r="U141" s="15">
        <v>320</v>
      </c>
      <c r="V141" s="15"/>
      <c r="W141" s="15"/>
      <c r="X141" s="15"/>
      <c r="Y141" s="15"/>
      <c r="Z141" s="15"/>
      <c r="AA141" s="15"/>
      <c r="AB141" s="15"/>
    </row>
    <row r="142" spans="6:28" s="21" customFormat="1" ht="14.25" x14ac:dyDescent="0.45">
      <c r="F142" s="49">
        <v>41244</v>
      </c>
      <c r="G142" s="52">
        <v>92.2</v>
      </c>
      <c r="H142" s="52">
        <v>184.4</v>
      </c>
      <c r="I142" s="52">
        <v>92.2</v>
      </c>
      <c r="J142"/>
      <c r="K142"/>
      <c r="L142"/>
      <c r="M142"/>
      <c r="N142" s="37"/>
      <c r="O142" s="53">
        <v>308.8</v>
      </c>
      <c r="P142" s="53">
        <v>617.6</v>
      </c>
      <c r="Q142" s="53">
        <v>308.8</v>
      </c>
      <c r="R142" s="53"/>
      <c r="S142" s="53">
        <v>308.8</v>
      </c>
      <c r="T142" s="15">
        <v>617.6</v>
      </c>
      <c r="U142" s="15">
        <v>308.8</v>
      </c>
      <c r="V142" s="15"/>
      <c r="W142" s="15"/>
      <c r="X142" s="15"/>
      <c r="Y142" s="15"/>
      <c r="Z142" s="15"/>
      <c r="AA142" s="15"/>
      <c r="AB142" s="15"/>
    </row>
    <row r="143" spans="6:28" s="21" customFormat="1" ht="14.25" x14ac:dyDescent="0.45">
      <c r="F143" s="49">
        <v>41275</v>
      </c>
      <c r="G143" s="52">
        <v>94.5</v>
      </c>
      <c r="H143" s="52">
        <v>189</v>
      </c>
      <c r="I143" s="52">
        <v>94.5</v>
      </c>
      <c r="J143"/>
      <c r="K143"/>
      <c r="L143"/>
      <c r="M143"/>
      <c r="N143" s="37"/>
      <c r="O143" s="53">
        <v>291.5</v>
      </c>
      <c r="P143" s="53">
        <v>583</v>
      </c>
      <c r="Q143" s="53">
        <v>291.5</v>
      </c>
      <c r="R143" s="53"/>
      <c r="S143" s="53">
        <v>291.5</v>
      </c>
      <c r="T143" s="15">
        <v>583</v>
      </c>
      <c r="U143" s="15">
        <v>291.5</v>
      </c>
      <c r="V143" s="15"/>
      <c r="W143" s="15"/>
      <c r="X143" s="15"/>
      <c r="Y143" s="15"/>
      <c r="Z143" s="15"/>
      <c r="AA143" s="15"/>
      <c r="AB143" s="15"/>
    </row>
    <row r="144" spans="6:28" s="21" customFormat="1" ht="14.25" x14ac:dyDescent="0.45">
      <c r="F144" s="49">
        <v>41306</v>
      </c>
      <c r="G144" s="52">
        <v>88.1</v>
      </c>
      <c r="H144" s="52">
        <v>176.2</v>
      </c>
      <c r="I144" s="52">
        <v>88.1</v>
      </c>
      <c r="J144"/>
      <c r="K144"/>
      <c r="L144"/>
      <c r="M144"/>
      <c r="N144" s="37"/>
      <c r="O144" s="53">
        <v>274.79999999999995</v>
      </c>
      <c r="P144" s="53">
        <v>549.59999999999991</v>
      </c>
      <c r="Q144" s="53">
        <v>274.79999999999995</v>
      </c>
      <c r="R144" s="53"/>
      <c r="S144" s="53">
        <v>274.79999999999995</v>
      </c>
      <c r="T144" s="15">
        <v>549.59999999999991</v>
      </c>
      <c r="U144" s="15">
        <v>274.79999999999995</v>
      </c>
      <c r="V144" s="15"/>
      <c r="W144" s="15"/>
      <c r="X144" s="15"/>
      <c r="Y144" s="15"/>
      <c r="Z144" s="15"/>
      <c r="AA144" s="15"/>
      <c r="AB144" s="15"/>
    </row>
    <row r="145" spans="6:28" s="21" customFormat="1" ht="14.25" x14ac:dyDescent="0.45">
      <c r="F145" s="49">
        <v>41334</v>
      </c>
      <c r="G145" s="52">
        <v>97.7</v>
      </c>
      <c r="H145" s="52">
        <v>195.4</v>
      </c>
      <c r="I145" s="52">
        <v>97.7</v>
      </c>
      <c r="J145"/>
      <c r="K145"/>
      <c r="L145"/>
      <c r="M145"/>
      <c r="N145" s="37"/>
      <c r="O145" s="53">
        <v>280.3</v>
      </c>
      <c r="P145" s="53">
        <v>560.6</v>
      </c>
      <c r="Q145" s="53">
        <v>280.3</v>
      </c>
      <c r="R145" s="53"/>
      <c r="S145" s="53">
        <v>280.3</v>
      </c>
      <c r="T145" s="15">
        <v>560.6</v>
      </c>
      <c r="U145" s="15">
        <v>280.3</v>
      </c>
      <c r="V145" s="15"/>
      <c r="W145" s="15"/>
      <c r="X145" s="15"/>
      <c r="Y145" s="15"/>
      <c r="Z145" s="15"/>
      <c r="AA145" s="15"/>
      <c r="AB145" s="15"/>
    </row>
    <row r="146" spans="6:28" s="21" customFormat="1" ht="14.25" x14ac:dyDescent="0.45">
      <c r="F146" s="49">
        <v>41365</v>
      </c>
      <c r="G146" s="52">
        <v>101.8</v>
      </c>
      <c r="H146" s="52">
        <v>203.6</v>
      </c>
      <c r="I146" s="52">
        <v>101.8</v>
      </c>
      <c r="J146"/>
      <c r="K146"/>
      <c r="L146"/>
      <c r="M146"/>
      <c r="N146" s="37"/>
      <c r="O146" s="53">
        <v>287.60000000000002</v>
      </c>
      <c r="P146" s="53">
        <v>575.20000000000005</v>
      </c>
      <c r="Q146" s="53">
        <v>287.60000000000002</v>
      </c>
      <c r="R146" s="53"/>
      <c r="S146" s="53">
        <v>287.60000000000002</v>
      </c>
      <c r="T146" s="15">
        <v>575.20000000000005</v>
      </c>
      <c r="U146" s="15">
        <v>287.60000000000002</v>
      </c>
      <c r="V146" s="15"/>
      <c r="W146" s="15"/>
      <c r="X146" s="15"/>
      <c r="Y146" s="15"/>
      <c r="Z146" s="15"/>
      <c r="AA146" s="15"/>
      <c r="AB146" s="15"/>
    </row>
    <row r="147" spans="6:28" s="21" customFormat="1" ht="14.25" x14ac:dyDescent="0.45">
      <c r="F147" s="49">
        <v>41395</v>
      </c>
      <c r="G147" s="52">
        <v>105</v>
      </c>
      <c r="H147" s="52">
        <v>210</v>
      </c>
      <c r="I147" s="52">
        <v>105</v>
      </c>
      <c r="J147"/>
      <c r="K147"/>
      <c r="L147"/>
      <c r="M147"/>
      <c r="N147" s="37"/>
      <c r="O147" s="53">
        <v>304.5</v>
      </c>
      <c r="P147" s="53">
        <v>609</v>
      </c>
      <c r="Q147" s="53">
        <v>304.5</v>
      </c>
      <c r="R147" s="53"/>
      <c r="S147" s="53">
        <v>304.5</v>
      </c>
      <c r="T147" s="15">
        <v>609</v>
      </c>
      <c r="U147" s="15">
        <v>304.5</v>
      </c>
      <c r="V147" s="15"/>
      <c r="W147" s="15"/>
      <c r="X147" s="15"/>
      <c r="Y147" s="15"/>
      <c r="Z147" s="15"/>
      <c r="AA147" s="15"/>
      <c r="AB147" s="15"/>
    </row>
    <row r="148" spans="6:28" s="21" customFormat="1" ht="14.25" x14ac:dyDescent="0.45">
      <c r="F148" s="49">
        <v>41426</v>
      </c>
      <c r="G148" s="52">
        <v>101.7</v>
      </c>
      <c r="H148" s="52">
        <v>203.4</v>
      </c>
      <c r="I148" s="52">
        <v>101.7</v>
      </c>
      <c r="J148"/>
      <c r="K148"/>
      <c r="L148"/>
      <c r="M148"/>
      <c r="N148" s="37"/>
      <c r="O148" s="53">
        <v>308.5</v>
      </c>
      <c r="P148" s="53">
        <v>617</v>
      </c>
      <c r="Q148" s="53">
        <v>308.5</v>
      </c>
      <c r="R148" s="53"/>
      <c r="S148" s="53">
        <v>308.5</v>
      </c>
      <c r="T148" s="15">
        <v>617</v>
      </c>
      <c r="U148" s="15">
        <v>308.5</v>
      </c>
      <c r="V148" s="15"/>
      <c r="W148" s="15"/>
      <c r="X148" s="15"/>
      <c r="Y148" s="15"/>
      <c r="Z148" s="15"/>
      <c r="AA148" s="15"/>
      <c r="AB148" s="15"/>
    </row>
    <row r="149" spans="6:28" s="21" customFormat="1" ht="14.25" x14ac:dyDescent="0.45">
      <c r="F149" s="49">
        <v>41456</v>
      </c>
      <c r="G149" s="52">
        <v>108</v>
      </c>
      <c r="H149" s="52">
        <v>216</v>
      </c>
      <c r="I149" s="52">
        <v>108</v>
      </c>
      <c r="J149"/>
      <c r="K149"/>
      <c r="L149"/>
      <c r="M149"/>
      <c r="N149" s="37"/>
      <c r="O149" s="53">
        <v>314.7</v>
      </c>
      <c r="P149" s="53">
        <v>629.4</v>
      </c>
      <c r="Q149" s="53">
        <v>314.7</v>
      </c>
      <c r="R149" s="53"/>
      <c r="S149" s="53">
        <v>314.7</v>
      </c>
      <c r="T149" s="15">
        <v>629.4</v>
      </c>
      <c r="U149" s="15">
        <v>314.7</v>
      </c>
      <c r="V149" s="15"/>
      <c r="W149" s="15"/>
      <c r="X149" s="15"/>
      <c r="Y149" s="15"/>
      <c r="Z149" s="15"/>
      <c r="AA149" s="15"/>
      <c r="AB149" s="15"/>
    </row>
    <row r="150" spans="6:28" s="21" customFormat="1" ht="14.25" x14ac:dyDescent="0.45">
      <c r="F150" s="49">
        <v>41487</v>
      </c>
      <c r="G150" s="52">
        <v>112</v>
      </c>
      <c r="H150" s="52">
        <v>224</v>
      </c>
      <c r="I150" s="52">
        <v>112</v>
      </c>
      <c r="J150"/>
      <c r="K150"/>
      <c r="L150"/>
      <c r="M150"/>
      <c r="N150" s="37"/>
      <c r="O150" s="53">
        <v>321.7</v>
      </c>
      <c r="P150" s="53">
        <v>643.4</v>
      </c>
      <c r="Q150" s="53">
        <v>321.7</v>
      </c>
      <c r="R150" s="53"/>
      <c r="S150" s="53">
        <v>321.7</v>
      </c>
      <c r="T150" s="15">
        <v>643.4</v>
      </c>
      <c r="U150" s="15">
        <v>321.7</v>
      </c>
      <c r="V150" s="15"/>
      <c r="W150" s="15"/>
      <c r="X150" s="15"/>
      <c r="Y150" s="15"/>
      <c r="Z150" s="15"/>
      <c r="AA150" s="15"/>
      <c r="AB150" s="15"/>
    </row>
    <row r="151" spans="6:28" s="21" customFormat="1" ht="14.25" x14ac:dyDescent="0.45">
      <c r="F151" s="49">
        <v>41518</v>
      </c>
      <c r="G151" s="52">
        <v>107.3</v>
      </c>
      <c r="H151" s="52">
        <v>214.6</v>
      </c>
      <c r="I151" s="52">
        <v>107.3</v>
      </c>
      <c r="J151"/>
      <c r="K151"/>
      <c r="L151"/>
      <c r="M151"/>
      <c r="N151" s="37"/>
      <c r="O151" s="53">
        <v>327.3</v>
      </c>
      <c r="P151" s="53">
        <v>654.6</v>
      </c>
      <c r="Q151" s="53">
        <v>327.3</v>
      </c>
      <c r="R151" s="53"/>
      <c r="S151" s="53">
        <v>327.3</v>
      </c>
      <c r="T151" s="15">
        <v>654.6</v>
      </c>
      <c r="U151" s="15">
        <v>327.3</v>
      </c>
      <c r="V151" s="15"/>
      <c r="W151" s="15"/>
      <c r="X151" s="15"/>
      <c r="Y151" s="15"/>
      <c r="Z151" s="15"/>
      <c r="AA151" s="15"/>
      <c r="AB151" s="15"/>
    </row>
    <row r="152" spans="6:28" s="21" customFormat="1" ht="14.25" x14ac:dyDescent="0.45">
      <c r="F152" s="49">
        <v>41548</v>
      </c>
      <c r="G152" s="52">
        <v>112.6</v>
      </c>
      <c r="H152" s="52">
        <v>225.2</v>
      </c>
      <c r="I152" s="52">
        <v>112.6</v>
      </c>
      <c r="J152"/>
      <c r="K152"/>
      <c r="L152"/>
      <c r="M152"/>
      <c r="N152" s="37"/>
      <c r="O152" s="53">
        <v>331.9</v>
      </c>
      <c r="P152" s="53">
        <v>663.8</v>
      </c>
      <c r="Q152" s="53">
        <v>331.9</v>
      </c>
      <c r="R152" s="53"/>
      <c r="S152" s="53">
        <v>331.9</v>
      </c>
      <c r="T152" s="15">
        <v>663.8</v>
      </c>
      <c r="U152" s="15">
        <v>331.9</v>
      </c>
      <c r="V152" s="15"/>
      <c r="W152" s="15"/>
      <c r="X152" s="15"/>
      <c r="Y152" s="15"/>
      <c r="Z152" s="15"/>
      <c r="AA152" s="15"/>
      <c r="AB152" s="15"/>
    </row>
    <row r="153" spans="6:28" s="21" customFormat="1" ht="14.25" x14ac:dyDescent="0.45">
      <c r="F153" s="49">
        <v>41579</v>
      </c>
      <c r="G153" s="52">
        <v>106.1</v>
      </c>
      <c r="H153" s="52">
        <v>212.2</v>
      </c>
      <c r="I153" s="52">
        <v>106.1</v>
      </c>
      <c r="J153"/>
      <c r="K153"/>
      <c r="L153"/>
      <c r="M153"/>
      <c r="N153" s="37"/>
      <c r="O153" s="53">
        <v>326</v>
      </c>
      <c r="P153" s="53">
        <v>652</v>
      </c>
      <c r="Q153" s="53">
        <v>326</v>
      </c>
      <c r="R153" s="53"/>
      <c r="S153" s="53">
        <v>326</v>
      </c>
      <c r="T153" s="15">
        <v>652</v>
      </c>
      <c r="U153" s="15">
        <v>326</v>
      </c>
      <c r="V153" s="15"/>
      <c r="W153" s="15"/>
      <c r="X153" s="15"/>
      <c r="Y153" s="15"/>
      <c r="Z153" s="15"/>
      <c r="AA153" s="15"/>
      <c r="AB153" s="15"/>
    </row>
    <row r="154" spans="6:28" s="21" customFormat="1" ht="14.25" x14ac:dyDescent="0.45">
      <c r="F154" s="49">
        <v>41609</v>
      </c>
      <c r="G154" s="52">
        <v>90.1</v>
      </c>
      <c r="H154" s="52">
        <v>180.2</v>
      </c>
      <c r="I154" s="52">
        <v>90.1</v>
      </c>
      <c r="J154"/>
      <c r="K154"/>
      <c r="L154"/>
      <c r="M154"/>
      <c r="N154" s="37"/>
      <c r="O154" s="53">
        <v>308.79999999999995</v>
      </c>
      <c r="P154" s="53">
        <v>617.59999999999991</v>
      </c>
      <c r="Q154" s="53">
        <v>308.79999999999995</v>
      </c>
      <c r="R154" s="53"/>
      <c r="S154" s="53">
        <v>308.79999999999995</v>
      </c>
      <c r="T154" s="15">
        <v>617.59999999999991</v>
      </c>
      <c r="U154" s="15">
        <v>308.79999999999995</v>
      </c>
      <c r="V154" s="15"/>
      <c r="W154" s="15"/>
      <c r="X154" s="15"/>
      <c r="Y154" s="15"/>
      <c r="Z154" s="15"/>
      <c r="AA154" s="15"/>
      <c r="AB154" s="15"/>
    </row>
    <row r="155" spans="6:28" s="21" customFormat="1" ht="14.25" x14ac:dyDescent="0.45">
      <c r="F155" s="49">
        <v>41640</v>
      </c>
      <c r="G155" s="52">
        <v>92.6</v>
      </c>
      <c r="H155" s="52">
        <v>185.2</v>
      </c>
      <c r="I155" s="52">
        <v>92.6</v>
      </c>
      <c r="J155"/>
      <c r="K155"/>
      <c r="L155"/>
      <c r="M155"/>
      <c r="N155" s="37"/>
      <c r="O155" s="53">
        <v>288.79999999999995</v>
      </c>
      <c r="P155" s="53">
        <v>577.59999999999991</v>
      </c>
      <c r="Q155" s="53">
        <v>288.79999999999995</v>
      </c>
      <c r="R155" s="53"/>
      <c r="S155" s="53">
        <v>288.79999999999995</v>
      </c>
      <c r="T155" s="15">
        <v>577.59999999999991</v>
      </c>
      <c r="U155" s="15">
        <v>288.79999999999995</v>
      </c>
      <c r="V155" s="15"/>
      <c r="W155" s="15"/>
      <c r="X155" s="15"/>
      <c r="Y155" s="15"/>
      <c r="Z155" s="15"/>
      <c r="AA155" s="15"/>
      <c r="AB155" s="15"/>
    </row>
    <row r="156" spans="6:28" s="21" customFormat="1" ht="14.25" x14ac:dyDescent="0.45">
      <c r="F156" s="49">
        <v>41671</v>
      </c>
      <c r="G156" s="52">
        <v>92.3</v>
      </c>
      <c r="H156" s="52">
        <v>184.6</v>
      </c>
      <c r="I156" s="52">
        <v>92.3</v>
      </c>
      <c r="J156"/>
      <c r="K156"/>
      <c r="L156"/>
      <c r="M156"/>
      <c r="N156" s="37"/>
      <c r="O156" s="53">
        <v>275</v>
      </c>
      <c r="P156" s="53">
        <v>550</v>
      </c>
      <c r="Q156" s="53">
        <v>275</v>
      </c>
      <c r="R156" s="53"/>
      <c r="S156" s="53">
        <v>275</v>
      </c>
      <c r="T156" s="15">
        <v>550</v>
      </c>
      <c r="U156" s="15">
        <v>275</v>
      </c>
      <c r="V156" s="15"/>
      <c r="W156" s="15"/>
      <c r="X156" s="15"/>
      <c r="Y156" s="15"/>
      <c r="Z156" s="15"/>
      <c r="AA156" s="15"/>
      <c r="AB156" s="15"/>
    </row>
    <row r="157" spans="6:28" s="21" customFormat="1" ht="14.25" x14ac:dyDescent="0.45">
      <c r="F157" s="49">
        <v>41699</v>
      </c>
      <c r="G157" s="52">
        <v>97.3</v>
      </c>
      <c r="H157" s="52">
        <v>194.6</v>
      </c>
      <c r="I157" s="52">
        <v>97.3</v>
      </c>
      <c r="J157"/>
      <c r="K157"/>
      <c r="L157"/>
      <c r="M157"/>
      <c r="N157" s="37"/>
      <c r="O157" s="53">
        <v>282.2</v>
      </c>
      <c r="P157" s="53">
        <v>564.4</v>
      </c>
      <c r="Q157" s="53">
        <v>282.2</v>
      </c>
      <c r="R157" s="53"/>
      <c r="S157" s="53">
        <v>282.2</v>
      </c>
      <c r="T157" s="15">
        <v>564.4</v>
      </c>
      <c r="U157" s="15">
        <v>282.2</v>
      </c>
      <c r="V157" s="15"/>
      <c r="W157" s="15"/>
      <c r="X157" s="15"/>
      <c r="Y157" s="15"/>
      <c r="Z157" s="15"/>
      <c r="AA157" s="15"/>
      <c r="AB157" s="15"/>
    </row>
    <row r="158" spans="6:28" s="21" customFormat="1" ht="14.25" x14ac:dyDescent="0.45">
      <c r="F158" s="49">
        <v>41730</v>
      </c>
      <c r="G158" s="52">
        <v>96</v>
      </c>
      <c r="H158" s="52">
        <v>192</v>
      </c>
      <c r="I158" s="52">
        <v>96</v>
      </c>
      <c r="J158"/>
      <c r="K158"/>
      <c r="L158"/>
      <c r="M158"/>
      <c r="N158" s="37"/>
      <c r="O158" s="53">
        <v>285.60000000000002</v>
      </c>
      <c r="P158" s="53">
        <v>571.20000000000005</v>
      </c>
      <c r="Q158" s="53">
        <v>285.60000000000002</v>
      </c>
      <c r="R158" s="53"/>
      <c r="S158" s="53">
        <v>285.60000000000002</v>
      </c>
      <c r="T158" s="15">
        <v>571.20000000000005</v>
      </c>
      <c r="U158" s="15">
        <v>285.60000000000002</v>
      </c>
      <c r="V158" s="15"/>
      <c r="W158" s="15"/>
      <c r="X158" s="15"/>
      <c r="Y158" s="15"/>
      <c r="Z158" s="15"/>
      <c r="AA158" s="15"/>
      <c r="AB158" s="15"/>
    </row>
    <row r="159" spans="6:28" s="21" customFormat="1" ht="14.25" x14ac:dyDescent="0.45">
      <c r="F159" s="49">
        <v>41760</v>
      </c>
      <c r="G159" s="52">
        <v>101.7</v>
      </c>
      <c r="H159" s="52">
        <v>203.4</v>
      </c>
      <c r="I159" s="52">
        <v>101.7</v>
      </c>
      <c r="J159"/>
      <c r="K159"/>
      <c r="L159"/>
      <c r="M159"/>
      <c r="N159" s="37"/>
      <c r="O159" s="53">
        <v>295</v>
      </c>
      <c r="P159" s="53">
        <v>590</v>
      </c>
      <c r="Q159" s="53">
        <v>295</v>
      </c>
      <c r="R159" s="53"/>
      <c r="S159" s="53">
        <v>295</v>
      </c>
      <c r="T159" s="15">
        <v>590</v>
      </c>
      <c r="U159" s="15">
        <v>295</v>
      </c>
      <c r="V159" s="15"/>
      <c r="W159" s="15"/>
      <c r="X159" s="15"/>
      <c r="Y159" s="15"/>
      <c r="Z159" s="15"/>
      <c r="AA159" s="15"/>
      <c r="AB159" s="15"/>
    </row>
    <row r="160" spans="6:28" s="21" customFormat="1" ht="14.25" x14ac:dyDescent="0.45">
      <c r="F160" s="49">
        <v>41791</v>
      </c>
      <c r="G160" s="52">
        <v>94.9</v>
      </c>
      <c r="H160" s="52">
        <v>189.8</v>
      </c>
      <c r="I160" s="52">
        <v>94.9</v>
      </c>
      <c r="J160"/>
      <c r="K160"/>
      <c r="L160"/>
      <c r="M160"/>
      <c r="N160" s="37"/>
      <c r="O160" s="53">
        <v>292.60000000000002</v>
      </c>
      <c r="P160" s="53">
        <v>585.20000000000005</v>
      </c>
      <c r="Q160" s="53">
        <v>292.60000000000002</v>
      </c>
      <c r="R160" s="53"/>
      <c r="S160" s="53">
        <v>292.60000000000002</v>
      </c>
      <c r="T160" s="15">
        <v>585.20000000000005</v>
      </c>
      <c r="U160" s="15">
        <v>292.60000000000002</v>
      </c>
      <c r="V160" s="15"/>
      <c r="W160" s="15"/>
      <c r="X160" s="15"/>
      <c r="Y160" s="15"/>
      <c r="Z160" s="15"/>
      <c r="AA160" s="15"/>
      <c r="AB160" s="15"/>
    </row>
    <row r="161" spans="6:28" s="21" customFormat="1" ht="14.25" x14ac:dyDescent="0.45">
      <c r="F161" s="49">
        <v>41821</v>
      </c>
      <c r="G161" s="52">
        <v>104.4</v>
      </c>
      <c r="H161" s="52">
        <v>208.8</v>
      </c>
      <c r="I161" s="52">
        <v>104.4</v>
      </c>
      <c r="J161"/>
      <c r="K161"/>
      <c r="L161"/>
      <c r="M161"/>
      <c r="N161" s="37"/>
      <c r="O161" s="53">
        <v>301</v>
      </c>
      <c r="P161" s="53">
        <v>602</v>
      </c>
      <c r="Q161" s="53">
        <v>301</v>
      </c>
      <c r="R161" s="53"/>
      <c r="S161" s="53">
        <v>301</v>
      </c>
      <c r="T161" s="15">
        <v>602</v>
      </c>
      <c r="U161" s="15">
        <v>301</v>
      </c>
      <c r="V161" s="15"/>
      <c r="W161" s="15"/>
      <c r="X161" s="15"/>
      <c r="Y161" s="15"/>
      <c r="Z161" s="15"/>
      <c r="AA161" s="15"/>
      <c r="AB161" s="15"/>
    </row>
    <row r="162" spans="6:28" s="21" customFormat="1" ht="14.25" x14ac:dyDescent="0.45">
      <c r="F162" s="49">
        <v>41852</v>
      </c>
      <c r="G162" s="52">
        <v>106.3</v>
      </c>
      <c r="H162" s="52">
        <v>212.6</v>
      </c>
      <c r="I162" s="52">
        <v>106.3</v>
      </c>
      <c r="J162"/>
      <c r="K162"/>
      <c r="L162"/>
      <c r="M162"/>
      <c r="N162" s="37"/>
      <c r="O162" s="53">
        <v>305.60000000000002</v>
      </c>
      <c r="P162" s="53">
        <v>611.20000000000005</v>
      </c>
      <c r="Q162" s="53">
        <v>305.60000000000002</v>
      </c>
      <c r="R162" s="53"/>
      <c r="S162" s="53">
        <v>305.60000000000002</v>
      </c>
      <c r="T162" s="15">
        <v>611.20000000000005</v>
      </c>
      <c r="U162" s="15">
        <v>305.60000000000002</v>
      </c>
      <c r="V162" s="15"/>
      <c r="W162" s="15"/>
      <c r="X162" s="15"/>
      <c r="Y162" s="15"/>
      <c r="Z162" s="15"/>
      <c r="AA162" s="15"/>
      <c r="AB162" s="15"/>
    </row>
    <row r="163" spans="6:28" s="21" customFormat="1" ht="14.25" x14ac:dyDescent="0.45">
      <c r="F163" s="49">
        <v>41883</v>
      </c>
      <c r="G163" s="52">
        <v>105.6</v>
      </c>
      <c r="H163" s="52">
        <v>211.2</v>
      </c>
      <c r="I163" s="52">
        <v>105.6</v>
      </c>
      <c r="J163"/>
      <c r="K163"/>
      <c r="L163"/>
      <c r="M163"/>
      <c r="N163" s="37"/>
      <c r="O163" s="53">
        <v>316.29999999999995</v>
      </c>
      <c r="P163" s="53">
        <v>632.59999999999991</v>
      </c>
      <c r="Q163" s="53">
        <v>316.29999999999995</v>
      </c>
      <c r="R163" s="53"/>
      <c r="S163" s="53">
        <v>316.29999999999995</v>
      </c>
      <c r="T163" s="15">
        <v>632.59999999999991</v>
      </c>
      <c r="U163" s="15">
        <v>316.29999999999995</v>
      </c>
      <c r="V163" s="15"/>
      <c r="W163" s="15"/>
      <c r="X163" s="15"/>
      <c r="Y163" s="15"/>
      <c r="Z163" s="15"/>
      <c r="AA163" s="15"/>
      <c r="AB163" s="15"/>
    </row>
    <row r="164" spans="6:28" s="21" customFormat="1" ht="14.25" x14ac:dyDescent="0.45">
      <c r="F164" s="49">
        <v>41913</v>
      </c>
      <c r="G164" s="52">
        <v>109.3</v>
      </c>
      <c r="H164" s="52">
        <v>218.6</v>
      </c>
      <c r="I164" s="52">
        <v>109.3</v>
      </c>
      <c r="J164"/>
      <c r="K164"/>
      <c r="L164"/>
      <c r="M164"/>
      <c r="N164" s="37"/>
      <c r="O164" s="53">
        <v>321.2</v>
      </c>
      <c r="P164" s="53">
        <v>642.4</v>
      </c>
      <c r="Q164" s="53">
        <v>321.2</v>
      </c>
      <c r="R164" s="53"/>
      <c r="S164" s="53">
        <v>321.2</v>
      </c>
      <c r="T164" s="15">
        <v>642.4</v>
      </c>
      <c r="U164" s="15">
        <v>321.2</v>
      </c>
      <c r="V164" s="15"/>
      <c r="W164" s="15"/>
      <c r="X164" s="15"/>
      <c r="Y164" s="15"/>
      <c r="Z164" s="15"/>
      <c r="AA164" s="15"/>
      <c r="AB164" s="15"/>
    </row>
    <row r="165" spans="6:28" s="21" customFormat="1" ht="14.25" x14ac:dyDescent="0.45">
      <c r="F165" s="49">
        <v>41944</v>
      </c>
      <c r="G165" s="52">
        <v>99.8</v>
      </c>
      <c r="H165" s="52">
        <v>199.6</v>
      </c>
      <c r="I165" s="52">
        <v>99.8</v>
      </c>
      <c r="J165"/>
      <c r="K165"/>
      <c r="L165"/>
      <c r="M165"/>
      <c r="N165" s="37"/>
      <c r="O165" s="53">
        <v>314.7</v>
      </c>
      <c r="P165" s="53">
        <v>629.4</v>
      </c>
      <c r="Q165" s="53">
        <v>314.7</v>
      </c>
      <c r="R165" s="53"/>
      <c r="S165" s="53">
        <v>314.7</v>
      </c>
      <c r="T165" s="15">
        <v>629.4</v>
      </c>
      <c r="U165" s="15">
        <v>314.7</v>
      </c>
      <c r="V165" s="15"/>
      <c r="W165" s="15"/>
      <c r="X165" s="15"/>
      <c r="Y165" s="15"/>
      <c r="Z165" s="15"/>
      <c r="AA165" s="15"/>
      <c r="AB165" s="15"/>
    </row>
    <row r="166" spans="6:28" s="21" customFormat="1" ht="14.25" x14ac:dyDescent="0.45">
      <c r="F166" s="49">
        <v>41974</v>
      </c>
      <c r="G166" s="52">
        <v>87.7</v>
      </c>
      <c r="H166" s="52">
        <v>175.4</v>
      </c>
      <c r="I166" s="52">
        <v>87.7</v>
      </c>
      <c r="J166"/>
      <c r="K166"/>
      <c r="L166"/>
      <c r="M166"/>
      <c r="N166" s="37"/>
      <c r="O166" s="53">
        <v>296.8</v>
      </c>
      <c r="P166" s="53">
        <v>593.6</v>
      </c>
      <c r="Q166" s="53">
        <v>296.8</v>
      </c>
      <c r="R166" s="53"/>
      <c r="S166" s="53">
        <v>296.8</v>
      </c>
      <c r="T166" s="15">
        <v>593.6</v>
      </c>
      <c r="U166" s="15">
        <v>296.8</v>
      </c>
      <c r="V166" s="15"/>
      <c r="W166" s="15"/>
      <c r="X166" s="15"/>
      <c r="Y166" s="15"/>
      <c r="Z166" s="15"/>
      <c r="AA166" s="15"/>
      <c r="AB166" s="15"/>
    </row>
    <row r="167" spans="6:28" s="21" customFormat="1" ht="14.25" x14ac:dyDescent="0.45">
      <c r="F167" s="49">
        <v>42005</v>
      </c>
      <c r="G167" s="52">
        <v>88.1</v>
      </c>
      <c r="H167" s="52">
        <v>176.2</v>
      </c>
      <c r="I167" s="52">
        <v>88.1</v>
      </c>
      <c r="J167"/>
      <c r="K167"/>
      <c r="L167"/>
      <c r="M167"/>
      <c r="N167" s="37"/>
      <c r="O167" s="53">
        <v>275.60000000000002</v>
      </c>
      <c r="P167" s="53">
        <v>551.20000000000005</v>
      </c>
      <c r="Q167" s="53">
        <v>275.60000000000002</v>
      </c>
      <c r="R167" s="53"/>
      <c r="S167" s="53">
        <v>275.60000000000002</v>
      </c>
      <c r="T167" s="15">
        <v>551.20000000000005</v>
      </c>
      <c r="U167" s="15">
        <v>275.60000000000002</v>
      </c>
      <c r="V167" s="15"/>
      <c r="W167" s="15"/>
      <c r="X167" s="15"/>
      <c r="Y167" s="15"/>
      <c r="Z167" s="15"/>
      <c r="AA167" s="15"/>
      <c r="AB167" s="15"/>
    </row>
    <row r="168" spans="6:28" s="21" customFormat="1" ht="14.25" x14ac:dyDescent="0.45">
      <c r="F168" s="49">
        <v>42036</v>
      </c>
      <c r="G168" s="52">
        <v>83.7</v>
      </c>
      <c r="H168" s="52">
        <v>167.4</v>
      </c>
      <c r="I168" s="52">
        <v>83.7</v>
      </c>
      <c r="J168"/>
      <c r="K168"/>
      <c r="L168"/>
      <c r="M168"/>
      <c r="N168" s="37"/>
      <c r="O168" s="53">
        <v>259.5</v>
      </c>
      <c r="P168" s="53">
        <v>519</v>
      </c>
      <c r="Q168" s="53">
        <v>259.5</v>
      </c>
      <c r="R168" s="53"/>
      <c r="S168" s="53">
        <v>259.5</v>
      </c>
      <c r="T168" s="15">
        <v>519</v>
      </c>
      <c r="U168" s="15">
        <v>259.5</v>
      </c>
      <c r="V168" s="15"/>
      <c r="W168" s="15"/>
      <c r="X168" s="15"/>
      <c r="Y168" s="15"/>
      <c r="Z168" s="15"/>
      <c r="AA168" s="15"/>
      <c r="AB168" s="15"/>
    </row>
    <row r="169" spans="6:28" s="21" customFormat="1" ht="14.25" x14ac:dyDescent="0.45">
      <c r="F169" s="49">
        <v>42064</v>
      </c>
      <c r="G169" s="52">
        <v>94.3</v>
      </c>
      <c r="H169" s="52">
        <v>188.6</v>
      </c>
      <c r="I169" s="52">
        <v>94.3</v>
      </c>
      <c r="J169"/>
      <c r="K169"/>
      <c r="L169"/>
      <c r="M169"/>
      <c r="N169" s="37"/>
      <c r="O169" s="53">
        <v>266.10000000000002</v>
      </c>
      <c r="P169" s="53">
        <v>532.20000000000005</v>
      </c>
      <c r="Q169" s="53">
        <v>266.10000000000002</v>
      </c>
      <c r="R169" s="53"/>
      <c r="S169" s="53">
        <v>266.10000000000002</v>
      </c>
      <c r="T169" s="15">
        <v>532.20000000000005</v>
      </c>
      <c r="U169" s="15">
        <v>266.10000000000002</v>
      </c>
      <c r="V169" s="15"/>
      <c r="W169" s="15"/>
      <c r="X169" s="15"/>
      <c r="Y169" s="15"/>
      <c r="Z169" s="15"/>
      <c r="AA169" s="15"/>
      <c r="AB169" s="15"/>
    </row>
    <row r="170" spans="6:28" s="21" customFormat="1" ht="14.25" x14ac:dyDescent="0.45">
      <c r="F170" s="49">
        <v>42095</v>
      </c>
      <c r="G170" s="52">
        <v>88.8</v>
      </c>
      <c r="H170" s="52">
        <v>177.6</v>
      </c>
      <c r="I170" s="52">
        <v>88.8</v>
      </c>
      <c r="J170"/>
      <c r="K170"/>
      <c r="L170"/>
      <c r="M170"/>
      <c r="N170" s="37"/>
      <c r="O170" s="53">
        <v>266.8</v>
      </c>
      <c r="P170" s="53">
        <v>533.6</v>
      </c>
      <c r="Q170" s="53">
        <v>266.8</v>
      </c>
      <c r="R170" s="53"/>
      <c r="S170" s="53">
        <v>266.8</v>
      </c>
      <c r="T170" s="15">
        <v>533.6</v>
      </c>
      <c r="U170" s="15">
        <v>266.8</v>
      </c>
      <c r="V170" s="15"/>
      <c r="W170" s="15"/>
      <c r="X170" s="15"/>
      <c r="Y170" s="15"/>
      <c r="Z170" s="15"/>
      <c r="AA170" s="15"/>
      <c r="AB170" s="15"/>
    </row>
    <row r="171" spans="6:28" s="21" customFormat="1" ht="14.25" x14ac:dyDescent="0.45">
      <c r="F171" s="49">
        <v>42125</v>
      </c>
      <c r="G171" s="52">
        <v>93.1</v>
      </c>
      <c r="H171" s="52">
        <v>186.2</v>
      </c>
      <c r="I171" s="52">
        <v>93.1</v>
      </c>
      <c r="J171"/>
      <c r="K171"/>
      <c r="L171"/>
      <c r="M171"/>
      <c r="N171" s="37"/>
      <c r="O171" s="53">
        <v>276.2</v>
      </c>
      <c r="P171" s="53">
        <v>552.4</v>
      </c>
      <c r="Q171" s="53">
        <v>276.2</v>
      </c>
      <c r="R171" s="53"/>
      <c r="S171" s="53">
        <v>276.2</v>
      </c>
      <c r="T171" s="15">
        <v>552.4</v>
      </c>
      <c r="U171" s="15">
        <v>276.2</v>
      </c>
      <c r="V171" s="15"/>
      <c r="W171" s="15"/>
      <c r="X171" s="15"/>
      <c r="Y171" s="15"/>
      <c r="Z171" s="15"/>
      <c r="AA171" s="15"/>
      <c r="AB171" s="15"/>
    </row>
    <row r="172" spans="6:28" s="21" customFormat="1" ht="14.25" x14ac:dyDescent="0.45">
      <c r="F172" s="49">
        <v>42156</v>
      </c>
      <c r="G172" s="52">
        <v>92.5</v>
      </c>
      <c r="H172" s="52">
        <v>185</v>
      </c>
      <c r="I172" s="52">
        <v>92.5</v>
      </c>
      <c r="J172"/>
      <c r="K172"/>
      <c r="L172"/>
      <c r="M172"/>
      <c r="N172" s="37"/>
      <c r="O172" s="53">
        <v>274.39999999999998</v>
      </c>
      <c r="P172" s="53">
        <v>548.79999999999995</v>
      </c>
      <c r="Q172" s="53">
        <v>274.39999999999998</v>
      </c>
      <c r="R172" s="53"/>
      <c r="S172" s="53">
        <v>274.39999999999998</v>
      </c>
      <c r="T172" s="15">
        <v>548.79999999999995</v>
      </c>
      <c r="U172" s="15">
        <v>274.39999999999998</v>
      </c>
      <c r="V172" s="15"/>
      <c r="W172" s="15"/>
      <c r="X172" s="15"/>
      <c r="Y172" s="15"/>
      <c r="Z172" s="15"/>
      <c r="AA172" s="15"/>
      <c r="AB172" s="15"/>
    </row>
    <row r="173" spans="6:28" s="21" customFormat="1" ht="14.25" x14ac:dyDescent="0.45">
      <c r="F173" s="49">
        <v>42186</v>
      </c>
      <c r="G173" s="52">
        <v>95.5</v>
      </c>
      <c r="H173" s="52">
        <v>191</v>
      </c>
      <c r="I173" s="52">
        <v>95.5</v>
      </c>
      <c r="J173"/>
      <c r="K173"/>
      <c r="L173"/>
      <c r="M173"/>
      <c r="N173" s="37"/>
      <c r="O173" s="53">
        <v>281.10000000000002</v>
      </c>
      <c r="P173" s="53">
        <v>562.20000000000005</v>
      </c>
      <c r="Q173" s="53">
        <v>281.10000000000002</v>
      </c>
      <c r="R173" s="53"/>
      <c r="S173" s="53">
        <v>281.10000000000002</v>
      </c>
      <c r="T173" s="15">
        <v>562.20000000000005</v>
      </c>
      <c r="U173" s="15">
        <v>281.10000000000002</v>
      </c>
      <c r="V173" s="15"/>
      <c r="W173" s="15"/>
      <c r="X173" s="15"/>
      <c r="Y173" s="15"/>
      <c r="Z173" s="15"/>
      <c r="AA173" s="15"/>
      <c r="AB173" s="15"/>
    </row>
    <row r="174" spans="6:28" s="21" customFormat="1" ht="14.25" x14ac:dyDescent="0.45">
      <c r="F174" s="49">
        <v>42217</v>
      </c>
      <c r="G174" s="52">
        <v>97.6</v>
      </c>
      <c r="H174" s="52">
        <v>195.2</v>
      </c>
      <c r="I174" s="52">
        <v>97.6</v>
      </c>
      <c r="J174"/>
      <c r="K174"/>
      <c r="L174"/>
      <c r="M174"/>
      <c r="N174" s="37"/>
      <c r="O174" s="53">
        <v>285.60000000000002</v>
      </c>
      <c r="P174" s="53">
        <v>571.20000000000005</v>
      </c>
      <c r="Q174" s="53">
        <v>285.60000000000002</v>
      </c>
      <c r="R174" s="53"/>
      <c r="S174" s="53">
        <v>285.60000000000002</v>
      </c>
      <c r="T174" s="15">
        <v>571.20000000000005</v>
      </c>
      <c r="U174" s="15">
        <v>285.60000000000002</v>
      </c>
      <c r="V174" s="15"/>
      <c r="W174" s="15"/>
      <c r="X174" s="15"/>
      <c r="Y174" s="15"/>
      <c r="Z174" s="15"/>
      <c r="AA174" s="15"/>
      <c r="AB174" s="15"/>
    </row>
    <row r="175" spans="6:28" s="21" customFormat="1" ht="14.25" x14ac:dyDescent="0.45">
      <c r="F175" s="49">
        <v>42248</v>
      </c>
      <c r="G175" s="52">
        <v>94.3</v>
      </c>
      <c r="H175" s="52">
        <v>188.6</v>
      </c>
      <c r="I175" s="52">
        <v>94.3</v>
      </c>
      <c r="J175"/>
      <c r="K175"/>
      <c r="L175"/>
      <c r="M175"/>
      <c r="N175" s="37"/>
      <c r="O175" s="53">
        <v>287.39999999999998</v>
      </c>
      <c r="P175" s="53">
        <v>574.79999999999995</v>
      </c>
      <c r="Q175" s="53">
        <v>287.39999999999998</v>
      </c>
      <c r="R175" s="53"/>
      <c r="S175" s="53">
        <v>287.39999999999998</v>
      </c>
      <c r="T175" s="15">
        <v>574.79999999999995</v>
      </c>
      <c r="U175" s="15">
        <v>287.39999999999998</v>
      </c>
      <c r="V175" s="15"/>
      <c r="W175" s="15"/>
      <c r="X175" s="15"/>
      <c r="Y175" s="15"/>
      <c r="Z175" s="15"/>
      <c r="AA175" s="15"/>
      <c r="AB175" s="15"/>
    </row>
    <row r="176" spans="6:28" s="21" customFormat="1" ht="14.25" x14ac:dyDescent="0.45">
      <c r="F176" s="49">
        <v>42278</v>
      </c>
      <c r="G176" s="52">
        <v>97.2</v>
      </c>
      <c r="H176" s="52">
        <v>194.4</v>
      </c>
      <c r="I176" s="52">
        <v>97.2</v>
      </c>
      <c r="J176"/>
      <c r="K176"/>
      <c r="L176"/>
      <c r="M176"/>
      <c r="N176" s="37"/>
      <c r="O176" s="53">
        <v>289.09999999999997</v>
      </c>
      <c r="P176" s="53">
        <v>578.19999999999993</v>
      </c>
      <c r="Q176" s="53">
        <v>289.09999999999997</v>
      </c>
      <c r="R176" s="53"/>
      <c r="S176" s="53">
        <v>289.09999999999997</v>
      </c>
      <c r="T176" s="15">
        <v>578.19999999999993</v>
      </c>
      <c r="U176" s="15">
        <v>289.09999999999997</v>
      </c>
      <c r="V176" s="15"/>
      <c r="W176" s="15"/>
      <c r="X176" s="15"/>
      <c r="Y176" s="15"/>
      <c r="Z176" s="15"/>
      <c r="AA176" s="15"/>
      <c r="AB176" s="15"/>
    </row>
    <row r="177" spans="6:28" s="21" customFormat="1" ht="14.25" x14ac:dyDescent="0.45">
      <c r="F177" s="49">
        <v>42309</v>
      </c>
      <c r="G177" s="52">
        <v>87.6</v>
      </c>
      <c r="H177" s="52">
        <v>175.2</v>
      </c>
      <c r="I177" s="52">
        <v>87.6</v>
      </c>
      <c r="J177"/>
      <c r="K177"/>
      <c r="L177"/>
      <c r="M177"/>
      <c r="N177" s="37"/>
      <c r="O177" s="53">
        <v>279.10000000000002</v>
      </c>
      <c r="P177" s="53">
        <v>558.20000000000005</v>
      </c>
      <c r="Q177" s="53">
        <v>279.10000000000002</v>
      </c>
      <c r="R177" s="53"/>
      <c r="S177" s="53">
        <v>279.10000000000002</v>
      </c>
      <c r="T177" s="15">
        <v>558.20000000000005</v>
      </c>
      <c r="U177" s="15">
        <v>279.10000000000002</v>
      </c>
      <c r="V177" s="15"/>
      <c r="W177" s="15"/>
      <c r="X177" s="15"/>
      <c r="Y177" s="15"/>
      <c r="Z177" s="15"/>
      <c r="AA177" s="15"/>
      <c r="AB177" s="15"/>
    </row>
    <row r="178" spans="6:28" s="21" customFormat="1" ht="14.25" x14ac:dyDescent="0.45">
      <c r="F178" s="49">
        <v>42339</v>
      </c>
      <c r="G178" s="52">
        <v>77.2</v>
      </c>
      <c r="H178" s="52">
        <v>154.4</v>
      </c>
      <c r="I178" s="52">
        <v>77.2</v>
      </c>
      <c r="J178"/>
      <c r="K178"/>
      <c r="L178"/>
      <c r="M178"/>
      <c r="N178" s="37"/>
      <c r="O178" s="53">
        <v>262</v>
      </c>
      <c r="P178" s="53">
        <v>524</v>
      </c>
      <c r="Q178" s="53">
        <v>262</v>
      </c>
      <c r="R178" s="53"/>
      <c r="S178" s="53">
        <v>262</v>
      </c>
      <c r="T178" s="15">
        <v>524</v>
      </c>
      <c r="U178" s="15">
        <v>262</v>
      </c>
      <c r="V178" s="15"/>
      <c r="W178" s="15"/>
      <c r="X178" s="15"/>
      <c r="Y178" s="15"/>
      <c r="Z178" s="15"/>
      <c r="AA178" s="15"/>
      <c r="AB178" s="15"/>
    </row>
    <row r="179" spans="6:28" s="21" customFormat="1" ht="14.25" x14ac:dyDescent="0.45">
      <c r="F179" s="49">
        <v>42370</v>
      </c>
      <c r="G179" s="52">
        <v>76.3</v>
      </c>
      <c r="H179" s="52">
        <v>152.6</v>
      </c>
      <c r="I179" s="52">
        <v>76.3</v>
      </c>
      <c r="J179"/>
      <c r="K179"/>
      <c r="L179"/>
      <c r="M179"/>
      <c r="N179" s="37"/>
      <c r="O179" s="53">
        <v>241.10000000000002</v>
      </c>
      <c r="P179" s="53">
        <v>482.20000000000005</v>
      </c>
      <c r="Q179" s="53">
        <v>241.10000000000002</v>
      </c>
      <c r="R179" s="53"/>
      <c r="S179" s="53">
        <v>241.10000000000002</v>
      </c>
      <c r="T179" s="15">
        <v>482.20000000000005</v>
      </c>
      <c r="U179" s="15">
        <v>241.10000000000002</v>
      </c>
      <c r="V179" s="15"/>
      <c r="W179" s="15"/>
      <c r="X179" s="15"/>
      <c r="Y179" s="15"/>
      <c r="Z179" s="15"/>
      <c r="AA179" s="15"/>
      <c r="AB179" s="15"/>
    </row>
    <row r="180" spans="6:28" s="21" customFormat="1" ht="14.25" x14ac:dyDescent="0.45">
      <c r="F180" s="49">
        <v>42401</v>
      </c>
      <c r="G180" s="52">
        <v>75.8</v>
      </c>
      <c r="H180" s="52">
        <v>151.6</v>
      </c>
      <c r="I180" s="52">
        <v>75.8</v>
      </c>
      <c r="J180"/>
      <c r="K180"/>
      <c r="L180"/>
      <c r="M180"/>
      <c r="N180" s="37"/>
      <c r="O180" s="53">
        <v>229.3</v>
      </c>
      <c r="P180" s="53">
        <v>458.6</v>
      </c>
      <c r="Q180" s="53">
        <v>229.3</v>
      </c>
      <c r="R180" s="53"/>
      <c r="S180" s="53">
        <v>229.3</v>
      </c>
      <c r="T180" s="15">
        <v>458.6</v>
      </c>
      <c r="U180" s="15">
        <v>229.3</v>
      </c>
      <c r="V180" s="15"/>
      <c r="W180" s="15"/>
      <c r="X180" s="15"/>
      <c r="Y180" s="15"/>
      <c r="Z180" s="15"/>
      <c r="AA180" s="15"/>
      <c r="AB180" s="15"/>
    </row>
    <row r="181" spans="6:28" s="21" customFormat="1" ht="14.25" x14ac:dyDescent="0.45">
      <c r="F181" s="49">
        <v>42430</v>
      </c>
      <c r="G181" s="52">
        <v>83.7</v>
      </c>
      <c r="H181" s="52">
        <v>167.4</v>
      </c>
      <c r="I181" s="52">
        <v>83.7</v>
      </c>
      <c r="J181"/>
      <c r="K181"/>
      <c r="L181"/>
      <c r="M181"/>
      <c r="N181" s="37"/>
      <c r="O181" s="53">
        <v>235.8</v>
      </c>
      <c r="P181" s="53">
        <v>471.6</v>
      </c>
      <c r="Q181" s="53">
        <v>235.8</v>
      </c>
      <c r="R181" s="53"/>
      <c r="S181" s="53">
        <v>235.8</v>
      </c>
      <c r="T181" s="15">
        <v>471.6</v>
      </c>
      <c r="U181" s="15">
        <v>235.8</v>
      </c>
      <c r="V181" s="15"/>
      <c r="W181" s="15"/>
      <c r="X181" s="15"/>
      <c r="Y181" s="15"/>
      <c r="Z181" s="15"/>
      <c r="AA181" s="15"/>
      <c r="AB181" s="15"/>
    </row>
    <row r="182" spans="6:28" s="21" customFormat="1" ht="14.25" x14ac:dyDescent="0.45">
      <c r="F182" s="49">
        <v>42461</v>
      </c>
      <c r="G182" s="52">
        <v>83</v>
      </c>
      <c r="H182" s="52">
        <v>166</v>
      </c>
      <c r="I182" s="52">
        <v>83</v>
      </c>
      <c r="J182"/>
      <c r="K182"/>
      <c r="L182"/>
      <c r="M182"/>
      <c r="N182" s="37"/>
      <c r="O182" s="53">
        <v>242.5</v>
      </c>
      <c r="P182" s="53">
        <v>485</v>
      </c>
      <c r="Q182" s="53">
        <v>242.5</v>
      </c>
      <c r="R182" s="53"/>
      <c r="S182" s="53">
        <v>242.5</v>
      </c>
      <c r="T182" s="15">
        <v>485</v>
      </c>
      <c r="U182" s="15">
        <v>242.5</v>
      </c>
      <c r="V182" s="15"/>
      <c r="W182" s="15"/>
      <c r="X182" s="15"/>
      <c r="Y182" s="15"/>
      <c r="Z182" s="15"/>
      <c r="AA182" s="15"/>
      <c r="AB182" s="15"/>
    </row>
    <row r="183" spans="6:28" s="21" customFormat="1" ht="14.25" x14ac:dyDescent="0.45">
      <c r="F183" s="49">
        <v>42491</v>
      </c>
      <c r="G183" s="52">
        <v>86.3</v>
      </c>
      <c r="H183" s="52">
        <v>172.6</v>
      </c>
      <c r="I183" s="52">
        <v>86.3</v>
      </c>
      <c r="J183"/>
      <c r="K183"/>
      <c r="L183"/>
      <c r="M183"/>
      <c r="N183" s="37"/>
      <c r="O183" s="53">
        <v>253</v>
      </c>
      <c r="P183" s="53">
        <v>506</v>
      </c>
      <c r="Q183" s="53">
        <v>253</v>
      </c>
      <c r="R183" s="53"/>
      <c r="S183" s="53">
        <v>253</v>
      </c>
      <c r="T183" s="15">
        <v>506</v>
      </c>
      <c r="U183" s="15">
        <v>253</v>
      </c>
      <c r="V183" s="15"/>
      <c r="W183" s="15"/>
      <c r="X183" s="15"/>
      <c r="Y183" s="15"/>
      <c r="Z183" s="15"/>
      <c r="AA183" s="15"/>
      <c r="AB183" s="15"/>
    </row>
    <row r="184" spans="6:28" s="21" customFormat="1" ht="14.25" x14ac:dyDescent="0.45">
      <c r="F184" s="49">
        <v>42522</v>
      </c>
      <c r="G184" s="52">
        <v>87.7</v>
      </c>
      <c r="H184" s="52">
        <v>175.4</v>
      </c>
      <c r="I184" s="52">
        <v>87.7</v>
      </c>
      <c r="J184"/>
      <c r="K184"/>
      <c r="L184"/>
      <c r="M184"/>
      <c r="N184" s="37"/>
      <c r="O184" s="53">
        <v>257</v>
      </c>
      <c r="P184" s="53">
        <v>514</v>
      </c>
      <c r="Q184" s="53">
        <v>257</v>
      </c>
      <c r="R184" s="53"/>
      <c r="S184" s="53">
        <v>257</v>
      </c>
      <c r="T184" s="15">
        <v>514</v>
      </c>
      <c r="U184" s="15">
        <v>257</v>
      </c>
      <c r="V184" s="15"/>
      <c r="W184" s="15"/>
      <c r="X184" s="15"/>
      <c r="Y184" s="15"/>
      <c r="Z184" s="15"/>
      <c r="AA184" s="15"/>
      <c r="AB184" s="15"/>
    </row>
    <row r="185" spans="6:28" s="21" customFormat="1" ht="14.25" x14ac:dyDescent="0.45">
      <c r="F185" s="49">
        <v>42552</v>
      </c>
      <c r="G185" s="52">
        <v>89.6</v>
      </c>
      <c r="H185" s="52">
        <v>179.2</v>
      </c>
      <c r="I185" s="52">
        <v>89.6</v>
      </c>
      <c r="J185"/>
      <c r="K185"/>
      <c r="L185"/>
      <c r="M185"/>
      <c r="N185" s="37"/>
      <c r="O185" s="53">
        <v>263.60000000000002</v>
      </c>
      <c r="P185" s="53">
        <v>527.20000000000005</v>
      </c>
      <c r="Q185" s="53">
        <v>263.60000000000002</v>
      </c>
      <c r="R185" s="53"/>
      <c r="S185" s="53">
        <v>263.60000000000002</v>
      </c>
      <c r="T185" s="15">
        <v>527.20000000000005</v>
      </c>
      <c r="U185" s="15">
        <v>263.60000000000002</v>
      </c>
      <c r="V185" s="15"/>
      <c r="W185" s="15"/>
      <c r="X185" s="15"/>
      <c r="Y185" s="15"/>
      <c r="Z185" s="15"/>
      <c r="AA185" s="15"/>
      <c r="AB185" s="15"/>
    </row>
    <row r="186" spans="6:28" s="21" customFormat="1" ht="14.25" x14ac:dyDescent="0.45">
      <c r="F186" s="49">
        <v>42583</v>
      </c>
      <c r="G186" s="52">
        <v>93</v>
      </c>
      <c r="H186" s="52">
        <v>186</v>
      </c>
      <c r="I186" s="52">
        <v>93</v>
      </c>
      <c r="J186"/>
      <c r="K186"/>
      <c r="L186"/>
      <c r="M186"/>
      <c r="N186" s="37"/>
      <c r="O186" s="53">
        <v>270.3</v>
      </c>
      <c r="P186" s="53">
        <v>540.6</v>
      </c>
      <c r="Q186" s="53">
        <v>270.3</v>
      </c>
      <c r="R186" s="53"/>
      <c r="S186" s="53">
        <v>270.3</v>
      </c>
      <c r="T186" s="15">
        <v>540.6</v>
      </c>
      <c r="U186" s="15">
        <v>270.3</v>
      </c>
      <c r="V186" s="15"/>
      <c r="W186" s="15"/>
      <c r="X186" s="15"/>
      <c r="Y186" s="15"/>
      <c r="Z186" s="15"/>
      <c r="AA186" s="15"/>
      <c r="AB186" s="15"/>
    </row>
    <row r="187" spans="6:28" s="21" customFormat="1" ht="14.25" x14ac:dyDescent="0.45">
      <c r="F187" s="49">
        <v>42614</v>
      </c>
      <c r="G187" s="52">
        <v>90.7</v>
      </c>
      <c r="H187" s="52">
        <v>181.4</v>
      </c>
      <c r="I187" s="52">
        <v>90.7</v>
      </c>
      <c r="J187"/>
      <c r="K187"/>
      <c r="L187"/>
      <c r="M187"/>
      <c r="N187" s="37"/>
      <c r="O187" s="53">
        <v>273.3</v>
      </c>
      <c r="P187" s="53">
        <v>546.6</v>
      </c>
      <c r="Q187" s="53">
        <v>273.3</v>
      </c>
      <c r="R187" s="53"/>
      <c r="S187" s="53">
        <v>273.3</v>
      </c>
      <c r="T187" s="15">
        <v>546.6</v>
      </c>
      <c r="U187" s="15">
        <v>273.3</v>
      </c>
      <c r="V187" s="15"/>
      <c r="W187" s="15"/>
      <c r="X187" s="15"/>
      <c r="Y187" s="15"/>
      <c r="Z187" s="15"/>
      <c r="AA187" s="15"/>
      <c r="AB187" s="15"/>
    </row>
    <row r="188" spans="6:28" s="21" customFormat="1" ht="14.25" x14ac:dyDescent="0.45">
      <c r="F188" s="49">
        <v>42644</v>
      </c>
      <c r="G188" s="52">
        <v>90.2</v>
      </c>
      <c r="H188" s="52">
        <v>180.4</v>
      </c>
      <c r="I188" s="52">
        <v>90.2</v>
      </c>
      <c r="J188"/>
      <c r="K188"/>
      <c r="L188"/>
      <c r="M188"/>
      <c r="N188" s="37"/>
      <c r="O188" s="53">
        <v>273.89999999999998</v>
      </c>
      <c r="P188" s="53">
        <v>547.79999999999995</v>
      </c>
      <c r="Q188" s="53">
        <v>273.89999999999998</v>
      </c>
      <c r="R188" s="53"/>
      <c r="S188" s="53">
        <v>273.89999999999998</v>
      </c>
      <c r="T188" s="15">
        <v>547.79999999999995</v>
      </c>
      <c r="U188" s="15">
        <v>273.89999999999998</v>
      </c>
      <c r="V188" s="15"/>
      <c r="W188" s="15"/>
      <c r="X188" s="15"/>
      <c r="Y188" s="15"/>
      <c r="Z188" s="15"/>
      <c r="AA188" s="15"/>
      <c r="AB188" s="15"/>
    </row>
    <row r="189" spans="6:28" s="21" customFormat="1" ht="14.25" x14ac:dyDescent="0.45">
      <c r="F189" s="49">
        <v>42675</v>
      </c>
      <c r="G189" s="52">
        <v>86.5</v>
      </c>
      <c r="H189" s="52">
        <v>173</v>
      </c>
      <c r="I189" s="52">
        <v>86.5</v>
      </c>
      <c r="J189"/>
      <c r="K189"/>
      <c r="L189"/>
      <c r="M189"/>
      <c r="N189" s="37"/>
      <c r="O189" s="53">
        <v>267.39999999999998</v>
      </c>
      <c r="P189" s="53">
        <v>534.79999999999995</v>
      </c>
      <c r="Q189" s="53">
        <v>267.39999999999998</v>
      </c>
      <c r="R189" s="53"/>
      <c r="S189" s="53">
        <v>267.39999999999998</v>
      </c>
      <c r="T189" s="15">
        <v>534.79999999999995</v>
      </c>
      <c r="U189" s="15">
        <v>267.39999999999998</v>
      </c>
      <c r="V189" s="15"/>
      <c r="W189" s="15"/>
      <c r="X189" s="15"/>
      <c r="Y189" s="15"/>
      <c r="Z189" s="15"/>
      <c r="AA189" s="15"/>
      <c r="AB189" s="15"/>
    </row>
    <row r="190" spans="6:28" s="21" customFormat="1" ht="14.25" x14ac:dyDescent="0.45">
      <c r="F190" s="49">
        <v>42705</v>
      </c>
      <c r="G190" s="52">
        <v>77.2</v>
      </c>
      <c r="H190" s="52">
        <v>154.4</v>
      </c>
      <c r="I190" s="52">
        <v>77.2</v>
      </c>
      <c r="J190"/>
      <c r="K190"/>
      <c r="L190"/>
      <c r="M190"/>
      <c r="N190" s="37"/>
      <c r="O190" s="53">
        <v>253.89999999999998</v>
      </c>
      <c r="P190" s="53">
        <v>507.79999999999995</v>
      </c>
      <c r="Q190" s="53">
        <v>253.89999999999998</v>
      </c>
      <c r="R190" s="53"/>
      <c r="S190" s="53">
        <v>253.89999999999998</v>
      </c>
      <c r="T190" s="15">
        <v>507.79999999999995</v>
      </c>
      <c r="U190" s="15">
        <v>253.89999999999998</v>
      </c>
      <c r="V190" s="15"/>
      <c r="W190" s="15"/>
      <c r="X190" s="15"/>
      <c r="Y190" s="15"/>
      <c r="Z190" s="15"/>
      <c r="AA190" s="15"/>
      <c r="AB190" s="15"/>
    </row>
    <row r="191" spans="6:28" s="21" customFormat="1" ht="14.25" x14ac:dyDescent="0.45">
      <c r="F191" s="49">
        <v>42736</v>
      </c>
      <c r="G191" s="52">
        <v>77.900000000000006</v>
      </c>
      <c r="H191" s="52">
        <v>155.80000000000001</v>
      </c>
      <c r="I191" s="52">
        <v>77.900000000000006</v>
      </c>
      <c r="J191"/>
      <c r="K191"/>
      <c r="L191"/>
      <c r="M191"/>
      <c r="N191" s="37"/>
      <c r="O191" s="53">
        <v>241.6</v>
      </c>
      <c r="P191" s="53">
        <v>483.2</v>
      </c>
      <c r="Q191" s="53">
        <v>241.6</v>
      </c>
      <c r="R191" s="53"/>
      <c r="S191" s="53">
        <v>241.6</v>
      </c>
      <c r="T191" s="15">
        <v>483.2</v>
      </c>
      <c r="U191" s="15">
        <v>241.6</v>
      </c>
      <c r="V191" s="15"/>
      <c r="W191" s="15"/>
      <c r="X191" s="15"/>
      <c r="Y191" s="15"/>
      <c r="Z191" s="15"/>
      <c r="AA191" s="15"/>
      <c r="AB191" s="15"/>
    </row>
    <row r="192" spans="6:28" s="21" customFormat="1" ht="14.25" x14ac:dyDescent="0.45">
      <c r="F192" s="49">
        <v>42767</v>
      </c>
      <c r="G192" s="52">
        <v>75.900000000000006</v>
      </c>
      <c r="H192" s="52">
        <v>151.80000000000001</v>
      </c>
      <c r="I192" s="52">
        <v>75.900000000000006</v>
      </c>
      <c r="J192"/>
      <c r="K192"/>
      <c r="L192"/>
      <c r="M192"/>
      <c r="N192" s="37"/>
      <c r="O192" s="53">
        <v>231.00000000000003</v>
      </c>
      <c r="P192" s="53">
        <v>462.00000000000006</v>
      </c>
      <c r="Q192" s="53">
        <v>231.00000000000003</v>
      </c>
      <c r="R192" s="53"/>
      <c r="S192" s="53">
        <v>231.00000000000003</v>
      </c>
      <c r="T192" s="15">
        <v>462.00000000000006</v>
      </c>
      <c r="U192" s="15">
        <v>231.00000000000003</v>
      </c>
      <c r="V192" s="15"/>
      <c r="W192" s="15"/>
      <c r="X192" s="15"/>
      <c r="Y192" s="15"/>
      <c r="Z192" s="15"/>
      <c r="AA192" s="15"/>
      <c r="AB192" s="15"/>
    </row>
    <row r="193" spans="6:28" s="21" customFormat="1" ht="14.25" x14ac:dyDescent="0.45">
      <c r="F193" s="49">
        <v>42795</v>
      </c>
      <c r="G193" s="52">
        <v>85.4</v>
      </c>
      <c r="H193" s="52">
        <v>170.8</v>
      </c>
      <c r="I193" s="52">
        <v>85.4</v>
      </c>
      <c r="J193"/>
      <c r="K193"/>
      <c r="L193"/>
      <c r="M193"/>
      <c r="N193" s="37"/>
      <c r="O193" s="53">
        <v>239.20000000000002</v>
      </c>
      <c r="P193" s="53">
        <v>478.40000000000003</v>
      </c>
      <c r="Q193" s="53">
        <v>239.20000000000002</v>
      </c>
      <c r="R193" s="53"/>
      <c r="S193" s="53">
        <v>239.20000000000002</v>
      </c>
      <c r="T193" s="15">
        <v>478.40000000000003</v>
      </c>
      <c r="U193" s="15">
        <v>239.20000000000002</v>
      </c>
      <c r="V193" s="15"/>
      <c r="W193" s="15"/>
      <c r="X193" s="15"/>
      <c r="Y193" s="15"/>
      <c r="Z193" s="15"/>
      <c r="AA193" s="15"/>
      <c r="AB193" s="15"/>
    </row>
    <row r="194" spans="6:28" s="21" customFormat="1" ht="14.25" x14ac:dyDescent="0.45">
      <c r="F194" s="49">
        <v>42826</v>
      </c>
      <c r="G194" s="52">
        <v>79.3</v>
      </c>
      <c r="H194" s="52">
        <v>158.6</v>
      </c>
      <c r="I194" s="52">
        <v>79.3</v>
      </c>
      <c r="J194"/>
      <c r="K194"/>
      <c r="L194"/>
      <c r="M194"/>
      <c r="N194" s="37"/>
      <c r="O194" s="53">
        <v>240.60000000000002</v>
      </c>
      <c r="P194" s="53">
        <v>481.20000000000005</v>
      </c>
      <c r="Q194" s="53">
        <v>240.60000000000002</v>
      </c>
      <c r="R194" s="53"/>
      <c r="S194" s="53">
        <v>240.60000000000002</v>
      </c>
      <c r="T194" s="15">
        <v>481.20000000000005</v>
      </c>
      <c r="U194" s="15">
        <v>240.60000000000002</v>
      </c>
      <c r="V194" s="15"/>
      <c r="W194" s="15"/>
      <c r="X194" s="15"/>
      <c r="Y194" s="15"/>
      <c r="Z194" s="15"/>
      <c r="AA194" s="15"/>
      <c r="AB194" s="15"/>
    </row>
    <row r="195" spans="6:28" s="21" customFormat="1" ht="14.25" x14ac:dyDescent="0.45">
      <c r="F195" s="49">
        <v>42856</v>
      </c>
      <c r="G195" s="52">
        <v>90.1</v>
      </c>
      <c r="H195" s="52">
        <v>180.2</v>
      </c>
      <c r="I195" s="52">
        <v>90.1</v>
      </c>
      <c r="J195"/>
      <c r="K195"/>
      <c r="L195"/>
      <c r="M195"/>
      <c r="N195" s="37"/>
      <c r="O195" s="53">
        <v>254.79999999999998</v>
      </c>
      <c r="P195" s="53">
        <v>509.59999999999997</v>
      </c>
      <c r="Q195" s="53">
        <v>254.79999999999998</v>
      </c>
      <c r="R195" s="53"/>
      <c r="S195" s="53">
        <v>254.79999999999998</v>
      </c>
      <c r="T195" s="15">
        <v>509.59999999999997</v>
      </c>
      <c r="U195" s="15">
        <v>254.79999999999998</v>
      </c>
      <c r="V195" s="15"/>
      <c r="W195" s="15"/>
      <c r="X195" s="15"/>
      <c r="Y195" s="15"/>
      <c r="Z195" s="15"/>
      <c r="AA195" s="15"/>
      <c r="AB195" s="15"/>
    </row>
    <row r="196" spans="6:28" s="21" customFormat="1" ht="14.25" x14ac:dyDescent="0.45">
      <c r="F196" s="49">
        <v>42887</v>
      </c>
      <c r="G196" s="52">
        <v>88.4</v>
      </c>
      <c r="H196" s="52">
        <v>176.8</v>
      </c>
      <c r="I196" s="52">
        <v>88.4</v>
      </c>
      <c r="J196"/>
      <c r="K196"/>
      <c r="L196"/>
      <c r="M196"/>
      <c r="N196" s="37"/>
      <c r="O196" s="53">
        <v>257.79999999999995</v>
      </c>
      <c r="P196" s="53">
        <v>515.59999999999991</v>
      </c>
      <c r="Q196" s="53">
        <v>257.79999999999995</v>
      </c>
      <c r="R196" s="53"/>
      <c r="S196" s="53">
        <v>257.79999999999995</v>
      </c>
      <c r="T196" s="15">
        <v>515.59999999999991</v>
      </c>
      <c r="U196" s="15">
        <v>257.79999999999995</v>
      </c>
      <c r="V196" s="15"/>
      <c r="W196" s="15"/>
      <c r="X196" s="15"/>
      <c r="Y196" s="15"/>
      <c r="Z196" s="15"/>
      <c r="AA196" s="15"/>
      <c r="AB196" s="15"/>
    </row>
    <row r="197" spans="6:28" s="21" customFormat="1" ht="14.25" x14ac:dyDescent="0.45">
      <c r="F197" s="49">
        <v>42917</v>
      </c>
      <c r="G197" s="52">
        <v>92.1</v>
      </c>
      <c r="H197" s="52">
        <v>184.2</v>
      </c>
      <c r="I197" s="52">
        <v>92.1</v>
      </c>
      <c r="J197"/>
      <c r="K197"/>
      <c r="L197"/>
      <c r="M197"/>
      <c r="N197" s="37"/>
      <c r="O197" s="53">
        <v>270.60000000000002</v>
      </c>
      <c r="P197" s="53">
        <v>541.20000000000005</v>
      </c>
      <c r="Q197" s="53">
        <v>270.60000000000002</v>
      </c>
      <c r="R197" s="53"/>
      <c r="S197" s="53">
        <v>270.60000000000002</v>
      </c>
      <c r="T197" s="15">
        <v>541.20000000000005</v>
      </c>
      <c r="U197" s="15">
        <v>270.60000000000002</v>
      </c>
      <c r="V197" s="15"/>
      <c r="W197" s="15"/>
      <c r="X197" s="15"/>
      <c r="Y197" s="15"/>
      <c r="Z197" s="15"/>
      <c r="AA197" s="15"/>
      <c r="AB197" s="15"/>
    </row>
    <row r="198" spans="6:28" s="21" customFormat="1" ht="14.25" x14ac:dyDescent="0.45">
      <c r="F198" s="49">
        <v>42948</v>
      </c>
      <c r="G198" s="52">
        <v>96.7</v>
      </c>
      <c r="H198" s="52">
        <v>193.4</v>
      </c>
      <c r="I198" s="52">
        <v>96.7</v>
      </c>
      <c r="J198"/>
      <c r="K198"/>
      <c r="L198"/>
      <c r="M198"/>
      <c r="N198" s="37"/>
      <c r="O198" s="53">
        <v>277.2</v>
      </c>
      <c r="P198" s="53">
        <v>554.4</v>
      </c>
      <c r="Q198" s="53">
        <v>277.2</v>
      </c>
      <c r="R198" s="53"/>
      <c r="S198" s="53">
        <v>277.2</v>
      </c>
      <c r="T198" s="15">
        <v>554.4</v>
      </c>
      <c r="U198" s="15">
        <v>277.2</v>
      </c>
      <c r="V198" s="15"/>
      <c r="W198" s="15"/>
      <c r="X198" s="15"/>
      <c r="Y198" s="15"/>
      <c r="Z198" s="15"/>
      <c r="AA198" s="15"/>
      <c r="AB198" s="15"/>
    </row>
    <row r="199" spans="6:28" s="21" customFormat="1" ht="14.25" x14ac:dyDescent="0.45">
      <c r="F199" s="49">
        <v>42979</v>
      </c>
      <c r="G199" s="52">
        <v>93</v>
      </c>
      <c r="H199" s="52">
        <v>186</v>
      </c>
      <c r="I199" s="52">
        <v>93</v>
      </c>
      <c r="J199"/>
      <c r="K199"/>
      <c r="L199"/>
      <c r="M199"/>
      <c r="N199" s="37"/>
      <c r="O199" s="53">
        <v>281.8</v>
      </c>
      <c r="P199" s="53">
        <v>563.6</v>
      </c>
      <c r="Q199" s="53">
        <v>281.8</v>
      </c>
      <c r="R199" s="53"/>
      <c r="S199" s="53">
        <v>281.8</v>
      </c>
      <c r="T199" s="15">
        <v>563.6</v>
      </c>
      <c r="U199" s="15">
        <v>281.8</v>
      </c>
      <c r="V199" s="15"/>
      <c r="W199" s="15"/>
      <c r="X199" s="15"/>
      <c r="Y199" s="15"/>
      <c r="Z199" s="15"/>
      <c r="AA199" s="15"/>
      <c r="AB199" s="15"/>
    </row>
    <row r="200" spans="6:28" s="21" customFormat="1" ht="14.25" x14ac:dyDescent="0.45">
      <c r="F200" s="49">
        <v>43009</v>
      </c>
      <c r="G200" s="52">
        <v>95.1</v>
      </c>
      <c r="H200" s="52">
        <v>190.2</v>
      </c>
      <c r="I200" s="52">
        <v>95.1</v>
      </c>
      <c r="J200"/>
      <c r="K200"/>
      <c r="L200"/>
      <c r="M200"/>
      <c r="N200" s="37"/>
      <c r="O200" s="53">
        <v>284.79999999999995</v>
      </c>
      <c r="P200" s="53">
        <v>569.59999999999991</v>
      </c>
      <c r="Q200" s="53">
        <v>284.79999999999995</v>
      </c>
      <c r="R200" s="53"/>
      <c r="S200" s="53">
        <v>284.79999999999995</v>
      </c>
      <c r="T200" s="15">
        <v>569.59999999999991</v>
      </c>
      <c r="U200" s="15">
        <v>284.79999999999995</v>
      </c>
      <c r="V200" s="15"/>
      <c r="W200" s="15"/>
      <c r="X200" s="15"/>
      <c r="Y200" s="15"/>
      <c r="Z200" s="15"/>
      <c r="AA200" s="15"/>
      <c r="AB200" s="15"/>
    </row>
    <row r="201" spans="6:28" s="21" customFormat="1" ht="14.25" x14ac:dyDescent="0.45">
      <c r="F201" s="49">
        <v>43040</v>
      </c>
      <c r="G201" s="52">
        <v>90.6</v>
      </c>
      <c r="H201" s="52">
        <v>181.2</v>
      </c>
      <c r="I201" s="52">
        <v>90.6</v>
      </c>
      <c r="J201"/>
      <c r="K201"/>
      <c r="L201"/>
      <c r="M201"/>
      <c r="N201" s="37"/>
      <c r="O201" s="53">
        <v>278.7</v>
      </c>
      <c r="P201" s="53">
        <v>557.4</v>
      </c>
      <c r="Q201" s="53">
        <v>278.7</v>
      </c>
      <c r="R201" s="53"/>
      <c r="S201" s="53">
        <v>278.7</v>
      </c>
      <c r="T201" s="15">
        <v>557.4</v>
      </c>
      <c r="U201" s="15">
        <v>278.7</v>
      </c>
      <c r="V201" s="15"/>
      <c r="W201" s="15"/>
      <c r="X201" s="15"/>
      <c r="Y201" s="15"/>
      <c r="Z201" s="15"/>
      <c r="AA201" s="15"/>
      <c r="AB201" s="15"/>
    </row>
    <row r="202" spans="6:28" s="21" customFormat="1" ht="14.25" x14ac:dyDescent="0.45">
      <c r="F202" s="49">
        <v>43070</v>
      </c>
      <c r="G202" s="52">
        <v>81</v>
      </c>
      <c r="H202" s="52">
        <v>162</v>
      </c>
      <c r="I202" s="52">
        <v>81</v>
      </c>
      <c r="J202"/>
      <c r="K202"/>
      <c r="L202"/>
      <c r="M202"/>
      <c r="N202" s="37"/>
      <c r="O202" s="53">
        <v>266.7</v>
      </c>
      <c r="P202" s="53">
        <v>533.4</v>
      </c>
      <c r="Q202" s="53">
        <v>266.7</v>
      </c>
      <c r="R202" s="53"/>
      <c r="S202" s="53">
        <v>266.7</v>
      </c>
      <c r="T202" s="15">
        <v>533.4</v>
      </c>
      <c r="U202" s="15">
        <v>266.7</v>
      </c>
      <c r="V202" s="15"/>
      <c r="W202" s="15"/>
      <c r="X202" s="15"/>
      <c r="Y202" s="15"/>
      <c r="Z202" s="15"/>
      <c r="AA202" s="15"/>
      <c r="AB202" s="15"/>
    </row>
    <row r="203" spans="6:28" s="21" customFormat="1" ht="14.25" x14ac:dyDescent="0.45">
      <c r="F203" s="49">
        <v>43101</v>
      </c>
      <c r="G203" s="52">
        <v>82.3</v>
      </c>
      <c r="H203" s="52">
        <v>164.6</v>
      </c>
      <c r="I203" s="52">
        <v>82.3</v>
      </c>
      <c r="J203"/>
      <c r="K203"/>
      <c r="L203"/>
      <c r="M203"/>
      <c r="N203" s="37"/>
      <c r="O203" s="53">
        <v>253.89999999999998</v>
      </c>
      <c r="P203" s="53">
        <v>507.79999999999995</v>
      </c>
      <c r="Q203" s="53">
        <v>253.89999999999998</v>
      </c>
      <c r="R203" s="53"/>
      <c r="S203" s="53">
        <v>253.89999999999998</v>
      </c>
      <c r="T203" s="15">
        <v>507.79999999999995</v>
      </c>
      <c r="U203" s="15">
        <v>253.89999999999998</v>
      </c>
      <c r="V203" s="15"/>
      <c r="W203" s="15"/>
      <c r="X203" s="15"/>
      <c r="Y203" s="15"/>
      <c r="Z203" s="15"/>
      <c r="AA203" s="15"/>
      <c r="AB203" s="15"/>
    </row>
    <row r="204" spans="6:28" s="21" customFormat="1" ht="14.25" x14ac:dyDescent="0.45">
      <c r="F204" s="49">
        <v>43132</v>
      </c>
      <c r="G204" s="52">
        <v>77.3</v>
      </c>
      <c r="H204" s="52">
        <v>154.6</v>
      </c>
      <c r="I204" s="52">
        <v>77.3</v>
      </c>
      <c r="J204"/>
      <c r="K204"/>
      <c r="L204"/>
      <c r="M204"/>
      <c r="N204" s="37"/>
      <c r="O204" s="53">
        <v>240.60000000000002</v>
      </c>
      <c r="P204" s="53">
        <v>481.20000000000005</v>
      </c>
      <c r="Q204" s="53">
        <v>240.60000000000002</v>
      </c>
      <c r="R204" s="53"/>
      <c r="S204" s="53">
        <v>240.60000000000002</v>
      </c>
      <c r="T204" s="15">
        <v>481.20000000000005</v>
      </c>
      <c r="U204" s="15">
        <v>240.60000000000002</v>
      </c>
      <c r="V204" s="15"/>
      <c r="W204" s="15"/>
      <c r="X204" s="15"/>
      <c r="Y204" s="15"/>
      <c r="Z204" s="15"/>
      <c r="AA204" s="15"/>
      <c r="AB204" s="15"/>
    </row>
    <row r="205" spans="6:28" s="21" customFormat="1" ht="14.25" x14ac:dyDescent="0.45">
      <c r="F205" s="49">
        <v>43160</v>
      </c>
      <c r="G205" s="52">
        <v>86.2</v>
      </c>
      <c r="H205" s="52">
        <v>172.4</v>
      </c>
      <c r="I205" s="52">
        <v>86.2</v>
      </c>
      <c r="J205"/>
      <c r="K205"/>
      <c r="L205"/>
      <c r="M205"/>
      <c r="N205" s="37"/>
      <c r="O205" s="53">
        <v>245.8</v>
      </c>
      <c r="P205" s="53">
        <v>491.6</v>
      </c>
      <c r="Q205" s="53">
        <v>245.8</v>
      </c>
      <c r="R205" s="53"/>
      <c r="S205" s="53">
        <v>245.8</v>
      </c>
      <c r="T205" s="15">
        <v>491.6</v>
      </c>
      <c r="U205" s="15">
        <v>245.8</v>
      </c>
      <c r="V205" s="15"/>
      <c r="W205" s="15"/>
      <c r="X205" s="15"/>
      <c r="Y205" s="15"/>
      <c r="Z205" s="15"/>
      <c r="AA205" s="15"/>
      <c r="AB205" s="15"/>
    </row>
    <row r="206" spans="6:28" s="21" customFormat="1" ht="14.25" x14ac:dyDescent="0.45">
      <c r="F206" s="49">
        <v>43191</v>
      </c>
      <c r="G206" s="52">
        <v>86.5</v>
      </c>
      <c r="H206" s="52">
        <v>173</v>
      </c>
      <c r="I206" s="52">
        <v>86.5</v>
      </c>
      <c r="J206"/>
      <c r="K206"/>
      <c r="L206"/>
      <c r="M206"/>
      <c r="N206" s="37"/>
      <c r="O206" s="53">
        <v>250</v>
      </c>
      <c r="P206" s="53">
        <v>500</v>
      </c>
      <c r="Q206" s="53">
        <v>250</v>
      </c>
      <c r="R206" s="53"/>
      <c r="S206" s="53">
        <v>250</v>
      </c>
      <c r="T206" s="15">
        <v>500</v>
      </c>
      <c r="U206" s="15">
        <v>250</v>
      </c>
      <c r="V206" s="15"/>
      <c r="W206" s="15"/>
      <c r="X206" s="15"/>
      <c r="Y206" s="15"/>
      <c r="Z206" s="15"/>
      <c r="AA206" s="15"/>
      <c r="AB206" s="15"/>
    </row>
    <row r="207" spans="6:28" s="21" customFormat="1" ht="14.25" x14ac:dyDescent="0.45">
      <c r="F207" s="49">
        <v>43221</v>
      </c>
      <c r="G207" s="52">
        <v>84.4</v>
      </c>
      <c r="H207" s="52">
        <v>168.8</v>
      </c>
      <c r="I207" s="52">
        <v>84.4</v>
      </c>
      <c r="J207"/>
      <c r="K207"/>
      <c r="L207"/>
      <c r="M207"/>
      <c r="N207" s="37"/>
      <c r="O207" s="53">
        <v>257.10000000000002</v>
      </c>
      <c r="P207" s="53">
        <v>514.20000000000005</v>
      </c>
      <c r="Q207" s="53">
        <v>257.10000000000002</v>
      </c>
      <c r="R207" s="53"/>
      <c r="S207" s="53">
        <v>257.10000000000002</v>
      </c>
      <c r="T207" s="15">
        <v>514.20000000000005</v>
      </c>
      <c r="U207" s="15">
        <v>257.10000000000002</v>
      </c>
      <c r="V207" s="15"/>
      <c r="W207" s="15"/>
      <c r="X207" s="15"/>
      <c r="Y207" s="15"/>
      <c r="Z207" s="15"/>
      <c r="AA207" s="15"/>
      <c r="AB207" s="15"/>
    </row>
    <row r="208" spans="6:28" s="21" customFormat="1" ht="14.25" x14ac:dyDescent="0.45">
      <c r="F208" s="49">
        <v>43252</v>
      </c>
      <c r="G208" s="52">
        <v>91.1</v>
      </c>
      <c r="H208" s="52">
        <v>182.2</v>
      </c>
      <c r="I208" s="52">
        <v>91.1</v>
      </c>
      <c r="J208"/>
      <c r="K208"/>
      <c r="L208"/>
      <c r="M208"/>
      <c r="N208" s="37"/>
      <c r="O208" s="53">
        <v>262</v>
      </c>
      <c r="P208" s="53">
        <v>524</v>
      </c>
      <c r="Q208" s="53">
        <v>262</v>
      </c>
      <c r="R208" s="53"/>
      <c r="S208" s="53">
        <v>262</v>
      </c>
      <c r="T208" s="15">
        <v>524</v>
      </c>
      <c r="U208" s="15">
        <v>262</v>
      </c>
      <c r="V208" s="15"/>
      <c r="W208" s="15"/>
      <c r="X208" s="15"/>
      <c r="Y208" s="15"/>
      <c r="Z208" s="15"/>
      <c r="AA208" s="15"/>
      <c r="AB208" s="15"/>
    </row>
    <row r="209" spans="6:28" s="21" customFormat="1" ht="14.25" x14ac:dyDescent="0.45">
      <c r="F209" s="49">
        <v>43282</v>
      </c>
      <c r="G209" s="52">
        <v>95.8</v>
      </c>
      <c r="H209" s="52">
        <v>191.6</v>
      </c>
      <c r="I209" s="52">
        <v>95.8</v>
      </c>
      <c r="J209"/>
      <c r="K209"/>
      <c r="L209"/>
      <c r="M209"/>
      <c r="N209" s="37"/>
      <c r="O209" s="53">
        <v>271.3</v>
      </c>
      <c r="P209" s="53">
        <v>542.6</v>
      </c>
      <c r="Q209" s="53">
        <v>271.3</v>
      </c>
      <c r="R209" s="53"/>
      <c r="S209" s="53">
        <v>271.3</v>
      </c>
      <c r="T209" s="15">
        <v>542.6</v>
      </c>
      <c r="U209" s="15">
        <v>271.3</v>
      </c>
      <c r="V209" s="15"/>
      <c r="W209" s="15"/>
      <c r="X209" s="15"/>
      <c r="Y209" s="15"/>
      <c r="Z209" s="15"/>
      <c r="AA209" s="15"/>
      <c r="AB209" s="15"/>
    </row>
    <row r="210" spans="6:28" s="21" customFormat="1" ht="14.25" x14ac:dyDescent="0.45">
      <c r="F210" s="49">
        <v>43313</v>
      </c>
      <c r="G210" s="52">
        <v>98.2</v>
      </c>
      <c r="H210" s="52">
        <v>196.4</v>
      </c>
      <c r="I210" s="52">
        <v>98.2</v>
      </c>
      <c r="J210"/>
      <c r="K210"/>
      <c r="L210"/>
      <c r="M210"/>
      <c r="N210" s="37"/>
      <c r="O210" s="53">
        <v>285.09999999999997</v>
      </c>
      <c r="P210" s="53">
        <v>570.19999999999993</v>
      </c>
      <c r="Q210" s="53">
        <v>285.09999999999997</v>
      </c>
      <c r="R210" s="53"/>
      <c r="S210" s="53">
        <v>285.09999999999997</v>
      </c>
      <c r="T210" s="15">
        <v>570.19999999999993</v>
      </c>
      <c r="U210" s="15">
        <v>285.09999999999997</v>
      </c>
      <c r="V210" s="15"/>
      <c r="W210" s="15"/>
      <c r="X210" s="15"/>
      <c r="Y210" s="15"/>
      <c r="Z210" s="15"/>
      <c r="AA210" s="15"/>
      <c r="AB210" s="15"/>
    </row>
    <row r="211" spans="6:28" s="21" customFormat="1" ht="14.25" x14ac:dyDescent="0.45">
      <c r="F211" s="49">
        <v>43344</v>
      </c>
      <c r="G211" s="52">
        <v>90.7</v>
      </c>
      <c r="H211" s="52">
        <v>181.4</v>
      </c>
      <c r="I211" s="52">
        <v>90.7</v>
      </c>
      <c r="J211"/>
      <c r="K211"/>
      <c r="L211"/>
      <c r="M211"/>
      <c r="N211" s="37"/>
      <c r="O211" s="53">
        <v>284.7</v>
      </c>
      <c r="P211" s="53">
        <v>569.4</v>
      </c>
      <c r="Q211" s="53">
        <v>284.7</v>
      </c>
      <c r="R211" s="53"/>
      <c r="S211" s="53">
        <v>284.7</v>
      </c>
      <c r="T211" s="15">
        <v>569.4</v>
      </c>
      <c r="U211" s="15">
        <v>284.7</v>
      </c>
      <c r="V211" s="15"/>
      <c r="W211" s="15"/>
      <c r="X211" s="15"/>
      <c r="Y211" s="15"/>
      <c r="Z211" s="15"/>
      <c r="AA211" s="15"/>
      <c r="AB211" s="15"/>
    </row>
    <row r="212" spans="6:28" s="21" customFormat="1" ht="14.25" x14ac:dyDescent="0.45">
      <c r="F212" s="49">
        <v>43374</v>
      </c>
      <c r="G212" s="52">
        <v>95.8</v>
      </c>
      <c r="H212" s="52">
        <v>191.6</v>
      </c>
      <c r="I212" s="52">
        <v>95.8</v>
      </c>
      <c r="J212"/>
      <c r="K212"/>
      <c r="L212"/>
      <c r="M212"/>
      <c r="N212" s="37"/>
      <c r="O212" s="53">
        <v>284.7</v>
      </c>
      <c r="P212" s="53">
        <v>569.4</v>
      </c>
      <c r="Q212" s="53">
        <v>284.7</v>
      </c>
      <c r="R212" s="53"/>
      <c r="S212" s="53">
        <v>284.7</v>
      </c>
      <c r="T212" s="15">
        <v>569.4</v>
      </c>
      <c r="U212" s="15">
        <v>284.7</v>
      </c>
      <c r="V212" s="15"/>
      <c r="W212" s="15"/>
      <c r="X212" s="15"/>
      <c r="Y212" s="15"/>
      <c r="Z212" s="15"/>
      <c r="AA212" s="15"/>
      <c r="AB212" s="15"/>
    </row>
    <row r="213" spans="6:28" s="21" customFormat="1" ht="14.25" x14ac:dyDescent="0.45">
      <c r="F213" s="49">
        <v>43405</v>
      </c>
      <c r="G213" s="52">
        <v>89.5</v>
      </c>
      <c r="H213" s="52">
        <v>179</v>
      </c>
      <c r="I213" s="52">
        <v>89.5</v>
      </c>
      <c r="J213"/>
      <c r="K213"/>
      <c r="L213"/>
      <c r="M213"/>
      <c r="N213" s="37"/>
      <c r="O213" s="53">
        <v>276</v>
      </c>
      <c r="P213" s="53">
        <v>552</v>
      </c>
      <c r="Q213" s="53">
        <v>276</v>
      </c>
      <c r="R213" s="53"/>
      <c r="S213" s="53">
        <v>276</v>
      </c>
      <c r="T213" s="15">
        <v>552</v>
      </c>
      <c r="U213" s="15">
        <v>276</v>
      </c>
      <c r="V213" s="15"/>
      <c r="W213" s="15"/>
      <c r="X213" s="15"/>
      <c r="Y213" s="15"/>
      <c r="Z213" s="15"/>
      <c r="AA213" s="15"/>
      <c r="AB213" s="15"/>
    </row>
    <row r="214" spans="6:28" s="21" customFormat="1" ht="14.25" x14ac:dyDescent="0.45">
      <c r="F214" s="49">
        <v>43435</v>
      </c>
      <c r="G214" s="52">
        <v>78</v>
      </c>
      <c r="H214" s="52">
        <v>156</v>
      </c>
      <c r="I214" s="52">
        <v>78</v>
      </c>
      <c r="J214"/>
      <c r="K214"/>
      <c r="L214"/>
      <c r="M214"/>
      <c r="N214" s="37"/>
      <c r="O214" s="53">
        <v>263.3</v>
      </c>
      <c r="P214" s="53">
        <v>526.6</v>
      </c>
      <c r="Q214" s="53">
        <v>263.3</v>
      </c>
      <c r="R214" s="53"/>
      <c r="S214" s="53">
        <v>263.3</v>
      </c>
      <c r="T214" s="15">
        <v>526.6</v>
      </c>
      <c r="U214" s="15">
        <v>263.3</v>
      </c>
      <c r="V214" s="15"/>
      <c r="W214" s="15"/>
      <c r="X214" s="15"/>
      <c r="Y214" s="15"/>
      <c r="Z214" s="15"/>
      <c r="AA214" s="15"/>
      <c r="AB214" s="15"/>
    </row>
    <row r="215" spans="6:28" s="21" customFormat="1" ht="14.25" x14ac:dyDescent="0.45">
      <c r="F215" s="49">
        <v>43466</v>
      </c>
      <c r="G215" s="52">
        <v>80.7</v>
      </c>
      <c r="H215" s="52">
        <v>161.4</v>
      </c>
      <c r="I215" s="52">
        <v>80.7</v>
      </c>
      <c r="J215"/>
      <c r="K215"/>
      <c r="L215"/>
      <c r="M215"/>
      <c r="N215" s="37"/>
      <c r="O215" s="53">
        <v>248.2</v>
      </c>
      <c r="P215" s="53">
        <v>496.4</v>
      </c>
      <c r="Q215" s="53">
        <v>248.2</v>
      </c>
      <c r="R215" s="53"/>
      <c r="S215" s="53">
        <v>248.2</v>
      </c>
      <c r="T215" s="15">
        <v>496.4</v>
      </c>
      <c r="U215" s="15">
        <v>248.2</v>
      </c>
      <c r="V215" s="15"/>
      <c r="W215" s="15"/>
      <c r="X215" s="15"/>
      <c r="Y215" s="15"/>
      <c r="Z215" s="15"/>
      <c r="AA215" s="15"/>
      <c r="AB215" s="15"/>
    </row>
    <row r="216" spans="6:28" s="21" customFormat="1" ht="14.25" x14ac:dyDescent="0.45">
      <c r="F216" s="49">
        <v>43497</v>
      </c>
      <c r="G216" s="52">
        <v>79.099999999999994</v>
      </c>
      <c r="H216" s="52">
        <v>158.19999999999999</v>
      </c>
      <c r="I216" s="52">
        <v>79.099999999999994</v>
      </c>
      <c r="J216"/>
      <c r="K216"/>
      <c r="L216"/>
      <c r="M216"/>
      <c r="N216" s="37"/>
      <c r="O216" s="53">
        <v>237.79999999999998</v>
      </c>
      <c r="P216" s="53">
        <v>475.59999999999997</v>
      </c>
      <c r="Q216" s="53">
        <v>237.79999999999998</v>
      </c>
      <c r="R216" s="53"/>
      <c r="S216" s="53">
        <v>237.79999999999998</v>
      </c>
      <c r="T216" s="15">
        <v>475.59999999999997</v>
      </c>
      <c r="U216" s="15">
        <v>237.79999999999998</v>
      </c>
      <c r="V216" s="15"/>
      <c r="W216" s="15"/>
      <c r="X216" s="15"/>
      <c r="Y216" s="15"/>
      <c r="Z216" s="15"/>
      <c r="AA216" s="15"/>
      <c r="AB216" s="15"/>
    </row>
    <row r="217" spans="6:28" s="21" customFormat="1" ht="14.25" x14ac:dyDescent="0.45">
      <c r="F217" s="49">
        <v>43525</v>
      </c>
      <c r="G217" s="52">
        <v>81</v>
      </c>
      <c r="H217" s="52">
        <v>162</v>
      </c>
      <c r="I217" s="52">
        <v>81</v>
      </c>
      <c r="J217"/>
      <c r="K217"/>
      <c r="L217"/>
      <c r="M217"/>
      <c r="N217" s="37"/>
      <c r="O217" s="53">
        <v>240.8</v>
      </c>
      <c r="P217" s="53">
        <v>481.6</v>
      </c>
      <c r="Q217" s="53">
        <v>240.8</v>
      </c>
      <c r="R217" s="53"/>
      <c r="S217" s="53">
        <v>240.8</v>
      </c>
      <c r="T217" s="15">
        <v>481.6</v>
      </c>
      <c r="U217" s="15">
        <v>240.8</v>
      </c>
      <c r="V217" s="15"/>
      <c r="W217" s="15"/>
      <c r="X217" s="15"/>
      <c r="Y217" s="15"/>
      <c r="Z217" s="15"/>
      <c r="AA217" s="15"/>
      <c r="AB217" s="15"/>
    </row>
    <row r="218" spans="6:28" s="21" customFormat="1" ht="14.25" x14ac:dyDescent="0.45">
      <c r="F218" s="49">
        <v>43556</v>
      </c>
      <c r="G218" s="52">
        <v>83.3</v>
      </c>
      <c r="H218" s="52">
        <v>166.6</v>
      </c>
      <c r="I218" s="52">
        <v>83.3</v>
      </c>
      <c r="J218"/>
      <c r="K218"/>
      <c r="L218"/>
      <c r="M218"/>
      <c r="N218" s="37"/>
      <c r="O218" s="53">
        <v>243.39999999999998</v>
      </c>
      <c r="P218" s="53">
        <v>486.79999999999995</v>
      </c>
      <c r="Q218" s="53">
        <v>243.39999999999998</v>
      </c>
      <c r="R218" s="53"/>
      <c r="S218" s="53">
        <v>243.39999999999998</v>
      </c>
      <c r="T218" s="15">
        <v>486.79999999999995</v>
      </c>
      <c r="U218" s="15">
        <v>243.39999999999998</v>
      </c>
      <c r="V218" s="15"/>
      <c r="W218" s="15"/>
      <c r="X218" s="15"/>
      <c r="Y218" s="15"/>
      <c r="Z218" s="15"/>
      <c r="AA218" s="15"/>
      <c r="AB218" s="15"/>
    </row>
    <row r="219" spans="6:28" s="21" customFormat="1" ht="14.25" x14ac:dyDescent="0.45">
      <c r="F219" s="49">
        <v>43586</v>
      </c>
      <c r="G219" s="52">
        <v>91</v>
      </c>
      <c r="H219" s="52">
        <v>182</v>
      </c>
      <c r="I219" s="52">
        <v>91</v>
      </c>
      <c r="J219"/>
      <c r="K219"/>
      <c r="L219"/>
      <c r="M219"/>
      <c r="N219" s="37"/>
      <c r="O219" s="53">
        <v>255.3</v>
      </c>
      <c r="P219" s="53">
        <v>510.6</v>
      </c>
      <c r="Q219" s="53">
        <v>255.3</v>
      </c>
      <c r="R219" s="53"/>
      <c r="S219" s="53">
        <v>255.3</v>
      </c>
      <c r="T219" s="15">
        <v>510.6</v>
      </c>
      <c r="U219" s="15">
        <v>255.3</v>
      </c>
      <c r="V219" s="15"/>
      <c r="W219" s="15"/>
      <c r="X219" s="15"/>
      <c r="Y219" s="15"/>
      <c r="Z219" s="15"/>
      <c r="AA219" s="15"/>
      <c r="AB219" s="15"/>
    </row>
    <row r="220" spans="6:28" s="21" customFormat="1" ht="14.25" x14ac:dyDescent="0.45">
      <c r="F220" s="49">
        <v>43617</v>
      </c>
      <c r="G220" s="52">
        <v>85.8</v>
      </c>
      <c r="H220" s="52">
        <v>171.6</v>
      </c>
      <c r="I220" s="52">
        <v>85.8</v>
      </c>
      <c r="J220"/>
      <c r="K220"/>
      <c r="L220"/>
      <c r="M220"/>
      <c r="N220" s="37"/>
      <c r="O220" s="53">
        <v>260.10000000000002</v>
      </c>
      <c r="P220" s="53">
        <v>520.20000000000005</v>
      </c>
      <c r="Q220" s="53">
        <v>260.10000000000002</v>
      </c>
      <c r="R220" s="53"/>
      <c r="S220" s="53">
        <v>260.10000000000002</v>
      </c>
      <c r="T220" s="15">
        <v>520.20000000000005</v>
      </c>
      <c r="U220" s="15">
        <v>260.10000000000002</v>
      </c>
      <c r="V220" s="15"/>
      <c r="W220" s="15"/>
      <c r="X220" s="15"/>
      <c r="Y220" s="15"/>
      <c r="Z220" s="15"/>
      <c r="AA220" s="15"/>
      <c r="AB220" s="15"/>
    </row>
    <row r="221" spans="6:28" s="21" customFormat="1" ht="14.25" x14ac:dyDescent="0.45">
      <c r="F221" s="49">
        <v>43647</v>
      </c>
      <c r="G221" s="52">
        <v>93.4</v>
      </c>
      <c r="H221" s="52">
        <v>186.8</v>
      </c>
      <c r="I221" s="52">
        <v>93.4</v>
      </c>
      <c r="J221"/>
      <c r="K221"/>
      <c r="L221"/>
      <c r="M221"/>
      <c r="N221" s="37"/>
      <c r="O221" s="53">
        <v>270.20000000000005</v>
      </c>
      <c r="P221" s="53">
        <v>540.40000000000009</v>
      </c>
      <c r="Q221" s="53">
        <v>270.20000000000005</v>
      </c>
      <c r="R221" s="53"/>
      <c r="S221" s="53">
        <v>270.20000000000005</v>
      </c>
      <c r="T221" s="15">
        <v>540.40000000000009</v>
      </c>
      <c r="U221" s="15">
        <v>270.20000000000005</v>
      </c>
      <c r="V221" s="15"/>
      <c r="W221" s="15"/>
      <c r="X221" s="15"/>
      <c r="Y221" s="15"/>
      <c r="Z221" s="15"/>
      <c r="AA221" s="15"/>
      <c r="AB221" s="15"/>
    </row>
    <row r="222" spans="6:28" s="21" customFormat="1" ht="14.25" x14ac:dyDescent="0.45">
      <c r="F222" s="49">
        <v>43678</v>
      </c>
      <c r="G222" s="52">
        <v>96.2</v>
      </c>
      <c r="H222" s="52">
        <v>192.4</v>
      </c>
      <c r="I222" s="52">
        <v>96.2</v>
      </c>
      <c r="J222"/>
      <c r="K222"/>
      <c r="L222"/>
      <c r="M222"/>
      <c r="N222" s="37"/>
      <c r="O222" s="53">
        <v>275.39999999999998</v>
      </c>
      <c r="P222" s="53">
        <v>550.79999999999995</v>
      </c>
      <c r="Q222" s="53">
        <v>275.39999999999998</v>
      </c>
      <c r="R222" s="53"/>
      <c r="S222" s="53">
        <v>275.39999999999998</v>
      </c>
      <c r="T222" s="15">
        <v>550.79999999999995</v>
      </c>
      <c r="U222" s="15">
        <v>275.39999999999998</v>
      </c>
      <c r="V222" s="15"/>
      <c r="W222" s="15"/>
      <c r="X222" s="15"/>
      <c r="Y222" s="15"/>
      <c r="Z222" s="15"/>
      <c r="AA222" s="15"/>
      <c r="AB222" s="15"/>
    </row>
    <row r="223" spans="6:28" s="21" customFormat="1" ht="14.25" x14ac:dyDescent="0.45">
      <c r="F223" s="49">
        <v>43709</v>
      </c>
      <c r="G223" s="52">
        <v>91.8</v>
      </c>
      <c r="H223" s="52">
        <v>183.6</v>
      </c>
      <c r="I223" s="52">
        <v>91.8</v>
      </c>
      <c r="J223"/>
      <c r="K223"/>
      <c r="L223"/>
      <c r="M223"/>
      <c r="N223" s="37"/>
      <c r="O223" s="53">
        <v>281.40000000000003</v>
      </c>
      <c r="P223" s="53">
        <v>562.80000000000007</v>
      </c>
      <c r="Q223" s="53">
        <v>281.40000000000003</v>
      </c>
      <c r="R223" s="53"/>
      <c r="S223" s="53">
        <v>281.40000000000003</v>
      </c>
      <c r="T223" s="15">
        <v>562.80000000000007</v>
      </c>
      <c r="U223" s="15">
        <v>281.40000000000003</v>
      </c>
      <c r="V223" s="15"/>
      <c r="W223" s="15"/>
      <c r="X223" s="15"/>
      <c r="Y223" s="15"/>
      <c r="Z223" s="15"/>
      <c r="AA223" s="15"/>
      <c r="AB223" s="15"/>
    </row>
    <row r="224" spans="6:28" s="21" customFormat="1" ht="14.25" x14ac:dyDescent="0.45">
      <c r="F224" s="49">
        <v>43739</v>
      </c>
      <c r="G224" s="52">
        <v>97</v>
      </c>
      <c r="H224" s="52">
        <v>194</v>
      </c>
      <c r="I224" s="52">
        <v>97</v>
      </c>
      <c r="J224"/>
      <c r="K224"/>
      <c r="L224"/>
      <c r="M224"/>
      <c r="N224" s="37"/>
      <c r="O224" s="53">
        <v>285</v>
      </c>
      <c r="P224" s="53">
        <v>570</v>
      </c>
      <c r="Q224" s="53">
        <v>285</v>
      </c>
      <c r="R224" s="53"/>
      <c r="S224" s="53">
        <v>285</v>
      </c>
      <c r="T224" s="15">
        <v>570</v>
      </c>
      <c r="U224" s="15">
        <v>285</v>
      </c>
      <c r="V224" s="15"/>
      <c r="W224" s="15"/>
      <c r="X224" s="15"/>
      <c r="Y224" s="15"/>
      <c r="Z224" s="15"/>
      <c r="AA224" s="15"/>
      <c r="AB224" s="15"/>
    </row>
    <row r="225" spans="6:28" s="21" customFormat="1" ht="14.25" x14ac:dyDescent="0.45">
      <c r="F225" s="49">
        <v>43770</v>
      </c>
      <c r="G225" s="52">
        <v>88</v>
      </c>
      <c r="H225" s="52">
        <v>176</v>
      </c>
      <c r="I225" s="52">
        <v>88</v>
      </c>
      <c r="J225"/>
      <c r="K225"/>
      <c r="L225"/>
      <c r="M225"/>
      <c r="N225" s="37"/>
      <c r="O225" s="53">
        <v>276.8</v>
      </c>
      <c r="P225" s="53">
        <v>553.6</v>
      </c>
      <c r="Q225" s="53">
        <v>276.8</v>
      </c>
      <c r="R225" s="53"/>
      <c r="S225" s="53">
        <v>276.8</v>
      </c>
      <c r="T225" s="15">
        <v>553.6</v>
      </c>
      <c r="U225" s="15">
        <v>276.8</v>
      </c>
      <c r="V225" s="15"/>
      <c r="W225" s="15"/>
      <c r="X225" s="15"/>
      <c r="Y225" s="15"/>
      <c r="Z225" s="15"/>
      <c r="AA225" s="15"/>
      <c r="AB225" s="15"/>
    </row>
    <row r="226" spans="6:28" s="21" customFormat="1" ht="14.25" x14ac:dyDescent="0.45">
      <c r="F226" s="49">
        <v>43800</v>
      </c>
      <c r="G226" s="52">
        <v>76.900000000000006</v>
      </c>
      <c r="H226" s="52">
        <v>153.80000000000001</v>
      </c>
      <c r="I226" s="52">
        <v>76.900000000000006</v>
      </c>
      <c r="J226"/>
      <c r="K226"/>
      <c r="L226"/>
      <c r="M226"/>
      <c r="N226" s="37"/>
      <c r="O226" s="53">
        <v>261.89999999999998</v>
      </c>
      <c r="P226" s="53">
        <v>523.79999999999995</v>
      </c>
      <c r="Q226" s="53">
        <v>261.89999999999998</v>
      </c>
      <c r="R226" s="53"/>
      <c r="S226" s="53">
        <v>261.89999999999998</v>
      </c>
      <c r="T226" s="15">
        <v>523.79999999999995</v>
      </c>
      <c r="U226" s="15">
        <v>261.89999999999998</v>
      </c>
      <c r="V226" s="15"/>
      <c r="W226" s="15"/>
      <c r="X226" s="15"/>
      <c r="Y226" s="15"/>
      <c r="Z226" s="15"/>
      <c r="AA226" s="15"/>
      <c r="AB226" s="15"/>
    </row>
    <row r="227" spans="6:28" s="21" customFormat="1" ht="14.25" x14ac:dyDescent="0.45">
      <c r="F227" s="49">
        <v>43831</v>
      </c>
      <c r="G227" s="52">
        <v>80</v>
      </c>
      <c r="H227" s="52">
        <v>160</v>
      </c>
      <c r="I227" s="52">
        <v>80</v>
      </c>
      <c r="J227"/>
      <c r="K227"/>
      <c r="L227"/>
      <c r="M227"/>
      <c r="N227" s="37"/>
      <c r="O227" s="53">
        <v>244.9</v>
      </c>
      <c r="P227" s="53">
        <v>489.8</v>
      </c>
      <c r="Q227" s="53">
        <v>244.9</v>
      </c>
      <c r="R227" s="53"/>
      <c r="S227" s="53">
        <v>244.9</v>
      </c>
      <c r="T227" s="15">
        <v>489.8</v>
      </c>
      <c r="U227" s="15">
        <v>244.9</v>
      </c>
      <c r="V227" s="15"/>
      <c r="W227" s="15"/>
      <c r="X227" s="15"/>
      <c r="Y227" s="15"/>
      <c r="Z227" s="15"/>
      <c r="AA227" s="15"/>
      <c r="AB227" s="15"/>
    </row>
    <row r="228" spans="6:28" s="21" customFormat="1" ht="14.25" x14ac:dyDescent="0.45">
      <c r="F228" s="49">
        <v>43862</v>
      </c>
      <c r="G228" s="52">
        <v>78.900000000000006</v>
      </c>
      <c r="H228" s="52">
        <v>157.80000000000001</v>
      </c>
      <c r="I228" s="52">
        <v>78.900000000000006</v>
      </c>
      <c r="J228"/>
      <c r="K228"/>
      <c r="L228"/>
      <c r="M228"/>
      <c r="N228" s="37"/>
      <c r="O228" s="53">
        <v>235.8</v>
      </c>
      <c r="P228" s="53">
        <v>471.6</v>
      </c>
      <c r="Q228" s="53">
        <v>235.8</v>
      </c>
      <c r="R228" s="53"/>
      <c r="S228" s="53">
        <v>235.8</v>
      </c>
      <c r="T228" s="15">
        <v>471.6</v>
      </c>
      <c r="U228" s="15">
        <v>235.8</v>
      </c>
      <c r="V228" s="15"/>
      <c r="W228" s="15"/>
      <c r="X228" s="15"/>
      <c r="Y228" s="15"/>
      <c r="Z228" s="15"/>
      <c r="AA228" s="15"/>
      <c r="AB228" s="15"/>
    </row>
    <row r="229" spans="6:28" s="21" customFormat="1" ht="14.25" x14ac:dyDescent="0.45">
      <c r="F229" s="49">
        <v>43891</v>
      </c>
      <c r="G229" s="52">
        <v>77.900000000000006</v>
      </c>
      <c r="H229" s="52">
        <v>155.80000000000001</v>
      </c>
      <c r="I229" s="52">
        <v>77.900000000000006</v>
      </c>
      <c r="J229"/>
      <c r="K229"/>
      <c r="L229"/>
      <c r="M229"/>
      <c r="N229" s="37"/>
      <c r="O229" s="53">
        <v>236.8</v>
      </c>
      <c r="P229" s="53">
        <v>473.6</v>
      </c>
      <c r="Q229" s="53">
        <v>236.8</v>
      </c>
      <c r="R229" s="53"/>
      <c r="S229" s="53">
        <v>236.8</v>
      </c>
      <c r="T229" s="15">
        <v>473.6</v>
      </c>
      <c r="U229" s="15">
        <v>236.8</v>
      </c>
      <c r="V229" s="15"/>
      <c r="W229" s="15"/>
      <c r="X229" s="15"/>
      <c r="Y229" s="15"/>
      <c r="Z229" s="15"/>
      <c r="AA229" s="15"/>
      <c r="AB229" s="15"/>
    </row>
    <row r="230" spans="6:28" s="21" customFormat="1" ht="14.25" x14ac:dyDescent="0.45">
      <c r="F230" s="49">
        <v>43922</v>
      </c>
      <c r="G230" s="52">
        <v>60.3</v>
      </c>
      <c r="H230" s="52">
        <v>120.6</v>
      </c>
      <c r="I230" s="52">
        <v>60.3</v>
      </c>
      <c r="J230"/>
      <c r="K230"/>
      <c r="L230"/>
      <c r="M230"/>
      <c r="N230" s="37"/>
      <c r="O230" s="53">
        <v>217.10000000000002</v>
      </c>
      <c r="P230" s="53">
        <v>434.20000000000005</v>
      </c>
      <c r="Q230" s="53">
        <v>217.10000000000002</v>
      </c>
      <c r="R230" s="53"/>
      <c r="S230" s="53">
        <v>217.10000000000002</v>
      </c>
      <c r="T230" s="15">
        <v>434.20000000000005</v>
      </c>
      <c r="U230" s="15">
        <v>217.10000000000002</v>
      </c>
      <c r="V230" s="15"/>
      <c r="W230" s="15"/>
      <c r="X230" s="15"/>
      <c r="Y230" s="15"/>
      <c r="Z230" s="15"/>
      <c r="AA230" s="15"/>
      <c r="AB230" s="15"/>
    </row>
    <row r="231" spans="6:28" s="21" customFormat="1" ht="14.25" x14ac:dyDescent="0.45">
      <c r="F231" s="49">
        <v>43952</v>
      </c>
      <c r="G231" s="52">
        <v>71.2</v>
      </c>
      <c r="H231" s="52">
        <v>142.4</v>
      </c>
      <c r="I231" s="52">
        <v>71.2</v>
      </c>
      <c r="J231"/>
      <c r="K231"/>
      <c r="L231"/>
      <c r="M231"/>
      <c r="N231" s="37"/>
      <c r="O231" s="53">
        <v>209.39999999999998</v>
      </c>
      <c r="P231" s="53">
        <v>418.79999999999995</v>
      </c>
      <c r="Q231" s="53">
        <v>209.39999999999998</v>
      </c>
      <c r="R231" s="53"/>
      <c r="S231" s="53">
        <v>209.39999999999998</v>
      </c>
      <c r="T231" s="15">
        <v>418.79999999999995</v>
      </c>
      <c r="U231" s="15">
        <v>209.39999999999998</v>
      </c>
      <c r="V231" s="15"/>
      <c r="W231" s="15"/>
      <c r="X231" s="15"/>
      <c r="Y231" s="15"/>
      <c r="Z231" s="15"/>
      <c r="AA231" s="15"/>
      <c r="AB231" s="15"/>
    </row>
    <row r="232" spans="6:28" s="21" customFormat="1" ht="14.25" x14ac:dyDescent="0.45">
      <c r="F232" s="49">
        <v>43983</v>
      </c>
      <c r="G232" s="52">
        <v>78.400000000000006</v>
      </c>
      <c r="H232" s="52">
        <v>156.80000000000001</v>
      </c>
      <c r="I232" s="52">
        <v>78.400000000000006</v>
      </c>
      <c r="J232"/>
      <c r="K232"/>
      <c r="L232"/>
      <c r="M232"/>
      <c r="N232" s="37"/>
      <c r="O232" s="53">
        <v>209.9</v>
      </c>
      <c r="P232" s="53">
        <v>419.8</v>
      </c>
      <c r="Q232" s="53">
        <v>209.9</v>
      </c>
      <c r="R232" s="53"/>
      <c r="S232" s="53">
        <v>209.9</v>
      </c>
      <c r="T232" s="15">
        <v>419.8</v>
      </c>
      <c r="U232" s="15">
        <v>209.9</v>
      </c>
      <c r="V232" s="15"/>
      <c r="W232" s="15"/>
      <c r="X232" s="15"/>
      <c r="Y232" s="15"/>
      <c r="Z232" s="15"/>
      <c r="AA232" s="15"/>
      <c r="AB232" s="15"/>
    </row>
    <row r="233" spans="6:28" s="21" customFormat="1" ht="14.25" x14ac:dyDescent="0.45">
      <c r="F233" s="49">
        <v>44013</v>
      </c>
      <c r="G233" s="52">
        <v>91</v>
      </c>
      <c r="H233" s="52">
        <v>182</v>
      </c>
      <c r="I233" s="52">
        <v>91</v>
      </c>
      <c r="J233"/>
      <c r="K233"/>
      <c r="L233"/>
      <c r="M233"/>
      <c r="N233" s="37"/>
      <c r="O233" s="53">
        <v>240.60000000000002</v>
      </c>
      <c r="P233" s="53">
        <v>481.20000000000005</v>
      </c>
      <c r="Q233" s="53">
        <v>240.60000000000002</v>
      </c>
      <c r="R233" s="53"/>
      <c r="S233" s="53">
        <v>240.60000000000002</v>
      </c>
      <c r="T233" s="15">
        <v>481.20000000000005</v>
      </c>
      <c r="U233" s="15">
        <v>240.60000000000002</v>
      </c>
      <c r="V233" s="15"/>
      <c r="W233" s="15"/>
      <c r="X233" s="15"/>
      <c r="Y233" s="15"/>
      <c r="Z233" s="15"/>
      <c r="AA233" s="15"/>
      <c r="AB233" s="15"/>
    </row>
    <row r="234" spans="6:28" s="21" customFormat="1" ht="14.25" x14ac:dyDescent="0.45">
      <c r="F234" s="49">
        <v>44044</v>
      </c>
      <c r="G234" s="52">
        <v>93.9</v>
      </c>
      <c r="H234" s="52">
        <v>187.8</v>
      </c>
      <c r="I234" s="52">
        <v>93.9</v>
      </c>
      <c r="J234"/>
      <c r="K234"/>
      <c r="L234"/>
      <c r="M234"/>
      <c r="N234" s="37"/>
      <c r="O234" s="53">
        <v>263.3</v>
      </c>
      <c r="P234" s="53">
        <v>526.6</v>
      </c>
      <c r="Q234" s="53">
        <v>263.3</v>
      </c>
      <c r="R234" s="53"/>
      <c r="S234" s="53">
        <v>263.3</v>
      </c>
      <c r="T234" s="15">
        <v>526.6</v>
      </c>
      <c r="U234" s="15">
        <v>263.3</v>
      </c>
      <c r="V234" s="15"/>
      <c r="W234" s="15"/>
      <c r="X234" s="15"/>
      <c r="Y234" s="15"/>
      <c r="Z234" s="15"/>
      <c r="AA234" s="15"/>
      <c r="AB234" s="15"/>
    </row>
    <row r="235" spans="6:28" s="21" customFormat="1" ht="14.25" x14ac:dyDescent="0.45">
      <c r="F235" s="49">
        <v>44075</v>
      </c>
      <c r="G235" s="52">
        <v>95.4</v>
      </c>
      <c r="H235" s="52">
        <v>190.8</v>
      </c>
      <c r="I235" s="52">
        <v>95.4</v>
      </c>
      <c r="J235"/>
      <c r="K235"/>
      <c r="L235"/>
      <c r="M235"/>
      <c r="N235" s="37"/>
      <c r="O235" s="53">
        <v>280.3</v>
      </c>
      <c r="P235" s="53">
        <v>560.6</v>
      </c>
      <c r="Q235" s="53">
        <v>280.3</v>
      </c>
      <c r="R235" s="53"/>
      <c r="S235" s="53">
        <v>280.3</v>
      </c>
      <c r="T235" s="15">
        <v>560.6</v>
      </c>
      <c r="U235" s="15">
        <v>280.3</v>
      </c>
      <c r="V235" s="15"/>
      <c r="W235" s="15"/>
      <c r="X235" s="15"/>
      <c r="Y235" s="15"/>
      <c r="Z235" s="15"/>
      <c r="AA235" s="15"/>
      <c r="AB235" s="15"/>
    </row>
    <row r="236" spans="6:28" s="21" customFormat="1" ht="14.25" x14ac:dyDescent="0.45">
      <c r="F236" s="49">
        <v>44105</v>
      </c>
      <c r="G236" s="52">
        <v>97.3</v>
      </c>
      <c r="H236" s="52">
        <v>194.6</v>
      </c>
      <c r="I236" s="52">
        <v>97.3</v>
      </c>
      <c r="J236"/>
      <c r="K236"/>
      <c r="L236"/>
      <c r="M236"/>
      <c r="N236" s="37"/>
      <c r="O236" s="53">
        <v>286.60000000000002</v>
      </c>
      <c r="P236" s="53">
        <v>573.20000000000005</v>
      </c>
      <c r="Q236" s="53">
        <v>286.60000000000002</v>
      </c>
      <c r="R236" s="53"/>
      <c r="S236" s="53">
        <v>286.60000000000002</v>
      </c>
      <c r="T236" s="15">
        <v>573.20000000000005</v>
      </c>
      <c r="U236" s="15">
        <v>286.60000000000002</v>
      </c>
      <c r="V236" s="15"/>
      <c r="W236" s="15"/>
      <c r="X236" s="15"/>
      <c r="Y236" s="15"/>
      <c r="Z236" s="15"/>
      <c r="AA236" s="15"/>
      <c r="AB236" s="15"/>
    </row>
    <row r="237" spans="6:28" s="21" customFormat="1" ht="14.25" x14ac:dyDescent="0.45">
      <c r="F237" s="49">
        <v>44136</v>
      </c>
      <c r="G237" s="52">
        <v>90.2</v>
      </c>
      <c r="H237" s="52">
        <v>180.4</v>
      </c>
      <c r="I237" s="52">
        <v>90.2</v>
      </c>
      <c r="J237"/>
      <c r="K237"/>
      <c r="L237"/>
      <c r="M237"/>
      <c r="N237" s="37"/>
      <c r="O237" s="53">
        <v>282.89999999999998</v>
      </c>
      <c r="P237" s="53">
        <v>565.79999999999995</v>
      </c>
      <c r="Q237" s="53">
        <v>282.89999999999998</v>
      </c>
      <c r="R237" s="53"/>
      <c r="S237" s="53">
        <v>282.89999999999998</v>
      </c>
      <c r="T237" s="15">
        <v>565.79999999999995</v>
      </c>
      <c r="U237" s="15">
        <v>282.89999999999998</v>
      </c>
      <c r="V237" s="15"/>
      <c r="W237" s="15"/>
      <c r="X237" s="15"/>
      <c r="Y237" s="15"/>
      <c r="Z237" s="15"/>
      <c r="AA237" s="15"/>
      <c r="AB237" s="15"/>
    </row>
    <row r="238" spans="6:28" s="21" customFormat="1" ht="14.25" x14ac:dyDescent="0.45">
      <c r="F238" s="49">
        <v>44166</v>
      </c>
      <c r="G238" s="52">
        <v>83.3</v>
      </c>
      <c r="H238" s="52">
        <v>166.6</v>
      </c>
      <c r="I238" s="52">
        <v>83.3</v>
      </c>
      <c r="J238"/>
      <c r="K238"/>
      <c r="L238"/>
      <c r="M238"/>
      <c r="N238" s="37"/>
      <c r="O238" s="53">
        <v>270.8</v>
      </c>
      <c r="P238" s="53">
        <v>541.6</v>
      </c>
      <c r="Q238" s="53">
        <v>270.8</v>
      </c>
      <c r="R238" s="53"/>
      <c r="S238" s="53">
        <v>270.8</v>
      </c>
      <c r="T238" s="15">
        <v>541.6</v>
      </c>
      <c r="U238" s="15">
        <v>270.8</v>
      </c>
      <c r="V238" s="15"/>
      <c r="W238" s="15"/>
      <c r="X238" s="15"/>
      <c r="Y238" s="15"/>
      <c r="Z238" s="15"/>
      <c r="AA238" s="15"/>
      <c r="AB238" s="15"/>
    </row>
    <row r="239" spans="6:28" s="21" customFormat="1" ht="14.25" x14ac:dyDescent="0.45">
      <c r="F239" s="49">
        <v>44197</v>
      </c>
      <c r="G239" s="52">
        <v>81.900000000000006</v>
      </c>
      <c r="H239" s="52">
        <v>163.80000000000001</v>
      </c>
      <c r="I239" s="52">
        <v>81.900000000000006</v>
      </c>
      <c r="J239"/>
      <c r="K239"/>
      <c r="L239"/>
      <c r="M239"/>
      <c r="N239" s="37"/>
      <c r="O239" s="53">
        <v>255.4</v>
      </c>
      <c r="P239" s="53">
        <v>510.8</v>
      </c>
      <c r="Q239" s="53">
        <v>255.4</v>
      </c>
      <c r="R239" s="53"/>
      <c r="S239" s="53">
        <v>255.4</v>
      </c>
      <c r="T239" s="15">
        <v>510.8</v>
      </c>
      <c r="U239" s="15">
        <v>255.4</v>
      </c>
      <c r="V239" s="15"/>
      <c r="W239" s="15"/>
      <c r="X239" s="15"/>
      <c r="Y239" s="15"/>
      <c r="Z239" s="15"/>
      <c r="AA239" s="15"/>
      <c r="AB239" s="15"/>
    </row>
    <row r="240" spans="6:28" s="21" customFormat="1" ht="14.25" x14ac:dyDescent="0.45">
      <c r="F240" s="49">
        <v>44228</v>
      </c>
      <c r="G240" s="52">
        <v>79.099999999999994</v>
      </c>
      <c r="H240" s="52">
        <v>158.19999999999999</v>
      </c>
      <c r="I240" s="52">
        <v>79.099999999999994</v>
      </c>
      <c r="J240"/>
      <c r="K240"/>
      <c r="L240"/>
      <c r="M240"/>
      <c r="N240" s="37"/>
      <c r="O240" s="53">
        <v>244.29999999999998</v>
      </c>
      <c r="P240" s="53">
        <v>488.59999999999997</v>
      </c>
      <c r="Q240" s="53">
        <v>244.29999999999998</v>
      </c>
      <c r="R240" s="53"/>
      <c r="S240" s="53">
        <v>244.29999999999998</v>
      </c>
      <c r="T240" s="15">
        <v>488.59999999999997</v>
      </c>
      <c r="U240" s="15">
        <v>244.29999999999998</v>
      </c>
      <c r="V240" s="15"/>
      <c r="W240" s="15"/>
      <c r="X240" s="15"/>
      <c r="Y240" s="15"/>
      <c r="Z240" s="15"/>
      <c r="AA240" s="15"/>
      <c r="AB240" s="15"/>
    </row>
    <row r="241" spans="6:28" s="21" customFormat="1" ht="14.25" x14ac:dyDescent="0.45">
      <c r="F241" s="49">
        <v>44256</v>
      </c>
      <c r="G241" s="52">
        <v>86.1</v>
      </c>
      <c r="H241" s="52">
        <v>172.2</v>
      </c>
      <c r="I241" s="52">
        <v>86.1</v>
      </c>
      <c r="J241"/>
      <c r="K241"/>
      <c r="L241"/>
      <c r="M241"/>
      <c r="N241" s="37"/>
      <c r="O241" s="53">
        <v>247.1</v>
      </c>
      <c r="P241" s="53">
        <v>494.2</v>
      </c>
      <c r="Q241" s="53">
        <v>247.1</v>
      </c>
      <c r="R241" s="53"/>
      <c r="S241" s="53">
        <v>247.1</v>
      </c>
      <c r="T241" s="15">
        <v>494.2</v>
      </c>
      <c r="U241" s="15">
        <v>247.1</v>
      </c>
      <c r="V241" s="15"/>
      <c r="W241" s="15"/>
      <c r="X241" s="15"/>
      <c r="Y241" s="15"/>
      <c r="Z241" s="15"/>
      <c r="AA241" s="15"/>
      <c r="AB241" s="15"/>
    </row>
    <row r="242" spans="6:28" s="21" customFormat="1" ht="14.25" x14ac:dyDescent="0.45">
      <c r="F242" s="49">
        <v>44287</v>
      </c>
      <c r="G242" s="52">
        <v>81.3</v>
      </c>
      <c r="H242" s="52">
        <v>162.6</v>
      </c>
      <c r="I242" s="52">
        <v>81.3</v>
      </c>
      <c r="J242"/>
      <c r="K242"/>
      <c r="L242"/>
      <c r="M242"/>
      <c r="N242" s="37"/>
      <c r="O242" s="53">
        <v>246.5</v>
      </c>
      <c r="P242" s="53">
        <v>493</v>
      </c>
      <c r="Q242" s="53">
        <v>246.5</v>
      </c>
      <c r="R242" s="53"/>
      <c r="S242" s="53">
        <v>246.5</v>
      </c>
      <c r="T242" s="15">
        <v>493</v>
      </c>
      <c r="U242" s="15">
        <v>246.5</v>
      </c>
      <c r="V242" s="15"/>
      <c r="W242" s="15"/>
      <c r="X242" s="15"/>
      <c r="Y242" s="15"/>
      <c r="Z242" s="15"/>
      <c r="AA242" s="15"/>
      <c r="AB242" s="15"/>
    </row>
    <row r="243" spans="6:28" s="21" customFormat="1" ht="14.25" x14ac:dyDescent="0.45">
      <c r="F243" s="49">
        <v>44317</v>
      </c>
      <c r="G243" s="52">
        <v>88.4</v>
      </c>
      <c r="H243" s="52">
        <v>176.8</v>
      </c>
      <c r="I243" s="52">
        <v>88.4</v>
      </c>
      <c r="J243"/>
      <c r="K243"/>
      <c r="L243"/>
      <c r="M243"/>
      <c r="N243" s="37"/>
      <c r="O243" s="53">
        <v>255.79999999999998</v>
      </c>
      <c r="P243" s="53">
        <v>511.59999999999997</v>
      </c>
      <c r="Q243" s="53">
        <v>255.79999999999998</v>
      </c>
      <c r="R243" s="53"/>
      <c r="S243" s="53">
        <v>255.79999999999998</v>
      </c>
      <c r="T243" s="15">
        <v>511.59999999999997</v>
      </c>
      <c r="U243" s="15">
        <v>255.79999999999998</v>
      </c>
      <c r="V243" s="15"/>
      <c r="W243" s="15"/>
      <c r="X243" s="15"/>
      <c r="Y243" s="15"/>
      <c r="Z243" s="15"/>
      <c r="AA243" s="15"/>
      <c r="AB243" s="15"/>
    </row>
    <row r="244" spans="6:28" s="21" customFormat="1" ht="14.25" x14ac:dyDescent="0.45">
      <c r="F244" s="49">
        <v>44348</v>
      </c>
      <c r="G244" s="52">
        <v>87.9</v>
      </c>
      <c r="H244" s="52">
        <v>175.8</v>
      </c>
      <c r="I244" s="52">
        <v>87.9</v>
      </c>
      <c r="J244"/>
      <c r="K244"/>
      <c r="L244"/>
      <c r="M244"/>
      <c r="N244" s="37"/>
      <c r="O244" s="53">
        <v>257.60000000000002</v>
      </c>
      <c r="P244" s="53">
        <v>515.20000000000005</v>
      </c>
      <c r="Q244" s="53">
        <v>257.60000000000002</v>
      </c>
      <c r="R244" s="53"/>
      <c r="S244" s="53">
        <v>257.60000000000002</v>
      </c>
      <c r="T244" s="15">
        <v>515.20000000000005</v>
      </c>
      <c r="U244" s="15">
        <v>257.60000000000002</v>
      </c>
      <c r="V244" s="15"/>
      <c r="W244" s="15"/>
      <c r="X244" s="15"/>
      <c r="Y244" s="15"/>
      <c r="Z244" s="15"/>
      <c r="AA244" s="15"/>
      <c r="AB244" s="15"/>
    </row>
    <row r="245" spans="6:28" s="21" customFormat="1" ht="14.25" x14ac:dyDescent="0.45">
      <c r="F245" s="49">
        <v>44378</v>
      </c>
      <c r="G245" s="52">
        <v>92.2</v>
      </c>
      <c r="H245" s="52">
        <v>184.4</v>
      </c>
      <c r="I245" s="52">
        <v>92.2</v>
      </c>
      <c r="J245"/>
      <c r="K245"/>
      <c r="L245"/>
      <c r="M245"/>
      <c r="N245" s="37"/>
      <c r="O245" s="53">
        <v>268.5</v>
      </c>
      <c r="P245" s="53">
        <v>537</v>
      </c>
      <c r="Q245" s="53">
        <v>268.5</v>
      </c>
      <c r="R245" s="53"/>
      <c r="S245" s="53">
        <v>268.5</v>
      </c>
      <c r="T245" s="15">
        <v>537</v>
      </c>
      <c r="U245" s="15">
        <v>268.5</v>
      </c>
      <c r="V245" s="15"/>
      <c r="W245" s="15"/>
      <c r="X245" s="15"/>
      <c r="Y245" s="15"/>
      <c r="Z245" s="15"/>
      <c r="AA245" s="15"/>
      <c r="AB245" s="15"/>
    </row>
    <row r="246" spans="6:28" s="21" customFormat="1" ht="14.25" x14ac:dyDescent="0.45">
      <c r="F246" s="49">
        <v>44409</v>
      </c>
      <c r="G246" s="52">
        <v>93.4</v>
      </c>
      <c r="H246" s="52">
        <v>186.8</v>
      </c>
      <c r="I246" s="52">
        <v>93.4</v>
      </c>
      <c r="J246"/>
      <c r="K246"/>
      <c r="L246"/>
      <c r="M246"/>
      <c r="N246" s="37"/>
      <c r="O246" s="53">
        <v>273.5</v>
      </c>
      <c r="P246" s="53">
        <v>547</v>
      </c>
      <c r="Q246" s="53">
        <v>273.5</v>
      </c>
      <c r="R246" s="53"/>
      <c r="S246" s="53">
        <v>273.5</v>
      </c>
      <c r="T246" s="15">
        <v>547</v>
      </c>
      <c r="U246" s="15">
        <v>273.5</v>
      </c>
      <c r="V246" s="15"/>
      <c r="W246" s="15"/>
      <c r="X246" s="15"/>
      <c r="Y246" s="15"/>
      <c r="Z246" s="15"/>
      <c r="AA246" s="15"/>
      <c r="AB246" s="15"/>
    </row>
    <row r="247" spans="6:28" s="21" customFormat="1" ht="14.25" x14ac:dyDescent="0.45">
      <c r="F247" s="49">
        <v>44440</v>
      </c>
      <c r="G247" s="52">
        <v>91.5</v>
      </c>
      <c r="H247" s="52">
        <v>183</v>
      </c>
      <c r="I247" s="52">
        <v>91.5</v>
      </c>
      <c r="J247"/>
      <c r="K247"/>
      <c r="L247"/>
      <c r="M247"/>
      <c r="N247" s="37"/>
      <c r="O247" s="53">
        <v>277.10000000000002</v>
      </c>
      <c r="P247" s="53">
        <v>554.20000000000005</v>
      </c>
      <c r="Q247" s="53">
        <v>277.10000000000002</v>
      </c>
      <c r="R247" s="53"/>
      <c r="S247" s="53">
        <v>277.10000000000002</v>
      </c>
      <c r="T247" s="15">
        <v>554.20000000000005</v>
      </c>
      <c r="U247" s="15">
        <v>277.10000000000002</v>
      </c>
      <c r="V247" s="15"/>
      <c r="W247" s="15"/>
      <c r="X247" s="15"/>
      <c r="Y247" s="15"/>
      <c r="Z247" s="15"/>
      <c r="AA247" s="15"/>
      <c r="AB247" s="15"/>
    </row>
    <row r="248" spans="6:28" s="21" customFormat="1" ht="14.25" x14ac:dyDescent="0.45">
      <c r="F248" s="49">
        <v>44470</v>
      </c>
      <c r="G248" s="52">
        <v>89.7</v>
      </c>
      <c r="H248" s="52">
        <v>179.4</v>
      </c>
      <c r="I248" s="52">
        <v>89.7</v>
      </c>
      <c r="J248"/>
      <c r="K248"/>
      <c r="L248"/>
      <c r="M248"/>
      <c r="N248" s="37"/>
      <c r="O248" s="53">
        <v>274.60000000000002</v>
      </c>
      <c r="P248" s="53">
        <v>549.20000000000005</v>
      </c>
      <c r="Q248" s="53">
        <v>274.60000000000002</v>
      </c>
      <c r="R248" s="53"/>
      <c r="S248" s="53">
        <v>274.60000000000002</v>
      </c>
      <c r="T248" s="15">
        <v>549.20000000000005</v>
      </c>
      <c r="U248" s="15">
        <v>274.60000000000002</v>
      </c>
      <c r="V248" s="15"/>
      <c r="W248" s="15"/>
      <c r="X248" s="15"/>
      <c r="Y248" s="15"/>
      <c r="Z248" s="15"/>
      <c r="AA248" s="15"/>
      <c r="AB248" s="15"/>
    </row>
    <row r="249" spans="6:28" s="21" customFormat="1" ht="14.25" x14ac:dyDescent="0.45">
      <c r="F249" s="49">
        <v>44501</v>
      </c>
      <c r="G249" s="52">
        <v>86.3</v>
      </c>
      <c r="H249" s="52">
        <v>172.6</v>
      </c>
      <c r="I249" s="52">
        <v>86.3</v>
      </c>
      <c r="J249"/>
      <c r="K249"/>
      <c r="L249"/>
      <c r="M249"/>
      <c r="N249" s="37"/>
      <c r="O249" s="53">
        <v>267.5</v>
      </c>
      <c r="P249" s="53">
        <v>535</v>
      </c>
      <c r="Q249" s="53">
        <v>267.5</v>
      </c>
      <c r="R249" s="53"/>
      <c r="S249" s="53">
        <v>267.5</v>
      </c>
      <c r="T249" s="15">
        <v>535</v>
      </c>
      <c r="U249" s="15">
        <v>267.5</v>
      </c>
      <c r="V249" s="15"/>
      <c r="W249" s="15"/>
      <c r="X249" s="15"/>
      <c r="Y249" s="15"/>
      <c r="Z249" s="15"/>
      <c r="AA249" s="15"/>
      <c r="AB249" s="15"/>
    </row>
    <row r="250" spans="6:28" s="21" customFormat="1" ht="14.25" x14ac:dyDescent="0.45">
      <c r="F250" s="49">
        <v>44531</v>
      </c>
      <c r="G250" s="52">
        <v>79.2</v>
      </c>
      <c r="H250" s="52">
        <v>158.4</v>
      </c>
      <c r="I250" s="52">
        <v>79.2</v>
      </c>
      <c r="J250"/>
      <c r="K250"/>
      <c r="L250"/>
      <c r="M250"/>
      <c r="N250" s="37"/>
      <c r="O250" s="53">
        <v>255.2</v>
      </c>
      <c r="P250" s="53">
        <v>510.4</v>
      </c>
      <c r="Q250" s="53">
        <v>255.2</v>
      </c>
      <c r="R250" s="53"/>
      <c r="S250" s="53">
        <v>255.2</v>
      </c>
      <c r="T250" s="15">
        <v>510.4</v>
      </c>
      <c r="U250" s="15">
        <v>255.2</v>
      </c>
      <c r="V250" s="15"/>
      <c r="W250" s="15"/>
      <c r="X250" s="15"/>
      <c r="Y250" s="15"/>
      <c r="Z250" s="15"/>
      <c r="AA250" s="15"/>
      <c r="AB250" s="15"/>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2536-764A-4AC0-86D7-8403CEA93600}">
  <sheetPr codeName="Planilha43">
    <tabColor theme="9" tint="0.59999389629810485"/>
  </sheetPr>
  <dimension ref="A1:AF250"/>
  <sheetViews>
    <sheetView showGridLines="0" workbookViewId="0">
      <selection activeCell="O11" sqref="O11"/>
    </sheetView>
  </sheetViews>
  <sheetFormatPr defaultColWidth="8.796875" defaultRowHeight="18" x14ac:dyDescent="0.55000000000000004"/>
  <cols>
    <col min="1" max="1" width="12.6640625" style="17" customWidth="1"/>
    <col min="2" max="2" width="33.1328125" customWidth="1"/>
    <col min="4" max="4" width="44.33203125" bestFit="1" customWidth="1"/>
    <col min="5" max="5" width="4.6640625" customWidth="1"/>
    <col min="6" max="9" width="7.1328125" bestFit="1" customWidth="1"/>
    <col min="10" max="11" width="9.33203125" bestFit="1" customWidth="1"/>
    <col min="12" max="12" width="10.6640625" bestFit="1" customWidth="1"/>
    <col min="13" max="13" width="12.33203125" bestFit="1" customWidth="1"/>
    <col min="15" max="15" width="9.6640625" style="15" bestFit="1" customWidth="1"/>
    <col min="16" max="16" width="10.6640625" style="15" bestFit="1" customWidth="1"/>
    <col min="17" max="17" width="9.6640625" style="15" bestFit="1" customWidth="1"/>
    <col min="18" max="19" width="14.796875" style="15" customWidth="1"/>
    <col min="20" max="32" width="8.796875" style="15"/>
  </cols>
  <sheetData>
    <row r="1" spans="1:32" x14ac:dyDescent="0.55000000000000004">
      <c r="A1" s="16" t="s">
        <v>524</v>
      </c>
      <c r="O1" s="14"/>
      <c r="P1" s="14"/>
      <c r="Q1" s="14"/>
      <c r="R1" s="14"/>
      <c r="S1" s="14"/>
      <c r="T1" s="14"/>
      <c r="U1" s="14"/>
      <c r="V1" s="14"/>
      <c r="W1" s="14"/>
      <c r="X1" s="14"/>
      <c r="Y1" s="14"/>
      <c r="Z1" s="14"/>
      <c r="AA1" s="14"/>
      <c r="AB1" s="14"/>
      <c r="AC1" s="14"/>
      <c r="AD1" s="14"/>
      <c r="AE1" s="14"/>
      <c r="AF1" s="14"/>
    </row>
    <row r="2" spans="1:32" x14ac:dyDescent="0.55000000000000004">
      <c r="A2" s="17" t="s">
        <v>525</v>
      </c>
      <c r="O2" s="14"/>
      <c r="P2" s="14"/>
      <c r="Q2" s="14"/>
      <c r="R2" s="14"/>
      <c r="S2" s="14"/>
      <c r="T2" s="14"/>
      <c r="U2" s="14"/>
      <c r="V2" s="14"/>
      <c r="W2" s="14"/>
      <c r="X2" s="14"/>
      <c r="Y2" s="14"/>
      <c r="Z2" s="14"/>
      <c r="AA2" s="14"/>
      <c r="AB2" s="14"/>
      <c r="AC2" s="14"/>
      <c r="AD2" s="14"/>
      <c r="AE2" s="14"/>
      <c r="AF2" s="14"/>
    </row>
    <row r="4" spans="1:32" ht="15.75" x14ac:dyDescent="0.5">
      <c r="A4" s="2" t="s">
        <v>15</v>
      </c>
      <c r="B4" s="2" t="s">
        <v>16</v>
      </c>
    </row>
    <row r="5" spans="1:32" ht="15.75" x14ac:dyDescent="0.5">
      <c r="A5" s="23" t="s">
        <v>165</v>
      </c>
      <c r="B5" s="24" t="s">
        <v>167</v>
      </c>
    </row>
    <row r="6" spans="1:32" ht="31.5" x14ac:dyDescent="0.5">
      <c r="A6" s="23" t="s">
        <v>54</v>
      </c>
      <c r="B6" s="24" t="s">
        <v>518</v>
      </c>
    </row>
    <row r="7" spans="1:32" ht="31.5" x14ac:dyDescent="0.5">
      <c r="A7" s="23" t="s">
        <v>84</v>
      </c>
      <c r="B7" s="24" t="s">
        <v>352</v>
      </c>
    </row>
    <row r="8" spans="1:32" ht="31.5" x14ac:dyDescent="0.5">
      <c r="A8" s="23" t="s">
        <v>519</v>
      </c>
      <c r="B8" s="24" t="s">
        <v>522</v>
      </c>
    </row>
    <row r="9" spans="1:32" ht="47.25" customHeight="1" x14ac:dyDescent="0.5">
      <c r="A9" s="23" t="s">
        <v>209</v>
      </c>
      <c r="B9" s="24" t="s">
        <v>521</v>
      </c>
    </row>
    <row r="10" spans="1:32" x14ac:dyDescent="0.55000000000000004">
      <c r="D10" s="1" t="s">
        <v>17</v>
      </c>
      <c r="G10" s="171" t="s">
        <v>165</v>
      </c>
      <c r="H10" s="174"/>
      <c r="I10" s="170"/>
      <c r="J10" s="13" t="s">
        <v>35</v>
      </c>
      <c r="K10" s="13" t="s">
        <v>136</v>
      </c>
      <c r="L10" s="13" t="s">
        <v>514</v>
      </c>
      <c r="M10" s="13" t="s">
        <v>212</v>
      </c>
    </row>
    <row r="11" spans="1:32" x14ac:dyDescent="0.55000000000000004">
      <c r="D11" t="s">
        <v>176</v>
      </c>
      <c r="F11" s="49">
        <v>37257</v>
      </c>
      <c r="G11" s="52">
        <v>72.400000000000006</v>
      </c>
      <c r="H11" s="52">
        <v>144.80000000000001</v>
      </c>
      <c r="I11" s="52">
        <v>72.400000000000006</v>
      </c>
      <c r="J11" s="54">
        <v>3</v>
      </c>
      <c r="K11" s="54">
        <v>1</v>
      </c>
      <c r="L11" s="54" t="s">
        <v>520</v>
      </c>
      <c r="M11" s="54" t="b">
        <v>1</v>
      </c>
      <c r="O11" s="53" t="e" cm="1">
        <f t="array" ref="O11:Q250">_xlfn.LAMBDA(_xlpm.values,_xlop.n,_xlop.dim,_xlop.type,_xlop.fillWithNA,
_xlfn.LET(
_xlpm.type, IF( OR( _xlfn.ISOMITTED(_xlpm.type), ISBLANK(_xlpm.type) ), "SIMPLE", _xlpm.type),
_xlpm.N, IF( OR( _xlfn.ISOMITTED(_xlpm.n), ISBLANK(_xlpm.n) ), 1, _xlpm.n),
_xlpm.dim, IF( OR( _xlfn.ISOMITTED(_xlpm.dim), ISBLANK(_xlpm.dim) ), 1, _xlpm.dim),
_xlpm.fillWithNA, IF( OR( _xlfn.ISOMITTED(_xlpm.fillWithNA), ISBLANK(_xlpm.fillWithNA) ), TRUE, _xlpm.fillWithNA),
_xlpm.dropParam, IF(_xlpm.fillWithNA, 0, _xlpm.N-1),
IF(_xlpm.dim=1,
_xlfn.DROP( IF(_xlpm.N=1, _xlpm.values, _xlfn.MAKEARRAY(ROWS(_xlpm.values), COLUMNS(_xlpm.values), _xlfn.LAMBDA(_xlpm.row,_xlpm.col, IF(_xlpm.row &lt; _xlpm.N, NA(), PRODUCT(INDEX(_xlpm.values, _xlfn.SEQUENCE(_xlpm.N,1,_xlpm.row-_xlpm.N+1), _xlpm.col))))) ), _xlpm.dropParam, 0),
IF(_xlpm.dim=2,
_xlfn.DROP( IF(_xlpm.N=1, _xlpm.values, _xlfn.MAKEARRAY(ROWS(_xlpm.values), COLUMNS(_xlpm.values), _xlfn.LAMBDA(_xlpm.row,_xlpm.col, IF(_xlpm.col &lt; _xlpm.N, NA(), PRODUCT(INDEX(_xlpm.values, _xlpm.row, _xlfn.SEQUENCE(1,_xlpm.N,_xlpm.col-_xlpm.N+1)))))) ), 0, _xlpm.dropParam),
"# dim must be either 1 or 2"
))
) )($G$11:$I$250,$J$11,$K$11,$L$11,$M$11)</f>
        <v>#N/A</v>
      </c>
      <c r="P11" s="53" t="e">
        <v>#N/A</v>
      </c>
      <c r="Q11" s="53" t="e">
        <v>#N/A</v>
      </c>
      <c r="R11" s="53"/>
      <c r="S11" s="53" t="e" cm="1">
        <f t="array" ref="S11:U250">MOVPROD($G$11:$I$250,$J$11,$K$11,$L$11,$M$11)</f>
        <v>#N/A</v>
      </c>
      <c r="T11" s="15" t="e">
        <v>#N/A</v>
      </c>
      <c r="U11" s="15" t="e">
        <v>#N/A</v>
      </c>
    </row>
    <row r="12" spans="1:32" x14ac:dyDescent="0.55000000000000004">
      <c r="D12" t="s">
        <v>177</v>
      </c>
      <c r="F12" s="49">
        <v>37288</v>
      </c>
      <c r="G12" s="52">
        <v>69.7</v>
      </c>
      <c r="H12" s="52">
        <v>139.4</v>
      </c>
      <c r="I12" s="52">
        <v>69.7</v>
      </c>
      <c r="N12" s="37"/>
      <c r="O12" s="53" t="e">
        <v>#N/A</v>
      </c>
      <c r="P12" s="53" t="e">
        <v>#N/A</v>
      </c>
      <c r="Q12" s="53" t="e">
        <v>#N/A</v>
      </c>
      <c r="R12" s="53"/>
      <c r="S12" s="53" t="e">
        <v>#N/A</v>
      </c>
      <c r="T12" s="15" t="e">
        <v>#N/A</v>
      </c>
      <c r="U12" s="15" t="e">
        <v>#N/A</v>
      </c>
    </row>
    <row r="13" spans="1:32" x14ac:dyDescent="0.55000000000000004">
      <c r="F13" s="49">
        <v>37316</v>
      </c>
      <c r="G13" s="52">
        <v>77.400000000000006</v>
      </c>
      <c r="H13" s="52">
        <v>154.80000000000001</v>
      </c>
      <c r="I13" s="52">
        <v>77.400000000000006</v>
      </c>
      <c r="N13" s="37"/>
      <c r="O13" s="53">
        <v>390582.0720000001</v>
      </c>
      <c r="P13" s="53">
        <v>3124656.5760000008</v>
      </c>
      <c r="Q13" s="53">
        <v>390582.0720000001</v>
      </c>
      <c r="R13" s="53"/>
      <c r="S13" s="53">
        <v>390582.0720000001</v>
      </c>
      <c r="T13" s="15">
        <v>3124656.5760000008</v>
      </c>
      <c r="U13" s="15">
        <v>390582.0720000001</v>
      </c>
    </row>
    <row r="14" spans="1:32" ht="18.75" customHeight="1" x14ac:dyDescent="0.55000000000000004">
      <c r="D14" s="173"/>
      <c r="F14" s="49">
        <v>37347</v>
      </c>
      <c r="G14" s="52">
        <v>79.599999999999994</v>
      </c>
      <c r="H14" s="52">
        <v>159.19999999999999</v>
      </c>
      <c r="I14" s="52">
        <v>79.599999999999994</v>
      </c>
      <c r="N14" s="37"/>
      <c r="O14" s="53">
        <v>429424.48800000001</v>
      </c>
      <c r="P14" s="53">
        <v>3435395.9040000001</v>
      </c>
      <c r="Q14" s="53">
        <v>429424.48800000001</v>
      </c>
      <c r="R14" s="53"/>
      <c r="S14" s="53">
        <v>429424.48800000001</v>
      </c>
      <c r="T14" s="15">
        <v>3435395.9040000001</v>
      </c>
      <c r="U14" s="15">
        <v>429424.48800000001</v>
      </c>
    </row>
    <row r="15" spans="1:32" x14ac:dyDescent="0.55000000000000004">
      <c r="D15" s="173"/>
      <c r="F15" s="49">
        <v>37377</v>
      </c>
      <c r="G15" s="52">
        <v>80.400000000000006</v>
      </c>
      <c r="H15" s="52">
        <v>160.80000000000001</v>
      </c>
      <c r="I15" s="52">
        <v>80.400000000000006</v>
      </c>
      <c r="N15" s="37"/>
      <c r="O15" s="53">
        <v>495347.61600000004</v>
      </c>
      <c r="P15" s="53">
        <v>3962780.9280000003</v>
      </c>
      <c r="Q15" s="53">
        <v>495347.61600000004</v>
      </c>
      <c r="R15" s="53"/>
      <c r="S15" s="53">
        <v>495347.61600000004</v>
      </c>
      <c r="T15" s="15">
        <v>3962780.9280000003</v>
      </c>
      <c r="U15" s="15">
        <v>495347.61600000004</v>
      </c>
    </row>
    <row r="16" spans="1:32" x14ac:dyDescent="0.55000000000000004">
      <c r="D16" s="46"/>
      <c r="F16" s="49">
        <v>37408</v>
      </c>
      <c r="G16" s="52">
        <v>77.5</v>
      </c>
      <c r="H16" s="52">
        <v>155</v>
      </c>
      <c r="I16" s="52">
        <v>77.5</v>
      </c>
      <c r="N16" s="37"/>
      <c r="O16" s="53">
        <v>495987.60000000003</v>
      </c>
      <c r="P16" s="53">
        <v>3967900.8000000003</v>
      </c>
      <c r="Q16" s="53">
        <v>495987.60000000003</v>
      </c>
      <c r="R16" s="53"/>
      <c r="S16" s="53">
        <v>495987.60000000003</v>
      </c>
      <c r="T16" s="15">
        <v>3967900.8000000003</v>
      </c>
      <c r="U16" s="15">
        <v>495987.60000000003</v>
      </c>
    </row>
    <row r="17" spans="6:32" x14ac:dyDescent="0.55000000000000004">
      <c r="F17" s="49">
        <v>37438</v>
      </c>
      <c r="G17" s="52">
        <v>83.3</v>
      </c>
      <c r="H17" s="52">
        <v>166.6</v>
      </c>
      <c r="I17" s="52">
        <v>83.3</v>
      </c>
      <c r="N17" s="37"/>
      <c r="O17" s="53">
        <v>519042.3</v>
      </c>
      <c r="P17" s="53">
        <v>4152338.4</v>
      </c>
      <c r="Q17" s="53">
        <v>519042.3</v>
      </c>
      <c r="R17" s="53"/>
      <c r="S17" s="53">
        <v>519042.3</v>
      </c>
      <c r="T17" s="15">
        <v>4152338.4</v>
      </c>
      <c r="U17" s="15">
        <v>519042.3</v>
      </c>
    </row>
    <row r="18" spans="6:32" x14ac:dyDescent="0.55000000000000004">
      <c r="F18" s="49">
        <v>37469</v>
      </c>
      <c r="G18" s="52">
        <v>83.6</v>
      </c>
      <c r="H18" s="52">
        <v>167.2</v>
      </c>
      <c r="I18" s="52">
        <v>83.6</v>
      </c>
      <c r="N18" s="37"/>
      <c r="O18" s="53">
        <v>539700.69999999995</v>
      </c>
      <c r="P18" s="53">
        <v>4317605.5999999996</v>
      </c>
      <c r="Q18" s="53">
        <v>539700.69999999995</v>
      </c>
      <c r="R18" s="53"/>
      <c r="S18" s="53">
        <v>539700.69999999995</v>
      </c>
      <c r="T18" s="15">
        <v>4317605.5999999996</v>
      </c>
      <c r="U18" s="15">
        <v>539700.69999999995</v>
      </c>
    </row>
    <row r="19" spans="6:32" s="21" customFormat="1" ht="14.25" x14ac:dyDescent="0.45">
      <c r="F19" s="49">
        <v>37500</v>
      </c>
      <c r="G19" s="52">
        <v>82.1</v>
      </c>
      <c r="H19" s="52">
        <v>164.2</v>
      </c>
      <c r="I19" s="52">
        <v>82.1</v>
      </c>
      <c r="J19"/>
      <c r="K19"/>
      <c r="L19"/>
      <c r="M19"/>
      <c r="N19" s="37"/>
      <c r="O19" s="53">
        <v>571734.54799999995</v>
      </c>
      <c r="P19" s="53">
        <v>4573876.3839999996</v>
      </c>
      <c r="Q19" s="53">
        <v>571734.54799999995</v>
      </c>
      <c r="R19" s="53"/>
      <c r="S19" s="53">
        <v>571734.54799999995</v>
      </c>
      <c r="T19" s="15">
        <v>4573876.3839999996</v>
      </c>
      <c r="U19" s="15">
        <v>571734.54799999995</v>
      </c>
      <c r="V19" s="15"/>
      <c r="W19" s="15"/>
      <c r="X19" s="15"/>
      <c r="Y19" s="15"/>
      <c r="Z19" s="15"/>
      <c r="AA19" s="15"/>
      <c r="AB19" s="15"/>
      <c r="AC19" s="15"/>
      <c r="AD19" s="15"/>
      <c r="AE19" s="15"/>
      <c r="AF19" s="15"/>
    </row>
    <row r="20" spans="6:32" s="21" customFormat="1" ht="14.25" x14ac:dyDescent="0.45">
      <c r="F20" s="49">
        <v>37530</v>
      </c>
      <c r="G20" s="52">
        <v>89.2</v>
      </c>
      <c r="H20" s="52">
        <v>178.4</v>
      </c>
      <c r="I20" s="52">
        <v>89.2</v>
      </c>
      <c r="J20"/>
      <c r="K20"/>
      <c r="L20"/>
      <c r="M20"/>
      <c r="N20" s="37"/>
      <c r="O20" s="53">
        <v>612229.55200000003</v>
      </c>
      <c r="P20" s="53">
        <v>4897836.4160000002</v>
      </c>
      <c r="Q20" s="53">
        <v>612229.55200000003</v>
      </c>
      <c r="R20" s="53"/>
      <c r="S20" s="53">
        <v>612229.55200000003</v>
      </c>
      <c r="T20" s="15">
        <v>4897836.4160000002</v>
      </c>
      <c r="U20" s="15">
        <v>612229.55200000003</v>
      </c>
      <c r="V20" s="15"/>
      <c r="W20" s="15"/>
      <c r="X20" s="15"/>
      <c r="Y20" s="15"/>
      <c r="Z20" s="15"/>
      <c r="AA20" s="15"/>
      <c r="AB20" s="15"/>
      <c r="AC20" s="15"/>
      <c r="AD20" s="15"/>
      <c r="AE20" s="15"/>
      <c r="AF20" s="15"/>
    </row>
    <row r="21" spans="6:32" s="21" customFormat="1" ht="14.25" x14ac:dyDescent="0.45">
      <c r="F21" s="49">
        <v>37561</v>
      </c>
      <c r="G21" s="52">
        <v>83.9</v>
      </c>
      <c r="H21" s="52">
        <v>167.8</v>
      </c>
      <c r="I21" s="52">
        <v>83.9</v>
      </c>
      <c r="J21"/>
      <c r="K21"/>
      <c r="L21"/>
      <c r="M21"/>
      <c r="N21" s="37"/>
      <c r="O21" s="53">
        <v>614426.54800000007</v>
      </c>
      <c r="P21" s="53">
        <v>4915412.3840000005</v>
      </c>
      <c r="Q21" s="53">
        <v>614426.54800000007</v>
      </c>
      <c r="R21" s="53"/>
      <c r="S21" s="53">
        <v>614426.54800000007</v>
      </c>
      <c r="T21" s="15">
        <v>4915412.3840000005</v>
      </c>
      <c r="U21" s="15">
        <v>614426.54800000007</v>
      </c>
      <c r="V21" s="15"/>
      <c r="W21" s="15"/>
      <c r="X21" s="15"/>
      <c r="Y21" s="15"/>
      <c r="Z21" s="15"/>
      <c r="AA21" s="15"/>
      <c r="AB21" s="15"/>
      <c r="AC21" s="15"/>
      <c r="AD21" s="15"/>
      <c r="AE21" s="15"/>
      <c r="AF21" s="15"/>
    </row>
    <row r="22" spans="6:32" s="21" customFormat="1" ht="14.25" x14ac:dyDescent="0.45">
      <c r="F22" s="49">
        <v>37591</v>
      </c>
      <c r="G22" s="52">
        <v>74.599999999999994</v>
      </c>
      <c r="H22" s="52">
        <v>149.19999999999999</v>
      </c>
      <c r="I22" s="52">
        <v>74.599999999999994</v>
      </c>
      <c r="J22"/>
      <c r="K22"/>
      <c r="L22"/>
      <c r="M22"/>
      <c r="N22" s="37"/>
      <c r="O22" s="53">
        <v>558297.44800000009</v>
      </c>
      <c r="P22" s="53">
        <v>4466379.5840000007</v>
      </c>
      <c r="Q22" s="53">
        <v>558297.44800000009</v>
      </c>
      <c r="R22" s="53"/>
      <c r="S22" s="53">
        <v>558297.44800000009</v>
      </c>
      <c r="T22" s="15">
        <v>4466379.5840000007</v>
      </c>
      <c r="U22" s="15">
        <v>558297.44800000009</v>
      </c>
      <c r="V22" s="15"/>
      <c r="W22" s="15"/>
      <c r="X22" s="15"/>
      <c r="Y22" s="15"/>
      <c r="Z22" s="15"/>
      <c r="AA22" s="15"/>
      <c r="AB22" s="15"/>
      <c r="AC22" s="15"/>
      <c r="AD22" s="15"/>
      <c r="AE22" s="15"/>
      <c r="AF22" s="15"/>
    </row>
    <row r="23" spans="6:32" s="21" customFormat="1" ht="14.25" x14ac:dyDescent="0.45">
      <c r="F23" s="49">
        <v>37622</v>
      </c>
      <c r="G23" s="52">
        <v>74</v>
      </c>
      <c r="H23" s="52">
        <v>148</v>
      </c>
      <c r="I23" s="52">
        <v>74</v>
      </c>
      <c r="J23"/>
      <c r="K23"/>
      <c r="L23"/>
      <c r="M23"/>
      <c r="N23" s="37"/>
      <c r="O23" s="53">
        <v>463161.56</v>
      </c>
      <c r="P23" s="53">
        <v>3705292.48</v>
      </c>
      <c r="Q23" s="53">
        <v>463161.56</v>
      </c>
      <c r="R23" s="53"/>
      <c r="S23" s="53">
        <v>463161.56</v>
      </c>
      <c r="T23" s="15">
        <v>3705292.48</v>
      </c>
      <c r="U23" s="15">
        <v>463161.56</v>
      </c>
      <c r="V23" s="15"/>
      <c r="W23" s="15"/>
      <c r="X23" s="15"/>
      <c r="Y23" s="15"/>
      <c r="Z23" s="15"/>
      <c r="AA23" s="15"/>
      <c r="AB23" s="15"/>
      <c r="AC23" s="15"/>
      <c r="AD23" s="15"/>
      <c r="AE23" s="15"/>
      <c r="AF23" s="15"/>
    </row>
    <row r="24" spans="6:32" s="21" customFormat="1" ht="14.25" x14ac:dyDescent="0.45">
      <c r="F24" s="49">
        <v>37653</v>
      </c>
      <c r="G24" s="52">
        <v>71.8</v>
      </c>
      <c r="H24" s="52">
        <v>143.6</v>
      </c>
      <c r="I24" s="52">
        <v>71.8</v>
      </c>
      <c r="J24"/>
      <c r="K24"/>
      <c r="L24"/>
      <c r="M24"/>
      <c r="N24" s="37"/>
      <c r="O24" s="53">
        <v>396364.72</v>
      </c>
      <c r="P24" s="53">
        <v>3170917.76</v>
      </c>
      <c r="Q24" s="53">
        <v>396364.72</v>
      </c>
      <c r="R24" s="53"/>
      <c r="S24" s="53">
        <v>396364.72</v>
      </c>
      <c r="T24" s="15">
        <v>3170917.76</v>
      </c>
      <c r="U24" s="15">
        <v>396364.72</v>
      </c>
      <c r="V24" s="15"/>
      <c r="W24" s="15"/>
      <c r="X24" s="15"/>
      <c r="Y24" s="15"/>
      <c r="Z24" s="15"/>
      <c r="AA24" s="15"/>
      <c r="AB24" s="15"/>
      <c r="AC24" s="15"/>
      <c r="AD24" s="15"/>
      <c r="AE24" s="15"/>
      <c r="AF24" s="15"/>
    </row>
    <row r="25" spans="6:32" s="21" customFormat="1" ht="14.25" x14ac:dyDescent="0.45">
      <c r="F25" s="49">
        <v>37681</v>
      </c>
      <c r="G25" s="52">
        <v>77.400000000000006</v>
      </c>
      <c r="H25" s="52">
        <v>154.80000000000001</v>
      </c>
      <c r="I25" s="52">
        <v>77.400000000000006</v>
      </c>
      <c r="J25"/>
      <c r="K25"/>
      <c r="L25"/>
      <c r="M25"/>
      <c r="N25" s="37"/>
      <c r="O25" s="53">
        <v>411241.68</v>
      </c>
      <c r="P25" s="53">
        <v>3289933.44</v>
      </c>
      <c r="Q25" s="53">
        <v>411241.68</v>
      </c>
      <c r="R25" s="53"/>
      <c r="S25" s="53">
        <v>411241.68</v>
      </c>
      <c r="T25" s="15">
        <v>3289933.44</v>
      </c>
      <c r="U25" s="15">
        <v>411241.68</v>
      </c>
      <c r="V25" s="15"/>
      <c r="W25" s="15"/>
      <c r="X25" s="15"/>
      <c r="Y25" s="15"/>
      <c r="Z25" s="15"/>
      <c r="AA25" s="15"/>
      <c r="AB25" s="15"/>
      <c r="AC25" s="15"/>
      <c r="AD25" s="15"/>
      <c r="AE25" s="15"/>
      <c r="AF25" s="15"/>
    </row>
    <row r="26" spans="6:32" s="21" customFormat="1" ht="14.25" x14ac:dyDescent="0.45">
      <c r="F26" s="49">
        <v>37712</v>
      </c>
      <c r="G26" s="52">
        <v>76.5</v>
      </c>
      <c r="H26" s="52">
        <v>153</v>
      </c>
      <c r="I26" s="52">
        <v>76.5</v>
      </c>
      <c r="J26"/>
      <c r="K26"/>
      <c r="L26"/>
      <c r="M26"/>
      <c r="N26" s="37"/>
      <c r="O26" s="53">
        <v>425134.98000000004</v>
      </c>
      <c r="P26" s="53">
        <v>3401079.8400000003</v>
      </c>
      <c r="Q26" s="53">
        <v>425134.98000000004</v>
      </c>
      <c r="R26" s="53"/>
      <c r="S26" s="53">
        <v>425134.98000000004</v>
      </c>
      <c r="T26" s="15">
        <v>3401079.8400000003</v>
      </c>
      <c r="U26" s="15">
        <v>425134.98000000004</v>
      </c>
      <c r="V26" s="15"/>
      <c r="W26" s="15"/>
      <c r="X26" s="15"/>
      <c r="Y26" s="15"/>
      <c r="Z26" s="15"/>
      <c r="AA26" s="15"/>
      <c r="AB26" s="15"/>
      <c r="AC26" s="15"/>
      <c r="AD26" s="15"/>
      <c r="AE26" s="15"/>
      <c r="AF26" s="15"/>
    </row>
    <row r="27" spans="6:32" s="21" customFormat="1" ht="14.25" x14ac:dyDescent="0.45">
      <c r="F27" s="49">
        <v>37742</v>
      </c>
      <c r="G27" s="52">
        <v>79.7</v>
      </c>
      <c r="H27" s="52">
        <v>159.4</v>
      </c>
      <c r="I27" s="52">
        <v>79.7</v>
      </c>
      <c r="J27"/>
      <c r="K27"/>
      <c r="L27"/>
      <c r="M27"/>
      <c r="N27" s="37"/>
      <c r="O27" s="53">
        <v>471911.67000000004</v>
      </c>
      <c r="P27" s="53">
        <v>3775293.3600000003</v>
      </c>
      <c r="Q27" s="53">
        <v>471911.67000000004</v>
      </c>
      <c r="R27" s="53"/>
      <c r="S27" s="53">
        <v>471911.67000000004</v>
      </c>
      <c r="T27" s="15">
        <v>3775293.3600000003</v>
      </c>
      <c r="U27" s="15">
        <v>471911.67000000004</v>
      </c>
      <c r="V27" s="15"/>
      <c r="W27" s="15"/>
      <c r="X27" s="15"/>
      <c r="Y27" s="15"/>
      <c r="Z27" s="15"/>
      <c r="AA27" s="15"/>
      <c r="AB27" s="15"/>
      <c r="AC27" s="15"/>
      <c r="AD27" s="15"/>
      <c r="AE27" s="15"/>
      <c r="AF27" s="15"/>
    </row>
    <row r="28" spans="6:32" s="21" customFormat="1" ht="14.25" x14ac:dyDescent="0.45">
      <c r="F28" s="49">
        <v>37773</v>
      </c>
      <c r="G28" s="52">
        <v>76.3</v>
      </c>
      <c r="H28" s="52">
        <v>152.6</v>
      </c>
      <c r="I28" s="52">
        <v>76.3</v>
      </c>
      <c r="J28"/>
      <c r="K28"/>
      <c r="L28"/>
      <c r="M28"/>
      <c r="N28" s="37"/>
      <c r="O28" s="53">
        <v>465204.91499999998</v>
      </c>
      <c r="P28" s="53">
        <v>3721639.32</v>
      </c>
      <c r="Q28" s="53">
        <v>465204.91499999998</v>
      </c>
      <c r="R28" s="53"/>
      <c r="S28" s="53">
        <v>465204.91499999998</v>
      </c>
      <c r="T28" s="15">
        <v>3721639.32</v>
      </c>
      <c r="U28" s="15">
        <v>465204.91499999998</v>
      </c>
      <c r="V28" s="15"/>
      <c r="W28" s="15"/>
      <c r="X28" s="15"/>
      <c r="Y28" s="15"/>
      <c r="Z28" s="15"/>
      <c r="AA28" s="15"/>
      <c r="AB28" s="15"/>
      <c r="AC28" s="15"/>
      <c r="AD28" s="15"/>
      <c r="AE28" s="15"/>
      <c r="AF28" s="15"/>
    </row>
    <row r="29" spans="6:32" s="21" customFormat="1" ht="14.25" x14ac:dyDescent="0.45">
      <c r="F29" s="49">
        <v>37803</v>
      </c>
      <c r="G29" s="52">
        <v>81.3</v>
      </c>
      <c r="H29" s="52">
        <v>162.6</v>
      </c>
      <c r="I29" s="52">
        <v>81.3</v>
      </c>
      <c r="J29"/>
      <c r="K29"/>
      <c r="L29"/>
      <c r="M29"/>
      <c r="N29" s="37"/>
      <c r="O29" s="53">
        <v>494394.24299999996</v>
      </c>
      <c r="P29" s="53">
        <v>3955153.9439999997</v>
      </c>
      <c r="Q29" s="53">
        <v>494394.24299999996</v>
      </c>
      <c r="R29" s="53"/>
      <c r="S29" s="53">
        <v>494394.24299999996</v>
      </c>
      <c r="T29" s="15">
        <v>3955153.9439999997</v>
      </c>
      <c r="U29" s="15">
        <v>494394.24299999996</v>
      </c>
      <c r="V29" s="15"/>
      <c r="W29" s="15"/>
      <c r="X29" s="15"/>
      <c r="Y29" s="15"/>
      <c r="Z29" s="15"/>
      <c r="AA29" s="15"/>
      <c r="AB29" s="15"/>
      <c r="AC29" s="15"/>
      <c r="AD29" s="15"/>
      <c r="AE29" s="15"/>
      <c r="AF29" s="15"/>
    </row>
    <row r="30" spans="6:32" s="21" customFormat="1" ht="14.25" x14ac:dyDescent="0.45">
      <c r="F30" s="49">
        <v>37834</v>
      </c>
      <c r="G30" s="52">
        <v>81.599999999999994</v>
      </c>
      <c r="H30" s="52">
        <v>163.19999999999999</v>
      </c>
      <c r="I30" s="52">
        <v>81.599999999999994</v>
      </c>
      <c r="J30"/>
      <c r="K30"/>
      <c r="L30"/>
      <c r="M30"/>
      <c r="N30" s="37"/>
      <c r="O30" s="53">
        <v>506180.30399999995</v>
      </c>
      <c r="P30" s="53">
        <v>4049442.4319999996</v>
      </c>
      <c r="Q30" s="53">
        <v>506180.30399999995</v>
      </c>
      <c r="R30" s="53"/>
      <c r="S30" s="53">
        <v>506180.30399999995</v>
      </c>
      <c r="T30" s="15">
        <v>4049442.4319999996</v>
      </c>
      <c r="U30" s="15">
        <v>506180.30399999995</v>
      </c>
      <c r="V30" s="15"/>
      <c r="W30" s="15"/>
      <c r="X30" s="15"/>
      <c r="Y30" s="15"/>
      <c r="Z30" s="15"/>
      <c r="AA30" s="15"/>
      <c r="AB30" s="15"/>
      <c r="AC30" s="15"/>
      <c r="AD30" s="15"/>
      <c r="AE30" s="15"/>
      <c r="AF30" s="15"/>
    </row>
    <row r="31" spans="6:32" s="21" customFormat="1" ht="14.25" x14ac:dyDescent="0.45">
      <c r="F31" s="49">
        <v>37865</v>
      </c>
      <c r="G31" s="52">
        <v>85.7</v>
      </c>
      <c r="H31" s="52">
        <v>171.4</v>
      </c>
      <c r="I31" s="52">
        <v>85.7</v>
      </c>
      <c r="J31"/>
      <c r="K31"/>
      <c r="L31"/>
      <c r="M31"/>
      <c r="N31" s="37"/>
      <c r="O31" s="53">
        <v>568540.65599999996</v>
      </c>
      <c r="P31" s="53">
        <v>4548325.2479999997</v>
      </c>
      <c r="Q31" s="53">
        <v>568540.65599999996</v>
      </c>
      <c r="R31" s="53"/>
      <c r="S31" s="53">
        <v>568540.65599999996</v>
      </c>
      <c r="T31" s="15">
        <v>4548325.2479999997</v>
      </c>
      <c r="U31" s="15">
        <v>568540.65599999996</v>
      </c>
      <c r="V31" s="15"/>
      <c r="W31" s="15"/>
      <c r="X31" s="15"/>
      <c r="Y31" s="15"/>
      <c r="Z31" s="15"/>
      <c r="AA31" s="15"/>
      <c r="AB31" s="15"/>
      <c r="AC31" s="15"/>
      <c r="AD31" s="15"/>
      <c r="AE31" s="15"/>
      <c r="AF31" s="15"/>
    </row>
    <row r="32" spans="6:32" s="21" customFormat="1" ht="14.25" x14ac:dyDescent="0.45">
      <c r="F32" s="49">
        <v>37895</v>
      </c>
      <c r="G32" s="52">
        <v>90</v>
      </c>
      <c r="H32" s="52">
        <v>180</v>
      </c>
      <c r="I32" s="52">
        <v>90</v>
      </c>
      <c r="J32"/>
      <c r="K32"/>
      <c r="L32"/>
      <c r="M32"/>
      <c r="N32" s="37"/>
      <c r="O32" s="53">
        <v>629380.80000000005</v>
      </c>
      <c r="P32" s="53">
        <v>5035046.4000000004</v>
      </c>
      <c r="Q32" s="53">
        <v>629380.80000000005</v>
      </c>
      <c r="R32" s="53"/>
      <c r="S32" s="53">
        <v>629380.80000000005</v>
      </c>
      <c r="T32" s="15">
        <v>5035046.4000000004</v>
      </c>
      <c r="U32" s="15">
        <v>629380.80000000005</v>
      </c>
      <c r="V32" s="15"/>
      <c r="W32" s="15"/>
      <c r="X32" s="15"/>
      <c r="Y32" s="15"/>
      <c r="Z32" s="15"/>
      <c r="AA32" s="15"/>
      <c r="AB32" s="15"/>
      <c r="AC32" s="15"/>
      <c r="AD32" s="15"/>
      <c r="AE32" s="15"/>
      <c r="AF32" s="15"/>
    </row>
    <row r="33" spans="6:32" s="21" customFormat="1" ht="14.25" x14ac:dyDescent="0.45">
      <c r="F33" s="49">
        <v>37926</v>
      </c>
      <c r="G33" s="52">
        <v>84.6</v>
      </c>
      <c r="H33" s="52">
        <v>169.2</v>
      </c>
      <c r="I33" s="52">
        <v>84.6</v>
      </c>
      <c r="J33"/>
      <c r="K33"/>
      <c r="L33"/>
      <c r="M33"/>
      <c r="N33" s="37"/>
      <c r="O33" s="53">
        <v>652519.79999999993</v>
      </c>
      <c r="P33" s="53">
        <v>5220158.3999999994</v>
      </c>
      <c r="Q33" s="53">
        <v>652519.79999999993</v>
      </c>
      <c r="R33" s="53"/>
      <c r="S33" s="53">
        <v>652519.79999999993</v>
      </c>
      <c r="T33" s="15">
        <v>5220158.3999999994</v>
      </c>
      <c r="U33" s="15">
        <v>652519.79999999993</v>
      </c>
      <c r="V33" s="15"/>
      <c r="W33" s="15"/>
      <c r="X33" s="15"/>
      <c r="Y33" s="15"/>
      <c r="Z33" s="15"/>
      <c r="AA33" s="15"/>
      <c r="AB33" s="15"/>
      <c r="AC33" s="15"/>
      <c r="AD33" s="15"/>
      <c r="AE33" s="15"/>
      <c r="AF33" s="15"/>
    </row>
    <row r="34" spans="6:32" s="21" customFormat="1" ht="14.25" x14ac:dyDescent="0.45">
      <c r="F34" s="49">
        <v>37956</v>
      </c>
      <c r="G34" s="52">
        <v>77.900000000000006</v>
      </c>
      <c r="H34" s="52">
        <v>155.80000000000001</v>
      </c>
      <c r="I34" s="52">
        <v>77.900000000000006</v>
      </c>
      <c r="J34"/>
      <c r="K34"/>
      <c r="L34"/>
      <c r="M34"/>
      <c r="N34" s="37"/>
      <c r="O34" s="53">
        <v>593130.6</v>
      </c>
      <c r="P34" s="53">
        <v>4745044.8</v>
      </c>
      <c r="Q34" s="53">
        <v>593130.6</v>
      </c>
      <c r="R34" s="53"/>
      <c r="S34" s="53">
        <v>593130.6</v>
      </c>
      <c r="T34" s="15">
        <v>4745044.8</v>
      </c>
      <c r="U34" s="15">
        <v>593130.6</v>
      </c>
      <c r="V34" s="15"/>
      <c r="W34" s="15"/>
      <c r="X34" s="15"/>
      <c r="Y34" s="15"/>
      <c r="Z34" s="15"/>
      <c r="AA34" s="15"/>
      <c r="AB34" s="15"/>
      <c r="AC34" s="15"/>
      <c r="AD34" s="15"/>
      <c r="AE34" s="15"/>
      <c r="AF34" s="15"/>
    </row>
    <row r="35" spans="6:32" s="21" customFormat="1" ht="14.25" x14ac:dyDescent="0.45">
      <c r="F35" s="49">
        <v>37987</v>
      </c>
      <c r="G35" s="52">
        <v>76.8</v>
      </c>
      <c r="H35" s="52">
        <v>153.6</v>
      </c>
      <c r="I35" s="52">
        <v>76.8</v>
      </c>
      <c r="J35"/>
      <c r="K35"/>
      <c r="L35"/>
      <c r="M35"/>
      <c r="N35" s="37"/>
      <c r="O35" s="53">
        <v>506138.11199999996</v>
      </c>
      <c r="P35" s="53">
        <v>4049104.8959999997</v>
      </c>
      <c r="Q35" s="53">
        <v>506138.11199999996</v>
      </c>
      <c r="R35" s="53"/>
      <c r="S35" s="53">
        <v>506138.11199999996</v>
      </c>
      <c r="T35" s="15">
        <v>4049104.8959999997</v>
      </c>
      <c r="U35" s="15">
        <v>506138.11199999996</v>
      </c>
      <c r="V35" s="15"/>
      <c r="W35" s="15"/>
      <c r="X35" s="15"/>
      <c r="Y35" s="15"/>
      <c r="Z35" s="15"/>
      <c r="AA35" s="15"/>
      <c r="AB35" s="15"/>
      <c r="AC35" s="15"/>
      <c r="AD35" s="15"/>
      <c r="AE35" s="15"/>
      <c r="AF35" s="15"/>
    </row>
    <row r="36" spans="6:32" s="21" customFormat="1" ht="14.25" x14ac:dyDescent="0.45">
      <c r="F36" s="49">
        <v>38018</v>
      </c>
      <c r="G36" s="52">
        <v>74</v>
      </c>
      <c r="H36" s="52">
        <v>148</v>
      </c>
      <c r="I36" s="52">
        <v>74</v>
      </c>
      <c r="J36"/>
      <c r="K36"/>
      <c r="L36"/>
      <c r="M36"/>
      <c r="N36" s="37"/>
      <c r="O36" s="53">
        <v>442721.28000000003</v>
      </c>
      <c r="P36" s="53">
        <v>3541770.2400000002</v>
      </c>
      <c r="Q36" s="53">
        <v>442721.28000000003</v>
      </c>
      <c r="R36" s="53"/>
      <c r="S36" s="53">
        <v>442721.28000000003</v>
      </c>
      <c r="T36" s="15">
        <v>3541770.2400000002</v>
      </c>
      <c r="U36" s="15">
        <v>442721.28000000003</v>
      </c>
      <c r="V36" s="15"/>
      <c r="W36" s="15"/>
      <c r="X36" s="15"/>
      <c r="Y36" s="15"/>
      <c r="Z36" s="15"/>
      <c r="AA36" s="15"/>
      <c r="AB36" s="15"/>
      <c r="AC36" s="15"/>
      <c r="AD36" s="15"/>
      <c r="AE36" s="15"/>
      <c r="AF36" s="15"/>
    </row>
    <row r="37" spans="6:32" s="21" customFormat="1" ht="14.25" x14ac:dyDescent="0.45">
      <c r="F37" s="49">
        <v>38047</v>
      </c>
      <c r="G37" s="52">
        <v>86.9</v>
      </c>
      <c r="H37" s="52">
        <v>173.8</v>
      </c>
      <c r="I37" s="52">
        <v>86.9</v>
      </c>
      <c r="J37"/>
      <c r="K37"/>
      <c r="L37"/>
      <c r="M37"/>
      <c r="N37" s="37"/>
      <c r="O37" s="53">
        <v>493870.08000000002</v>
      </c>
      <c r="P37" s="53">
        <v>3950960.6400000001</v>
      </c>
      <c r="Q37" s="53">
        <v>493870.08000000002</v>
      </c>
      <c r="R37" s="53"/>
      <c r="S37" s="53">
        <v>493870.08000000002</v>
      </c>
      <c r="T37" s="15">
        <v>3950960.6400000001</v>
      </c>
      <c r="U37" s="15">
        <v>493870.08000000002</v>
      </c>
      <c r="V37" s="15"/>
      <c r="W37" s="15"/>
      <c r="X37" s="15"/>
      <c r="Y37" s="15"/>
      <c r="Z37" s="15"/>
      <c r="AA37" s="15"/>
      <c r="AB37" s="15"/>
      <c r="AC37" s="15"/>
      <c r="AD37" s="15"/>
      <c r="AE37" s="15"/>
      <c r="AF37" s="15"/>
    </row>
    <row r="38" spans="6:32" s="21" customFormat="1" ht="14.25" x14ac:dyDescent="0.45">
      <c r="F38" s="49">
        <v>38078</v>
      </c>
      <c r="G38" s="52">
        <v>82.2</v>
      </c>
      <c r="H38" s="52">
        <v>164.4</v>
      </c>
      <c r="I38" s="52">
        <v>82.2</v>
      </c>
      <c r="J38"/>
      <c r="K38"/>
      <c r="L38"/>
      <c r="M38"/>
      <c r="N38" s="37"/>
      <c r="O38" s="53">
        <v>528595.32000000007</v>
      </c>
      <c r="P38" s="53">
        <v>4228762.5600000005</v>
      </c>
      <c r="Q38" s="53">
        <v>528595.32000000007</v>
      </c>
      <c r="R38" s="53"/>
      <c r="S38" s="53">
        <v>528595.32000000007</v>
      </c>
      <c r="T38" s="15">
        <v>4228762.5600000005</v>
      </c>
      <c r="U38" s="15">
        <v>528595.32000000007</v>
      </c>
      <c r="V38" s="15"/>
      <c r="W38" s="15"/>
      <c r="X38" s="15"/>
      <c r="Y38" s="15"/>
      <c r="Z38" s="15"/>
      <c r="AA38" s="15"/>
      <c r="AB38" s="15"/>
      <c r="AC38" s="15"/>
      <c r="AD38" s="15"/>
      <c r="AE38" s="15"/>
      <c r="AF38" s="15"/>
    </row>
    <row r="39" spans="6:32" s="21" customFormat="1" ht="14.25" x14ac:dyDescent="0.45">
      <c r="F39" s="49">
        <v>38108</v>
      </c>
      <c r="G39" s="52">
        <v>86.3</v>
      </c>
      <c r="H39" s="52">
        <v>172.6</v>
      </c>
      <c r="I39" s="52">
        <v>86.3</v>
      </c>
      <c r="J39"/>
      <c r="K39"/>
      <c r="L39"/>
      <c r="M39"/>
      <c r="N39" s="37"/>
      <c r="O39" s="53">
        <v>616456.43400000001</v>
      </c>
      <c r="P39" s="53">
        <v>4931651.4720000001</v>
      </c>
      <c r="Q39" s="53">
        <v>616456.43400000001</v>
      </c>
      <c r="R39" s="53"/>
      <c r="S39" s="53">
        <v>616456.43400000001</v>
      </c>
      <c r="T39" s="15">
        <v>4931651.4720000001</v>
      </c>
      <c r="U39" s="15">
        <v>616456.43400000001</v>
      </c>
      <c r="V39" s="15"/>
      <c r="W39" s="15"/>
      <c r="X39" s="15"/>
      <c r="Y39" s="15"/>
      <c r="Z39" s="15"/>
      <c r="AA39" s="15"/>
      <c r="AB39" s="15"/>
      <c r="AC39" s="15"/>
      <c r="AD39" s="15"/>
      <c r="AE39" s="15"/>
      <c r="AF39" s="15"/>
    </row>
    <row r="40" spans="6:32" s="21" customFormat="1" ht="14.25" x14ac:dyDescent="0.45">
      <c r="F40" s="49">
        <v>38139</v>
      </c>
      <c r="G40" s="52">
        <v>86.1</v>
      </c>
      <c r="H40" s="52">
        <v>172.2</v>
      </c>
      <c r="I40" s="52">
        <v>86.1</v>
      </c>
      <c r="J40"/>
      <c r="K40"/>
      <c r="L40"/>
      <c r="M40"/>
      <c r="N40" s="37"/>
      <c r="O40" s="53">
        <v>610781.3459999999</v>
      </c>
      <c r="P40" s="53">
        <v>4886250.7679999992</v>
      </c>
      <c r="Q40" s="53">
        <v>610781.3459999999</v>
      </c>
      <c r="R40" s="53"/>
      <c r="S40" s="53">
        <v>610781.3459999999</v>
      </c>
      <c r="T40" s="15">
        <v>4886250.7679999992</v>
      </c>
      <c r="U40" s="15">
        <v>610781.3459999999</v>
      </c>
      <c r="V40" s="15"/>
      <c r="W40" s="15"/>
      <c r="X40" s="15"/>
      <c r="Y40" s="15"/>
      <c r="Z40" s="15"/>
      <c r="AA40" s="15"/>
      <c r="AB40" s="15"/>
      <c r="AC40" s="15"/>
      <c r="AD40" s="15"/>
      <c r="AE40" s="15"/>
      <c r="AF40" s="15"/>
    </row>
    <row r="41" spans="6:32" s="21" customFormat="1" ht="14.25" x14ac:dyDescent="0.45">
      <c r="F41" s="49">
        <v>38169</v>
      </c>
      <c r="G41" s="52">
        <v>90.1</v>
      </c>
      <c r="H41" s="52">
        <v>180.2</v>
      </c>
      <c r="I41" s="52">
        <v>90.1</v>
      </c>
      <c r="J41"/>
      <c r="K41"/>
      <c r="L41"/>
      <c r="M41"/>
      <c r="N41" s="37"/>
      <c r="O41" s="53">
        <v>669481.7429999999</v>
      </c>
      <c r="P41" s="53">
        <v>5355853.9439999992</v>
      </c>
      <c r="Q41" s="53">
        <v>669481.7429999999</v>
      </c>
      <c r="R41" s="53"/>
      <c r="S41" s="53">
        <v>669481.7429999999</v>
      </c>
      <c r="T41" s="15">
        <v>5355853.9439999992</v>
      </c>
      <c r="U41" s="15">
        <v>669481.7429999999</v>
      </c>
      <c r="V41" s="15"/>
      <c r="W41" s="15"/>
      <c r="X41" s="15"/>
      <c r="Y41" s="15"/>
      <c r="Z41" s="15"/>
      <c r="AA41" s="15"/>
      <c r="AB41" s="15"/>
      <c r="AC41" s="15"/>
      <c r="AD41" s="15"/>
      <c r="AE41" s="15"/>
      <c r="AF41" s="15"/>
    </row>
    <row r="42" spans="6:32" s="21" customFormat="1" ht="14.25" x14ac:dyDescent="0.45">
      <c r="F42" s="49">
        <v>38200</v>
      </c>
      <c r="G42" s="52">
        <v>92.1</v>
      </c>
      <c r="H42" s="52">
        <v>184.2</v>
      </c>
      <c r="I42" s="52">
        <v>92.1</v>
      </c>
      <c r="J42"/>
      <c r="K42"/>
      <c r="L42"/>
      <c r="M42"/>
      <c r="N42" s="37"/>
      <c r="O42" s="53">
        <v>714475.88099999982</v>
      </c>
      <c r="P42" s="53">
        <v>5715807.0479999986</v>
      </c>
      <c r="Q42" s="53">
        <v>714475.88099999982</v>
      </c>
      <c r="R42" s="53"/>
      <c r="S42" s="53">
        <v>714475.88099999982</v>
      </c>
      <c r="T42" s="15">
        <v>5715807.0479999986</v>
      </c>
      <c r="U42" s="15">
        <v>714475.88099999982</v>
      </c>
      <c r="V42" s="15"/>
      <c r="W42" s="15"/>
      <c r="X42" s="15"/>
      <c r="Y42" s="15"/>
      <c r="Z42" s="15"/>
      <c r="AA42" s="15"/>
      <c r="AB42" s="15"/>
      <c r="AC42" s="15"/>
      <c r="AD42" s="15"/>
      <c r="AE42" s="15"/>
      <c r="AF42" s="15"/>
    </row>
    <row r="43" spans="6:32" s="21" customFormat="1" ht="14.25" x14ac:dyDescent="0.45">
      <c r="F43" s="49">
        <v>38231</v>
      </c>
      <c r="G43" s="52">
        <v>92.1</v>
      </c>
      <c r="H43" s="52">
        <v>184.2</v>
      </c>
      <c r="I43" s="52">
        <v>92.1</v>
      </c>
      <c r="J43"/>
      <c r="K43"/>
      <c r="L43"/>
      <c r="M43"/>
      <c r="N43" s="37"/>
      <c r="O43" s="53">
        <v>764265.14099999983</v>
      </c>
      <c r="P43" s="53">
        <v>6114121.1279999986</v>
      </c>
      <c r="Q43" s="53">
        <v>764265.14099999983</v>
      </c>
      <c r="R43" s="53"/>
      <c r="S43" s="53">
        <v>764265.14099999983</v>
      </c>
      <c r="T43" s="15">
        <v>6114121.1279999986</v>
      </c>
      <c r="U43" s="15">
        <v>764265.14099999983</v>
      </c>
      <c r="V43" s="15"/>
      <c r="W43" s="15"/>
      <c r="X43" s="15"/>
      <c r="Y43" s="15"/>
      <c r="Z43" s="15"/>
      <c r="AA43" s="15"/>
      <c r="AB43" s="15"/>
      <c r="AC43" s="15"/>
      <c r="AD43" s="15"/>
      <c r="AE43" s="15"/>
      <c r="AF43" s="15"/>
    </row>
    <row r="44" spans="6:32" s="21" customFormat="1" ht="14.25" x14ac:dyDescent="0.45">
      <c r="F44" s="49">
        <v>38261</v>
      </c>
      <c r="G44" s="52">
        <v>93.5</v>
      </c>
      <c r="H44" s="52">
        <v>187</v>
      </c>
      <c r="I44" s="52">
        <v>93.5</v>
      </c>
      <c r="J44"/>
      <c r="K44"/>
      <c r="L44"/>
      <c r="M44"/>
      <c r="N44" s="37"/>
      <c r="O44" s="53">
        <v>793105.33499999996</v>
      </c>
      <c r="P44" s="53">
        <v>6344842.6799999997</v>
      </c>
      <c r="Q44" s="53">
        <v>793105.33499999996</v>
      </c>
      <c r="R44" s="53"/>
      <c r="S44" s="53">
        <v>793105.33499999996</v>
      </c>
      <c r="T44" s="15">
        <v>6344842.6799999997</v>
      </c>
      <c r="U44" s="15">
        <v>793105.33499999996</v>
      </c>
      <c r="V44" s="15"/>
      <c r="W44" s="15"/>
      <c r="X44" s="15"/>
      <c r="Y44" s="15"/>
      <c r="Z44" s="15"/>
      <c r="AA44" s="15"/>
      <c r="AB44" s="15"/>
      <c r="AC44" s="15"/>
      <c r="AD44" s="15"/>
      <c r="AE44" s="15"/>
      <c r="AF44" s="15"/>
    </row>
    <row r="45" spans="6:32" s="21" customFormat="1" ht="14.25" x14ac:dyDescent="0.45">
      <c r="F45" s="49">
        <v>38292</v>
      </c>
      <c r="G45" s="52">
        <v>91.8</v>
      </c>
      <c r="H45" s="52">
        <v>183.6</v>
      </c>
      <c r="I45" s="52">
        <v>91.8</v>
      </c>
      <c r="J45"/>
      <c r="K45"/>
      <c r="L45"/>
      <c r="M45"/>
      <c r="N45" s="37"/>
      <c r="O45" s="53">
        <v>790521.93</v>
      </c>
      <c r="P45" s="53">
        <v>6324175.4400000004</v>
      </c>
      <c r="Q45" s="53">
        <v>790521.93</v>
      </c>
      <c r="R45" s="53"/>
      <c r="S45" s="53">
        <v>790521.93</v>
      </c>
      <c r="T45" s="15">
        <v>6324175.4400000004</v>
      </c>
      <c r="U45" s="15">
        <v>790521.93</v>
      </c>
      <c r="V45" s="15"/>
      <c r="W45" s="15"/>
      <c r="X45" s="15"/>
      <c r="Y45" s="15"/>
      <c r="Z45" s="15"/>
      <c r="AA45" s="15"/>
      <c r="AB45" s="15"/>
      <c r="AC45" s="15"/>
      <c r="AD45" s="15"/>
      <c r="AE45" s="15"/>
      <c r="AF45" s="15"/>
    </row>
    <row r="46" spans="6:32" s="21" customFormat="1" ht="14.25" x14ac:dyDescent="0.45">
      <c r="F46" s="49">
        <v>38322</v>
      </c>
      <c r="G46" s="52">
        <v>84.7</v>
      </c>
      <c r="H46" s="52">
        <v>169.4</v>
      </c>
      <c r="I46" s="52">
        <v>84.7</v>
      </c>
      <c r="J46"/>
      <c r="K46"/>
      <c r="L46"/>
      <c r="M46"/>
      <c r="N46" s="37"/>
      <c r="O46" s="53">
        <v>727005.51</v>
      </c>
      <c r="P46" s="53">
        <v>5816044.0800000001</v>
      </c>
      <c r="Q46" s="53">
        <v>727005.51</v>
      </c>
      <c r="R46" s="53"/>
      <c r="S46" s="53">
        <v>727005.51</v>
      </c>
      <c r="T46" s="15">
        <v>5816044.0800000001</v>
      </c>
      <c r="U46" s="15">
        <v>727005.51</v>
      </c>
      <c r="V46" s="15"/>
      <c r="W46" s="15"/>
      <c r="X46" s="15"/>
      <c r="Y46" s="15"/>
      <c r="Z46" s="15"/>
      <c r="AA46" s="15"/>
      <c r="AB46" s="15"/>
      <c r="AC46" s="15"/>
      <c r="AD46" s="15"/>
      <c r="AE46" s="15"/>
      <c r="AF46" s="15"/>
    </row>
    <row r="47" spans="6:32" s="21" customFormat="1" ht="14.25" x14ac:dyDescent="0.45">
      <c r="F47" s="49">
        <v>38353</v>
      </c>
      <c r="G47" s="52">
        <v>81</v>
      </c>
      <c r="H47" s="52">
        <v>162</v>
      </c>
      <c r="I47" s="52">
        <v>81</v>
      </c>
      <c r="J47"/>
      <c r="K47"/>
      <c r="L47"/>
      <c r="M47"/>
      <c r="N47" s="37"/>
      <c r="O47" s="53">
        <v>629812.26</v>
      </c>
      <c r="P47" s="53">
        <v>5038498.08</v>
      </c>
      <c r="Q47" s="53">
        <v>629812.26</v>
      </c>
      <c r="R47" s="53"/>
      <c r="S47" s="53">
        <v>629812.26</v>
      </c>
      <c r="T47" s="15">
        <v>5038498.08</v>
      </c>
      <c r="U47" s="15">
        <v>629812.26</v>
      </c>
      <c r="V47" s="15"/>
      <c r="W47" s="15"/>
      <c r="X47" s="15"/>
      <c r="Y47" s="15"/>
      <c r="Z47" s="15"/>
      <c r="AA47" s="15"/>
      <c r="AB47" s="15"/>
      <c r="AC47" s="15"/>
      <c r="AD47" s="15"/>
      <c r="AE47" s="15"/>
      <c r="AF47" s="15"/>
    </row>
    <row r="48" spans="6:32" s="21" customFormat="1" ht="14.25" x14ac:dyDescent="0.45">
      <c r="F48" s="49">
        <v>38384</v>
      </c>
      <c r="G48" s="52">
        <v>76.400000000000006</v>
      </c>
      <c r="H48" s="52">
        <v>152.80000000000001</v>
      </c>
      <c r="I48" s="52">
        <v>76.400000000000006</v>
      </c>
      <c r="J48"/>
      <c r="K48"/>
      <c r="L48"/>
      <c r="M48"/>
      <c r="N48" s="37"/>
      <c r="O48" s="53">
        <v>524157.48000000004</v>
      </c>
      <c r="P48" s="53">
        <v>4193259.8400000003</v>
      </c>
      <c r="Q48" s="53">
        <v>524157.48000000004</v>
      </c>
      <c r="R48" s="53"/>
      <c r="S48" s="53">
        <v>524157.48000000004</v>
      </c>
      <c r="T48" s="15">
        <v>4193259.8400000003</v>
      </c>
      <c r="U48" s="15">
        <v>524157.48000000004</v>
      </c>
      <c r="V48" s="15"/>
      <c r="W48" s="15"/>
      <c r="X48" s="15"/>
      <c r="Y48" s="15"/>
      <c r="Z48" s="15"/>
      <c r="AA48" s="15"/>
      <c r="AB48" s="15"/>
      <c r="AC48" s="15"/>
      <c r="AD48" s="15"/>
      <c r="AE48" s="15"/>
      <c r="AF48" s="15"/>
    </row>
    <row r="49" spans="6:32" s="21" customFormat="1" ht="14.25" x14ac:dyDescent="0.45">
      <c r="F49" s="49">
        <v>38412</v>
      </c>
      <c r="G49" s="52">
        <v>88</v>
      </c>
      <c r="H49" s="52">
        <v>176</v>
      </c>
      <c r="I49" s="52">
        <v>88</v>
      </c>
      <c r="J49"/>
      <c r="K49"/>
      <c r="L49"/>
      <c r="M49"/>
      <c r="N49" s="37"/>
      <c r="O49" s="53">
        <v>544579.20000000007</v>
      </c>
      <c r="P49" s="53">
        <v>4356633.6000000006</v>
      </c>
      <c r="Q49" s="53">
        <v>544579.20000000007</v>
      </c>
      <c r="R49" s="53"/>
      <c r="S49" s="53">
        <v>544579.20000000007</v>
      </c>
      <c r="T49" s="15">
        <v>4356633.6000000006</v>
      </c>
      <c r="U49" s="15">
        <v>544579.20000000007</v>
      </c>
      <c r="V49" s="15"/>
      <c r="W49" s="15"/>
      <c r="X49" s="15"/>
      <c r="Y49" s="15"/>
      <c r="Z49" s="15"/>
      <c r="AA49" s="15"/>
      <c r="AB49" s="15"/>
      <c r="AC49" s="15"/>
      <c r="AD49" s="15"/>
      <c r="AE49" s="15"/>
      <c r="AF49" s="15"/>
    </row>
    <row r="50" spans="6:32" s="21" customFormat="1" ht="14.25" x14ac:dyDescent="0.45">
      <c r="F50" s="49">
        <v>38443</v>
      </c>
      <c r="G50" s="52">
        <v>87</v>
      </c>
      <c r="H50" s="52">
        <v>174</v>
      </c>
      <c r="I50" s="52">
        <v>87</v>
      </c>
      <c r="J50"/>
      <c r="K50"/>
      <c r="L50"/>
      <c r="M50"/>
      <c r="N50" s="37"/>
      <c r="O50" s="53">
        <v>584918.4</v>
      </c>
      <c r="P50" s="53">
        <v>4679347.2</v>
      </c>
      <c r="Q50" s="53">
        <v>584918.4</v>
      </c>
      <c r="R50" s="53"/>
      <c r="S50" s="53">
        <v>584918.4</v>
      </c>
      <c r="T50" s="15">
        <v>4679347.2</v>
      </c>
      <c r="U50" s="15">
        <v>584918.4</v>
      </c>
      <c r="V50" s="15"/>
      <c r="W50" s="15"/>
      <c r="X50" s="15"/>
      <c r="Y50" s="15"/>
      <c r="Z50" s="15"/>
      <c r="AA50" s="15"/>
      <c r="AB50" s="15"/>
      <c r="AC50" s="15"/>
      <c r="AD50" s="15"/>
      <c r="AE50" s="15"/>
      <c r="AF50" s="15"/>
    </row>
    <row r="51" spans="6:32" s="21" customFormat="1" ht="14.25" x14ac:dyDescent="0.45">
      <c r="F51" s="49">
        <v>38473</v>
      </c>
      <c r="G51" s="52">
        <v>91.1</v>
      </c>
      <c r="H51" s="52">
        <v>182.2</v>
      </c>
      <c r="I51" s="52">
        <v>91.1</v>
      </c>
      <c r="J51"/>
      <c r="K51"/>
      <c r="L51"/>
      <c r="M51"/>
      <c r="N51" s="37"/>
      <c r="O51" s="53">
        <v>697461.6</v>
      </c>
      <c r="P51" s="53">
        <v>5579692.7999999998</v>
      </c>
      <c r="Q51" s="53">
        <v>697461.6</v>
      </c>
      <c r="R51" s="53"/>
      <c r="S51" s="53">
        <v>697461.6</v>
      </c>
      <c r="T51" s="15">
        <v>5579692.7999999998</v>
      </c>
      <c r="U51" s="15">
        <v>697461.6</v>
      </c>
      <c r="V51" s="15"/>
      <c r="W51" s="15"/>
      <c r="X51" s="15"/>
      <c r="Y51" s="15"/>
      <c r="Z51" s="15"/>
      <c r="AA51" s="15"/>
      <c r="AB51" s="15"/>
      <c r="AC51" s="15"/>
      <c r="AD51" s="15"/>
      <c r="AE51" s="15"/>
      <c r="AF51" s="15"/>
    </row>
    <row r="52" spans="6:32" s="21" customFormat="1" ht="14.25" x14ac:dyDescent="0.45">
      <c r="F52" s="49">
        <v>38504</v>
      </c>
      <c r="G52" s="52">
        <v>91.4</v>
      </c>
      <c r="H52" s="52">
        <v>182.8</v>
      </c>
      <c r="I52" s="52">
        <v>91.4</v>
      </c>
      <c r="J52"/>
      <c r="K52"/>
      <c r="L52"/>
      <c r="M52"/>
      <c r="N52" s="37"/>
      <c r="O52" s="53">
        <v>724408.98</v>
      </c>
      <c r="P52" s="53">
        <v>5795271.8399999999</v>
      </c>
      <c r="Q52" s="53">
        <v>724408.98</v>
      </c>
      <c r="R52" s="53"/>
      <c r="S52" s="53">
        <v>724408.98</v>
      </c>
      <c r="T52" s="15">
        <v>5795271.8399999999</v>
      </c>
      <c r="U52" s="15">
        <v>724408.98</v>
      </c>
      <c r="V52" s="15"/>
      <c r="W52" s="15"/>
      <c r="X52" s="15"/>
      <c r="Y52" s="15"/>
      <c r="Z52" s="15"/>
      <c r="AA52" s="15"/>
      <c r="AB52" s="15"/>
      <c r="AC52" s="15"/>
      <c r="AD52" s="15"/>
      <c r="AE52" s="15"/>
      <c r="AF52" s="15"/>
    </row>
    <row r="53" spans="6:32" s="21" customFormat="1" ht="14.25" x14ac:dyDescent="0.45">
      <c r="F53" s="49">
        <v>38534</v>
      </c>
      <c r="G53" s="52">
        <v>90.5</v>
      </c>
      <c r="H53" s="52">
        <v>181</v>
      </c>
      <c r="I53" s="52">
        <v>90.5</v>
      </c>
      <c r="J53"/>
      <c r="K53"/>
      <c r="L53"/>
      <c r="M53"/>
      <c r="N53" s="37"/>
      <c r="O53" s="53">
        <v>753551.87000000011</v>
      </c>
      <c r="P53" s="53">
        <v>6028414.9600000009</v>
      </c>
      <c r="Q53" s="53">
        <v>753551.87000000011</v>
      </c>
      <c r="R53" s="53"/>
      <c r="S53" s="53">
        <v>753551.87000000011</v>
      </c>
      <c r="T53" s="15">
        <v>6028414.9600000009</v>
      </c>
      <c r="U53" s="15">
        <v>753551.87000000011</v>
      </c>
      <c r="V53" s="15"/>
      <c r="W53" s="15"/>
      <c r="X53" s="15"/>
      <c r="Y53" s="15"/>
      <c r="Z53" s="15"/>
      <c r="AA53" s="15"/>
      <c r="AB53" s="15"/>
      <c r="AC53" s="15"/>
      <c r="AD53" s="15"/>
      <c r="AE53" s="15"/>
      <c r="AF53" s="15"/>
    </row>
    <row r="54" spans="6:32" s="21" customFormat="1" ht="14.25" x14ac:dyDescent="0.45">
      <c r="F54" s="49">
        <v>38565</v>
      </c>
      <c r="G54" s="52">
        <v>95.6</v>
      </c>
      <c r="H54" s="52">
        <v>191.2</v>
      </c>
      <c r="I54" s="52">
        <v>95.6</v>
      </c>
      <c r="J54"/>
      <c r="K54"/>
      <c r="L54"/>
      <c r="M54"/>
      <c r="N54" s="37"/>
      <c r="O54" s="53">
        <v>790774.52</v>
      </c>
      <c r="P54" s="53">
        <v>6326196.1600000001</v>
      </c>
      <c r="Q54" s="53">
        <v>790774.52</v>
      </c>
      <c r="R54" s="53"/>
      <c r="S54" s="53">
        <v>790774.52</v>
      </c>
      <c r="T54" s="15">
        <v>6326196.1600000001</v>
      </c>
      <c r="U54" s="15">
        <v>790774.52</v>
      </c>
      <c r="V54" s="15"/>
      <c r="W54" s="15"/>
      <c r="X54" s="15"/>
      <c r="Y54" s="15"/>
      <c r="Z54" s="15"/>
      <c r="AA54" s="15"/>
      <c r="AB54" s="15"/>
      <c r="AC54" s="15"/>
      <c r="AD54" s="15"/>
      <c r="AE54" s="15"/>
      <c r="AF54" s="15"/>
    </row>
    <row r="55" spans="6:32" s="21" customFormat="1" ht="14.25" x14ac:dyDescent="0.45">
      <c r="F55" s="49">
        <v>38596</v>
      </c>
      <c r="G55" s="52">
        <v>92</v>
      </c>
      <c r="H55" s="52">
        <v>184</v>
      </c>
      <c r="I55" s="52">
        <v>92</v>
      </c>
      <c r="J55"/>
      <c r="K55"/>
      <c r="L55"/>
      <c r="M55"/>
      <c r="N55" s="37"/>
      <c r="O55" s="53">
        <v>795965.6</v>
      </c>
      <c r="P55" s="53">
        <v>6367724.7999999998</v>
      </c>
      <c r="Q55" s="53">
        <v>795965.6</v>
      </c>
      <c r="R55" s="53"/>
      <c r="S55" s="53">
        <v>795965.6</v>
      </c>
      <c r="T55" s="15">
        <v>6367724.7999999998</v>
      </c>
      <c r="U55" s="15">
        <v>795965.6</v>
      </c>
      <c r="V55" s="15"/>
      <c r="W55" s="15"/>
      <c r="X55" s="15"/>
      <c r="Y55" s="15"/>
      <c r="Z55" s="15"/>
      <c r="AA55" s="15"/>
      <c r="AB55" s="15"/>
      <c r="AC55" s="15"/>
      <c r="AD55" s="15"/>
      <c r="AE55" s="15"/>
      <c r="AF55" s="15"/>
    </row>
    <row r="56" spans="6:32" s="21" customFormat="1" ht="14.25" x14ac:dyDescent="0.45">
      <c r="F56" s="49">
        <v>38626</v>
      </c>
      <c r="G56" s="52">
        <v>93.7</v>
      </c>
      <c r="H56" s="52">
        <v>187.4</v>
      </c>
      <c r="I56" s="52">
        <v>93.7</v>
      </c>
      <c r="J56"/>
      <c r="K56"/>
      <c r="L56"/>
      <c r="M56"/>
      <c r="N56" s="37"/>
      <c r="O56" s="53">
        <v>824110.23999999987</v>
      </c>
      <c r="P56" s="53">
        <v>6592881.919999999</v>
      </c>
      <c r="Q56" s="53">
        <v>824110.23999999987</v>
      </c>
      <c r="R56" s="53"/>
      <c r="S56" s="53">
        <v>824110.23999999987</v>
      </c>
      <c r="T56" s="15">
        <v>6592881.919999999</v>
      </c>
      <c r="U56" s="15">
        <v>824110.23999999987</v>
      </c>
      <c r="V56" s="15"/>
      <c r="W56" s="15"/>
      <c r="X56" s="15"/>
      <c r="Y56" s="15"/>
      <c r="Z56" s="15"/>
      <c r="AA56" s="15"/>
      <c r="AB56" s="15"/>
      <c r="AC56" s="15"/>
      <c r="AD56" s="15"/>
      <c r="AE56" s="15"/>
      <c r="AF56" s="15"/>
    </row>
    <row r="57" spans="6:32" s="21" customFormat="1" ht="14.25" x14ac:dyDescent="0.45">
      <c r="F57" s="49">
        <v>38657</v>
      </c>
      <c r="G57" s="52">
        <v>92.4</v>
      </c>
      <c r="H57" s="52">
        <v>184.8</v>
      </c>
      <c r="I57" s="52">
        <v>92.4</v>
      </c>
      <c r="J57"/>
      <c r="K57"/>
      <c r="L57"/>
      <c r="M57"/>
      <c r="N57" s="37"/>
      <c r="O57" s="53">
        <v>796524.96</v>
      </c>
      <c r="P57" s="53">
        <v>6372199.6799999997</v>
      </c>
      <c r="Q57" s="53">
        <v>796524.96</v>
      </c>
      <c r="R57" s="53"/>
      <c r="S57" s="53">
        <v>796524.96</v>
      </c>
      <c r="T57" s="15">
        <v>6372199.6799999997</v>
      </c>
      <c r="U57" s="15">
        <v>796524.96</v>
      </c>
      <c r="V57" s="15"/>
      <c r="W57" s="15"/>
      <c r="X57" s="15"/>
      <c r="Y57" s="15"/>
      <c r="Z57" s="15"/>
      <c r="AA57" s="15"/>
      <c r="AB57" s="15"/>
      <c r="AC57" s="15"/>
      <c r="AD57" s="15"/>
      <c r="AE57" s="15"/>
      <c r="AF57" s="15"/>
    </row>
    <row r="58" spans="6:32" s="21" customFormat="1" ht="14.25" x14ac:dyDescent="0.45">
      <c r="F58" s="49">
        <v>38687</v>
      </c>
      <c r="G58" s="52">
        <v>86.6</v>
      </c>
      <c r="H58" s="52">
        <v>173.2</v>
      </c>
      <c r="I58" s="52">
        <v>86.6</v>
      </c>
      <c r="J58"/>
      <c r="K58"/>
      <c r="L58"/>
      <c r="M58"/>
      <c r="N58" s="37"/>
      <c r="O58" s="53">
        <v>749772.40800000005</v>
      </c>
      <c r="P58" s="53">
        <v>5998179.2640000004</v>
      </c>
      <c r="Q58" s="53">
        <v>749772.40800000005</v>
      </c>
      <c r="R58" s="53"/>
      <c r="S58" s="53">
        <v>749772.40800000005</v>
      </c>
      <c r="T58" s="15">
        <v>5998179.2640000004</v>
      </c>
      <c r="U58" s="15">
        <v>749772.40800000005</v>
      </c>
      <c r="V58" s="15"/>
      <c r="W58" s="15"/>
      <c r="X58" s="15"/>
      <c r="Y58" s="15"/>
      <c r="Z58" s="15"/>
      <c r="AA58" s="15"/>
      <c r="AB58" s="15"/>
      <c r="AC58" s="15"/>
      <c r="AD58" s="15"/>
      <c r="AE58" s="15"/>
      <c r="AF58" s="15"/>
    </row>
    <row r="59" spans="6:32" s="21" customFormat="1" ht="14.25" x14ac:dyDescent="0.45">
      <c r="F59" s="49">
        <v>38718</v>
      </c>
      <c r="G59" s="52">
        <v>83.7</v>
      </c>
      <c r="H59" s="52">
        <v>167.4</v>
      </c>
      <c r="I59" s="52">
        <v>83.7</v>
      </c>
      <c r="J59"/>
      <c r="K59"/>
      <c r="L59"/>
      <c r="M59"/>
      <c r="N59" s="37"/>
      <c r="O59" s="53">
        <v>669754.00800000003</v>
      </c>
      <c r="P59" s="53">
        <v>5358032.0640000002</v>
      </c>
      <c r="Q59" s="53">
        <v>669754.00800000003</v>
      </c>
      <c r="R59" s="53"/>
      <c r="S59" s="53">
        <v>669754.00800000003</v>
      </c>
      <c r="T59" s="15">
        <v>5358032.0640000002</v>
      </c>
      <c r="U59" s="15">
        <v>669754.00800000003</v>
      </c>
      <c r="V59" s="15"/>
      <c r="W59" s="15"/>
      <c r="X59" s="15"/>
      <c r="Y59" s="15"/>
      <c r="Z59" s="15"/>
      <c r="AA59" s="15"/>
      <c r="AB59" s="15"/>
      <c r="AC59" s="15"/>
      <c r="AD59" s="15"/>
      <c r="AE59" s="15"/>
      <c r="AF59" s="15"/>
    </row>
    <row r="60" spans="6:32" s="21" customFormat="1" ht="14.25" x14ac:dyDescent="0.45">
      <c r="F60" s="49">
        <v>38749</v>
      </c>
      <c r="G60" s="52">
        <v>80.2</v>
      </c>
      <c r="H60" s="52">
        <v>160.4</v>
      </c>
      <c r="I60" s="52">
        <v>80.2</v>
      </c>
      <c r="J60"/>
      <c r="K60"/>
      <c r="L60"/>
      <c r="M60"/>
      <c r="N60" s="37"/>
      <c r="O60" s="53">
        <v>581323.28399999999</v>
      </c>
      <c r="P60" s="53">
        <v>4650586.2719999999</v>
      </c>
      <c r="Q60" s="53">
        <v>581323.28399999999</v>
      </c>
      <c r="R60" s="53"/>
      <c r="S60" s="53">
        <v>581323.28399999999</v>
      </c>
      <c r="T60" s="15">
        <v>4650586.2719999999</v>
      </c>
      <c r="U60" s="15">
        <v>581323.28399999999</v>
      </c>
      <c r="V60" s="15"/>
      <c r="W60" s="15"/>
      <c r="X60" s="15"/>
      <c r="Y60" s="15"/>
      <c r="Z60" s="15"/>
      <c r="AA60" s="15"/>
      <c r="AB60" s="15"/>
      <c r="AC60" s="15"/>
      <c r="AD60" s="15"/>
      <c r="AE60" s="15"/>
      <c r="AF60" s="15"/>
    </row>
    <row r="61" spans="6:32" s="21" customFormat="1" ht="14.25" x14ac:dyDescent="0.45">
      <c r="F61" s="49">
        <v>38777</v>
      </c>
      <c r="G61" s="52">
        <v>92.4</v>
      </c>
      <c r="H61" s="52">
        <v>184.8</v>
      </c>
      <c r="I61" s="52">
        <v>92.4</v>
      </c>
      <c r="J61"/>
      <c r="K61"/>
      <c r="L61"/>
      <c r="M61"/>
      <c r="N61" s="37"/>
      <c r="O61" s="53">
        <v>620257.17600000009</v>
      </c>
      <c r="P61" s="53">
        <v>4962057.4080000008</v>
      </c>
      <c r="Q61" s="53">
        <v>620257.17600000009</v>
      </c>
      <c r="R61" s="53"/>
      <c r="S61" s="53">
        <v>620257.17600000009</v>
      </c>
      <c r="T61" s="15">
        <v>4962057.4080000008</v>
      </c>
      <c r="U61" s="15">
        <v>620257.17600000009</v>
      </c>
      <c r="V61" s="15"/>
      <c r="W61" s="15"/>
      <c r="X61" s="15"/>
      <c r="Y61" s="15"/>
      <c r="Z61" s="15"/>
      <c r="AA61" s="15"/>
      <c r="AB61" s="15"/>
      <c r="AC61" s="15"/>
      <c r="AD61" s="15"/>
      <c r="AE61" s="15"/>
      <c r="AF61" s="15"/>
    </row>
    <row r="62" spans="6:32" s="21" customFormat="1" ht="14.25" x14ac:dyDescent="0.45">
      <c r="F62" s="49">
        <v>38808</v>
      </c>
      <c r="G62" s="52">
        <v>85.7</v>
      </c>
      <c r="H62" s="52">
        <v>171.4</v>
      </c>
      <c r="I62" s="52">
        <v>85.7</v>
      </c>
      <c r="J62"/>
      <c r="K62"/>
      <c r="L62"/>
      <c r="M62"/>
      <c r="N62" s="37"/>
      <c r="O62" s="53">
        <v>635078.13600000006</v>
      </c>
      <c r="P62" s="53">
        <v>5080625.0880000005</v>
      </c>
      <c r="Q62" s="53">
        <v>635078.13600000006</v>
      </c>
      <c r="R62" s="53"/>
      <c r="S62" s="53">
        <v>635078.13600000006</v>
      </c>
      <c r="T62" s="15">
        <v>5080625.0880000005</v>
      </c>
      <c r="U62" s="15">
        <v>635078.13600000006</v>
      </c>
      <c r="V62" s="15"/>
      <c r="W62" s="15"/>
      <c r="X62" s="15"/>
      <c r="Y62" s="15"/>
      <c r="Z62" s="15"/>
      <c r="AA62" s="15"/>
      <c r="AB62" s="15"/>
      <c r="AC62" s="15"/>
      <c r="AD62" s="15"/>
      <c r="AE62" s="15"/>
      <c r="AF62" s="15"/>
    </row>
    <row r="63" spans="6:32" s="21" customFormat="1" ht="14.25" x14ac:dyDescent="0.45">
      <c r="F63" s="49">
        <v>38838</v>
      </c>
      <c r="G63" s="52">
        <v>95.4</v>
      </c>
      <c r="H63" s="52">
        <v>190.8</v>
      </c>
      <c r="I63" s="52">
        <v>95.4</v>
      </c>
      <c r="J63"/>
      <c r="K63"/>
      <c r="L63"/>
      <c r="M63"/>
      <c r="N63" s="37"/>
      <c r="O63" s="53">
        <v>755442.07200000016</v>
      </c>
      <c r="P63" s="53">
        <v>6043536.5760000013</v>
      </c>
      <c r="Q63" s="53">
        <v>755442.07200000016</v>
      </c>
      <c r="R63" s="53"/>
      <c r="S63" s="53">
        <v>755442.07200000016</v>
      </c>
      <c r="T63" s="15">
        <v>6043536.5760000013</v>
      </c>
      <c r="U63" s="15">
        <v>755442.07200000016</v>
      </c>
      <c r="V63" s="15"/>
      <c r="W63" s="15"/>
      <c r="X63" s="15"/>
      <c r="Y63" s="15"/>
      <c r="Z63" s="15"/>
      <c r="AA63" s="15"/>
      <c r="AB63" s="15"/>
      <c r="AC63" s="15"/>
      <c r="AD63" s="15"/>
      <c r="AE63" s="15"/>
      <c r="AF63" s="15"/>
    </row>
    <row r="64" spans="6:32" s="21" customFormat="1" ht="14.25" x14ac:dyDescent="0.45">
      <c r="F64" s="49">
        <v>38869</v>
      </c>
      <c r="G64" s="52">
        <v>91.1</v>
      </c>
      <c r="H64" s="52">
        <v>182.2</v>
      </c>
      <c r="I64" s="52">
        <v>91.1</v>
      </c>
      <c r="J64"/>
      <c r="K64"/>
      <c r="L64"/>
      <c r="M64"/>
      <c r="N64" s="37"/>
      <c r="O64" s="53">
        <v>744813.55799999996</v>
      </c>
      <c r="P64" s="53">
        <v>5958508.4639999997</v>
      </c>
      <c r="Q64" s="53">
        <v>744813.55799999996</v>
      </c>
      <c r="R64" s="53"/>
      <c r="S64" s="53">
        <v>744813.55799999996</v>
      </c>
      <c r="T64" s="15">
        <v>5958508.4639999997</v>
      </c>
      <c r="U64" s="15">
        <v>744813.55799999996</v>
      </c>
      <c r="V64" s="15"/>
      <c r="W64" s="15"/>
      <c r="X64" s="15"/>
      <c r="Y64" s="15"/>
      <c r="Z64" s="15"/>
      <c r="AA64" s="15"/>
      <c r="AB64" s="15"/>
      <c r="AC64" s="15"/>
      <c r="AD64" s="15"/>
      <c r="AE64" s="15"/>
      <c r="AF64" s="15"/>
    </row>
    <row r="65" spans="6:32" s="21" customFormat="1" ht="14.25" x14ac:dyDescent="0.45">
      <c r="F65" s="49">
        <v>38899</v>
      </c>
      <c r="G65" s="52">
        <v>93.8</v>
      </c>
      <c r="H65" s="52">
        <v>187.6</v>
      </c>
      <c r="I65" s="52">
        <v>93.8</v>
      </c>
      <c r="J65"/>
      <c r="K65"/>
      <c r="L65"/>
      <c r="M65"/>
      <c r="N65" s="37"/>
      <c r="O65" s="53">
        <v>815210.17200000002</v>
      </c>
      <c r="P65" s="53">
        <v>6521681.3760000002</v>
      </c>
      <c r="Q65" s="53">
        <v>815210.17200000002</v>
      </c>
      <c r="R65" s="53"/>
      <c r="S65" s="53">
        <v>815210.17200000002</v>
      </c>
      <c r="T65" s="15">
        <v>6521681.3760000002</v>
      </c>
      <c r="U65" s="15">
        <v>815210.17200000002</v>
      </c>
      <c r="V65" s="15"/>
      <c r="W65" s="15"/>
      <c r="X65" s="15"/>
      <c r="Y65" s="15"/>
      <c r="Z65" s="15"/>
      <c r="AA65" s="15"/>
      <c r="AB65" s="15"/>
      <c r="AC65" s="15"/>
      <c r="AD65" s="15"/>
      <c r="AE65" s="15"/>
      <c r="AF65" s="15"/>
    </row>
    <row r="66" spans="6:32" s="21" customFormat="1" ht="14.25" x14ac:dyDescent="0.45">
      <c r="F66" s="49">
        <v>38930</v>
      </c>
      <c r="G66" s="52">
        <v>98.6</v>
      </c>
      <c r="H66" s="52">
        <v>197.2</v>
      </c>
      <c r="I66" s="52">
        <v>98.6</v>
      </c>
      <c r="J66"/>
      <c r="K66"/>
      <c r="L66"/>
      <c r="M66"/>
      <c r="N66" s="37"/>
      <c r="O66" s="53">
        <v>842554.74799999979</v>
      </c>
      <c r="P66" s="53">
        <v>6740437.9839999983</v>
      </c>
      <c r="Q66" s="53">
        <v>842554.74799999979</v>
      </c>
      <c r="R66" s="53"/>
      <c r="S66" s="53">
        <v>842554.74799999979</v>
      </c>
      <c r="T66" s="15">
        <v>6740437.9839999983</v>
      </c>
      <c r="U66" s="15">
        <v>842554.74799999979</v>
      </c>
      <c r="V66" s="15"/>
      <c r="W66" s="15"/>
      <c r="X66" s="15"/>
      <c r="Y66" s="15"/>
      <c r="Z66" s="15"/>
      <c r="AA66" s="15"/>
      <c r="AB66" s="15"/>
      <c r="AC66" s="15"/>
      <c r="AD66" s="15"/>
      <c r="AE66" s="15"/>
      <c r="AF66" s="15"/>
    </row>
    <row r="67" spans="6:32" s="21" customFormat="1" ht="14.25" x14ac:dyDescent="0.45">
      <c r="F67" s="49">
        <v>38961</v>
      </c>
      <c r="G67" s="52">
        <v>93.2</v>
      </c>
      <c r="H67" s="52">
        <v>186.4</v>
      </c>
      <c r="I67" s="52">
        <v>93.2</v>
      </c>
      <c r="J67"/>
      <c r="K67"/>
      <c r="L67"/>
      <c r="M67"/>
      <c r="N67" s="37"/>
      <c r="O67" s="53">
        <v>861976.97599999991</v>
      </c>
      <c r="P67" s="53">
        <v>6895815.8079999993</v>
      </c>
      <c r="Q67" s="53">
        <v>861976.97599999991</v>
      </c>
      <c r="R67" s="53"/>
      <c r="S67" s="53">
        <v>861976.97599999991</v>
      </c>
      <c r="T67" s="15">
        <v>6895815.8079999993</v>
      </c>
      <c r="U67" s="15">
        <v>861976.97599999991</v>
      </c>
      <c r="V67" s="15"/>
      <c r="W67" s="15"/>
      <c r="X67" s="15"/>
      <c r="Y67" s="15"/>
      <c r="Z67" s="15"/>
      <c r="AA67" s="15"/>
      <c r="AB67" s="15"/>
      <c r="AC67" s="15"/>
      <c r="AD67" s="15"/>
      <c r="AE67" s="15"/>
      <c r="AF67" s="15"/>
    </row>
    <row r="68" spans="6:32" s="21" customFormat="1" ht="14.25" x14ac:dyDescent="0.45">
      <c r="F68" s="49">
        <v>38991</v>
      </c>
      <c r="G68" s="52">
        <v>97.5</v>
      </c>
      <c r="H68" s="52">
        <v>195</v>
      </c>
      <c r="I68" s="52">
        <v>97.5</v>
      </c>
      <c r="J68"/>
      <c r="K68"/>
      <c r="L68"/>
      <c r="M68"/>
      <c r="N68" s="37"/>
      <c r="O68" s="53">
        <v>895978.20000000007</v>
      </c>
      <c r="P68" s="53">
        <v>7167825.6000000006</v>
      </c>
      <c r="Q68" s="53">
        <v>895978.20000000007</v>
      </c>
      <c r="R68" s="53"/>
      <c r="S68" s="53">
        <v>895978.20000000007</v>
      </c>
      <c r="T68" s="15">
        <v>7167825.6000000006</v>
      </c>
      <c r="U68" s="15">
        <v>895978.20000000007</v>
      </c>
      <c r="V68" s="15"/>
      <c r="W68" s="15"/>
      <c r="X68" s="15"/>
      <c r="Y68" s="15"/>
      <c r="Z68" s="15"/>
      <c r="AA68" s="15"/>
      <c r="AB68" s="15"/>
      <c r="AC68" s="15"/>
      <c r="AD68" s="15"/>
      <c r="AE68" s="15"/>
      <c r="AF68" s="15"/>
    </row>
    <row r="69" spans="6:32" s="21" customFormat="1" ht="14.25" x14ac:dyDescent="0.45">
      <c r="F69" s="49">
        <v>39022</v>
      </c>
      <c r="G69" s="52">
        <v>95.9</v>
      </c>
      <c r="H69" s="52">
        <v>191.8</v>
      </c>
      <c r="I69" s="52">
        <v>95.9</v>
      </c>
      <c r="J69"/>
      <c r="K69"/>
      <c r="L69"/>
      <c r="M69"/>
      <c r="N69" s="37"/>
      <c r="O69" s="53">
        <v>871443.3</v>
      </c>
      <c r="P69" s="53">
        <v>6971546.4000000004</v>
      </c>
      <c r="Q69" s="53">
        <v>871443.3</v>
      </c>
      <c r="R69" s="53"/>
      <c r="S69" s="53">
        <v>871443.3</v>
      </c>
      <c r="T69" s="15">
        <v>6971546.4000000004</v>
      </c>
      <c r="U69" s="15">
        <v>871443.3</v>
      </c>
      <c r="V69" s="15"/>
      <c r="W69" s="15"/>
      <c r="X69" s="15"/>
      <c r="Y69" s="15"/>
      <c r="Z69" s="15"/>
      <c r="AA69" s="15"/>
      <c r="AB69" s="15"/>
      <c r="AC69" s="15"/>
      <c r="AD69" s="15"/>
      <c r="AE69" s="15"/>
      <c r="AF69" s="15"/>
    </row>
    <row r="70" spans="6:32" s="21" customFormat="1" ht="14.25" x14ac:dyDescent="0.45">
      <c r="F70" s="49">
        <v>39052</v>
      </c>
      <c r="G70" s="52">
        <v>87</v>
      </c>
      <c r="H70" s="52">
        <v>174</v>
      </c>
      <c r="I70" s="52">
        <v>87</v>
      </c>
      <c r="J70"/>
      <c r="K70"/>
      <c r="L70"/>
      <c r="M70"/>
      <c r="N70" s="37"/>
      <c r="O70" s="53">
        <v>813471.75</v>
      </c>
      <c r="P70" s="53">
        <v>6507774</v>
      </c>
      <c r="Q70" s="53">
        <v>813471.75</v>
      </c>
      <c r="R70" s="53"/>
      <c r="S70" s="53">
        <v>813471.75</v>
      </c>
      <c r="T70" s="15">
        <v>6507774</v>
      </c>
      <c r="U70" s="15">
        <v>813471.75</v>
      </c>
      <c r="V70" s="15"/>
      <c r="W70" s="15"/>
      <c r="X70" s="15"/>
      <c r="Y70" s="15"/>
      <c r="Z70" s="15"/>
      <c r="AA70" s="15"/>
      <c r="AB70" s="15"/>
      <c r="AC70" s="15"/>
      <c r="AD70" s="15"/>
      <c r="AE70" s="15"/>
      <c r="AF70" s="15"/>
    </row>
    <row r="71" spans="6:32" s="21" customFormat="1" ht="14.25" x14ac:dyDescent="0.45">
      <c r="F71" s="49">
        <v>39083</v>
      </c>
      <c r="G71" s="52">
        <v>87</v>
      </c>
      <c r="H71" s="52">
        <v>174</v>
      </c>
      <c r="I71" s="52">
        <v>87</v>
      </c>
      <c r="J71"/>
      <c r="K71"/>
      <c r="L71"/>
      <c r="M71"/>
      <c r="N71" s="37"/>
      <c r="O71" s="53">
        <v>725867.10000000009</v>
      </c>
      <c r="P71" s="53">
        <v>5806936.8000000007</v>
      </c>
      <c r="Q71" s="53">
        <v>725867.10000000009</v>
      </c>
      <c r="R71" s="53"/>
      <c r="S71" s="53">
        <v>725867.10000000009</v>
      </c>
      <c r="T71" s="15">
        <v>5806936.8000000007</v>
      </c>
      <c r="U71" s="15">
        <v>725867.10000000009</v>
      </c>
      <c r="V71" s="15"/>
      <c r="W71" s="15"/>
      <c r="X71" s="15"/>
      <c r="Y71" s="15"/>
      <c r="Z71" s="15"/>
      <c r="AA71" s="15"/>
      <c r="AB71" s="15"/>
      <c r="AC71" s="15"/>
      <c r="AD71" s="15"/>
      <c r="AE71" s="15"/>
      <c r="AF71" s="15"/>
    </row>
    <row r="72" spans="6:32" s="21" customFormat="1" ht="14.25" x14ac:dyDescent="0.45">
      <c r="F72" s="49">
        <v>39114</v>
      </c>
      <c r="G72" s="52">
        <v>82.6</v>
      </c>
      <c r="H72" s="52">
        <v>165.2</v>
      </c>
      <c r="I72" s="52">
        <v>82.6</v>
      </c>
      <c r="J72"/>
      <c r="K72"/>
      <c r="L72"/>
      <c r="M72"/>
      <c r="N72" s="37"/>
      <c r="O72" s="53">
        <v>625199.39999999991</v>
      </c>
      <c r="P72" s="53">
        <v>5001595.1999999993</v>
      </c>
      <c r="Q72" s="53">
        <v>625199.39999999991</v>
      </c>
      <c r="R72" s="53"/>
      <c r="S72" s="53">
        <v>625199.39999999991</v>
      </c>
      <c r="T72" s="15">
        <v>5001595.1999999993</v>
      </c>
      <c r="U72" s="15">
        <v>625199.39999999991</v>
      </c>
      <c r="V72" s="15"/>
      <c r="W72" s="15"/>
      <c r="X72" s="15"/>
      <c r="Y72" s="15"/>
      <c r="Z72" s="15"/>
      <c r="AA72" s="15"/>
      <c r="AB72" s="15"/>
      <c r="AC72" s="15"/>
      <c r="AD72" s="15"/>
      <c r="AE72" s="15"/>
      <c r="AF72" s="15"/>
    </row>
    <row r="73" spans="6:32" s="21" customFormat="1" ht="14.25" x14ac:dyDescent="0.45">
      <c r="F73" s="49">
        <v>39142</v>
      </c>
      <c r="G73" s="52">
        <v>96.4</v>
      </c>
      <c r="H73" s="52">
        <v>192.8</v>
      </c>
      <c r="I73" s="52">
        <v>96.4</v>
      </c>
      <c r="J73"/>
      <c r="K73"/>
      <c r="L73"/>
      <c r="M73"/>
      <c r="N73" s="37"/>
      <c r="O73" s="53">
        <v>692749.68</v>
      </c>
      <c r="P73" s="53">
        <v>5541997.4400000004</v>
      </c>
      <c r="Q73" s="53">
        <v>692749.68</v>
      </c>
      <c r="R73" s="53"/>
      <c r="S73" s="53">
        <v>692749.68</v>
      </c>
      <c r="T73" s="15">
        <v>5541997.4400000004</v>
      </c>
      <c r="U73" s="15">
        <v>692749.68</v>
      </c>
      <c r="V73" s="15"/>
      <c r="W73" s="15"/>
      <c r="X73" s="15"/>
      <c r="Y73" s="15"/>
      <c r="Z73" s="15"/>
      <c r="AA73" s="15"/>
      <c r="AB73" s="15"/>
      <c r="AC73" s="15"/>
      <c r="AD73" s="15"/>
      <c r="AE73" s="15"/>
      <c r="AF73" s="15"/>
    </row>
    <row r="74" spans="6:32" s="21" customFormat="1" ht="14.25" x14ac:dyDescent="0.45">
      <c r="F74" s="49">
        <v>39173</v>
      </c>
      <c r="G74" s="52">
        <v>90.6</v>
      </c>
      <c r="H74" s="52">
        <v>181.2</v>
      </c>
      <c r="I74" s="52">
        <v>90.6</v>
      </c>
      <c r="J74"/>
      <c r="K74"/>
      <c r="L74"/>
      <c r="M74"/>
      <c r="N74" s="37"/>
      <c r="O74" s="53">
        <v>721415.18400000001</v>
      </c>
      <c r="P74" s="53">
        <v>5771321.4720000001</v>
      </c>
      <c r="Q74" s="53">
        <v>721415.18400000001</v>
      </c>
      <c r="R74" s="53"/>
      <c r="S74" s="53">
        <v>721415.18400000001</v>
      </c>
      <c r="T74" s="15">
        <v>5771321.4720000001</v>
      </c>
      <c r="U74" s="15">
        <v>721415.18400000001</v>
      </c>
      <c r="V74" s="15"/>
      <c r="W74" s="15"/>
      <c r="X74" s="15"/>
      <c r="Y74" s="15"/>
      <c r="Z74" s="15"/>
      <c r="AA74" s="15"/>
      <c r="AB74" s="15"/>
      <c r="AC74" s="15"/>
      <c r="AD74" s="15"/>
      <c r="AE74" s="15"/>
      <c r="AF74" s="15"/>
    </row>
    <row r="75" spans="6:32" s="21" customFormat="1" ht="14.25" x14ac:dyDescent="0.45">
      <c r="F75" s="49">
        <v>39203</v>
      </c>
      <c r="G75" s="52">
        <v>99.9</v>
      </c>
      <c r="H75" s="52">
        <v>199.8</v>
      </c>
      <c r="I75" s="52">
        <v>99.9</v>
      </c>
      <c r="J75"/>
      <c r="K75"/>
      <c r="L75"/>
      <c r="M75"/>
      <c r="N75" s="37"/>
      <c r="O75" s="53">
        <v>872510.61600000004</v>
      </c>
      <c r="P75" s="53">
        <v>6980084.9280000003</v>
      </c>
      <c r="Q75" s="53">
        <v>872510.61600000004</v>
      </c>
      <c r="R75" s="53"/>
      <c r="S75" s="53">
        <v>872510.61600000004</v>
      </c>
      <c r="T75" s="15">
        <v>6980084.9280000003</v>
      </c>
      <c r="U75" s="15">
        <v>872510.61600000004</v>
      </c>
      <c r="V75" s="15"/>
      <c r="W75" s="15"/>
      <c r="X75" s="15"/>
      <c r="Y75" s="15"/>
      <c r="Z75" s="15"/>
      <c r="AA75" s="15"/>
      <c r="AB75" s="15"/>
      <c r="AC75" s="15"/>
      <c r="AD75" s="15"/>
      <c r="AE75" s="15"/>
      <c r="AF75" s="15"/>
    </row>
    <row r="76" spans="6:32" s="21" customFormat="1" ht="14.25" x14ac:dyDescent="0.45">
      <c r="F76" s="49">
        <v>39234</v>
      </c>
      <c r="G76" s="52">
        <v>96.9</v>
      </c>
      <c r="H76" s="52">
        <v>193.8</v>
      </c>
      <c r="I76" s="52">
        <v>96.9</v>
      </c>
      <c r="J76"/>
      <c r="K76"/>
      <c r="L76"/>
      <c r="M76"/>
      <c r="N76" s="37"/>
      <c r="O76" s="53">
        <v>877036.08600000013</v>
      </c>
      <c r="P76" s="53">
        <v>7016288.688000001</v>
      </c>
      <c r="Q76" s="53">
        <v>877036.08600000013</v>
      </c>
      <c r="R76" s="53"/>
      <c r="S76" s="53">
        <v>877036.08600000013</v>
      </c>
      <c r="T76" s="15">
        <v>7016288.688000001</v>
      </c>
      <c r="U76" s="15">
        <v>877036.08600000013</v>
      </c>
      <c r="V76" s="15"/>
      <c r="W76" s="15"/>
      <c r="X76" s="15"/>
      <c r="Y76" s="15"/>
      <c r="Z76" s="15"/>
      <c r="AA76" s="15"/>
      <c r="AB76" s="15"/>
      <c r="AC76" s="15"/>
      <c r="AD76" s="15"/>
      <c r="AE76" s="15"/>
      <c r="AF76" s="15"/>
    </row>
    <row r="77" spans="6:32" s="21" customFormat="1" ht="14.25" x14ac:dyDescent="0.45">
      <c r="F77" s="49">
        <v>39264</v>
      </c>
      <c r="G77" s="52">
        <v>99.8</v>
      </c>
      <c r="H77" s="52">
        <v>199.6</v>
      </c>
      <c r="I77" s="52">
        <v>99.8</v>
      </c>
      <c r="J77"/>
      <c r="K77"/>
      <c r="L77"/>
      <c r="M77"/>
      <c r="N77" s="37"/>
      <c r="O77" s="53">
        <v>966094.93800000008</v>
      </c>
      <c r="P77" s="53">
        <v>7728759.5040000007</v>
      </c>
      <c r="Q77" s="53">
        <v>966094.93800000008</v>
      </c>
      <c r="R77" s="53"/>
      <c r="S77" s="53">
        <v>966094.93800000008</v>
      </c>
      <c r="T77" s="15">
        <v>7728759.5040000007</v>
      </c>
      <c r="U77" s="15">
        <v>966094.93800000008</v>
      </c>
      <c r="V77" s="15"/>
      <c r="W77" s="15"/>
      <c r="X77" s="15"/>
      <c r="Y77" s="15"/>
      <c r="Z77" s="15"/>
      <c r="AA77" s="15"/>
      <c r="AB77" s="15"/>
      <c r="AC77" s="15"/>
      <c r="AD77" s="15"/>
      <c r="AE77" s="15"/>
      <c r="AF77" s="15"/>
    </row>
    <row r="78" spans="6:32" s="21" customFormat="1" ht="14.25" x14ac:dyDescent="0.45">
      <c r="F78" s="49">
        <v>39295</v>
      </c>
      <c r="G78" s="52">
        <v>104.9</v>
      </c>
      <c r="H78" s="52">
        <v>209.8</v>
      </c>
      <c r="I78" s="52">
        <v>104.9</v>
      </c>
      <c r="J78"/>
      <c r="K78"/>
      <c r="L78"/>
      <c r="M78"/>
      <c r="N78" s="37"/>
      <c r="O78" s="53">
        <v>1014448.0380000002</v>
      </c>
      <c r="P78" s="53">
        <v>8115584.3040000014</v>
      </c>
      <c r="Q78" s="53">
        <v>1014448.0380000002</v>
      </c>
      <c r="R78" s="53"/>
      <c r="S78" s="53">
        <v>1014448.0380000002</v>
      </c>
      <c r="T78" s="15">
        <v>8115584.3040000014</v>
      </c>
      <c r="U78" s="15">
        <v>1014448.0380000002</v>
      </c>
      <c r="V78" s="15"/>
      <c r="W78" s="15"/>
      <c r="X78" s="15"/>
      <c r="Y78" s="15"/>
      <c r="Z78" s="15"/>
      <c r="AA78" s="15"/>
      <c r="AB78" s="15"/>
      <c r="AC78" s="15"/>
      <c r="AD78" s="15"/>
      <c r="AE78" s="15"/>
      <c r="AF78" s="15"/>
    </row>
    <row r="79" spans="6:32" s="21" customFormat="1" ht="14.25" x14ac:dyDescent="0.45">
      <c r="F79" s="49">
        <v>39326</v>
      </c>
      <c r="G79" s="52">
        <v>98.4</v>
      </c>
      <c r="H79" s="52">
        <v>196.8</v>
      </c>
      <c r="I79" s="52">
        <v>98.4</v>
      </c>
      <c r="J79"/>
      <c r="K79"/>
      <c r="L79"/>
      <c r="M79"/>
      <c r="N79" s="37"/>
      <c r="O79" s="53">
        <v>1030151.5680000001</v>
      </c>
      <c r="P79" s="53">
        <v>8241212.5440000007</v>
      </c>
      <c r="Q79" s="53">
        <v>1030151.5680000001</v>
      </c>
      <c r="R79" s="53"/>
      <c r="S79" s="53">
        <v>1030151.5680000001</v>
      </c>
      <c r="T79" s="15">
        <v>8241212.5440000007</v>
      </c>
      <c r="U79" s="15">
        <v>1030151.5680000001</v>
      </c>
      <c r="V79" s="15"/>
      <c r="W79" s="15"/>
      <c r="X79" s="15"/>
      <c r="Y79" s="15"/>
      <c r="Z79" s="15"/>
      <c r="AA79" s="15"/>
      <c r="AB79" s="15"/>
      <c r="AC79" s="15"/>
      <c r="AD79" s="15"/>
      <c r="AE79" s="15"/>
      <c r="AF79" s="15"/>
    </row>
    <row r="80" spans="6:32" s="21" customFormat="1" ht="14.25" x14ac:dyDescent="0.45">
      <c r="F80" s="49">
        <v>39356</v>
      </c>
      <c r="G80" s="52">
        <v>107.8</v>
      </c>
      <c r="H80" s="52">
        <v>215.6</v>
      </c>
      <c r="I80" s="52">
        <v>107.8</v>
      </c>
      <c r="J80"/>
      <c r="K80"/>
      <c r="L80"/>
      <c r="M80"/>
      <c r="N80" s="37"/>
      <c r="O80" s="53">
        <v>1112728.8480000002</v>
      </c>
      <c r="P80" s="53">
        <v>8901830.7840000018</v>
      </c>
      <c r="Q80" s="53">
        <v>1112728.8480000002</v>
      </c>
      <c r="R80" s="53"/>
      <c r="S80" s="53">
        <v>1112728.8480000002</v>
      </c>
      <c r="T80" s="15">
        <v>8901830.7840000018</v>
      </c>
      <c r="U80" s="15">
        <v>1112728.8480000002</v>
      </c>
      <c r="V80" s="15"/>
      <c r="W80" s="15"/>
      <c r="X80" s="15"/>
      <c r="Y80" s="15"/>
      <c r="Z80" s="15"/>
      <c r="AA80" s="15"/>
      <c r="AB80" s="15"/>
      <c r="AC80" s="15"/>
      <c r="AD80" s="15"/>
      <c r="AE80" s="15"/>
      <c r="AF80" s="15"/>
    </row>
    <row r="81" spans="6:32" s="21" customFormat="1" ht="14.25" x14ac:dyDescent="0.45">
      <c r="F81" s="49">
        <v>39387</v>
      </c>
      <c r="G81" s="52">
        <v>102.4</v>
      </c>
      <c r="H81" s="52">
        <v>204.8</v>
      </c>
      <c r="I81" s="52">
        <v>102.4</v>
      </c>
      <c r="J81"/>
      <c r="K81"/>
      <c r="L81"/>
      <c r="M81"/>
      <c r="N81" s="37"/>
      <c r="O81" s="53">
        <v>1086210.0480000002</v>
      </c>
      <c r="P81" s="53">
        <v>8689680.3840000015</v>
      </c>
      <c r="Q81" s="53">
        <v>1086210.0480000002</v>
      </c>
      <c r="R81" s="53"/>
      <c r="S81" s="53">
        <v>1086210.0480000002</v>
      </c>
      <c r="T81" s="15">
        <v>8689680.3840000015</v>
      </c>
      <c r="U81" s="15">
        <v>1086210.0480000002</v>
      </c>
      <c r="V81" s="15"/>
      <c r="W81" s="15"/>
      <c r="X81" s="15"/>
      <c r="Y81" s="15"/>
      <c r="Z81" s="15"/>
      <c r="AA81" s="15"/>
      <c r="AB81" s="15"/>
      <c r="AC81" s="15"/>
      <c r="AD81" s="15"/>
      <c r="AE81" s="15"/>
      <c r="AF81" s="15"/>
    </row>
    <row r="82" spans="6:32" s="21" customFormat="1" ht="14.25" x14ac:dyDescent="0.45">
      <c r="F82" s="49">
        <v>39417</v>
      </c>
      <c r="G82" s="52">
        <v>92.6</v>
      </c>
      <c r="H82" s="52">
        <v>185.2</v>
      </c>
      <c r="I82" s="52">
        <v>92.6</v>
      </c>
      <c r="J82"/>
      <c r="K82"/>
      <c r="L82"/>
      <c r="M82"/>
      <c r="N82" s="37"/>
      <c r="O82" s="53">
        <v>1022185.4720000001</v>
      </c>
      <c r="P82" s="53">
        <v>8177483.7760000005</v>
      </c>
      <c r="Q82" s="53">
        <v>1022185.4720000001</v>
      </c>
      <c r="R82" s="53"/>
      <c r="S82" s="53">
        <v>1022185.4720000001</v>
      </c>
      <c r="T82" s="15">
        <v>8177483.7760000005</v>
      </c>
      <c r="U82" s="15">
        <v>1022185.4720000001</v>
      </c>
      <c r="V82" s="15"/>
      <c r="W82" s="15"/>
      <c r="X82" s="15"/>
      <c r="Y82" s="15"/>
      <c r="Z82" s="15"/>
      <c r="AA82" s="15"/>
      <c r="AB82" s="15"/>
      <c r="AC82" s="15"/>
      <c r="AD82" s="15"/>
      <c r="AE82" s="15"/>
      <c r="AF82" s="15"/>
    </row>
    <row r="83" spans="6:32" s="21" customFormat="1" ht="14.25" x14ac:dyDescent="0.45">
      <c r="F83" s="49">
        <v>39448</v>
      </c>
      <c r="G83" s="52">
        <v>94.8</v>
      </c>
      <c r="H83" s="52">
        <v>189.6</v>
      </c>
      <c r="I83" s="52">
        <v>94.8</v>
      </c>
      <c r="J83"/>
      <c r="K83"/>
      <c r="L83"/>
      <c r="M83"/>
      <c r="N83" s="37"/>
      <c r="O83" s="53">
        <v>898916.35199999996</v>
      </c>
      <c r="P83" s="53">
        <v>7191330.8159999996</v>
      </c>
      <c r="Q83" s="53">
        <v>898916.35199999996</v>
      </c>
      <c r="R83" s="53"/>
      <c r="S83" s="53">
        <v>898916.35199999996</v>
      </c>
      <c r="T83" s="15">
        <v>7191330.8159999996</v>
      </c>
      <c r="U83" s="15">
        <v>898916.35199999996</v>
      </c>
      <c r="V83" s="15"/>
      <c r="W83" s="15"/>
      <c r="X83" s="15"/>
      <c r="Y83" s="15"/>
      <c r="Z83" s="15"/>
      <c r="AA83" s="15"/>
      <c r="AB83" s="15"/>
      <c r="AC83" s="15"/>
      <c r="AD83" s="15"/>
      <c r="AE83" s="15"/>
      <c r="AF83" s="15"/>
    </row>
    <row r="84" spans="6:32" s="21" customFormat="1" ht="14.25" x14ac:dyDescent="0.45">
      <c r="F84" s="49">
        <v>39479</v>
      </c>
      <c r="G84" s="52">
        <v>91.1</v>
      </c>
      <c r="H84" s="52">
        <v>182.2</v>
      </c>
      <c r="I84" s="52">
        <v>91.1</v>
      </c>
      <c r="J84"/>
      <c r="K84"/>
      <c r="L84"/>
      <c r="M84"/>
      <c r="N84" s="37"/>
      <c r="O84" s="53">
        <v>799719.52799999993</v>
      </c>
      <c r="P84" s="53">
        <v>6397756.2239999995</v>
      </c>
      <c r="Q84" s="53">
        <v>799719.52799999993</v>
      </c>
      <c r="R84" s="53"/>
      <c r="S84" s="53">
        <v>799719.52799999993</v>
      </c>
      <c r="T84" s="15">
        <v>6397756.2239999995</v>
      </c>
      <c r="U84" s="15">
        <v>799719.52799999993</v>
      </c>
      <c r="V84" s="15"/>
      <c r="W84" s="15"/>
      <c r="X84" s="15"/>
      <c r="Y84" s="15"/>
      <c r="Z84" s="15"/>
      <c r="AA84" s="15"/>
      <c r="AB84" s="15"/>
      <c r="AC84" s="15"/>
      <c r="AD84" s="15"/>
      <c r="AE84" s="15"/>
      <c r="AF84" s="15"/>
    </row>
    <row r="85" spans="6:32" s="21" customFormat="1" ht="14.25" x14ac:dyDescent="0.45">
      <c r="F85" s="49">
        <v>39508</v>
      </c>
      <c r="G85" s="52">
        <v>97.7</v>
      </c>
      <c r="H85" s="52">
        <v>195.4</v>
      </c>
      <c r="I85" s="52">
        <v>97.7</v>
      </c>
      <c r="J85"/>
      <c r="K85"/>
      <c r="L85"/>
      <c r="M85"/>
      <c r="N85" s="37"/>
      <c r="O85" s="53">
        <v>843764.55599999987</v>
      </c>
      <c r="P85" s="53">
        <v>6750116.4479999989</v>
      </c>
      <c r="Q85" s="53">
        <v>843764.55599999987</v>
      </c>
      <c r="R85" s="53"/>
      <c r="S85" s="53">
        <v>843764.55599999987</v>
      </c>
      <c r="T85" s="15">
        <v>6750116.4479999989</v>
      </c>
      <c r="U85" s="15">
        <v>843764.55599999987</v>
      </c>
      <c r="V85" s="15"/>
      <c r="W85" s="15"/>
      <c r="X85" s="15"/>
      <c r="Y85" s="15"/>
      <c r="Z85" s="15"/>
      <c r="AA85" s="15"/>
      <c r="AB85" s="15"/>
      <c r="AC85" s="15"/>
      <c r="AD85" s="15"/>
      <c r="AE85" s="15"/>
      <c r="AF85" s="15"/>
    </row>
    <row r="86" spans="6:32" s="21" customFormat="1" ht="14.25" x14ac:dyDescent="0.45">
      <c r="F86" s="49">
        <v>39539</v>
      </c>
      <c r="G86" s="52">
        <v>99.2</v>
      </c>
      <c r="H86" s="52">
        <v>198.4</v>
      </c>
      <c r="I86" s="52">
        <v>99.2</v>
      </c>
      <c r="J86"/>
      <c r="K86"/>
      <c r="L86"/>
      <c r="M86"/>
      <c r="N86" s="37"/>
      <c r="O86" s="53">
        <v>882926.62399999995</v>
      </c>
      <c r="P86" s="53">
        <v>7063412.9919999996</v>
      </c>
      <c r="Q86" s="53">
        <v>882926.62399999995</v>
      </c>
      <c r="R86" s="53"/>
      <c r="S86" s="53">
        <v>882926.62399999995</v>
      </c>
      <c r="T86" s="15">
        <v>7063412.9919999996</v>
      </c>
      <c r="U86" s="15">
        <v>882926.62399999995</v>
      </c>
      <c r="V86" s="15"/>
      <c r="W86" s="15"/>
      <c r="X86" s="15"/>
      <c r="Y86" s="15"/>
      <c r="Z86" s="15"/>
      <c r="AA86" s="15"/>
      <c r="AB86" s="15"/>
      <c r="AC86" s="15"/>
      <c r="AD86" s="15"/>
      <c r="AE86" s="15"/>
      <c r="AF86" s="15"/>
    </row>
    <row r="87" spans="6:32" s="21" customFormat="1" ht="14.25" x14ac:dyDescent="0.45">
      <c r="F87" s="49">
        <v>39569</v>
      </c>
      <c r="G87" s="52">
        <v>102.5</v>
      </c>
      <c r="H87" s="52">
        <v>205</v>
      </c>
      <c r="I87" s="52">
        <v>102.5</v>
      </c>
      <c r="J87"/>
      <c r="K87"/>
      <c r="L87"/>
      <c r="M87"/>
      <c r="N87" s="37"/>
      <c r="O87" s="53">
        <v>993413.6</v>
      </c>
      <c r="P87" s="53">
        <v>7947308.7999999998</v>
      </c>
      <c r="Q87" s="53">
        <v>993413.6</v>
      </c>
      <c r="R87" s="53"/>
      <c r="S87" s="53">
        <v>993413.6</v>
      </c>
      <c r="T87" s="15">
        <v>7947308.7999999998</v>
      </c>
      <c r="U87" s="15">
        <v>993413.6</v>
      </c>
      <c r="V87" s="15"/>
      <c r="W87" s="15"/>
      <c r="X87" s="15"/>
      <c r="Y87" s="15"/>
      <c r="Z87" s="15"/>
      <c r="AA87" s="15"/>
      <c r="AB87" s="15"/>
      <c r="AC87" s="15"/>
      <c r="AD87" s="15"/>
      <c r="AE87" s="15"/>
      <c r="AF87" s="15"/>
    </row>
    <row r="88" spans="6:32" s="21" customFormat="1" ht="14.25" x14ac:dyDescent="0.45">
      <c r="F88" s="49">
        <v>39600</v>
      </c>
      <c r="G88" s="52">
        <v>103.3</v>
      </c>
      <c r="H88" s="52">
        <v>206.6</v>
      </c>
      <c r="I88" s="52">
        <v>103.3</v>
      </c>
      <c r="J88"/>
      <c r="K88"/>
      <c r="L88"/>
      <c r="M88"/>
      <c r="N88" s="37"/>
      <c r="O88" s="53">
        <v>1050354.3999999999</v>
      </c>
      <c r="P88" s="53">
        <v>8402835.1999999993</v>
      </c>
      <c r="Q88" s="53">
        <v>1050354.3999999999</v>
      </c>
      <c r="R88" s="53"/>
      <c r="S88" s="53">
        <v>1050354.3999999999</v>
      </c>
      <c r="T88" s="15">
        <v>8402835.1999999993</v>
      </c>
      <c r="U88" s="15">
        <v>1050354.3999999999</v>
      </c>
      <c r="V88" s="15"/>
      <c r="W88" s="15"/>
      <c r="X88" s="15"/>
      <c r="Y88" s="15"/>
      <c r="Z88" s="15"/>
      <c r="AA88" s="15"/>
      <c r="AB88" s="15"/>
      <c r="AC88" s="15"/>
      <c r="AD88" s="15"/>
      <c r="AE88" s="15"/>
      <c r="AF88" s="15"/>
    </row>
    <row r="89" spans="6:32" s="21" customFormat="1" ht="14.25" x14ac:dyDescent="0.45">
      <c r="F89" s="49">
        <v>39630</v>
      </c>
      <c r="G89" s="52">
        <v>108.5</v>
      </c>
      <c r="H89" s="52">
        <v>217</v>
      </c>
      <c r="I89" s="52">
        <v>108.5</v>
      </c>
      <c r="J89"/>
      <c r="K89"/>
      <c r="L89"/>
      <c r="M89"/>
      <c r="N89" s="37"/>
      <c r="O89" s="53">
        <v>1148825.125</v>
      </c>
      <c r="P89" s="53">
        <v>9190601</v>
      </c>
      <c r="Q89" s="53">
        <v>1148825.125</v>
      </c>
      <c r="R89" s="53"/>
      <c r="S89" s="53">
        <v>1148825.125</v>
      </c>
      <c r="T89" s="15">
        <v>9190601</v>
      </c>
      <c r="U89" s="15">
        <v>1148825.125</v>
      </c>
      <c r="V89" s="15"/>
      <c r="W89" s="15"/>
      <c r="X89" s="15"/>
      <c r="Y89" s="15"/>
      <c r="Z89" s="15"/>
      <c r="AA89" s="15"/>
      <c r="AB89" s="15"/>
      <c r="AC89" s="15"/>
      <c r="AD89" s="15"/>
      <c r="AE89" s="15"/>
      <c r="AF89" s="15"/>
    </row>
    <row r="90" spans="6:32" s="21" customFormat="1" ht="14.25" x14ac:dyDescent="0.45">
      <c r="F90" s="49">
        <v>39661</v>
      </c>
      <c r="G90" s="52">
        <v>106.9</v>
      </c>
      <c r="H90" s="52">
        <v>213.8</v>
      </c>
      <c r="I90" s="52">
        <v>106.9</v>
      </c>
      <c r="J90"/>
      <c r="K90"/>
      <c r="L90"/>
      <c r="M90"/>
      <c r="N90" s="37"/>
      <c r="O90" s="53">
        <v>1198140.5449999999</v>
      </c>
      <c r="P90" s="53">
        <v>9585124.3599999994</v>
      </c>
      <c r="Q90" s="53">
        <v>1198140.5449999999</v>
      </c>
      <c r="R90" s="53"/>
      <c r="S90" s="53">
        <v>1198140.5449999999</v>
      </c>
      <c r="T90" s="15">
        <v>9585124.3599999994</v>
      </c>
      <c r="U90" s="15">
        <v>1198140.5449999999</v>
      </c>
      <c r="V90" s="15"/>
      <c r="W90" s="15"/>
      <c r="X90" s="15"/>
      <c r="Y90" s="15"/>
      <c r="Z90" s="15"/>
      <c r="AA90" s="15"/>
      <c r="AB90" s="15"/>
      <c r="AC90" s="15"/>
      <c r="AD90" s="15"/>
      <c r="AE90" s="15"/>
      <c r="AF90" s="15"/>
    </row>
    <row r="91" spans="6:32" s="21" customFormat="1" ht="14.25" x14ac:dyDescent="0.45">
      <c r="F91" s="49">
        <v>39692</v>
      </c>
      <c r="G91" s="52">
        <v>107.3</v>
      </c>
      <c r="H91" s="52">
        <v>214.6</v>
      </c>
      <c r="I91" s="52">
        <v>107.3</v>
      </c>
      <c r="J91"/>
      <c r="K91"/>
      <c r="L91"/>
      <c r="M91"/>
      <c r="N91" s="37"/>
      <c r="O91" s="53">
        <v>1244535.145</v>
      </c>
      <c r="P91" s="53">
        <v>9956281.1600000001</v>
      </c>
      <c r="Q91" s="53">
        <v>1244535.145</v>
      </c>
      <c r="R91" s="53"/>
      <c r="S91" s="53">
        <v>1244535.145</v>
      </c>
      <c r="T91" s="15">
        <v>9956281.1600000001</v>
      </c>
      <c r="U91" s="15">
        <v>1244535.145</v>
      </c>
      <c r="V91" s="15"/>
      <c r="W91" s="15"/>
      <c r="X91" s="15"/>
      <c r="Y91" s="15"/>
      <c r="Z91" s="15"/>
      <c r="AA91" s="15"/>
      <c r="AB91" s="15"/>
      <c r="AC91" s="15"/>
      <c r="AD91" s="15"/>
      <c r="AE91" s="15"/>
      <c r="AF91" s="15"/>
    </row>
    <row r="92" spans="6:32" s="21" customFormat="1" ht="14.25" x14ac:dyDescent="0.45">
      <c r="F92" s="49">
        <v>39722</v>
      </c>
      <c r="G92" s="52">
        <v>108.4</v>
      </c>
      <c r="H92" s="52">
        <v>216.8</v>
      </c>
      <c r="I92" s="52">
        <v>108.4</v>
      </c>
      <c r="J92"/>
      <c r="K92"/>
      <c r="L92"/>
      <c r="M92"/>
      <c r="N92" s="37"/>
      <c r="O92" s="53">
        <v>1243388.1080000002</v>
      </c>
      <c r="P92" s="53">
        <v>9947104.8640000019</v>
      </c>
      <c r="Q92" s="53">
        <v>1243388.1080000002</v>
      </c>
      <c r="R92" s="53"/>
      <c r="S92" s="53">
        <v>1243388.1080000002</v>
      </c>
      <c r="T92" s="15">
        <v>9947104.8640000019</v>
      </c>
      <c r="U92" s="15">
        <v>1243388.1080000002</v>
      </c>
      <c r="V92" s="15"/>
      <c r="W92" s="15"/>
      <c r="X92" s="15"/>
      <c r="Y92" s="15"/>
      <c r="Z92" s="15"/>
      <c r="AA92" s="15"/>
      <c r="AB92" s="15"/>
      <c r="AC92" s="15"/>
      <c r="AD92" s="15"/>
      <c r="AE92" s="15"/>
      <c r="AF92" s="15"/>
    </row>
    <row r="93" spans="6:32" s="21" customFormat="1" ht="14.25" x14ac:dyDescent="0.45">
      <c r="F93" s="49">
        <v>39753</v>
      </c>
      <c r="G93" s="52">
        <v>96.2</v>
      </c>
      <c r="H93" s="52">
        <v>192.4</v>
      </c>
      <c r="I93" s="52">
        <v>96.2</v>
      </c>
      <c r="J93"/>
      <c r="K93"/>
      <c r="L93"/>
      <c r="M93"/>
      <c r="N93" s="37"/>
      <c r="O93" s="53">
        <v>1118932.9839999999</v>
      </c>
      <c r="P93" s="53">
        <v>8951463.8719999995</v>
      </c>
      <c r="Q93" s="53">
        <v>1118932.9839999999</v>
      </c>
      <c r="R93" s="53"/>
      <c r="S93" s="53">
        <v>1118932.9839999999</v>
      </c>
      <c r="T93" s="15">
        <v>8951463.8719999995</v>
      </c>
      <c r="U93" s="15">
        <v>1118932.9839999999</v>
      </c>
      <c r="V93" s="15"/>
      <c r="W93" s="15"/>
      <c r="X93" s="15"/>
      <c r="Y93" s="15"/>
      <c r="Z93" s="15"/>
      <c r="AA93" s="15"/>
      <c r="AB93" s="15"/>
      <c r="AC93" s="15"/>
      <c r="AD93" s="15"/>
      <c r="AE93" s="15"/>
      <c r="AF93" s="15"/>
    </row>
    <row r="94" spans="6:32" s="21" customFormat="1" ht="14.25" x14ac:dyDescent="0.45">
      <c r="F94" s="49">
        <v>39783</v>
      </c>
      <c r="G94" s="52">
        <v>79.099999999999994</v>
      </c>
      <c r="H94" s="52">
        <v>158.19999999999999</v>
      </c>
      <c r="I94" s="52">
        <v>79.099999999999994</v>
      </c>
      <c r="J94"/>
      <c r="K94"/>
      <c r="L94"/>
      <c r="M94"/>
      <c r="N94" s="37"/>
      <c r="O94" s="53">
        <v>824861.12800000003</v>
      </c>
      <c r="P94" s="53">
        <v>6598889.0240000002</v>
      </c>
      <c r="Q94" s="53">
        <v>824861.12800000003</v>
      </c>
      <c r="R94" s="53"/>
      <c r="S94" s="53">
        <v>824861.12800000003</v>
      </c>
      <c r="T94" s="15">
        <v>6598889.0240000002</v>
      </c>
      <c r="U94" s="15">
        <v>824861.12800000003</v>
      </c>
      <c r="V94" s="15"/>
      <c r="W94" s="15"/>
      <c r="X94" s="15"/>
      <c r="Y94" s="15"/>
      <c r="Z94" s="15"/>
      <c r="AA94" s="15"/>
      <c r="AB94" s="15"/>
      <c r="AC94" s="15"/>
      <c r="AD94" s="15"/>
      <c r="AE94" s="15"/>
      <c r="AF94" s="15"/>
    </row>
    <row r="95" spans="6:32" s="21" customFormat="1" ht="14.25" x14ac:dyDescent="0.45">
      <c r="F95" s="49">
        <v>39814</v>
      </c>
      <c r="G95" s="52">
        <v>78.7</v>
      </c>
      <c r="H95" s="52">
        <v>157.4</v>
      </c>
      <c r="I95" s="52">
        <v>78.7</v>
      </c>
      <c r="J95"/>
      <c r="K95"/>
      <c r="L95"/>
      <c r="M95"/>
      <c r="N95" s="37"/>
      <c r="O95" s="53">
        <v>598861.35400000005</v>
      </c>
      <c r="P95" s="53">
        <v>4790890.8320000004</v>
      </c>
      <c r="Q95" s="53">
        <v>598861.35400000005</v>
      </c>
      <c r="R95" s="53"/>
      <c r="S95" s="53">
        <v>598861.35400000005</v>
      </c>
      <c r="T95" s="15">
        <v>4790890.8320000004</v>
      </c>
      <c r="U95" s="15">
        <v>598861.35400000005</v>
      </c>
      <c r="V95" s="15"/>
      <c r="W95" s="15"/>
      <c r="X95" s="15"/>
      <c r="Y95" s="15"/>
      <c r="Z95" s="15"/>
      <c r="AA95" s="15"/>
      <c r="AB95" s="15"/>
      <c r="AC95" s="15"/>
      <c r="AD95" s="15"/>
      <c r="AE95" s="15"/>
      <c r="AF95" s="15"/>
    </row>
    <row r="96" spans="6:32" s="21" customFormat="1" ht="14.25" x14ac:dyDescent="0.45">
      <c r="F96" s="49">
        <v>39845</v>
      </c>
      <c r="G96" s="52">
        <v>76.099999999999994</v>
      </c>
      <c r="H96" s="52">
        <v>152.19999999999999</v>
      </c>
      <c r="I96" s="52">
        <v>76.099999999999994</v>
      </c>
      <c r="J96"/>
      <c r="K96"/>
      <c r="L96"/>
      <c r="M96"/>
      <c r="N96" s="37"/>
      <c r="O96" s="53">
        <v>473735.43699999998</v>
      </c>
      <c r="P96" s="53">
        <v>3789883.4959999998</v>
      </c>
      <c r="Q96" s="53">
        <v>473735.43699999998</v>
      </c>
      <c r="R96" s="53"/>
      <c r="S96" s="53">
        <v>473735.43699999998</v>
      </c>
      <c r="T96" s="15">
        <v>3789883.4959999998</v>
      </c>
      <c r="U96" s="15">
        <v>473735.43699999998</v>
      </c>
      <c r="V96" s="15"/>
      <c r="W96" s="15"/>
      <c r="X96" s="15"/>
      <c r="Y96" s="15"/>
      <c r="Z96" s="15"/>
      <c r="AA96" s="15"/>
      <c r="AB96" s="15"/>
      <c r="AC96" s="15"/>
      <c r="AD96" s="15"/>
      <c r="AE96" s="15"/>
      <c r="AF96" s="15"/>
    </row>
    <row r="97" spans="6:32" s="21" customFormat="1" ht="14.25" x14ac:dyDescent="0.45">
      <c r="F97" s="49">
        <v>39873</v>
      </c>
      <c r="G97" s="52">
        <v>88.6</v>
      </c>
      <c r="H97" s="52">
        <v>177.2</v>
      </c>
      <c r="I97" s="52">
        <v>88.6</v>
      </c>
      <c r="J97"/>
      <c r="K97"/>
      <c r="L97"/>
      <c r="M97"/>
      <c r="N97" s="37"/>
      <c r="O97" s="53">
        <v>530631.60199999996</v>
      </c>
      <c r="P97" s="53">
        <v>4245052.8159999996</v>
      </c>
      <c r="Q97" s="53">
        <v>530631.60199999996</v>
      </c>
      <c r="R97" s="53"/>
      <c r="S97" s="53">
        <v>530631.60199999996</v>
      </c>
      <c r="T97" s="15">
        <v>4245052.8159999996</v>
      </c>
      <c r="U97" s="15">
        <v>530631.60199999996</v>
      </c>
      <c r="V97" s="15"/>
      <c r="W97" s="15"/>
      <c r="X97" s="15"/>
      <c r="Y97" s="15"/>
      <c r="Z97" s="15"/>
      <c r="AA97" s="15"/>
      <c r="AB97" s="15"/>
      <c r="AC97" s="15"/>
      <c r="AD97" s="15"/>
      <c r="AE97" s="15"/>
      <c r="AF97" s="15"/>
    </row>
    <row r="98" spans="6:32" s="21" customFormat="1" ht="14.25" x14ac:dyDescent="0.45">
      <c r="F98" s="49">
        <v>39904</v>
      </c>
      <c r="G98" s="52">
        <v>85.2</v>
      </c>
      <c r="H98" s="52">
        <v>170.4</v>
      </c>
      <c r="I98" s="52">
        <v>85.2</v>
      </c>
      <c r="J98"/>
      <c r="K98"/>
      <c r="L98"/>
      <c r="M98"/>
      <c r="N98" s="37"/>
      <c r="O98" s="53">
        <v>574457.59199999995</v>
      </c>
      <c r="P98" s="53">
        <v>4595660.7359999996</v>
      </c>
      <c r="Q98" s="53">
        <v>574457.59199999995</v>
      </c>
      <c r="R98" s="53"/>
      <c r="S98" s="53">
        <v>574457.59199999995</v>
      </c>
      <c r="T98" s="15">
        <v>4595660.7359999996</v>
      </c>
      <c r="U98" s="15">
        <v>574457.59199999995</v>
      </c>
      <c r="V98" s="15"/>
      <c r="W98" s="15"/>
      <c r="X98" s="15"/>
      <c r="Y98" s="15"/>
      <c r="Z98" s="15"/>
      <c r="AA98" s="15"/>
      <c r="AB98" s="15"/>
      <c r="AC98" s="15"/>
      <c r="AD98" s="15"/>
      <c r="AE98" s="15"/>
      <c r="AF98" s="15"/>
    </row>
    <row r="99" spans="6:32" s="21" customFormat="1" ht="14.25" x14ac:dyDescent="0.45">
      <c r="F99" s="49">
        <v>39934</v>
      </c>
      <c r="G99" s="52">
        <v>91.3</v>
      </c>
      <c r="H99" s="52">
        <v>182.6</v>
      </c>
      <c r="I99" s="52">
        <v>91.3</v>
      </c>
      <c r="J99"/>
      <c r="K99"/>
      <c r="L99"/>
      <c r="M99"/>
      <c r="N99" s="37"/>
      <c r="O99" s="53">
        <v>689198.13599999994</v>
      </c>
      <c r="P99" s="53">
        <v>5513585.0879999995</v>
      </c>
      <c r="Q99" s="53">
        <v>689198.13599999994</v>
      </c>
      <c r="R99" s="53"/>
      <c r="S99" s="53">
        <v>689198.13599999994</v>
      </c>
      <c r="T99" s="15">
        <v>5513585.0879999995</v>
      </c>
      <c r="U99" s="15">
        <v>689198.13599999994</v>
      </c>
      <c r="V99" s="15"/>
      <c r="W99" s="15"/>
      <c r="X99" s="15"/>
      <c r="Y99" s="15"/>
      <c r="Z99" s="15"/>
      <c r="AA99" s="15"/>
      <c r="AB99" s="15"/>
      <c r="AC99" s="15"/>
      <c r="AD99" s="15"/>
      <c r="AE99" s="15"/>
      <c r="AF99" s="15"/>
    </row>
    <row r="100" spans="6:32" s="21" customFormat="1" ht="14.25" x14ac:dyDescent="0.45">
      <c r="F100" s="49">
        <v>39965</v>
      </c>
      <c r="G100" s="52">
        <v>92.2</v>
      </c>
      <c r="H100" s="52">
        <v>184.4</v>
      </c>
      <c r="I100" s="52">
        <v>92.2</v>
      </c>
      <c r="J100"/>
      <c r="K100"/>
      <c r="L100"/>
      <c r="M100"/>
      <c r="N100" s="37"/>
      <c r="O100" s="53">
        <v>717201.67200000002</v>
      </c>
      <c r="P100" s="53">
        <v>5737613.3760000002</v>
      </c>
      <c r="Q100" s="53">
        <v>717201.67200000002</v>
      </c>
      <c r="R100" s="53"/>
      <c r="S100" s="53">
        <v>717201.67200000002</v>
      </c>
      <c r="T100" s="15">
        <v>5737613.3760000002</v>
      </c>
      <c r="U100" s="15">
        <v>717201.67200000002</v>
      </c>
      <c r="V100" s="15"/>
      <c r="W100" s="15"/>
      <c r="X100" s="15"/>
      <c r="Y100" s="15"/>
      <c r="Z100" s="15"/>
      <c r="AA100" s="15"/>
      <c r="AB100" s="15"/>
      <c r="AC100" s="15"/>
      <c r="AD100" s="15"/>
      <c r="AE100" s="15"/>
      <c r="AF100" s="15"/>
    </row>
    <row r="101" spans="6:32" s="21" customFormat="1" ht="14.25" x14ac:dyDescent="0.45">
      <c r="F101" s="49">
        <v>39995</v>
      </c>
      <c r="G101" s="52">
        <v>97.7</v>
      </c>
      <c r="H101" s="52">
        <v>195.4</v>
      </c>
      <c r="I101" s="52">
        <v>97.7</v>
      </c>
      <c r="J101"/>
      <c r="K101"/>
      <c r="L101"/>
      <c r="M101"/>
      <c r="N101" s="37"/>
      <c r="O101" s="53">
        <v>822424.92200000014</v>
      </c>
      <c r="P101" s="53">
        <v>6579399.3760000011</v>
      </c>
      <c r="Q101" s="53">
        <v>822424.92200000014</v>
      </c>
      <c r="R101" s="53"/>
      <c r="S101" s="53">
        <v>822424.92200000014</v>
      </c>
      <c r="T101" s="15">
        <v>6579399.3760000011</v>
      </c>
      <c r="U101" s="15">
        <v>822424.92200000014</v>
      </c>
      <c r="V101" s="15"/>
      <c r="W101" s="15"/>
      <c r="X101" s="15"/>
      <c r="Y101" s="15"/>
      <c r="Z101" s="15"/>
      <c r="AA101" s="15"/>
      <c r="AB101" s="15"/>
      <c r="AC101" s="15"/>
      <c r="AD101" s="15"/>
      <c r="AE101" s="15"/>
      <c r="AF101" s="15"/>
    </row>
    <row r="102" spans="6:32" s="21" customFormat="1" ht="14.25" x14ac:dyDescent="0.45">
      <c r="F102" s="49">
        <v>40026</v>
      </c>
      <c r="G102" s="52">
        <v>99.6</v>
      </c>
      <c r="H102" s="52">
        <v>199.2</v>
      </c>
      <c r="I102" s="52">
        <v>99.6</v>
      </c>
      <c r="J102"/>
      <c r="K102"/>
      <c r="L102"/>
      <c r="M102"/>
      <c r="N102" s="37"/>
      <c r="O102" s="53">
        <v>897190.82400000002</v>
      </c>
      <c r="P102" s="53">
        <v>7177526.5920000002</v>
      </c>
      <c r="Q102" s="53">
        <v>897190.82400000002</v>
      </c>
      <c r="R102" s="53"/>
      <c r="S102" s="53">
        <v>897190.82400000002</v>
      </c>
      <c r="T102" s="15">
        <v>7177526.5920000002</v>
      </c>
      <c r="U102" s="15">
        <v>897190.82400000002</v>
      </c>
      <c r="V102" s="15"/>
      <c r="W102" s="15"/>
      <c r="X102" s="15"/>
      <c r="Y102" s="15"/>
      <c r="Z102" s="15"/>
      <c r="AA102" s="15"/>
      <c r="AB102" s="15"/>
      <c r="AC102" s="15"/>
      <c r="AD102" s="15"/>
      <c r="AE102" s="15"/>
      <c r="AF102" s="15"/>
    </row>
    <row r="103" spans="6:32" s="21" customFormat="1" ht="14.25" x14ac:dyDescent="0.45">
      <c r="F103" s="49">
        <v>40057</v>
      </c>
      <c r="G103" s="52">
        <v>99.4</v>
      </c>
      <c r="H103" s="52">
        <v>198.8</v>
      </c>
      <c r="I103" s="52">
        <v>99.4</v>
      </c>
      <c r="J103"/>
      <c r="K103"/>
      <c r="L103"/>
      <c r="M103"/>
      <c r="N103" s="37"/>
      <c r="O103" s="53">
        <v>967253.44800000009</v>
      </c>
      <c r="P103" s="53">
        <v>7738027.5840000007</v>
      </c>
      <c r="Q103" s="53">
        <v>967253.44800000009</v>
      </c>
      <c r="R103" s="53"/>
      <c r="S103" s="53">
        <v>967253.44800000009</v>
      </c>
      <c r="T103" s="15">
        <v>7738027.5840000007</v>
      </c>
      <c r="U103" s="15">
        <v>967253.44800000009</v>
      </c>
      <c r="V103" s="15"/>
      <c r="W103" s="15"/>
      <c r="X103" s="15"/>
      <c r="Y103" s="15"/>
      <c r="Z103" s="15"/>
      <c r="AA103" s="15"/>
      <c r="AB103" s="15"/>
      <c r="AC103" s="15"/>
      <c r="AD103" s="15"/>
      <c r="AE103" s="15"/>
      <c r="AF103" s="15"/>
    </row>
    <row r="104" spans="6:32" s="21" customFormat="1" ht="14.25" x14ac:dyDescent="0.45">
      <c r="F104" s="49">
        <v>40087</v>
      </c>
      <c r="G104" s="52">
        <v>105.6</v>
      </c>
      <c r="H104" s="52">
        <v>211.2</v>
      </c>
      <c r="I104" s="52">
        <v>105.6</v>
      </c>
      <c r="J104"/>
      <c r="K104"/>
      <c r="L104"/>
      <c r="M104"/>
      <c r="N104" s="37"/>
      <c r="O104" s="53">
        <v>1045465.3439999999</v>
      </c>
      <c r="P104" s="53">
        <v>8363722.7519999994</v>
      </c>
      <c r="Q104" s="53">
        <v>1045465.3439999999</v>
      </c>
      <c r="R104" s="53"/>
      <c r="S104" s="53">
        <v>1045465.3439999999</v>
      </c>
      <c r="T104" s="15">
        <v>8363722.7519999994</v>
      </c>
      <c r="U104" s="15">
        <v>1045465.3439999999</v>
      </c>
      <c r="V104" s="15"/>
      <c r="W104" s="15"/>
      <c r="X104" s="15"/>
      <c r="Y104" s="15"/>
      <c r="Z104" s="15"/>
      <c r="AA104" s="15"/>
      <c r="AB104" s="15"/>
      <c r="AC104" s="15"/>
      <c r="AD104" s="15"/>
      <c r="AE104" s="15"/>
      <c r="AF104" s="15"/>
    </row>
    <row r="105" spans="6:32" s="21" customFormat="1" ht="14.25" x14ac:dyDescent="0.45">
      <c r="F105" s="49">
        <v>40118</v>
      </c>
      <c r="G105" s="52">
        <v>101.4</v>
      </c>
      <c r="H105" s="52">
        <v>202.8</v>
      </c>
      <c r="I105" s="52">
        <v>101.4</v>
      </c>
      <c r="J105"/>
      <c r="K105"/>
      <c r="L105"/>
      <c r="M105"/>
      <c r="N105" s="37"/>
      <c r="O105" s="53">
        <v>1064359.2960000001</v>
      </c>
      <c r="P105" s="53">
        <v>8514874.3680000007</v>
      </c>
      <c r="Q105" s="53">
        <v>1064359.2960000001</v>
      </c>
      <c r="R105" s="53"/>
      <c r="S105" s="53">
        <v>1064359.2960000001</v>
      </c>
      <c r="T105" s="15">
        <v>8514874.3680000007</v>
      </c>
      <c r="U105" s="15">
        <v>1064359.2960000001</v>
      </c>
      <c r="V105" s="15"/>
      <c r="W105" s="15"/>
      <c r="X105" s="15"/>
      <c r="Y105" s="15"/>
      <c r="Z105" s="15"/>
      <c r="AA105" s="15"/>
      <c r="AB105" s="15"/>
      <c r="AC105" s="15"/>
      <c r="AD105" s="15"/>
      <c r="AE105" s="15"/>
      <c r="AF105" s="15"/>
    </row>
    <row r="106" spans="6:32" s="21" customFormat="1" ht="14.25" x14ac:dyDescent="0.45">
      <c r="F106" s="49">
        <v>40148</v>
      </c>
      <c r="G106" s="52">
        <v>94.1</v>
      </c>
      <c r="H106" s="52">
        <v>188.2</v>
      </c>
      <c r="I106" s="52">
        <v>94.1</v>
      </c>
      <c r="J106"/>
      <c r="K106"/>
      <c r="L106"/>
      <c r="M106"/>
      <c r="N106" s="37"/>
      <c r="O106" s="53">
        <v>1007607.7439999999</v>
      </c>
      <c r="P106" s="53">
        <v>8060861.9519999996</v>
      </c>
      <c r="Q106" s="53">
        <v>1007607.7439999999</v>
      </c>
      <c r="R106" s="53"/>
      <c r="S106" s="53">
        <v>1007607.7439999999</v>
      </c>
      <c r="T106" s="15">
        <v>8060861.9519999996</v>
      </c>
      <c r="U106" s="15">
        <v>1007607.7439999999</v>
      </c>
      <c r="V106" s="15"/>
      <c r="W106" s="15"/>
      <c r="X106" s="15"/>
      <c r="Y106" s="15"/>
      <c r="Z106" s="15"/>
      <c r="AA106" s="15"/>
      <c r="AB106" s="15"/>
      <c r="AC106" s="15"/>
      <c r="AD106" s="15"/>
      <c r="AE106" s="15"/>
      <c r="AF106" s="15"/>
    </row>
    <row r="107" spans="6:32" s="21" customFormat="1" ht="14.25" x14ac:dyDescent="0.45">
      <c r="F107" s="49">
        <v>40179</v>
      </c>
      <c r="G107" s="52">
        <v>91.2</v>
      </c>
      <c r="H107" s="52">
        <v>182.4</v>
      </c>
      <c r="I107" s="52">
        <v>91.2</v>
      </c>
      <c r="J107"/>
      <c r="K107"/>
      <c r="L107"/>
      <c r="M107"/>
      <c r="N107" s="37"/>
      <c r="O107" s="53">
        <v>870206.68799999997</v>
      </c>
      <c r="P107" s="53">
        <v>6961653.5039999997</v>
      </c>
      <c r="Q107" s="53">
        <v>870206.68799999997</v>
      </c>
      <c r="R107" s="53"/>
      <c r="S107" s="53">
        <v>870206.68799999997</v>
      </c>
      <c r="T107" s="15">
        <v>6961653.5039999997</v>
      </c>
      <c r="U107" s="15">
        <v>870206.68799999997</v>
      </c>
      <c r="V107" s="15"/>
      <c r="W107" s="15"/>
      <c r="X107" s="15"/>
      <c r="Y107" s="15"/>
      <c r="Z107" s="15"/>
      <c r="AA107" s="15"/>
      <c r="AB107" s="15"/>
      <c r="AC107" s="15"/>
      <c r="AD107" s="15"/>
      <c r="AE107" s="15"/>
      <c r="AF107" s="15"/>
    </row>
    <row r="108" spans="6:32" s="21" customFormat="1" ht="14.25" x14ac:dyDescent="0.45">
      <c r="F108" s="49">
        <v>40210</v>
      </c>
      <c r="G108" s="52">
        <v>89</v>
      </c>
      <c r="H108" s="52">
        <v>178</v>
      </c>
      <c r="I108" s="52">
        <v>89</v>
      </c>
      <c r="J108"/>
      <c r="K108"/>
      <c r="L108"/>
      <c r="M108"/>
      <c r="N108" s="37"/>
      <c r="O108" s="53">
        <v>763790.88</v>
      </c>
      <c r="P108" s="53">
        <v>6110327.04</v>
      </c>
      <c r="Q108" s="53">
        <v>763790.88</v>
      </c>
      <c r="R108" s="53"/>
      <c r="S108" s="53">
        <v>763790.88</v>
      </c>
      <c r="T108" s="15">
        <v>6110327.04</v>
      </c>
      <c r="U108" s="15">
        <v>763790.88</v>
      </c>
      <c r="V108" s="15"/>
      <c r="W108" s="15"/>
      <c r="X108" s="15"/>
      <c r="Y108" s="15"/>
      <c r="Z108" s="15"/>
      <c r="AA108" s="15"/>
      <c r="AB108" s="15"/>
      <c r="AC108" s="15"/>
      <c r="AD108" s="15"/>
      <c r="AE108" s="15"/>
      <c r="AF108" s="15"/>
    </row>
    <row r="109" spans="6:32" s="21" customFormat="1" ht="14.25" x14ac:dyDescent="0.45">
      <c r="F109" s="49">
        <v>40238</v>
      </c>
      <c r="G109" s="52">
        <v>105.1</v>
      </c>
      <c r="H109" s="52">
        <v>210.2</v>
      </c>
      <c r="I109" s="52">
        <v>105.1</v>
      </c>
      <c r="J109"/>
      <c r="K109"/>
      <c r="L109"/>
      <c r="M109"/>
      <c r="N109" s="37"/>
      <c r="O109" s="53">
        <v>853075.67999999993</v>
      </c>
      <c r="P109" s="53">
        <v>6824605.4399999995</v>
      </c>
      <c r="Q109" s="53">
        <v>853075.67999999993</v>
      </c>
      <c r="R109" s="53"/>
      <c r="S109" s="53">
        <v>853075.67999999993</v>
      </c>
      <c r="T109" s="15">
        <v>6824605.4399999995</v>
      </c>
      <c r="U109" s="15">
        <v>853075.67999999993</v>
      </c>
      <c r="V109" s="15"/>
      <c r="W109" s="15"/>
      <c r="X109" s="15"/>
      <c r="Y109" s="15"/>
      <c r="Z109" s="15"/>
      <c r="AA109" s="15"/>
      <c r="AB109" s="15"/>
      <c r="AC109" s="15"/>
      <c r="AD109" s="15"/>
      <c r="AE109" s="15"/>
      <c r="AF109" s="15"/>
    </row>
    <row r="110" spans="6:32" s="21" customFormat="1" ht="14.25" x14ac:dyDescent="0.45">
      <c r="F110" s="49">
        <v>40269</v>
      </c>
      <c r="G110" s="52">
        <v>99.3</v>
      </c>
      <c r="H110" s="52">
        <v>198.6</v>
      </c>
      <c r="I110" s="52">
        <v>99.3</v>
      </c>
      <c r="J110"/>
      <c r="K110"/>
      <c r="L110"/>
      <c r="M110"/>
      <c r="N110" s="37"/>
      <c r="O110" s="53">
        <v>928842.2699999999</v>
      </c>
      <c r="P110" s="53">
        <v>7430738.1599999992</v>
      </c>
      <c r="Q110" s="53">
        <v>928842.2699999999</v>
      </c>
      <c r="R110" s="53"/>
      <c r="S110" s="53">
        <v>928842.2699999999</v>
      </c>
      <c r="T110" s="15">
        <v>7430738.1599999992</v>
      </c>
      <c r="U110" s="15">
        <v>928842.2699999999</v>
      </c>
      <c r="V110" s="15"/>
      <c r="W110" s="15"/>
      <c r="X110" s="15"/>
      <c r="Y110" s="15"/>
      <c r="Z110" s="15"/>
      <c r="AA110" s="15"/>
      <c r="AB110" s="15"/>
      <c r="AC110" s="15"/>
      <c r="AD110" s="15"/>
      <c r="AE110" s="15"/>
      <c r="AF110" s="15"/>
    </row>
    <row r="111" spans="6:32" s="21" customFormat="1" ht="14.25" x14ac:dyDescent="0.45">
      <c r="F111" s="49">
        <v>40299</v>
      </c>
      <c r="G111" s="52">
        <v>104.3</v>
      </c>
      <c r="H111" s="52">
        <v>208.6</v>
      </c>
      <c r="I111" s="52">
        <v>104.3</v>
      </c>
      <c r="J111"/>
      <c r="K111"/>
      <c r="L111"/>
      <c r="M111"/>
      <c r="N111" s="37"/>
      <c r="O111" s="53">
        <v>1088519.6489999997</v>
      </c>
      <c r="P111" s="53">
        <v>8708157.1919999979</v>
      </c>
      <c r="Q111" s="53">
        <v>1088519.6489999997</v>
      </c>
      <c r="R111" s="53"/>
      <c r="S111" s="53">
        <v>1088519.6489999997</v>
      </c>
      <c r="T111" s="15">
        <v>8708157.1919999979</v>
      </c>
      <c r="U111" s="15">
        <v>1088519.6489999997</v>
      </c>
      <c r="V111" s="15"/>
      <c r="W111" s="15"/>
      <c r="X111" s="15"/>
      <c r="Y111" s="15"/>
      <c r="Z111" s="15"/>
      <c r="AA111" s="15"/>
      <c r="AB111" s="15"/>
      <c r="AC111" s="15"/>
      <c r="AD111" s="15"/>
      <c r="AE111" s="15"/>
      <c r="AF111" s="15"/>
    </row>
    <row r="112" spans="6:32" s="21" customFormat="1" ht="14.25" x14ac:dyDescent="0.45">
      <c r="F112" s="49">
        <v>40330</v>
      </c>
      <c r="G112" s="52">
        <v>102.5</v>
      </c>
      <c r="H112" s="52">
        <v>205</v>
      </c>
      <c r="I112" s="52">
        <v>102.5</v>
      </c>
      <c r="J112"/>
      <c r="K112"/>
      <c r="L112"/>
      <c r="M112"/>
      <c r="N112" s="37"/>
      <c r="O112" s="53">
        <v>1061591.4750000001</v>
      </c>
      <c r="P112" s="53">
        <v>8492731.8000000007</v>
      </c>
      <c r="Q112" s="53">
        <v>1061591.4750000001</v>
      </c>
      <c r="R112" s="53"/>
      <c r="S112" s="53">
        <v>1061591.4750000001</v>
      </c>
      <c r="T112" s="15">
        <v>8492731.8000000007</v>
      </c>
      <c r="U112" s="15">
        <v>1061591.4750000001</v>
      </c>
      <c r="V112" s="15"/>
      <c r="W112" s="15"/>
      <c r="X112" s="15"/>
      <c r="Y112" s="15"/>
      <c r="Z112" s="15"/>
      <c r="AA112" s="15"/>
      <c r="AB112" s="15"/>
      <c r="AC112" s="15"/>
      <c r="AD112" s="15"/>
      <c r="AE112" s="15"/>
      <c r="AF112" s="15"/>
    </row>
    <row r="113" spans="6:32" s="21" customFormat="1" ht="14.25" x14ac:dyDescent="0.45">
      <c r="F113" s="49">
        <v>40360</v>
      </c>
      <c r="G113" s="52">
        <v>106.9</v>
      </c>
      <c r="H113" s="52">
        <v>213.8</v>
      </c>
      <c r="I113" s="52">
        <v>106.9</v>
      </c>
      <c r="J113"/>
      <c r="K113"/>
      <c r="L113"/>
      <c r="M113"/>
      <c r="N113" s="37"/>
      <c r="O113" s="53">
        <v>1142841.175</v>
      </c>
      <c r="P113" s="53">
        <v>9142729.4000000004</v>
      </c>
      <c r="Q113" s="53">
        <v>1142841.175</v>
      </c>
      <c r="R113" s="53"/>
      <c r="S113" s="53">
        <v>1142841.175</v>
      </c>
      <c r="T113" s="15">
        <v>9142729.4000000004</v>
      </c>
      <c r="U113" s="15">
        <v>1142841.175</v>
      </c>
      <c r="V113" s="15"/>
      <c r="W113" s="15"/>
      <c r="X113" s="15"/>
      <c r="Y113" s="15"/>
      <c r="Z113" s="15"/>
      <c r="AA113" s="15"/>
      <c r="AB113" s="15"/>
      <c r="AC113" s="15"/>
      <c r="AD113" s="15"/>
      <c r="AE113" s="15"/>
      <c r="AF113" s="15"/>
    </row>
    <row r="114" spans="6:32" s="21" customFormat="1" ht="14.25" x14ac:dyDescent="0.45">
      <c r="F114" s="49">
        <v>40391</v>
      </c>
      <c r="G114" s="52">
        <v>108.1</v>
      </c>
      <c r="H114" s="52">
        <v>216.2</v>
      </c>
      <c r="I114" s="52">
        <v>108.1</v>
      </c>
      <c r="J114"/>
      <c r="K114"/>
      <c r="L114"/>
      <c r="M114"/>
      <c r="N114" s="37"/>
      <c r="O114" s="53">
        <v>1184478.7249999999</v>
      </c>
      <c r="P114" s="53">
        <v>9475829.7999999989</v>
      </c>
      <c r="Q114" s="53">
        <v>1184478.7249999999</v>
      </c>
      <c r="R114" s="53"/>
      <c r="S114" s="53">
        <v>1184478.7249999999</v>
      </c>
      <c r="T114" s="15">
        <v>9475829.7999999989</v>
      </c>
      <c r="U114" s="15">
        <v>1184478.7249999999</v>
      </c>
      <c r="V114" s="15"/>
      <c r="W114" s="15"/>
      <c r="X114" s="15"/>
      <c r="Y114" s="15"/>
      <c r="Z114" s="15"/>
      <c r="AA114" s="15"/>
      <c r="AB114" s="15"/>
      <c r="AC114" s="15"/>
      <c r="AD114" s="15"/>
      <c r="AE114" s="15"/>
      <c r="AF114" s="15"/>
    </row>
    <row r="115" spans="6:32" s="21" customFormat="1" ht="14.25" x14ac:dyDescent="0.45">
      <c r="F115" s="49">
        <v>40422</v>
      </c>
      <c r="G115" s="52">
        <v>105.8</v>
      </c>
      <c r="H115" s="52">
        <v>211.6</v>
      </c>
      <c r="I115" s="52">
        <v>105.8</v>
      </c>
      <c r="J115"/>
      <c r="K115"/>
      <c r="L115"/>
      <c r="M115"/>
      <c r="N115" s="37"/>
      <c r="O115" s="53">
        <v>1222613.162</v>
      </c>
      <c r="P115" s="53">
        <v>9780905.2960000001</v>
      </c>
      <c r="Q115" s="53">
        <v>1222613.162</v>
      </c>
      <c r="R115" s="53"/>
      <c r="S115" s="53">
        <v>1222613.162</v>
      </c>
      <c r="T115" s="15">
        <v>9780905.2960000001</v>
      </c>
      <c r="U115" s="15">
        <v>1222613.162</v>
      </c>
      <c r="V115" s="15"/>
      <c r="W115" s="15"/>
      <c r="X115" s="15"/>
      <c r="Y115" s="15"/>
      <c r="Z115" s="15"/>
      <c r="AA115" s="15"/>
      <c r="AB115" s="15"/>
      <c r="AC115" s="15"/>
      <c r="AD115" s="15"/>
      <c r="AE115" s="15"/>
      <c r="AF115" s="15"/>
    </row>
    <row r="116" spans="6:32" s="21" customFormat="1" ht="14.25" x14ac:dyDescent="0.45">
      <c r="F116" s="49">
        <v>40452</v>
      </c>
      <c r="G116" s="52">
        <v>107.7</v>
      </c>
      <c r="H116" s="52">
        <v>215.4</v>
      </c>
      <c r="I116" s="52">
        <v>107.7</v>
      </c>
      <c r="J116"/>
      <c r="K116"/>
      <c r="L116"/>
      <c r="M116"/>
      <c r="N116" s="37"/>
      <c r="O116" s="53">
        <v>1231762.746</v>
      </c>
      <c r="P116" s="53">
        <v>9854101.9680000003</v>
      </c>
      <c r="Q116" s="53">
        <v>1231762.746</v>
      </c>
      <c r="R116" s="53"/>
      <c r="S116" s="53">
        <v>1231762.746</v>
      </c>
      <c r="T116" s="15">
        <v>9854101.9680000003</v>
      </c>
      <c r="U116" s="15">
        <v>1231762.746</v>
      </c>
      <c r="V116" s="15"/>
      <c r="W116" s="15"/>
      <c r="X116" s="15"/>
      <c r="Y116" s="15"/>
      <c r="Z116" s="15"/>
      <c r="AA116" s="15"/>
      <c r="AB116" s="15"/>
      <c r="AC116" s="15"/>
      <c r="AD116" s="15"/>
      <c r="AE116" s="15"/>
      <c r="AF116" s="15"/>
    </row>
    <row r="117" spans="6:32" s="21" customFormat="1" ht="14.25" x14ac:dyDescent="0.45">
      <c r="F117" s="49">
        <v>40483</v>
      </c>
      <c r="G117" s="52">
        <v>106.8</v>
      </c>
      <c r="H117" s="52">
        <v>213.6</v>
      </c>
      <c r="I117" s="52">
        <v>106.8</v>
      </c>
      <c r="J117"/>
      <c r="K117"/>
      <c r="L117"/>
      <c r="M117"/>
      <c r="N117" s="37"/>
      <c r="O117" s="53">
        <v>1216949.6879999998</v>
      </c>
      <c r="P117" s="53">
        <v>9735597.5039999988</v>
      </c>
      <c r="Q117" s="53">
        <v>1216949.6879999998</v>
      </c>
      <c r="R117" s="53"/>
      <c r="S117" s="53">
        <v>1216949.6879999998</v>
      </c>
      <c r="T117" s="15">
        <v>9735597.5039999988</v>
      </c>
      <c r="U117" s="15">
        <v>1216949.6879999998</v>
      </c>
      <c r="V117" s="15"/>
      <c r="W117" s="15"/>
      <c r="X117" s="15"/>
      <c r="Y117" s="15"/>
      <c r="Z117" s="15"/>
      <c r="AA117" s="15"/>
      <c r="AB117" s="15"/>
      <c r="AC117" s="15"/>
      <c r="AD117" s="15"/>
      <c r="AE117" s="15"/>
      <c r="AF117" s="15"/>
    </row>
    <row r="118" spans="6:32" s="21" customFormat="1" ht="14.25" x14ac:dyDescent="0.45">
      <c r="F118" s="49">
        <v>40513</v>
      </c>
      <c r="G118" s="52">
        <v>96.6</v>
      </c>
      <c r="H118" s="52">
        <v>193.2</v>
      </c>
      <c r="I118" s="52">
        <v>96.6</v>
      </c>
      <c r="J118"/>
      <c r="K118"/>
      <c r="L118"/>
      <c r="M118"/>
      <c r="N118" s="37"/>
      <c r="O118" s="53">
        <v>1111127.976</v>
      </c>
      <c r="P118" s="53">
        <v>8889023.8080000002</v>
      </c>
      <c r="Q118" s="53">
        <v>1111127.976</v>
      </c>
      <c r="R118" s="53"/>
      <c r="S118" s="53">
        <v>1111127.976</v>
      </c>
      <c r="T118" s="15">
        <v>8889023.8080000002</v>
      </c>
      <c r="U118" s="15">
        <v>1111127.976</v>
      </c>
      <c r="V118" s="15"/>
      <c r="W118" s="15"/>
      <c r="X118" s="15"/>
      <c r="Y118" s="15"/>
      <c r="Z118" s="15"/>
      <c r="AA118" s="15"/>
      <c r="AB118" s="15"/>
      <c r="AC118" s="15"/>
      <c r="AD118" s="15"/>
      <c r="AE118" s="15"/>
      <c r="AF118" s="15"/>
    </row>
    <row r="119" spans="6:32" s="21" customFormat="1" ht="14.25" x14ac:dyDescent="0.45">
      <c r="F119" s="49">
        <v>40544</v>
      </c>
      <c r="G119" s="52">
        <v>93.2</v>
      </c>
      <c r="H119" s="52">
        <v>186.4</v>
      </c>
      <c r="I119" s="52">
        <v>93.2</v>
      </c>
      <c r="J119"/>
      <c r="K119"/>
      <c r="L119"/>
      <c r="M119"/>
      <c r="N119" s="37"/>
      <c r="O119" s="53">
        <v>961533.2159999999</v>
      </c>
      <c r="P119" s="53">
        <v>7692265.7279999992</v>
      </c>
      <c r="Q119" s="53">
        <v>961533.2159999999</v>
      </c>
      <c r="R119" s="53"/>
      <c r="S119" s="53">
        <v>961533.2159999999</v>
      </c>
      <c r="T119" s="15">
        <v>7692265.7279999992</v>
      </c>
      <c r="U119" s="15">
        <v>961533.2159999999</v>
      </c>
      <c r="V119" s="15"/>
      <c r="W119" s="15"/>
      <c r="X119" s="15"/>
      <c r="Y119" s="15"/>
      <c r="Z119" s="15"/>
      <c r="AA119" s="15"/>
      <c r="AB119" s="15"/>
      <c r="AC119" s="15"/>
      <c r="AD119" s="15"/>
      <c r="AE119" s="15"/>
      <c r="AF119" s="15"/>
    </row>
    <row r="120" spans="6:32" s="21" customFormat="1" ht="14.25" x14ac:dyDescent="0.45">
      <c r="F120" s="49">
        <v>40575</v>
      </c>
      <c r="G120" s="52">
        <v>95.4</v>
      </c>
      <c r="H120" s="52">
        <v>190.8</v>
      </c>
      <c r="I120" s="52">
        <v>95.4</v>
      </c>
      <c r="J120"/>
      <c r="K120"/>
      <c r="L120"/>
      <c r="M120"/>
      <c r="N120" s="37"/>
      <c r="O120" s="53">
        <v>858897.64799999993</v>
      </c>
      <c r="P120" s="53">
        <v>6871181.1839999994</v>
      </c>
      <c r="Q120" s="53">
        <v>858897.64799999993</v>
      </c>
      <c r="R120" s="53"/>
      <c r="S120" s="53">
        <v>858897.64799999993</v>
      </c>
      <c r="T120" s="15">
        <v>6871181.1839999994</v>
      </c>
      <c r="U120" s="15">
        <v>858897.64799999993</v>
      </c>
      <c r="V120" s="15"/>
      <c r="W120" s="15"/>
      <c r="X120" s="15"/>
      <c r="Y120" s="15"/>
      <c r="Z120" s="15"/>
      <c r="AA120" s="15"/>
      <c r="AB120" s="15"/>
      <c r="AC120" s="15"/>
      <c r="AD120" s="15"/>
      <c r="AE120" s="15"/>
      <c r="AF120" s="15"/>
    </row>
    <row r="121" spans="6:32" s="21" customFormat="1" ht="14.25" x14ac:dyDescent="0.45">
      <c r="F121" s="49">
        <v>40603</v>
      </c>
      <c r="G121" s="52">
        <v>104.4</v>
      </c>
      <c r="H121" s="52">
        <v>208.8</v>
      </c>
      <c r="I121" s="52">
        <v>104.4</v>
      </c>
      <c r="J121"/>
      <c r="K121"/>
      <c r="L121"/>
      <c r="M121"/>
      <c r="N121" s="37"/>
      <c r="O121" s="53">
        <v>928249.6320000001</v>
      </c>
      <c r="P121" s="53">
        <v>7425997.0560000008</v>
      </c>
      <c r="Q121" s="53">
        <v>928249.6320000001</v>
      </c>
      <c r="R121" s="53"/>
      <c r="S121" s="53">
        <v>928249.6320000001</v>
      </c>
      <c r="T121" s="15">
        <v>7425997.0560000008</v>
      </c>
      <c r="U121" s="15">
        <v>928249.6320000001</v>
      </c>
      <c r="V121" s="15"/>
      <c r="W121" s="15"/>
      <c r="X121" s="15"/>
      <c r="Y121" s="15"/>
      <c r="Z121" s="15"/>
      <c r="AA121" s="15"/>
      <c r="AB121" s="15"/>
      <c r="AC121" s="15"/>
      <c r="AD121" s="15"/>
      <c r="AE121" s="15"/>
      <c r="AF121" s="15"/>
    </row>
    <row r="122" spans="6:32" s="21" customFormat="1" ht="14.25" x14ac:dyDescent="0.45">
      <c r="F122" s="49">
        <v>40634</v>
      </c>
      <c r="G122" s="52">
        <v>97.5</v>
      </c>
      <c r="H122" s="52">
        <v>195</v>
      </c>
      <c r="I122" s="52">
        <v>97.5</v>
      </c>
      <c r="J122"/>
      <c r="K122"/>
      <c r="L122"/>
      <c r="M122"/>
      <c r="N122" s="37"/>
      <c r="O122" s="53">
        <v>971076.60000000021</v>
      </c>
      <c r="P122" s="53">
        <v>7768612.8000000017</v>
      </c>
      <c r="Q122" s="53">
        <v>971076.60000000021</v>
      </c>
      <c r="R122" s="53"/>
      <c r="S122" s="53">
        <v>971076.60000000021</v>
      </c>
      <c r="T122" s="15">
        <v>7768612.8000000017</v>
      </c>
      <c r="U122" s="15">
        <v>971076.60000000021</v>
      </c>
      <c r="V122" s="15"/>
      <c r="W122" s="15"/>
      <c r="X122" s="15"/>
      <c r="Y122" s="15"/>
      <c r="Z122" s="15"/>
      <c r="AA122" s="15"/>
      <c r="AB122" s="15"/>
      <c r="AC122" s="15"/>
      <c r="AD122" s="15"/>
      <c r="AE122" s="15"/>
      <c r="AF122" s="15"/>
    </row>
    <row r="123" spans="6:32" s="21" customFormat="1" ht="14.25" x14ac:dyDescent="0.45">
      <c r="F123" s="49">
        <v>40664</v>
      </c>
      <c r="G123" s="52">
        <v>107.1</v>
      </c>
      <c r="H123" s="52">
        <v>214.2</v>
      </c>
      <c r="I123" s="52">
        <v>107.1</v>
      </c>
      <c r="J123"/>
      <c r="K123"/>
      <c r="L123"/>
      <c r="M123"/>
      <c r="N123" s="37"/>
      <c r="O123" s="53">
        <v>1090170.8999999999</v>
      </c>
      <c r="P123" s="53">
        <v>8721367.1999999993</v>
      </c>
      <c r="Q123" s="53">
        <v>1090170.8999999999</v>
      </c>
      <c r="R123" s="53"/>
      <c r="S123" s="53">
        <v>1090170.8999999999</v>
      </c>
      <c r="T123" s="15">
        <v>8721367.1999999993</v>
      </c>
      <c r="U123" s="15">
        <v>1090170.8999999999</v>
      </c>
      <c r="V123" s="15"/>
      <c r="W123" s="15"/>
      <c r="X123" s="15"/>
      <c r="Y123" s="15"/>
      <c r="Z123" s="15"/>
      <c r="AA123" s="15"/>
      <c r="AB123" s="15"/>
      <c r="AC123" s="15"/>
      <c r="AD123" s="15"/>
      <c r="AE123" s="15"/>
      <c r="AF123" s="15"/>
    </row>
    <row r="124" spans="6:32" s="21" customFormat="1" ht="14.25" x14ac:dyDescent="0.45">
      <c r="F124" s="49">
        <v>40695</v>
      </c>
      <c r="G124" s="52">
        <v>102.8</v>
      </c>
      <c r="H124" s="52">
        <v>205.6</v>
      </c>
      <c r="I124" s="52">
        <v>102.8</v>
      </c>
      <c r="J124"/>
      <c r="K124"/>
      <c r="L124"/>
      <c r="M124"/>
      <c r="N124" s="37"/>
      <c r="O124" s="53">
        <v>1073463.3</v>
      </c>
      <c r="P124" s="53">
        <v>8587706.4000000004</v>
      </c>
      <c r="Q124" s="53">
        <v>1073463.3</v>
      </c>
      <c r="R124" s="53"/>
      <c r="S124" s="53">
        <v>1073463.3</v>
      </c>
      <c r="T124" s="15">
        <v>8587706.4000000004</v>
      </c>
      <c r="U124" s="15">
        <v>1073463.3</v>
      </c>
      <c r="V124" s="15"/>
      <c r="W124" s="15"/>
      <c r="X124" s="15"/>
      <c r="Y124" s="15"/>
      <c r="Z124" s="15"/>
      <c r="AA124" s="15"/>
      <c r="AB124" s="15"/>
      <c r="AC124" s="15"/>
      <c r="AD124" s="15"/>
      <c r="AE124" s="15"/>
      <c r="AF124" s="15"/>
    </row>
    <row r="125" spans="6:32" s="21" customFormat="1" ht="14.25" x14ac:dyDescent="0.45">
      <c r="F125" s="49">
        <v>40725</v>
      </c>
      <c r="G125" s="52">
        <v>106.1</v>
      </c>
      <c r="H125" s="52">
        <v>212.2</v>
      </c>
      <c r="I125" s="52">
        <v>106.1</v>
      </c>
      <c r="J125"/>
      <c r="K125"/>
      <c r="L125"/>
      <c r="M125"/>
      <c r="N125" s="37"/>
      <c r="O125" s="53">
        <v>1168148.2679999999</v>
      </c>
      <c r="P125" s="53">
        <v>9345186.1439999994</v>
      </c>
      <c r="Q125" s="53">
        <v>1168148.2679999999</v>
      </c>
      <c r="R125" s="53"/>
      <c r="S125" s="53">
        <v>1168148.2679999999</v>
      </c>
      <c r="T125" s="15">
        <v>9345186.1439999994</v>
      </c>
      <c r="U125" s="15">
        <v>1168148.2679999999</v>
      </c>
      <c r="V125" s="15"/>
      <c r="W125" s="15"/>
      <c r="X125" s="15"/>
      <c r="Y125" s="15"/>
      <c r="Z125" s="15"/>
      <c r="AA125" s="15"/>
      <c r="AB125" s="15"/>
      <c r="AC125" s="15"/>
      <c r="AD125" s="15"/>
      <c r="AE125" s="15"/>
      <c r="AF125" s="15"/>
    </row>
    <row r="126" spans="6:32" s="21" customFormat="1" ht="14.25" x14ac:dyDescent="0.45">
      <c r="F126" s="49">
        <v>40756</v>
      </c>
      <c r="G126" s="52">
        <v>110.8</v>
      </c>
      <c r="H126" s="52">
        <v>221.6</v>
      </c>
      <c r="I126" s="52">
        <v>110.8</v>
      </c>
      <c r="J126"/>
      <c r="K126"/>
      <c r="L126"/>
      <c r="M126"/>
      <c r="N126" s="37"/>
      <c r="O126" s="53">
        <v>1208504.4639999999</v>
      </c>
      <c r="P126" s="53">
        <v>9668035.7119999994</v>
      </c>
      <c r="Q126" s="53">
        <v>1208504.4639999999</v>
      </c>
      <c r="R126" s="53"/>
      <c r="S126" s="53">
        <v>1208504.4639999999</v>
      </c>
      <c r="T126" s="15">
        <v>9668035.7119999994</v>
      </c>
      <c r="U126" s="15">
        <v>1208504.4639999999</v>
      </c>
      <c r="V126" s="15"/>
      <c r="W126" s="15"/>
      <c r="X126" s="15"/>
      <c r="Y126" s="15"/>
      <c r="Z126" s="15"/>
      <c r="AA126" s="15"/>
      <c r="AB126" s="15"/>
      <c r="AC126" s="15"/>
      <c r="AD126" s="15"/>
      <c r="AE126" s="15"/>
      <c r="AF126" s="15"/>
    </row>
    <row r="127" spans="6:32" s="21" customFormat="1" ht="14.25" x14ac:dyDescent="0.45">
      <c r="F127" s="49">
        <v>40787</v>
      </c>
      <c r="G127" s="52">
        <v>104.8</v>
      </c>
      <c r="H127" s="52">
        <v>209.6</v>
      </c>
      <c r="I127" s="52">
        <v>104.8</v>
      </c>
      <c r="J127"/>
      <c r="K127"/>
      <c r="L127"/>
      <c r="M127"/>
      <c r="N127" s="37"/>
      <c r="O127" s="53">
        <v>1232016.2239999999</v>
      </c>
      <c r="P127" s="53">
        <v>9856129.7919999994</v>
      </c>
      <c r="Q127" s="53">
        <v>1232016.2239999999</v>
      </c>
      <c r="R127" s="53"/>
      <c r="S127" s="53">
        <v>1232016.2239999999</v>
      </c>
      <c r="T127" s="15">
        <v>9856129.7919999994</v>
      </c>
      <c r="U127" s="15">
        <v>1232016.2239999999</v>
      </c>
      <c r="V127" s="15"/>
      <c r="W127" s="15"/>
      <c r="X127" s="15"/>
      <c r="Y127" s="15"/>
      <c r="Z127" s="15"/>
      <c r="AA127" s="15"/>
      <c r="AB127" s="15"/>
      <c r="AC127" s="15"/>
      <c r="AD127" s="15"/>
      <c r="AE127" s="15"/>
      <c r="AF127" s="15"/>
    </row>
    <row r="128" spans="6:32" s="21" customFormat="1" ht="14.25" x14ac:dyDescent="0.45">
      <c r="F128" s="49">
        <v>40817</v>
      </c>
      <c r="G128" s="52">
        <v>106.3</v>
      </c>
      <c r="H128" s="52">
        <v>212.6</v>
      </c>
      <c r="I128" s="52">
        <v>106.3</v>
      </c>
      <c r="J128"/>
      <c r="K128"/>
      <c r="L128"/>
      <c r="M128"/>
      <c r="N128" s="37"/>
      <c r="O128" s="53">
        <v>1234338.5919999999</v>
      </c>
      <c r="P128" s="53">
        <v>9874708.7359999996</v>
      </c>
      <c r="Q128" s="53">
        <v>1234338.5919999999</v>
      </c>
      <c r="R128" s="53"/>
      <c r="S128" s="53">
        <v>1234338.5919999999</v>
      </c>
      <c r="T128" s="15">
        <v>9874708.7359999996</v>
      </c>
      <c r="U128" s="15">
        <v>1234338.5919999999</v>
      </c>
      <c r="V128" s="15"/>
      <c r="W128" s="15"/>
      <c r="X128" s="15"/>
      <c r="Y128" s="15"/>
      <c r="Z128" s="15"/>
      <c r="AA128" s="15"/>
      <c r="AB128" s="15"/>
      <c r="AC128" s="15"/>
      <c r="AD128" s="15"/>
      <c r="AE128" s="15"/>
      <c r="AF128" s="15"/>
    </row>
    <row r="129" spans="6:32" s="21" customFormat="1" ht="14.25" x14ac:dyDescent="0.45">
      <c r="F129" s="49">
        <v>40848</v>
      </c>
      <c r="G129" s="52">
        <v>104.2</v>
      </c>
      <c r="H129" s="52">
        <v>208.4</v>
      </c>
      <c r="I129" s="52">
        <v>104.2</v>
      </c>
      <c r="J129"/>
      <c r="K129"/>
      <c r="L129"/>
      <c r="M129"/>
      <c r="N129" s="37"/>
      <c r="O129" s="53">
        <v>1160813.0079999999</v>
      </c>
      <c r="P129" s="53">
        <v>9286504.0639999993</v>
      </c>
      <c r="Q129" s="53">
        <v>1160813.0079999999</v>
      </c>
      <c r="R129" s="53"/>
      <c r="S129" s="53">
        <v>1160813.0079999999</v>
      </c>
      <c r="T129" s="15">
        <v>9286504.0639999993</v>
      </c>
      <c r="U129" s="15">
        <v>1160813.0079999999</v>
      </c>
      <c r="V129" s="15"/>
      <c r="W129" s="15"/>
      <c r="X129" s="15"/>
      <c r="Y129" s="15"/>
      <c r="Z129" s="15"/>
      <c r="AA129" s="15"/>
      <c r="AB129" s="15"/>
      <c r="AC129" s="15"/>
      <c r="AD129" s="15"/>
      <c r="AE129" s="15"/>
      <c r="AF129" s="15"/>
    </row>
    <row r="130" spans="6:32" s="21" customFormat="1" ht="14.25" x14ac:dyDescent="0.45">
      <c r="F130" s="49">
        <v>40878</v>
      </c>
      <c r="G130" s="52">
        <v>95.7</v>
      </c>
      <c r="H130" s="52">
        <v>191.4</v>
      </c>
      <c r="I130" s="52">
        <v>95.7</v>
      </c>
      <c r="J130"/>
      <c r="K130"/>
      <c r="L130"/>
      <c r="M130"/>
      <c r="N130" s="37"/>
      <c r="O130" s="53">
        <v>1060017.2219999998</v>
      </c>
      <c r="P130" s="53">
        <v>8480137.7759999987</v>
      </c>
      <c r="Q130" s="53">
        <v>1060017.2219999998</v>
      </c>
      <c r="R130" s="53"/>
      <c r="S130" s="53">
        <v>1060017.2219999998</v>
      </c>
      <c r="T130" s="15">
        <v>8480137.7759999987</v>
      </c>
      <c r="U130" s="15">
        <v>1060017.2219999998</v>
      </c>
      <c r="V130" s="15"/>
      <c r="W130" s="15"/>
      <c r="X130" s="15"/>
      <c r="Y130" s="15"/>
      <c r="Z130" s="15"/>
      <c r="AA130" s="15"/>
      <c r="AB130" s="15"/>
      <c r="AC130" s="15"/>
      <c r="AD130" s="15"/>
      <c r="AE130" s="15"/>
      <c r="AF130" s="15"/>
    </row>
    <row r="131" spans="6:32" s="21" customFormat="1" ht="14.25" x14ac:dyDescent="0.45">
      <c r="F131" s="49">
        <v>40909</v>
      </c>
      <c r="G131" s="52">
        <v>88.7</v>
      </c>
      <c r="H131" s="52">
        <v>177.4</v>
      </c>
      <c r="I131" s="52">
        <v>88.7</v>
      </c>
      <c r="J131"/>
      <c r="K131"/>
      <c r="L131"/>
      <c r="M131"/>
      <c r="N131" s="37"/>
      <c r="O131" s="53">
        <v>884511.0780000001</v>
      </c>
      <c r="P131" s="53">
        <v>7076088.6240000008</v>
      </c>
      <c r="Q131" s="53">
        <v>884511.0780000001</v>
      </c>
      <c r="R131" s="53"/>
      <c r="S131" s="53">
        <v>884511.0780000001</v>
      </c>
      <c r="T131" s="15">
        <v>7076088.6240000008</v>
      </c>
      <c r="U131" s="15">
        <v>884511.0780000001</v>
      </c>
      <c r="V131" s="15"/>
      <c r="W131" s="15"/>
      <c r="X131" s="15"/>
      <c r="Y131" s="15"/>
      <c r="Z131" s="15"/>
      <c r="AA131" s="15"/>
      <c r="AB131" s="15"/>
      <c r="AC131" s="15"/>
      <c r="AD131" s="15"/>
      <c r="AE131" s="15"/>
      <c r="AF131" s="15"/>
    </row>
    <row r="132" spans="6:32" s="21" customFormat="1" ht="14.25" x14ac:dyDescent="0.45">
      <c r="F132" s="49">
        <v>40940</v>
      </c>
      <c r="G132" s="52">
        <v>89.8</v>
      </c>
      <c r="H132" s="52">
        <v>179.6</v>
      </c>
      <c r="I132" s="52">
        <v>89.8</v>
      </c>
      <c r="J132"/>
      <c r="K132"/>
      <c r="L132"/>
      <c r="M132"/>
      <c r="N132" s="37"/>
      <c r="O132" s="53">
        <v>762275.38199999998</v>
      </c>
      <c r="P132" s="53">
        <v>6098203.0559999999</v>
      </c>
      <c r="Q132" s="53">
        <v>762275.38199999998</v>
      </c>
      <c r="R132" s="53"/>
      <c r="S132" s="53">
        <v>762275.38199999998</v>
      </c>
      <c r="T132" s="15">
        <v>6098203.0559999999</v>
      </c>
      <c r="U132" s="15">
        <v>762275.38199999998</v>
      </c>
      <c r="V132" s="15"/>
      <c r="W132" s="15"/>
      <c r="X132" s="15"/>
      <c r="Y132" s="15"/>
      <c r="Z132" s="15"/>
      <c r="AA132" s="15"/>
      <c r="AB132" s="15"/>
      <c r="AC132" s="15"/>
      <c r="AD132" s="15"/>
      <c r="AE132" s="15"/>
      <c r="AF132" s="15"/>
    </row>
    <row r="133" spans="6:32" s="21" customFormat="1" ht="14.25" x14ac:dyDescent="0.45">
      <c r="F133" s="49">
        <v>40969</v>
      </c>
      <c r="G133" s="52">
        <v>99.7</v>
      </c>
      <c r="H133" s="52">
        <v>199.4</v>
      </c>
      <c r="I133" s="52">
        <v>99.7</v>
      </c>
      <c r="J133"/>
      <c r="K133"/>
      <c r="L133"/>
      <c r="M133"/>
      <c r="N133" s="37"/>
      <c r="O133" s="53">
        <v>794136.42200000002</v>
      </c>
      <c r="P133" s="53">
        <v>6353091.3760000002</v>
      </c>
      <c r="Q133" s="53">
        <v>794136.42200000002</v>
      </c>
      <c r="R133" s="53"/>
      <c r="S133" s="53">
        <v>794136.42200000002</v>
      </c>
      <c r="T133" s="15">
        <v>6353091.3760000002</v>
      </c>
      <c r="U133" s="15">
        <v>794136.42200000002</v>
      </c>
      <c r="V133" s="15"/>
      <c r="W133" s="15"/>
      <c r="X133" s="15"/>
      <c r="Y133" s="15"/>
      <c r="Z133" s="15"/>
      <c r="AA133" s="15"/>
      <c r="AB133" s="15"/>
      <c r="AC133" s="15"/>
      <c r="AD133" s="15"/>
      <c r="AE133" s="15"/>
      <c r="AF133" s="15"/>
    </row>
    <row r="134" spans="6:32" s="21" customFormat="1" ht="14.25" x14ac:dyDescent="0.45">
      <c r="F134" s="49">
        <v>41000</v>
      </c>
      <c r="G134" s="52">
        <v>92.8</v>
      </c>
      <c r="H134" s="52">
        <v>185.6</v>
      </c>
      <c r="I134" s="52">
        <v>92.8</v>
      </c>
      <c r="J134"/>
      <c r="K134"/>
      <c r="L134"/>
      <c r="M134"/>
      <c r="N134" s="37"/>
      <c r="O134" s="53">
        <v>830843.96799999988</v>
      </c>
      <c r="P134" s="53">
        <v>6646751.743999999</v>
      </c>
      <c r="Q134" s="53">
        <v>830843.96799999988</v>
      </c>
      <c r="R134" s="53"/>
      <c r="S134" s="53">
        <v>830843.96799999988</v>
      </c>
      <c r="T134" s="15">
        <v>6646751.743999999</v>
      </c>
      <c r="U134" s="15">
        <v>830843.96799999988</v>
      </c>
      <c r="V134" s="15"/>
      <c r="W134" s="15"/>
      <c r="X134" s="15"/>
      <c r="Y134" s="15"/>
      <c r="Z134" s="15"/>
      <c r="AA134" s="15"/>
      <c r="AB134" s="15"/>
      <c r="AC134" s="15"/>
      <c r="AD134" s="15"/>
      <c r="AE134" s="15"/>
      <c r="AF134" s="15"/>
    </row>
    <row r="135" spans="6:32" s="21" customFormat="1" ht="14.25" x14ac:dyDescent="0.45">
      <c r="F135" s="49">
        <v>41030</v>
      </c>
      <c r="G135" s="52">
        <v>102.5</v>
      </c>
      <c r="H135" s="52">
        <v>205</v>
      </c>
      <c r="I135" s="52">
        <v>102.5</v>
      </c>
      <c r="J135"/>
      <c r="K135"/>
      <c r="L135"/>
      <c r="M135"/>
      <c r="N135" s="37"/>
      <c r="O135" s="53">
        <v>948346.4</v>
      </c>
      <c r="P135" s="53">
        <v>7586771.2000000002</v>
      </c>
      <c r="Q135" s="53">
        <v>948346.4</v>
      </c>
      <c r="R135" s="53"/>
      <c r="S135" s="53">
        <v>948346.4</v>
      </c>
      <c r="T135" s="15">
        <v>7586771.2000000002</v>
      </c>
      <c r="U135" s="15">
        <v>948346.4</v>
      </c>
      <c r="V135" s="15"/>
      <c r="W135" s="15"/>
      <c r="X135" s="15"/>
      <c r="Y135" s="15"/>
      <c r="Z135" s="15"/>
      <c r="AA135" s="15"/>
      <c r="AB135" s="15"/>
      <c r="AC135" s="15"/>
      <c r="AD135" s="15"/>
      <c r="AE135" s="15"/>
      <c r="AF135" s="15"/>
    </row>
    <row r="136" spans="6:32" s="21" customFormat="1" ht="14.25" x14ac:dyDescent="0.45">
      <c r="F136" s="49">
        <v>41061</v>
      </c>
      <c r="G136" s="52">
        <v>98.3</v>
      </c>
      <c r="H136" s="52">
        <v>196.6</v>
      </c>
      <c r="I136" s="52">
        <v>98.3</v>
      </c>
      <c r="J136"/>
      <c r="K136"/>
      <c r="L136"/>
      <c r="M136"/>
      <c r="N136" s="37"/>
      <c r="O136" s="53">
        <v>935029.6</v>
      </c>
      <c r="P136" s="53">
        <v>7480236.7999999998</v>
      </c>
      <c r="Q136" s="53">
        <v>935029.6</v>
      </c>
      <c r="R136" s="53"/>
      <c r="S136" s="53">
        <v>935029.6</v>
      </c>
      <c r="T136" s="15">
        <v>7480236.7999999998</v>
      </c>
      <c r="U136" s="15">
        <v>935029.6</v>
      </c>
      <c r="V136" s="15"/>
      <c r="W136" s="15"/>
      <c r="X136" s="15"/>
      <c r="Y136" s="15"/>
      <c r="Z136" s="15"/>
      <c r="AA136" s="15"/>
      <c r="AB136" s="15"/>
      <c r="AC136" s="15"/>
      <c r="AD136" s="15"/>
      <c r="AE136" s="15"/>
      <c r="AF136" s="15"/>
    </row>
    <row r="137" spans="6:32" s="21" customFormat="1" ht="14.25" x14ac:dyDescent="0.45">
      <c r="F137" s="49">
        <v>41091</v>
      </c>
      <c r="G137" s="52">
        <v>104.5</v>
      </c>
      <c r="H137" s="52">
        <v>209</v>
      </c>
      <c r="I137" s="52">
        <v>104.5</v>
      </c>
      <c r="J137"/>
      <c r="K137"/>
      <c r="L137"/>
      <c r="M137"/>
      <c r="N137" s="37"/>
      <c r="O137" s="53">
        <v>1052915.875</v>
      </c>
      <c r="P137" s="53">
        <v>8423327</v>
      </c>
      <c r="Q137" s="53">
        <v>1052915.875</v>
      </c>
      <c r="R137" s="53"/>
      <c r="S137" s="53">
        <v>1052915.875</v>
      </c>
      <c r="T137" s="15">
        <v>8423327</v>
      </c>
      <c r="U137" s="15">
        <v>1052915.875</v>
      </c>
      <c r="V137" s="15"/>
      <c r="W137" s="15"/>
      <c r="X137" s="15"/>
      <c r="Y137" s="15"/>
      <c r="Z137" s="15"/>
      <c r="AA137" s="15"/>
      <c r="AB137" s="15"/>
      <c r="AC137" s="15"/>
      <c r="AD137" s="15"/>
      <c r="AE137" s="15"/>
      <c r="AF137" s="15"/>
    </row>
    <row r="138" spans="6:32" s="21" customFormat="1" ht="14.25" x14ac:dyDescent="0.45">
      <c r="F138" s="49">
        <v>41122</v>
      </c>
      <c r="G138" s="52">
        <v>111.5</v>
      </c>
      <c r="H138" s="52">
        <v>223</v>
      </c>
      <c r="I138" s="52">
        <v>111.5</v>
      </c>
      <c r="J138"/>
      <c r="K138"/>
      <c r="L138"/>
      <c r="M138"/>
      <c r="N138" s="37"/>
      <c r="O138" s="53">
        <v>1145367.0250000001</v>
      </c>
      <c r="P138" s="53">
        <v>9162936.2000000011</v>
      </c>
      <c r="Q138" s="53">
        <v>1145367.0250000001</v>
      </c>
      <c r="R138" s="53"/>
      <c r="S138" s="53">
        <v>1145367.0250000001</v>
      </c>
      <c r="T138" s="15">
        <v>9162936.2000000011</v>
      </c>
      <c r="U138" s="15">
        <v>1145367.0250000001</v>
      </c>
      <c r="V138" s="15"/>
      <c r="W138" s="15"/>
      <c r="X138" s="15"/>
      <c r="Y138" s="15"/>
      <c r="Z138" s="15"/>
      <c r="AA138" s="15"/>
      <c r="AB138" s="15"/>
      <c r="AC138" s="15"/>
      <c r="AD138" s="15"/>
      <c r="AE138" s="15"/>
      <c r="AF138" s="15"/>
    </row>
    <row r="139" spans="6:32" s="21" customFormat="1" ht="14.25" x14ac:dyDescent="0.45">
      <c r="F139" s="49">
        <v>41153</v>
      </c>
      <c r="G139" s="52">
        <v>103.4</v>
      </c>
      <c r="H139" s="52">
        <v>206.8</v>
      </c>
      <c r="I139" s="52">
        <v>103.4</v>
      </c>
      <c r="J139"/>
      <c r="K139"/>
      <c r="L139"/>
      <c r="M139"/>
      <c r="N139" s="37"/>
      <c r="O139" s="53">
        <v>1204790.95</v>
      </c>
      <c r="P139" s="53">
        <v>9638327.5999999996</v>
      </c>
      <c r="Q139" s="53">
        <v>1204790.95</v>
      </c>
      <c r="R139" s="53"/>
      <c r="S139" s="53">
        <v>1204790.95</v>
      </c>
      <c r="T139" s="15">
        <v>9638327.5999999996</v>
      </c>
      <c r="U139" s="15">
        <v>1204790.95</v>
      </c>
      <c r="V139" s="15"/>
      <c r="W139" s="15"/>
      <c r="X139" s="15"/>
      <c r="Y139" s="15"/>
      <c r="Z139" s="15"/>
      <c r="AA139" s="15"/>
      <c r="AB139" s="15"/>
      <c r="AC139" s="15"/>
      <c r="AD139" s="15"/>
      <c r="AE139" s="15"/>
      <c r="AF139" s="15"/>
    </row>
    <row r="140" spans="6:32" s="21" customFormat="1" ht="14.25" x14ac:dyDescent="0.45">
      <c r="F140" s="49">
        <v>41183</v>
      </c>
      <c r="G140" s="52">
        <v>111.8</v>
      </c>
      <c r="H140" s="52">
        <v>223.6</v>
      </c>
      <c r="I140" s="52">
        <v>111.8</v>
      </c>
      <c r="J140"/>
      <c r="K140"/>
      <c r="L140"/>
      <c r="M140"/>
      <c r="N140" s="37"/>
      <c r="O140" s="53">
        <v>1288953.3800000001</v>
      </c>
      <c r="P140" s="53">
        <v>10311627.040000001</v>
      </c>
      <c r="Q140" s="53">
        <v>1288953.3800000001</v>
      </c>
      <c r="R140" s="53"/>
      <c r="S140" s="53">
        <v>1288953.3800000001</v>
      </c>
      <c r="T140" s="15">
        <v>10311627.040000001</v>
      </c>
      <c r="U140" s="15">
        <v>1288953.3800000001</v>
      </c>
      <c r="V140" s="15"/>
      <c r="W140" s="15"/>
      <c r="X140" s="15"/>
      <c r="Y140" s="15"/>
      <c r="Z140" s="15"/>
      <c r="AA140" s="15"/>
      <c r="AB140" s="15"/>
      <c r="AC140" s="15"/>
      <c r="AD140" s="15"/>
      <c r="AE140" s="15"/>
      <c r="AF140" s="15"/>
    </row>
    <row r="141" spans="6:32" s="21" customFormat="1" ht="14.25" x14ac:dyDescent="0.45">
      <c r="F141" s="49">
        <v>41214</v>
      </c>
      <c r="G141" s="52">
        <v>104.8</v>
      </c>
      <c r="H141" s="52">
        <v>209.6</v>
      </c>
      <c r="I141" s="52">
        <v>104.8</v>
      </c>
      <c r="J141"/>
      <c r="K141"/>
      <c r="L141"/>
      <c r="M141"/>
      <c r="N141" s="37"/>
      <c r="O141" s="53">
        <v>1211500.5760000001</v>
      </c>
      <c r="P141" s="53">
        <v>9692004.6080000009</v>
      </c>
      <c r="Q141" s="53">
        <v>1211500.5760000001</v>
      </c>
      <c r="R141" s="53"/>
      <c r="S141" s="53">
        <v>1211500.5760000001</v>
      </c>
      <c r="T141" s="15">
        <v>9692004.6080000009</v>
      </c>
      <c r="U141" s="15">
        <v>1211500.5760000001</v>
      </c>
      <c r="V141" s="15"/>
      <c r="W141" s="15"/>
      <c r="X141" s="15"/>
      <c r="Y141" s="15"/>
      <c r="Z141" s="15"/>
      <c r="AA141" s="15"/>
      <c r="AB141" s="15"/>
      <c r="AC141" s="15"/>
      <c r="AD141" s="15"/>
      <c r="AE141" s="15"/>
      <c r="AF141" s="15"/>
    </row>
    <row r="142" spans="6:32" s="21" customFormat="1" ht="14.25" x14ac:dyDescent="0.45">
      <c r="F142" s="49">
        <v>41244</v>
      </c>
      <c r="G142" s="52">
        <v>92.2</v>
      </c>
      <c r="H142" s="52">
        <v>184.4</v>
      </c>
      <c r="I142" s="52">
        <v>92.2</v>
      </c>
      <c r="J142"/>
      <c r="K142"/>
      <c r="L142"/>
      <c r="M142"/>
      <c r="N142" s="37"/>
      <c r="O142" s="53">
        <v>1080274.2079999999</v>
      </c>
      <c r="P142" s="53">
        <v>8642193.6639999989</v>
      </c>
      <c r="Q142" s="53">
        <v>1080274.2079999999</v>
      </c>
      <c r="R142" s="53"/>
      <c r="S142" s="53">
        <v>1080274.2079999999</v>
      </c>
      <c r="T142" s="15">
        <v>8642193.6639999989</v>
      </c>
      <c r="U142" s="15">
        <v>1080274.2079999999</v>
      </c>
      <c r="V142" s="15"/>
      <c r="W142" s="15"/>
      <c r="X142" s="15"/>
      <c r="Y142" s="15"/>
      <c r="Z142" s="15"/>
      <c r="AA142" s="15"/>
      <c r="AB142" s="15"/>
      <c r="AC142" s="15"/>
      <c r="AD142" s="15"/>
      <c r="AE142" s="15"/>
      <c r="AF142" s="15"/>
    </row>
    <row r="143" spans="6:32" s="21" customFormat="1" ht="14.25" x14ac:dyDescent="0.45">
      <c r="F143" s="49">
        <v>41275</v>
      </c>
      <c r="G143" s="52">
        <v>94.5</v>
      </c>
      <c r="H143" s="52">
        <v>189</v>
      </c>
      <c r="I143" s="52">
        <v>94.5</v>
      </c>
      <c r="J143"/>
      <c r="K143"/>
      <c r="L143"/>
      <c r="M143"/>
      <c r="N143" s="37"/>
      <c r="O143" s="53">
        <v>913111.91999999993</v>
      </c>
      <c r="P143" s="53">
        <v>7304895.3599999994</v>
      </c>
      <c r="Q143" s="53">
        <v>913111.91999999993</v>
      </c>
      <c r="R143" s="53"/>
      <c r="S143" s="53">
        <v>913111.91999999993</v>
      </c>
      <c r="T143" s="15">
        <v>7304895.3599999994</v>
      </c>
      <c r="U143" s="15">
        <v>913111.91999999993</v>
      </c>
      <c r="V143" s="15"/>
      <c r="W143" s="15"/>
      <c r="X143" s="15"/>
      <c r="Y143" s="15"/>
      <c r="Z143" s="15"/>
      <c r="AA143" s="15"/>
      <c r="AB143" s="15"/>
      <c r="AC143" s="15"/>
      <c r="AD143" s="15"/>
      <c r="AE143" s="15"/>
      <c r="AF143" s="15"/>
    </row>
    <row r="144" spans="6:32" s="21" customFormat="1" ht="14.25" x14ac:dyDescent="0.45">
      <c r="F144" s="49">
        <v>41306</v>
      </c>
      <c r="G144" s="52">
        <v>88.1</v>
      </c>
      <c r="H144" s="52">
        <v>176.2</v>
      </c>
      <c r="I144" s="52">
        <v>88.1</v>
      </c>
      <c r="J144"/>
      <c r="K144"/>
      <c r="L144"/>
      <c r="M144"/>
      <c r="N144" s="37"/>
      <c r="O144" s="53">
        <v>767606.48999999987</v>
      </c>
      <c r="P144" s="53">
        <v>6140851.919999999</v>
      </c>
      <c r="Q144" s="53">
        <v>767606.48999999987</v>
      </c>
      <c r="R144" s="53"/>
      <c r="S144" s="53">
        <v>767606.48999999987</v>
      </c>
      <c r="T144" s="15">
        <v>6140851.919999999</v>
      </c>
      <c r="U144" s="15">
        <v>767606.48999999987</v>
      </c>
      <c r="V144" s="15"/>
      <c r="W144" s="15"/>
      <c r="X144" s="15"/>
      <c r="Y144" s="15"/>
      <c r="Z144" s="15"/>
      <c r="AA144" s="15"/>
      <c r="AB144" s="15"/>
      <c r="AC144" s="15"/>
      <c r="AD144" s="15"/>
      <c r="AE144" s="15"/>
      <c r="AF144" s="15"/>
    </row>
    <row r="145" spans="6:32" s="21" customFormat="1" ht="14.25" x14ac:dyDescent="0.45">
      <c r="F145" s="49">
        <v>41334</v>
      </c>
      <c r="G145" s="52">
        <v>97.7</v>
      </c>
      <c r="H145" s="52">
        <v>195.4</v>
      </c>
      <c r="I145" s="52">
        <v>97.7</v>
      </c>
      <c r="J145"/>
      <c r="K145"/>
      <c r="L145"/>
      <c r="M145"/>
      <c r="N145" s="37"/>
      <c r="O145" s="53">
        <v>813396.46499999997</v>
      </c>
      <c r="P145" s="53">
        <v>6507171.7199999997</v>
      </c>
      <c r="Q145" s="53">
        <v>813396.46499999997</v>
      </c>
      <c r="R145" s="53"/>
      <c r="S145" s="53">
        <v>813396.46499999997</v>
      </c>
      <c r="T145" s="15">
        <v>6507171.7199999997</v>
      </c>
      <c r="U145" s="15">
        <v>813396.46499999997</v>
      </c>
      <c r="V145" s="15"/>
      <c r="W145" s="15"/>
      <c r="X145" s="15"/>
      <c r="Y145" s="15"/>
      <c r="Z145" s="15"/>
      <c r="AA145" s="15"/>
      <c r="AB145" s="15"/>
      <c r="AC145" s="15"/>
      <c r="AD145" s="15"/>
      <c r="AE145" s="15"/>
      <c r="AF145" s="15"/>
    </row>
    <row r="146" spans="6:32" s="21" customFormat="1" ht="14.25" x14ac:dyDescent="0.45">
      <c r="F146" s="49">
        <v>41365</v>
      </c>
      <c r="G146" s="52">
        <v>101.8</v>
      </c>
      <c r="H146" s="52">
        <v>203.6</v>
      </c>
      <c r="I146" s="52">
        <v>101.8</v>
      </c>
      <c r="J146"/>
      <c r="K146"/>
      <c r="L146"/>
      <c r="M146"/>
      <c r="N146" s="37"/>
      <c r="O146" s="53">
        <v>876230.26599999983</v>
      </c>
      <c r="P146" s="53">
        <v>7009842.1279999986</v>
      </c>
      <c r="Q146" s="53">
        <v>876230.26599999983</v>
      </c>
      <c r="R146" s="53"/>
      <c r="S146" s="53">
        <v>876230.26599999983</v>
      </c>
      <c r="T146" s="15">
        <v>7009842.1279999986</v>
      </c>
      <c r="U146" s="15">
        <v>876230.26599999983</v>
      </c>
      <c r="V146" s="15"/>
      <c r="W146" s="15"/>
      <c r="X146" s="15"/>
      <c r="Y146" s="15"/>
      <c r="Z146" s="15"/>
      <c r="AA146" s="15"/>
      <c r="AB146" s="15"/>
      <c r="AC146" s="15"/>
      <c r="AD146" s="15"/>
      <c r="AE146" s="15"/>
      <c r="AF146" s="15"/>
    </row>
    <row r="147" spans="6:32" s="21" customFormat="1" ht="14.25" x14ac:dyDescent="0.45">
      <c r="F147" s="49">
        <v>41395</v>
      </c>
      <c r="G147" s="52">
        <v>105</v>
      </c>
      <c r="H147" s="52">
        <v>210</v>
      </c>
      <c r="I147" s="52">
        <v>105</v>
      </c>
      <c r="J147"/>
      <c r="K147"/>
      <c r="L147"/>
      <c r="M147"/>
      <c r="N147" s="37"/>
      <c r="O147" s="53">
        <v>1044315.3</v>
      </c>
      <c r="P147" s="53">
        <v>8354522.4000000004</v>
      </c>
      <c r="Q147" s="53">
        <v>1044315.3</v>
      </c>
      <c r="R147" s="53"/>
      <c r="S147" s="53">
        <v>1044315.3</v>
      </c>
      <c r="T147" s="15">
        <v>8354522.4000000004</v>
      </c>
      <c r="U147" s="15">
        <v>1044315.3</v>
      </c>
      <c r="V147" s="15"/>
      <c r="W147" s="15"/>
      <c r="X147" s="15"/>
      <c r="Y147" s="15"/>
      <c r="Z147" s="15"/>
      <c r="AA147" s="15"/>
      <c r="AB147" s="15"/>
      <c r="AC147" s="15"/>
      <c r="AD147" s="15"/>
      <c r="AE147" s="15"/>
      <c r="AF147" s="15"/>
    </row>
    <row r="148" spans="6:32" s="21" customFormat="1" ht="14.25" x14ac:dyDescent="0.45">
      <c r="F148" s="49">
        <v>41426</v>
      </c>
      <c r="G148" s="52">
        <v>101.7</v>
      </c>
      <c r="H148" s="52">
        <v>203.4</v>
      </c>
      <c r="I148" s="52">
        <v>101.7</v>
      </c>
      <c r="J148"/>
      <c r="K148"/>
      <c r="L148"/>
      <c r="M148"/>
      <c r="N148" s="37"/>
      <c r="O148" s="53">
        <v>1087071.3</v>
      </c>
      <c r="P148" s="53">
        <v>8696570.4000000004</v>
      </c>
      <c r="Q148" s="53">
        <v>1087071.3</v>
      </c>
      <c r="R148" s="53"/>
      <c r="S148" s="53">
        <v>1087071.3</v>
      </c>
      <c r="T148" s="15">
        <v>8696570.4000000004</v>
      </c>
      <c r="U148" s="15">
        <v>1087071.3</v>
      </c>
      <c r="V148" s="15"/>
      <c r="W148" s="15"/>
      <c r="X148" s="15"/>
      <c r="Y148" s="15"/>
      <c r="Z148" s="15"/>
      <c r="AA148" s="15"/>
      <c r="AB148" s="15"/>
      <c r="AC148" s="15"/>
      <c r="AD148" s="15"/>
      <c r="AE148" s="15"/>
      <c r="AF148" s="15"/>
    </row>
    <row r="149" spans="6:32" s="21" customFormat="1" ht="14.25" x14ac:dyDescent="0.45">
      <c r="F149" s="49">
        <v>41456</v>
      </c>
      <c r="G149" s="52">
        <v>108</v>
      </c>
      <c r="H149" s="52">
        <v>216</v>
      </c>
      <c r="I149" s="52">
        <v>108</v>
      </c>
      <c r="J149"/>
      <c r="K149"/>
      <c r="L149"/>
      <c r="M149"/>
      <c r="N149" s="37"/>
      <c r="O149" s="53">
        <v>1153278</v>
      </c>
      <c r="P149" s="53">
        <v>9226224</v>
      </c>
      <c r="Q149" s="53">
        <v>1153278</v>
      </c>
      <c r="R149" s="53"/>
      <c r="S149" s="53">
        <v>1153278</v>
      </c>
      <c r="T149" s="15">
        <v>9226224</v>
      </c>
      <c r="U149" s="15">
        <v>1153278</v>
      </c>
      <c r="V149" s="15"/>
      <c r="W149" s="15"/>
      <c r="X149" s="15"/>
      <c r="Y149" s="15"/>
      <c r="Z149" s="15"/>
      <c r="AA149" s="15"/>
      <c r="AB149" s="15"/>
      <c r="AC149" s="15"/>
      <c r="AD149" s="15"/>
      <c r="AE149" s="15"/>
      <c r="AF149" s="15"/>
    </row>
    <row r="150" spans="6:32" s="21" customFormat="1" ht="14.25" x14ac:dyDescent="0.45">
      <c r="F150" s="49">
        <v>41487</v>
      </c>
      <c r="G150" s="52">
        <v>112</v>
      </c>
      <c r="H150" s="52">
        <v>224</v>
      </c>
      <c r="I150" s="52">
        <v>112</v>
      </c>
      <c r="J150"/>
      <c r="K150"/>
      <c r="L150"/>
      <c r="M150"/>
      <c r="N150" s="37"/>
      <c r="O150" s="53">
        <v>1230163.2</v>
      </c>
      <c r="P150" s="53">
        <v>9841305.5999999996</v>
      </c>
      <c r="Q150" s="53">
        <v>1230163.2</v>
      </c>
      <c r="R150" s="53"/>
      <c r="S150" s="53">
        <v>1230163.2</v>
      </c>
      <c r="T150" s="15">
        <v>9841305.5999999996</v>
      </c>
      <c r="U150" s="15">
        <v>1230163.2</v>
      </c>
      <c r="V150" s="15"/>
      <c r="W150" s="15"/>
      <c r="X150" s="15"/>
      <c r="Y150" s="15"/>
      <c r="Z150" s="15"/>
      <c r="AA150" s="15"/>
      <c r="AB150" s="15"/>
      <c r="AC150" s="15"/>
      <c r="AD150" s="15"/>
      <c r="AE150" s="15"/>
      <c r="AF150" s="15"/>
    </row>
    <row r="151" spans="6:32" s="21" customFormat="1" ht="14.25" x14ac:dyDescent="0.45">
      <c r="F151" s="49">
        <v>41518</v>
      </c>
      <c r="G151" s="52">
        <v>107.3</v>
      </c>
      <c r="H151" s="52">
        <v>214.6</v>
      </c>
      <c r="I151" s="52">
        <v>107.3</v>
      </c>
      <c r="J151"/>
      <c r="K151"/>
      <c r="L151"/>
      <c r="M151"/>
      <c r="N151" s="37"/>
      <c r="O151" s="53">
        <v>1297900.8</v>
      </c>
      <c r="P151" s="53">
        <v>10383206.4</v>
      </c>
      <c r="Q151" s="53">
        <v>1297900.8</v>
      </c>
      <c r="R151" s="53"/>
      <c r="S151" s="53">
        <v>1297900.8</v>
      </c>
      <c r="T151" s="15">
        <v>10383206.4</v>
      </c>
      <c r="U151" s="15">
        <v>1297900.8</v>
      </c>
      <c r="V151" s="15"/>
      <c r="W151" s="15"/>
      <c r="X151" s="15"/>
      <c r="Y151" s="15"/>
      <c r="Z151" s="15"/>
      <c r="AA151" s="15"/>
      <c r="AB151" s="15"/>
      <c r="AC151" s="15"/>
      <c r="AD151" s="15"/>
      <c r="AE151" s="15"/>
      <c r="AF151" s="15"/>
    </row>
    <row r="152" spans="6:32" s="21" customFormat="1" ht="14.25" x14ac:dyDescent="0.45">
      <c r="F152" s="49">
        <v>41548</v>
      </c>
      <c r="G152" s="52">
        <v>112.6</v>
      </c>
      <c r="H152" s="52">
        <v>225.2</v>
      </c>
      <c r="I152" s="52">
        <v>112.6</v>
      </c>
      <c r="J152"/>
      <c r="K152"/>
      <c r="L152"/>
      <c r="M152"/>
      <c r="N152" s="37"/>
      <c r="O152" s="53">
        <v>1353181.76</v>
      </c>
      <c r="P152" s="53">
        <v>10825454.08</v>
      </c>
      <c r="Q152" s="53">
        <v>1353181.76</v>
      </c>
      <c r="R152" s="53"/>
      <c r="S152" s="53">
        <v>1353181.76</v>
      </c>
      <c r="T152" s="15">
        <v>10825454.08</v>
      </c>
      <c r="U152" s="15">
        <v>1353181.76</v>
      </c>
      <c r="V152" s="15"/>
      <c r="W152" s="15"/>
      <c r="X152" s="15"/>
      <c r="Y152" s="15"/>
      <c r="Z152" s="15"/>
      <c r="AA152" s="15"/>
      <c r="AB152" s="15"/>
      <c r="AC152" s="15"/>
      <c r="AD152" s="15"/>
      <c r="AE152" s="15"/>
      <c r="AF152" s="15"/>
    </row>
    <row r="153" spans="6:32" s="21" customFormat="1" ht="14.25" x14ac:dyDescent="0.45">
      <c r="F153" s="49">
        <v>41579</v>
      </c>
      <c r="G153" s="52">
        <v>106.1</v>
      </c>
      <c r="H153" s="52">
        <v>212.2</v>
      </c>
      <c r="I153" s="52">
        <v>106.1</v>
      </c>
      <c r="J153"/>
      <c r="K153"/>
      <c r="L153"/>
      <c r="M153"/>
      <c r="N153" s="37"/>
      <c r="O153" s="53">
        <v>1281898.078</v>
      </c>
      <c r="P153" s="53">
        <v>10255184.624</v>
      </c>
      <c r="Q153" s="53">
        <v>1281898.078</v>
      </c>
      <c r="R153" s="53"/>
      <c r="S153" s="53">
        <v>1281898.078</v>
      </c>
      <c r="T153" s="15">
        <v>10255184.624</v>
      </c>
      <c r="U153" s="15">
        <v>1281898.078</v>
      </c>
      <c r="V153" s="15"/>
      <c r="W153" s="15"/>
      <c r="X153" s="15"/>
      <c r="Y153" s="15"/>
      <c r="Z153" s="15"/>
      <c r="AA153" s="15"/>
      <c r="AB153" s="15"/>
      <c r="AC153" s="15"/>
      <c r="AD153" s="15"/>
      <c r="AE153" s="15"/>
      <c r="AF153" s="15"/>
    </row>
    <row r="154" spans="6:32" s="21" customFormat="1" ht="14.25" x14ac:dyDescent="0.45">
      <c r="F154" s="49">
        <v>41609</v>
      </c>
      <c r="G154" s="52">
        <v>90.1</v>
      </c>
      <c r="H154" s="52">
        <v>180.2</v>
      </c>
      <c r="I154" s="52">
        <v>90.1</v>
      </c>
      <c r="J154"/>
      <c r="K154"/>
      <c r="L154"/>
      <c r="M154"/>
      <c r="N154" s="37"/>
      <c r="O154" s="53">
        <v>1076412.0859999999</v>
      </c>
      <c r="P154" s="53">
        <v>8611296.6879999992</v>
      </c>
      <c r="Q154" s="53">
        <v>1076412.0859999999</v>
      </c>
      <c r="R154" s="53"/>
      <c r="S154" s="53">
        <v>1076412.0859999999</v>
      </c>
      <c r="T154" s="15">
        <v>8611296.6879999992</v>
      </c>
      <c r="U154" s="15">
        <v>1076412.0859999999</v>
      </c>
      <c r="V154" s="15"/>
      <c r="W154" s="15"/>
      <c r="X154" s="15"/>
      <c r="Y154" s="15"/>
      <c r="Z154" s="15"/>
      <c r="AA154" s="15"/>
      <c r="AB154" s="15"/>
      <c r="AC154" s="15"/>
      <c r="AD154" s="15"/>
      <c r="AE154" s="15"/>
      <c r="AF154" s="15"/>
    </row>
    <row r="155" spans="6:32" s="21" customFormat="1" ht="14.25" x14ac:dyDescent="0.45">
      <c r="F155" s="49">
        <v>41640</v>
      </c>
      <c r="G155" s="52">
        <v>92.6</v>
      </c>
      <c r="H155" s="52">
        <v>185.2</v>
      </c>
      <c r="I155" s="52">
        <v>92.6</v>
      </c>
      <c r="J155"/>
      <c r="K155"/>
      <c r="L155"/>
      <c r="M155"/>
      <c r="N155" s="37"/>
      <c r="O155" s="53">
        <v>885219.88599999982</v>
      </c>
      <c r="P155" s="53">
        <v>7081759.0879999986</v>
      </c>
      <c r="Q155" s="53">
        <v>885219.88599999982</v>
      </c>
      <c r="R155" s="53"/>
      <c r="S155" s="53">
        <v>885219.88599999982</v>
      </c>
      <c r="T155" s="15">
        <v>7081759.0879999986</v>
      </c>
      <c r="U155" s="15">
        <v>885219.88599999982</v>
      </c>
      <c r="V155" s="15"/>
      <c r="W155" s="15"/>
      <c r="X155" s="15"/>
      <c r="Y155" s="15"/>
      <c r="Z155" s="15"/>
      <c r="AA155" s="15"/>
      <c r="AB155" s="15"/>
      <c r="AC155" s="15"/>
      <c r="AD155" s="15"/>
      <c r="AE155" s="15"/>
      <c r="AF155" s="15"/>
    </row>
    <row r="156" spans="6:32" s="21" customFormat="1" ht="14.25" x14ac:dyDescent="0.45">
      <c r="F156" s="49">
        <v>41671</v>
      </c>
      <c r="G156" s="52">
        <v>92.3</v>
      </c>
      <c r="H156" s="52">
        <v>184.6</v>
      </c>
      <c r="I156" s="52">
        <v>92.3</v>
      </c>
      <c r="J156"/>
      <c r="K156"/>
      <c r="L156"/>
      <c r="M156"/>
      <c r="N156" s="37"/>
      <c r="O156" s="53">
        <v>770082.89799999981</v>
      </c>
      <c r="P156" s="53">
        <v>6160663.1839999985</v>
      </c>
      <c r="Q156" s="53">
        <v>770082.89799999981</v>
      </c>
      <c r="R156" s="53"/>
      <c r="S156" s="53">
        <v>770082.89799999981</v>
      </c>
      <c r="T156" s="15">
        <v>6160663.1839999985</v>
      </c>
      <c r="U156" s="15">
        <v>770082.89799999981</v>
      </c>
      <c r="V156" s="15"/>
      <c r="W156" s="15"/>
      <c r="X156" s="15"/>
      <c r="Y156" s="15"/>
      <c r="Z156" s="15"/>
      <c r="AA156" s="15"/>
      <c r="AB156" s="15"/>
      <c r="AC156" s="15"/>
      <c r="AD156" s="15"/>
      <c r="AE156" s="15"/>
      <c r="AF156" s="15"/>
    </row>
    <row r="157" spans="6:32" s="21" customFormat="1" ht="14.25" x14ac:dyDescent="0.45">
      <c r="F157" s="49">
        <v>41699</v>
      </c>
      <c r="G157" s="52">
        <v>97.3</v>
      </c>
      <c r="H157" s="52">
        <v>194.6</v>
      </c>
      <c r="I157" s="52">
        <v>97.3</v>
      </c>
      <c r="J157"/>
      <c r="K157"/>
      <c r="L157"/>
      <c r="M157"/>
      <c r="N157" s="37"/>
      <c r="O157" s="53">
        <v>831621.15399999998</v>
      </c>
      <c r="P157" s="53">
        <v>6652969.2319999998</v>
      </c>
      <c r="Q157" s="53">
        <v>831621.15399999998</v>
      </c>
      <c r="R157" s="53"/>
      <c r="S157" s="53">
        <v>831621.15399999998</v>
      </c>
      <c r="T157" s="15">
        <v>6652969.2319999998</v>
      </c>
      <c r="U157" s="15">
        <v>831621.15399999998</v>
      </c>
      <c r="V157" s="15"/>
      <c r="W157" s="15"/>
      <c r="X157" s="15"/>
      <c r="Y157" s="15"/>
      <c r="Z157" s="15"/>
      <c r="AA157" s="15"/>
      <c r="AB157" s="15"/>
      <c r="AC157" s="15"/>
      <c r="AD157" s="15"/>
      <c r="AE157" s="15"/>
      <c r="AF157" s="15"/>
    </row>
    <row r="158" spans="6:32" s="21" customFormat="1" ht="14.25" x14ac:dyDescent="0.45">
      <c r="F158" s="49">
        <v>41730</v>
      </c>
      <c r="G158" s="52">
        <v>96</v>
      </c>
      <c r="H158" s="52">
        <v>192</v>
      </c>
      <c r="I158" s="52">
        <v>96</v>
      </c>
      <c r="J158"/>
      <c r="K158"/>
      <c r="L158"/>
      <c r="M158"/>
      <c r="N158" s="37"/>
      <c r="O158" s="53">
        <v>862155.83999999985</v>
      </c>
      <c r="P158" s="53">
        <v>6897246.7199999988</v>
      </c>
      <c r="Q158" s="53">
        <v>862155.83999999985</v>
      </c>
      <c r="R158" s="53"/>
      <c r="S158" s="53">
        <v>862155.83999999985</v>
      </c>
      <c r="T158" s="15">
        <v>6897246.7199999988</v>
      </c>
      <c r="U158" s="15">
        <v>862155.83999999985</v>
      </c>
      <c r="V158" s="15"/>
      <c r="W158" s="15"/>
      <c r="X158" s="15"/>
      <c r="Y158" s="15"/>
      <c r="Z158" s="15"/>
      <c r="AA158" s="15"/>
      <c r="AB158" s="15"/>
      <c r="AC158" s="15"/>
      <c r="AD158" s="15"/>
      <c r="AE158" s="15"/>
      <c r="AF158" s="15"/>
    </row>
    <row r="159" spans="6:32" s="21" customFormat="1" ht="14.25" x14ac:dyDescent="0.45">
      <c r="F159" s="49">
        <v>41760</v>
      </c>
      <c r="G159" s="52">
        <v>101.7</v>
      </c>
      <c r="H159" s="52">
        <v>203.4</v>
      </c>
      <c r="I159" s="52">
        <v>101.7</v>
      </c>
      <c r="J159"/>
      <c r="K159"/>
      <c r="L159"/>
      <c r="M159"/>
      <c r="N159" s="37"/>
      <c r="O159" s="53">
        <v>949959.36</v>
      </c>
      <c r="P159" s="53">
        <v>7599674.8799999999</v>
      </c>
      <c r="Q159" s="53">
        <v>949959.36</v>
      </c>
      <c r="R159" s="53"/>
      <c r="S159" s="53">
        <v>949959.36</v>
      </c>
      <c r="T159" s="15">
        <v>7599674.8799999999</v>
      </c>
      <c r="U159" s="15">
        <v>949959.36</v>
      </c>
      <c r="V159" s="15"/>
      <c r="W159" s="15"/>
      <c r="X159" s="15"/>
      <c r="Y159" s="15"/>
      <c r="Z159" s="15"/>
      <c r="AA159" s="15"/>
      <c r="AB159" s="15"/>
      <c r="AC159" s="15"/>
      <c r="AD159" s="15"/>
      <c r="AE159" s="15"/>
      <c r="AF159" s="15"/>
    </row>
    <row r="160" spans="6:32" s="21" customFormat="1" ht="14.25" x14ac:dyDescent="0.45">
      <c r="F160" s="49">
        <v>41791</v>
      </c>
      <c r="G160" s="52">
        <v>94.9</v>
      </c>
      <c r="H160" s="52">
        <v>189.8</v>
      </c>
      <c r="I160" s="52">
        <v>94.9</v>
      </c>
      <c r="J160"/>
      <c r="K160"/>
      <c r="L160"/>
      <c r="M160"/>
      <c r="N160" s="37"/>
      <c r="O160" s="53">
        <v>926527.68000000017</v>
      </c>
      <c r="P160" s="53">
        <v>7412221.4400000013</v>
      </c>
      <c r="Q160" s="53">
        <v>926527.68000000017</v>
      </c>
      <c r="R160" s="53"/>
      <c r="S160" s="53">
        <v>926527.68000000017</v>
      </c>
      <c r="T160" s="15">
        <v>7412221.4400000013</v>
      </c>
      <c r="U160" s="15">
        <v>926527.68000000017</v>
      </c>
      <c r="V160" s="15"/>
      <c r="W160" s="15"/>
      <c r="X160" s="15"/>
      <c r="Y160" s="15"/>
      <c r="Z160" s="15"/>
      <c r="AA160" s="15"/>
      <c r="AB160" s="15"/>
      <c r="AC160" s="15"/>
      <c r="AD160" s="15"/>
      <c r="AE160" s="15"/>
      <c r="AF160" s="15"/>
    </row>
    <row r="161" spans="6:32" s="21" customFormat="1" ht="14.25" x14ac:dyDescent="0.45">
      <c r="F161" s="49">
        <v>41821</v>
      </c>
      <c r="G161" s="52">
        <v>104.4</v>
      </c>
      <c r="H161" s="52">
        <v>208.8</v>
      </c>
      <c r="I161" s="52">
        <v>104.4</v>
      </c>
      <c r="J161"/>
      <c r="K161"/>
      <c r="L161"/>
      <c r="M161"/>
      <c r="N161" s="37"/>
      <c r="O161" s="53">
        <v>1007598.8520000002</v>
      </c>
      <c r="P161" s="53">
        <v>8060790.8160000015</v>
      </c>
      <c r="Q161" s="53">
        <v>1007598.8520000002</v>
      </c>
      <c r="R161" s="53"/>
      <c r="S161" s="53">
        <v>1007598.8520000002</v>
      </c>
      <c r="T161" s="15">
        <v>8060790.8160000015</v>
      </c>
      <c r="U161" s="15">
        <v>1007598.8520000002</v>
      </c>
      <c r="V161" s="15"/>
      <c r="W161" s="15"/>
      <c r="X161" s="15"/>
      <c r="Y161" s="15"/>
      <c r="Z161" s="15"/>
      <c r="AA161" s="15"/>
      <c r="AB161" s="15"/>
      <c r="AC161" s="15"/>
      <c r="AD161" s="15"/>
      <c r="AE161" s="15"/>
      <c r="AF161" s="15"/>
    </row>
    <row r="162" spans="6:32" s="21" customFormat="1" ht="14.25" x14ac:dyDescent="0.45">
      <c r="F162" s="49">
        <v>41852</v>
      </c>
      <c r="G162" s="52">
        <v>106.3</v>
      </c>
      <c r="H162" s="52">
        <v>212.6</v>
      </c>
      <c r="I162" s="52">
        <v>106.3</v>
      </c>
      <c r="J162"/>
      <c r="K162"/>
      <c r="L162"/>
      <c r="M162"/>
      <c r="N162" s="37"/>
      <c r="O162" s="53">
        <v>1053173.628</v>
      </c>
      <c r="P162" s="53">
        <v>8425389.0240000002</v>
      </c>
      <c r="Q162" s="53">
        <v>1053173.628</v>
      </c>
      <c r="R162" s="53"/>
      <c r="S162" s="53">
        <v>1053173.628</v>
      </c>
      <c r="T162" s="15">
        <v>8425389.0240000002</v>
      </c>
      <c r="U162" s="15">
        <v>1053173.628</v>
      </c>
      <c r="V162" s="15"/>
      <c r="W162" s="15"/>
      <c r="X162" s="15"/>
      <c r="Y162" s="15"/>
      <c r="Z162" s="15"/>
      <c r="AA162" s="15"/>
      <c r="AB162" s="15"/>
      <c r="AC162" s="15"/>
      <c r="AD162" s="15"/>
      <c r="AE162" s="15"/>
      <c r="AF162" s="15"/>
    </row>
    <row r="163" spans="6:32" s="21" customFormat="1" ht="14.25" x14ac:dyDescent="0.45">
      <c r="F163" s="49">
        <v>41883</v>
      </c>
      <c r="G163" s="52">
        <v>105.6</v>
      </c>
      <c r="H163" s="52">
        <v>211.2</v>
      </c>
      <c r="I163" s="52">
        <v>105.6</v>
      </c>
      <c r="J163"/>
      <c r="K163"/>
      <c r="L163"/>
      <c r="M163"/>
      <c r="N163" s="37"/>
      <c r="O163" s="53">
        <v>1171919.2320000001</v>
      </c>
      <c r="P163" s="53">
        <v>9375353.8560000006</v>
      </c>
      <c r="Q163" s="53">
        <v>1171919.2320000001</v>
      </c>
      <c r="R163" s="53"/>
      <c r="S163" s="53">
        <v>1171919.2320000001</v>
      </c>
      <c r="T163" s="15">
        <v>9375353.8560000006</v>
      </c>
      <c r="U163" s="15">
        <v>1171919.2320000001</v>
      </c>
      <c r="V163" s="15"/>
      <c r="W163" s="15"/>
      <c r="X163" s="15"/>
      <c r="Y163" s="15"/>
      <c r="Z163" s="15"/>
      <c r="AA163" s="15"/>
      <c r="AB163" s="15"/>
      <c r="AC163" s="15"/>
      <c r="AD163" s="15"/>
      <c r="AE163" s="15"/>
      <c r="AF163" s="15"/>
    </row>
    <row r="164" spans="6:32" s="21" customFormat="1" ht="14.25" x14ac:dyDescent="0.45">
      <c r="F164" s="49">
        <v>41913</v>
      </c>
      <c r="G164" s="52">
        <v>109.3</v>
      </c>
      <c r="H164" s="52">
        <v>218.6</v>
      </c>
      <c r="I164" s="52">
        <v>109.3</v>
      </c>
      <c r="J164"/>
      <c r="K164"/>
      <c r="L164"/>
      <c r="M164"/>
      <c r="N164" s="37"/>
      <c r="O164" s="53">
        <v>1226923.1039999998</v>
      </c>
      <c r="P164" s="53">
        <v>9815384.8319999985</v>
      </c>
      <c r="Q164" s="53">
        <v>1226923.1039999998</v>
      </c>
      <c r="R164" s="53"/>
      <c r="S164" s="53">
        <v>1226923.1039999998</v>
      </c>
      <c r="T164" s="15">
        <v>9815384.8319999985</v>
      </c>
      <c r="U164" s="15">
        <v>1226923.1039999998</v>
      </c>
      <c r="V164" s="15"/>
      <c r="W164" s="15"/>
      <c r="X164" s="15"/>
      <c r="Y164" s="15"/>
      <c r="Z164" s="15"/>
      <c r="AA164" s="15"/>
      <c r="AB164" s="15"/>
      <c r="AC164" s="15"/>
      <c r="AD164" s="15"/>
      <c r="AE164" s="15"/>
      <c r="AF164" s="15"/>
    </row>
    <row r="165" spans="6:32" s="21" customFormat="1" ht="14.25" x14ac:dyDescent="0.45">
      <c r="F165" s="49">
        <v>41944</v>
      </c>
      <c r="G165" s="52">
        <v>99.8</v>
      </c>
      <c r="H165" s="52">
        <v>199.6</v>
      </c>
      <c r="I165" s="52">
        <v>99.8</v>
      </c>
      <c r="J165"/>
      <c r="K165"/>
      <c r="L165"/>
      <c r="M165"/>
      <c r="N165" s="37"/>
      <c r="O165" s="53">
        <v>1151899.584</v>
      </c>
      <c r="P165" s="53">
        <v>9215196.6720000003</v>
      </c>
      <c r="Q165" s="53">
        <v>1151899.584</v>
      </c>
      <c r="R165" s="53"/>
      <c r="S165" s="53">
        <v>1151899.584</v>
      </c>
      <c r="T165" s="15">
        <v>9215196.6720000003</v>
      </c>
      <c r="U165" s="15">
        <v>1151899.584</v>
      </c>
      <c r="V165" s="15"/>
      <c r="W165" s="15"/>
      <c r="X165" s="15"/>
      <c r="Y165" s="15"/>
      <c r="Z165" s="15"/>
      <c r="AA165" s="15"/>
      <c r="AB165" s="15"/>
      <c r="AC165" s="15"/>
      <c r="AD165" s="15"/>
      <c r="AE165" s="15"/>
      <c r="AF165" s="15"/>
    </row>
    <row r="166" spans="6:32" s="21" customFormat="1" ht="14.25" x14ac:dyDescent="0.45">
      <c r="F166" s="49">
        <v>41974</v>
      </c>
      <c r="G166" s="52">
        <v>87.7</v>
      </c>
      <c r="H166" s="52">
        <v>175.4</v>
      </c>
      <c r="I166" s="52">
        <v>87.7</v>
      </c>
      <c r="J166"/>
      <c r="K166"/>
      <c r="L166"/>
      <c r="M166"/>
      <c r="N166" s="37"/>
      <c r="O166" s="53">
        <v>956643.87800000003</v>
      </c>
      <c r="P166" s="53">
        <v>7653151.0240000002</v>
      </c>
      <c r="Q166" s="53">
        <v>956643.87800000003</v>
      </c>
      <c r="R166" s="53"/>
      <c r="S166" s="53">
        <v>956643.87800000003</v>
      </c>
      <c r="T166" s="15">
        <v>7653151.0240000002</v>
      </c>
      <c r="U166" s="15">
        <v>956643.87800000003</v>
      </c>
      <c r="V166" s="15"/>
      <c r="W166" s="15"/>
      <c r="X166" s="15"/>
      <c r="Y166" s="15"/>
      <c r="Z166" s="15"/>
      <c r="AA166" s="15"/>
      <c r="AB166" s="15"/>
      <c r="AC166" s="15"/>
      <c r="AD166" s="15"/>
      <c r="AE166" s="15"/>
      <c r="AF166" s="15"/>
    </row>
    <row r="167" spans="6:32" s="21" customFormat="1" ht="14.25" x14ac:dyDescent="0.45">
      <c r="F167" s="49">
        <v>42005</v>
      </c>
      <c r="G167" s="52">
        <v>88.1</v>
      </c>
      <c r="H167" s="52">
        <v>176.2</v>
      </c>
      <c r="I167" s="52">
        <v>88.1</v>
      </c>
      <c r="J167"/>
      <c r="K167"/>
      <c r="L167"/>
      <c r="M167"/>
      <c r="N167" s="37"/>
      <c r="O167" s="53">
        <v>771091.72599999991</v>
      </c>
      <c r="P167" s="53">
        <v>6168733.8079999993</v>
      </c>
      <c r="Q167" s="53">
        <v>771091.72599999991</v>
      </c>
      <c r="R167" s="53"/>
      <c r="S167" s="53">
        <v>771091.72599999991</v>
      </c>
      <c r="T167" s="15">
        <v>6168733.8079999993</v>
      </c>
      <c r="U167" s="15">
        <v>771091.72599999991</v>
      </c>
      <c r="V167" s="15"/>
      <c r="W167" s="15"/>
      <c r="X167" s="15"/>
      <c r="Y167" s="15"/>
      <c r="Z167" s="15"/>
      <c r="AA167" s="15"/>
      <c r="AB167" s="15"/>
      <c r="AC167" s="15"/>
      <c r="AD167" s="15"/>
      <c r="AE167" s="15"/>
      <c r="AF167" s="15"/>
    </row>
    <row r="168" spans="6:32" s="21" customFormat="1" ht="14.25" x14ac:dyDescent="0.45">
      <c r="F168" s="49">
        <v>42036</v>
      </c>
      <c r="G168" s="52">
        <v>83.7</v>
      </c>
      <c r="H168" s="52">
        <v>167.4</v>
      </c>
      <c r="I168" s="52">
        <v>83.7</v>
      </c>
      <c r="J168"/>
      <c r="K168"/>
      <c r="L168"/>
      <c r="M168"/>
      <c r="N168" s="37"/>
      <c r="O168" s="53">
        <v>646697.16899999999</v>
      </c>
      <c r="P168" s="53">
        <v>5173577.352</v>
      </c>
      <c r="Q168" s="53">
        <v>646697.16899999999</v>
      </c>
      <c r="R168" s="53"/>
      <c r="S168" s="53">
        <v>646697.16899999999</v>
      </c>
      <c r="T168" s="15">
        <v>5173577.352</v>
      </c>
      <c r="U168" s="15">
        <v>646697.16899999999</v>
      </c>
      <c r="V168" s="15"/>
      <c r="W168" s="15"/>
      <c r="X168" s="15"/>
      <c r="Y168" s="15"/>
      <c r="Z168" s="15"/>
      <c r="AA168" s="15"/>
      <c r="AB168" s="15"/>
      <c r="AC168" s="15"/>
      <c r="AD168" s="15"/>
      <c r="AE168" s="15"/>
      <c r="AF168" s="15"/>
    </row>
    <row r="169" spans="6:32" s="21" customFormat="1" ht="14.25" x14ac:dyDescent="0.45">
      <c r="F169" s="49">
        <v>42064</v>
      </c>
      <c r="G169" s="52">
        <v>94.3</v>
      </c>
      <c r="H169" s="52">
        <v>188.6</v>
      </c>
      <c r="I169" s="52">
        <v>94.3</v>
      </c>
      <c r="J169"/>
      <c r="K169"/>
      <c r="L169"/>
      <c r="M169"/>
      <c r="N169" s="37"/>
      <c r="O169" s="53">
        <v>695365.37099999993</v>
      </c>
      <c r="P169" s="53">
        <v>5562922.9679999994</v>
      </c>
      <c r="Q169" s="53">
        <v>695365.37099999993</v>
      </c>
      <c r="R169" s="53"/>
      <c r="S169" s="53">
        <v>695365.37099999993</v>
      </c>
      <c r="T169" s="15">
        <v>5562922.9679999994</v>
      </c>
      <c r="U169" s="15">
        <v>695365.37099999993</v>
      </c>
      <c r="V169" s="15"/>
      <c r="W169" s="15"/>
      <c r="X169" s="15"/>
      <c r="Y169" s="15"/>
      <c r="Z169" s="15"/>
      <c r="AA169" s="15"/>
      <c r="AB169" s="15"/>
      <c r="AC169" s="15"/>
      <c r="AD169" s="15"/>
      <c r="AE169" s="15"/>
      <c r="AF169" s="15"/>
    </row>
    <row r="170" spans="6:32" s="21" customFormat="1" ht="14.25" x14ac:dyDescent="0.45">
      <c r="F170" s="49">
        <v>42095</v>
      </c>
      <c r="G170" s="52">
        <v>88.8</v>
      </c>
      <c r="H170" s="52">
        <v>177.6</v>
      </c>
      <c r="I170" s="52">
        <v>88.8</v>
      </c>
      <c r="J170"/>
      <c r="K170"/>
      <c r="L170"/>
      <c r="M170"/>
      <c r="N170" s="37"/>
      <c r="O170" s="53">
        <v>700890.40799999994</v>
      </c>
      <c r="P170" s="53">
        <v>5607123.2639999995</v>
      </c>
      <c r="Q170" s="53">
        <v>700890.40799999994</v>
      </c>
      <c r="R170" s="53"/>
      <c r="S170" s="53">
        <v>700890.40799999994</v>
      </c>
      <c r="T170" s="15">
        <v>5607123.2639999995</v>
      </c>
      <c r="U170" s="15">
        <v>700890.40799999994</v>
      </c>
      <c r="V170" s="15"/>
      <c r="W170" s="15"/>
      <c r="X170" s="15"/>
      <c r="Y170" s="15"/>
      <c r="Z170" s="15"/>
      <c r="AA170" s="15"/>
      <c r="AB170" s="15"/>
      <c r="AC170" s="15"/>
      <c r="AD170" s="15"/>
      <c r="AE170" s="15"/>
      <c r="AF170" s="15"/>
    </row>
    <row r="171" spans="6:32" s="21" customFormat="1" ht="14.25" x14ac:dyDescent="0.45">
      <c r="F171" s="49">
        <v>42125</v>
      </c>
      <c r="G171" s="52">
        <v>93.1</v>
      </c>
      <c r="H171" s="52">
        <v>186.2</v>
      </c>
      <c r="I171" s="52">
        <v>93.1</v>
      </c>
      <c r="J171"/>
      <c r="K171"/>
      <c r="L171"/>
      <c r="M171"/>
      <c r="N171" s="37"/>
      <c r="O171" s="53">
        <v>779604.50399999996</v>
      </c>
      <c r="P171" s="53">
        <v>6236836.0319999997</v>
      </c>
      <c r="Q171" s="53">
        <v>779604.50399999996</v>
      </c>
      <c r="R171" s="53"/>
      <c r="S171" s="53">
        <v>779604.50399999996</v>
      </c>
      <c r="T171" s="15">
        <v>6236836.0319999997</v>
      </c>
      <c r="U171" s="15">
        <v>779604.50399999996</v>
      </c>
      <c r="V171" s="15"/>
      <c r="W171" s="15"/>
      <c r="X171" s="15"/>
      <c r="Y171" s="15"/>
      <c r="Z171" s="15"/>
      <c r="AA171" s="15"/>
      <c r="AB171" s="15"/>
      <c r="AC171" s="15"/>
      <c r="AD171" s="15"/>
      <c r="AE171" s="15"/>
      <c r="AF171" s="15"/>
    </row>
    <row r="172" spans="6:32" s="21" customFormat="1" ht="14.25" x14ac:dyDescent="0.45">
      <c r="F172" s="49">
        <v>42156</v>
      </c>
      <c r="G172" s="52">
        <v>92.5</v>
      </c>
      <c r="H172" s="52">
        <v>185</v>
      </c>
      <c r="I172" s="52">
        <v>92.5</v>
      </c>
      <c r="J172"/>
      <c r="K172"/>
      <c r="L172"/>
      <c r="M172"/>
      <c r="N172" s="37"/>
      <c r="O172" s="53">
        <v>764723.39999999991</v>
      </c>
      <c r="P172" s="53">
        <v>6117787.1999999993</v>
      </c>
      <c r="Q172" s="53">
        <v>764723.39999999991</v>
      </c>
      <c r="R172" s="53"/>
      <c r="S172" s="53">
        <v>764723.39999999991</v>
      </c>
      <c r="T172" s="15">
        <v>6117787.1999999993</v>
      </c>
      <c r="U172" s="15">
        <v>764723.39999999991</v>
      </c>
      <c r="V172" s="15"/>
      <c r="W172" s="15"/>
      <c r="X172" s="15"/>
      <c r="Y172" s="15"/>
      <c r="Z172" s="15"/>
      <c r="AA172" s="15"/>
      <c r="AB172" s="15"/>
      <c r="AC172" s="15"/>
      <c r="AD172" s="15"/>
      <c r="AE172" s="15"/>
      <c r="AF172" s="15"/>
    </row>
    <row r="173" spans="6:32" s="21" customFormat="1" ht="14.25" x14ac:dyDescent="0.45">
      <c r="F173" s="49">
        <v>42186</v>
      </c>
      <c r="G173" s="52">
        <v>95.5</v>
      </c>
      <c r="H173" s="52">
        <v>191</v>
      </c>
      <c r="I173" s="52">
        <v>95.5</v>
      </c>
      <c r="J173"/>
      <c r="K173"/>
      <c r="L173"/>
      <c r="M173"/>
      <c r="N173" s="37"/>
      <c r="O173" s="53">
        <v>822422.125</v>
      </c>
      <c r="P173" s="53">
        <v>6579377</v>
      </c>
      <c r="Q173" s="53">
        <v>822422.125</v>
      </c>
      <c r="R173" s="53"/>
      <c r="S173" s="53">
        <v>822422.125</v>
      </c>
      <c r="T173" s="15">
        <v>6579377</v>
      </c>
      <c r="U173" s="15">
        <v>822422.125</v>
      </c>
      <c r="V173" s="15"/>
      <c r="W173" s="15"/>
      <c r="X173" s="15"/>
      <c r="Y173" s="15"/>
      <c r="Z173" s="15"/>
      <c r="AA173" s="15"/>
      <c r="AB173" s="15"/>
      <c r="AC173" s="15"/>
      <c r="AD173" s="15"/>
      <c r="AE173" s="15"/>
      <c r="AF173" s="15"/>
    </row>
    <row r="174" spans="6:32" s="21" customFormat="1" ht="14.25" x14ac:dyDescent="0.45">
      <c r="F174" s="49">
        <v>42217</v>
      </c>
      <c r="G174" s="52">
        <v>97.6</v>
      </c>
      <c r="H174" s="52">
        <v>195.2</v>
      </c>
      <c r="I174" s="52">
        <v>97.6</v>
      </c>
      <c r="J174"/>
      <c r="K174"/>
      <c r="L174"/>
      <c r="M174"/>
      <c r="N174" s="37"/>
      <c r="O174" s="53">
        <v>862174</v>
      </c>
      <c r="P174" s="53">
        <v>6897392</v>
      </c>
      <c r="Q174" s="53">
        <v>862174</v>
      </c>
      <c r="R174" s="53"/>
      <c r="S174" s="53">
        <v>862174</v>
      </c>
      <c r="T174" s="15">
        <v>6897392</v>
      </c>
      <c r="U174" s="15">
        <v>862174</v>
      </c>
      <c r="V174" s="15"/>
      <c r="W174" s="15"/>
      <c r="X174" s="15"/>
      <c r="Y174" s="15"/>
      <c r="Z174" s="15"/>
      <c r="AA174" s="15"/>
      <c r="AB174" s="15"/>
      <c r="AC174" s="15"/>
      <c r="AD174" s="15"/>
      <c r="AE174" s="15"/>
      <c r="AF174" s="15"/>
    </row>
    <row r="175" spans="6:32" s="21" customFormat="1" ht="14.25" x14ac:dyDescent="0.45">
      <c r="F175" s="49">
        <v>42248</v>
      </c>
      <c r="G175" s="52">
        <v>94.3</v>
      </c>
      <c r="H175" s="52">
        <v>188.6</v>
      </c>
      <c r="I175" s="52">
        <v>94.3</v>
      </c>
      <c r="J175"/>
      <c r="K175"/>
      <c r="L175"/>
      <c r="M175"/>
      <c r="N175" s="37"/>
      <c r="O175" s="53">
        <v>878951.44</v>
      </c>
      <c r="P175" s="53">
        <v>7031611.5199999996</v>
      </c>
      <c r="Q175" s="53">
        <v>878951.44</v>
      </c>
      <c r="R175" s="53"/>
      <c r="S175" s="53">
        <v>878951.44</v>
      </c>
      <c r="T175" s="15">
        <v>7031611.5199999996</v>
      </c>
      <c r="U175" s="15">
        <v>878951.44</v>
      </c>
      <c r="V175" s="15"/>
      <c r="W175" s="15"/>
      <c r="X175" s="15"/>
      <c r="Y175" s="15"/>
      <c r="Z175" s="15"/>
      <c r="AA175" s="15"/>
      <c r="AB175" s="15"/>
      <c r="AC175" s="15"/>
      <c r="AD175" s="15"/>
      <c r="AE175" s="15"/>
      <c r="AF175" s="15"/>
    </row>
    <row r="176" spans="6:32" s="21" customFormat="1" ht="14.25" x14ac:dyDescent="0.45">
      <c r="F176" s="49">
        <v>42278</v>
      </c>
      <c r="G176" s="52">
        <v>97.2</v>
      </c>
      <c r="H176" s="52">
        <v>194.4</v>
      </c>
      <c r="I176" s="52">
        <v>97.2</v>
      </c>
      <c r="J176"/>
      <c r="K176"/>
      <c r="L176"/>
      <c r="M176"/>
      <c r="N176" s="37"/>
      <c r="O176" s="53">
        <v>894597.69599999988</v>
      </c>
      <c r="P176" s="53">
        <v>7156781.567999999</v>
      </c>
      <c r="Q176" s="53">
        <v>894597.69599999988</v>
      </c>
      <c r="R176" s="53"/>
      <c r="S176" s="53">
        <v>894597.69599999988</v>
      </c>
      <c r="T176" s="15">
        <v>7156781.567999999</v>
      </c>
      <c r="U176" s="15">
        <v>894597.69599999988</v>
      </c>
      <c r="V176" s="15"/>
      <c r="W176" s="15"/>
      <c r="X176" s="15"/>
      <c r="Y176" s="15"/>
      <c r="Z176" s="15"/>
      <c r="AA176" s="15"/>
      <c r="AB176" s="15"/>
      <c r="AC176" s="15"/>
      <c r="AD176" s="15"/>
      <c r="AE176" s="15"/>
      <c r="AF176" s="15"/>
    </row>
    <row r="177" spans="6:32" s="21" customFormat="1" ht="14.25" x14ac:dyDescent="0.45">
      <c r="F177" s="49">
        <v>42309</v>
      </c>
      <c r="G177" s="52">
        <v>87.6</v>
      </c>
      <c r="H177" s="52">
        <v>175.2</v>
      </c>
      <c r="I177" s="52">
        <v>87.6</v>
      </c>
      <c r="J177"/>
      <c r="K177"/>
      <c r="L177"/>
      <c r="M177"/>
      <c r="N177" s="37"/>
      <c r="O177" s="53">
        <v>802938.0959999999</v>
      </c>
      <c r="P177" s="53">
        <v>6423504.7679999992</v>
      </c>
      <c r="Q177" s="53">
        <v>802938.0959999999</v>
      </c>
      <c r="R177" s="53"/>
      <c r="S177" s="53">
        <v>802938.0959999999</v>
      </c>
      <c r="T177" s="15">
        <v>6423504.7679999992</v>
      </c>
      <c r="U177" s="15">
        <v>802938.0959999999</v>
      </c>
      <c r="V177" s="15"/>
      <c r="W177" s="15"/>
      <c r="X177" s="15"/>
      <c r="Y177" s="15"/>
      <c r="Z177" s="15"/>
      <c r="AA177" s="15"/>
      <c r="AB177" s="15"/>
      <c r="AC177" s="15"/>
      <c r="AD177" s="15"/>
      <c r="AE177" s="15"/>
      <c r="AF177" s="15"/>
    </row>
    <row r="178" spans="6:32" s="21" customFormat="1" ht="14.25" x14ac:dyDescent="0.45">
      <c r="F178" s="49">
        <v>42339</v>
      </c>
      <c r="G178" s="52">
        <v>77.2</v>
      </c>
      <c r="H178" s="52">
        <v>154.4</v>
      </c>
      <c r="I178" s="52">
        <v>77.2</v>
      </c>
      <c r="J178"/>
      <c r="K178"/>
      <c r="L178"/>
      <c r="M178"/>
      <c r="N178" s="37"/>
      <c r="O178" s="53">
        <v>657336.38399999996</v>
      </c>
      <c r="P178" s="53">
        <v>5258691.0719999997</v>
      </c>
      <c r="Q178" s="53">
        <v>657336.38399999996</v>
      </c>
      <c r="R178" s="53"/>
      <c r="S178" s="53">
        <v>657336.38399999996</v>
      </c>
      <c r="T178" s="15">
        <v>5258691.0719999997</v>
      </c>
      <c r="U178" s="15">
        <v>657336.38399999996</v>
      </c>
      <c r="V178" s="15"/>
      <c r="W178" s="15"/>
      <c r="X178" s="15"/>
      <c r="Y178" s="15"/>
      <c r="Z178" s="15"/>
      <c r="AA178" s="15"/>
      <c r="AB178" s="15"/>
      <c r="AC178" s="15"/>
      <c r="AD178" s="15"/>
      <c r="AE178" s="15"/>
      <c r="AF178" s="15"/>
    </row>
    <row r="179" spans="6:32" s="21" customFormat="1" ht="14.25" x14ac:dyDescent="0.45">
      <c r="F179" s="49">
        <v>42370</v>
      </c>
      <c r="G179" s="52">
        <v>76.3</v>
      </c>
      <c r="H179" s="52">
        <v>152.6</v>
      </c>
      <c r="I179" s="52">
        <v>76.3</v>
      </c>
      <c r="J179"/>
      <c r="K179"/>
      <c r="L179"/>
      <c r="M179"/>
      <c r="N179" s="37"/>
      <c r="O179" s="53">
        <v>515995.53600000002</v>
      </c>
      <c r="P179" s="53">
        <v>4127964.2880000002</v>
      </c>
      <c r="Q179" s="53">
        <v>515995.53600000002</v>
      </c>
      <c r="R179" s="53"/>
      <c r="S179" s="53">
        <v>515995.53600000002</v>
      </c>
      <c r="T179" s="15">
        <v>4127964.2880000002</v>
      </c>
      <c r="U179" s="15">
        <v>515995.53600000002</v>
      </c>
      <c r="V179" s="15"/>
      <c r="W179" s="15"/>
      <c r="X179" s="15"/>
      <c r="Y179" s="15"/>
      <c r="Z179" s="15"/>
      <c r="AA179" s="15"/>
      <c r="AB179" s="15"/>
      <c r="AC179" s="15"/>
      <c r="AD179" s="15"/>
      <c r="AE179" s="15"/>
      <c r="AF179" s="15"/>
    </row>
    <row r="180" spans="6:32" s="21" customFormat="1" ht="14.25" x14ac:dyDescent="0.45">
      <c r="F180" s="49">
        <v>42401</v>
      </c>
      <c r="G180" s="52">
        <v>75.8</v>
      </c>
      <c r="H180" s="52">
        <v>151.6</v>
      </c>
      <c r="I180" s="52">
        <v>75.8</v>
      </c>
      <c r="J180"/>
      <c r="K180"/>
      <c r="L180"/>
      <c r="M180"/>
      <c r="N180" s="37"/>
      <c r="O180" s="53">
        <v>446489.28799999994</v>
      </c>
      <c r="P180" s="53">
        <v>3571914.3039999995</v>
      </c>
      <c r="Q180" s="53">
        <v>446489.28799999994</v>
      </c>
      <c r="R180" s="53"/>
      <c r="S180" s="53">
        <v>446489.28799999994</v>
      </c>
      <c r="T180" s="15">
        <v>3571914.3039999995</v>
      </c>
      <c r="U180" s="15">
        <v>446489.28799999994</v>
      </c>
      <c r="V180" s="15"/>
      <c r="W180" s="15"/>
      <c r="X180" s="15"/>
      <c r="Y180" s="15"/>
      <c r="Z180" s="15"/>
      <c r="AA180" s="15"/>
      <c r="AB180" s="15"/>
      <c r="AC180" s="15"/>
      <c r="AD180" s="15"/>
      <c r="AE180" s="15"/>
      <c r="AF180" s="15"/>
    </row>
    <row r="181" spans="6:32" s="21" customFormat="1" ht="14.25" x14ac:dyDescent="0.45">
      <c r="F181" s="49">
        <v>42430</v>
      </c>
      <c r="G181" s="52">
        <v>83.7</v>
      </c>
      <c r="H181" s="52">
        <v>167.4</v>
      </c>
      <c r="I181" s="52">
        <v>83.7</v>
      </c>
      <c r="J181"/>
      <c r="K181"/>
      <c r="L181"/>
      <c r="M181"/>
      <c r="N181" s="37"/>
      <c r="O181" s="53">
        <v>484082.29800000001</v>
      </c>
      <c r="P181" s="53">
        <v>3872658.3840000001</v>
      </c>
      <c r="Q181" s="53">
        <v>484082.29800000001</v>
      </c>
      <c r="R181" s="53"/>
      <c r="S181" s="53">
        <v>484082.29800000001</v>
      </c>
      <c r="T181" s="15">
        <v>3872658.3840000001</v>
      </c>
      <c r="U181" s="15">
        <v>484082.29800000001</v>
      </c>
      <c r="V181" s="15"/>
      <c r="W181" s="15"/>
      <c r="X181" s="15"/>
      <c r="Y181" s="15"/>
      <c r="Z181" s="15"/>
      <c r="AA181" s="15"/>
      <c r="AB181" s="15"/>
      <c r="AC181" s="15"/>
      <c r="AD181" s="15"/>
      <c r="AE181" s="15"/>
      <c r="AF181" s="15"/>
    </row>
    <row r="182" spans="6:32" s="21" customFormat="1" ht="14.25" x14ac:dyDescent="0.45">
      <c r="F182" s="49">
        <v>42461</v>
      </c>
      <c r="G182" s="52">
        <v>83</v>
      </c>
      <c r="H182" s="52">
        <v>166</v>
      </c>
      <c r="I182" s="52">
        <v>83</v>
      </c>
      <c r="J182"/>
      <c r="K182"/>
      <c r="L182"/>
      <c r="M182"/>
      <c r="N182" s="37"/>
      <c r="O182" s="53">
        <v>526590.18000000005</v>
      </c>
      <c r="P182" s="53">
        <v>4212721.4400000004</v>
      </c>
      <c r="Q182" s="53">
        <v>526590.18000000005</v>
      </c>
      <c r="R182" s="53"/>
      <c r="S182" s="53">
        <v>526590.18000000005</v>
      </c>
      <c r="T182" s="15">
        <v>4212721.4400000004</v>
      </c>
      <c r="U182" s="15">
        <v>526590.18000000005</v>
      </c>
      <c r="V182" s="15"/>
      <c r="W182" s="15"/>
      <c r="X182" s="15"/>
      <c r="Y182" s="15"/>
      <c r="Z182" s="15"/>
      <c r="AA182" s="15"/>
      <c r="AB182" s="15"/>
      <c r="AC182" s="15"/>
      <c r="AD182" s="15"/>
      <c r="AE182" s="15"/>
      <c r="AF182" s="15"/>
    </row>
    <row r="183" spans="6:32" s="21" customFormat="1" ht="14.25" x14ac:dyDescent="0.45">
      <c r="F183" s="49">
        <v>42491</v>
      </c>
      <c r="G183" s="52">
        <v>86.3</v>
      </c>
      <c r="H183" s="52">
        <v>172.6</v>
      </c>
      <c r="I183" s="52">
        <v>86.3</v>
      </c>
      <c r="J183"/>
      <c r="K183"/>
      <c r="L183"/>
      <c r="M183"/>
      <c r="N183" s="37"/>
      <c r="O183" s="53">
        <v>599534.73</v>
      </c>
      <c r="P183" s="53">
        <v>4796277.84</v>
      </c>
      <c r="Q183" s="53">
        <v>599534.73</v>
      </c>
      <c r="R183" s="53"/>
      <c r="S183" s="53">
        <v>599534.73</v>
      </c>
      <c r="T183" s="15">
        <v>4796277.84</v>
      </c>
      <c r="U183" s="15">
        <v>599534.73</v>
      </c>
      <c r="V183" s="15"/>
      <c r="W183" s="15"/>
      <c r="X183" s="15"/>
      <c r="Y183" s="15"/>
      <c r="Z183" s="15"/>
      <c r="AA183" s="15"/>
      <c r="AB183" s="15"/>
      <c r="AC183" s="15"/>
      <c r="AD183" s="15"/>
      <c r="AE183" s="15"/>
      <c r="AF183" s="15"/>
    </row>
    <row r="184" spans="6:32" s="21" customFormat="1" ht="14.25" x14ac:dyDescent="0.45">
      <c r="F184" s="49">
        <v>42522</v>
      </c>
      <c r="G184" s="52">
        <v>87.7</v>
      </c>
      <c r="H184" s="52">
        <v>175.4</v>
      </c>
      <c r="I184" s="52">
        <v>87.7</v>
      </c>
      <c r="J184"/>
      <c r="K184"/>
      <c r="L184"/>
      <c r="M184"/>
      <c r="N184" s="37"/>
      <c r="O184" s="53">
        <v>628186.32999999996</v>
      </c>
      <c r="P184" s="53">
        <v>5025490.6399999997</v>
      </c>
      <c r="Q184" s="53">
        <v>628186.32999999996</v>
      </c>
      <c r="R184" s="53"/>
      <c r="S184" s="53">
        <v>628186.32999999996</v>
      </c>
      <c r="T184" s="15">
        <v>5025490.6399999997</v>
      </c>
      <c r="U184" s="15">
        <v>628186.32999999996</v>
      </c>
      <c r="V184" s="15"/>
      <c r="W184" s="15"/>
      <c r="X184" s="15"/>
      <c r="Y184" s="15"/>
      <c r="Z184" s="15"/>
      <c r="AA184" s="15"/>
      <c r="AB184" s="15"/>
      <c r="AC184" s="15"/>
      <c r="AD184" s="15"/>
      <c r="AE184" s="15"/>
      <c r="AF184" s="15"/>
    </row>
    <row r="185" spans="6:32" s="21" customFormat="1" ht="14.25" x14ac:dyDescent="0.45">
      <c r="F185" s="49">
        <v>42552</v>
      </c>
      <c r="G185" s="52">
        <v>89.6</v>
      </c>
      <c r="H185" s="52">
        <v>179.2</v>
      </c>
      <c r="I185" s="52">
        <v>89.6</v>
      </c>
      <c r="J185"/>
      <c r="K185"/>
      <c r="L185"/>
      <c r="M185"/>
      <c r="N185" s="37"/>
      <c r="O185" s="53">
        <v>678138.49599999993</v>
      </c>
      <c r="P185" s="53">
        <v>5425107.9679999994</v>
      </c>
      <c r="Q185" s="53">
        <v>678138.49599999993</v>
      </c>
      <c r="R185" s="53"/>
      <c r="S185" s="53">
        <v>678138.49599999993</v>
      </c>
      <c r="T185" s="15">
        <v>5425107.9679999994</v>
      </c>
      <c r="U185" s="15">
        <v>678138.49599999993</v>
      </c>
      <c r="V185" s="15"/>
      <c r="W185" s="15"/>
      <c r="X185" s="15"/>
      <c r="Y185" s="15"/>
      <c r="Z185" s="15"/>
      <c r="AA185" s="15"/>
      <c r="AB185" s="15"/>
      <c r="AC185" s="15"/>
      <c r="AD185" s="15"/>
      <c r="AE185" s="15"/>
      <c r="AF185" s="15"/>
    </row>
    <row r="186" spans="6:32" s="21" customFormat="1" ht="14.25" x14ac:dyDescent="0.45">
      <c r="F186" s="49">
        <v>42583</v>
      </c>
      <c r="G186" s="52">
        <v>93</v>
      </c>
      <c r="H186" s="52">
        <v>186</v>
      </c>
      <c r="I186" s="52">
        <v>93</v>
      </c>
      <c r="J186"/>
      <c r="K186"/>
      <c r="L186"/>
      <c r="M186"/>
      <c r="N186" s="37"/>
      <c r="O186" s="53">
        <v>730786.56</v>
      </c>
      <c r="P186" s="53">
        <v>5846292.4800000004</v>
      </c>
      <c r="Q186" s="53">
        <v>730786.56</v>
      </c>
      <c r="R186" s="53"/>
      <c r="S186" s="53">
        <v>730786.56</v>
      </c>
      <c r="T186" s="15">
        <v>5846292.4800000004</v>
      </c>
      <c r="U186" s="15">
        <v>730786.56</v>
      </c>
      <c r="V186" s="15"/>
      <c r="W186" s="15"/>
      <c r="X186" s="15"/>
      <c r="Y186" s="15"/>
      <c r="Z186" s="15"/>
      <c r="AA186" s="15"/>
      <c r="AB186" s="15"/>
      <c r="AC186" s="15"/>
      <c r="AD186" s="15"/>
      <c r="AE186" s="15"/>
      <c r="AF186" s="15"/>
    </row>
    <row r="187" spans="6:32" s="21" customFormat="1" ht="14.25" x14ac:dyDescent="0.45">
      <c r="F187" s="49">
        <v>42614</v>
      </c>
      <c r="G187" s="52">
        <v>90.7</v>
      </c>
      <c r="H187" s="52">
        <v>181.4</v>
      </c>
      <c r="I187" s="52">
        <v>90.7</v>
      </c>
      <c r="J187"/>
      <c r="K187"/>
      <c r="L187"/>
      <c r="M187"/>
      <c r="N187" s="37"/>
      <c r="O187" s="53">
        <v>755784.96</v>
      </c>
      <c r="P187" s="53">
        <v>6046279.6799999997</v>
      </c>
      <c r="Q187" s="53">
        <v>755784.96</v>
      </c>
      <c r="R187" s="53"/>
      <c r="S187" s="53">
        <v>755784.96</v>
      </c>
      <c r="T187" s="15">
        <v>6046279.6799999997</v>
      </c>
      <c r="U187" s="15">
        <v>755784.96</v>
      </c>
      <c r="V187" s="15"/>
      <c r="W187" s="15"/>
      <c r="X187" s="15"/>
      <c r="Y187" s="15"/>
      <c r="Z187" s="15"/>
      <c r="AA187" s="15"/>
      <c r="AB187" s="15"/>
      <c r="AC187" s="15"/>
      <c r="AD187" s="15"/>
      <c r="AE187" s="15"/>
      <c r="AF187" s="15"/>
    </row>
    <row r="188" spans="6:32" s="21" customFormat="1" ht="14.25" x14ac:dyDescent="0.45">
      <c r="F188" s="49">
        <v>42644</v>
      </c>
      <c r="G188" s="52">
        <v>90.2</v>
      </c>
      <c r="H188" s="52">
        <v>180.4</v>
      </c>
      <c r="I188" s="52">
        <v>90.2</v>
      </c>
      <c r="J188"/>
      <c r="K188"/>
      <c r="L188"/>
      <c r="M188"/>
      <c r="N188" s="37"/>
      <c r="O188" s="53">
        <v>760846.02</v>
      </c>
      <c r="P188" s="53">
        <v>6086768.1600000001</v>
      </c>
      <c r="Q188" s="53">
        <v>760846.02</v>
      </c>
      <c r="R188" s="53"/>
      <c r="S188" s="53">
        <v>760846.02</v>
      </c>
      <c r="T188" s="15">
        <v>6086768.1600000001</v>
      </c>
      <c r="U188" s="15">
        <v>760846.02</v>
      </c>
      <c r="V188" s="15"/>
      <c r="W188" s="15"/>
      <c r="X188" s="15"/>
      <c r="Y188" s="15"/>
      <c r="Z188" s="15"/>
      <c r="AA188" s="15"/>
      <c r="AB188" s="15"/>
      <c r="AC188" s="15"/>
      <c r="AD188" s="15"/>
      <c r="AE188" s="15"/>
      <c r="AF188" s="15"/>
    </row>
    <row r="189" spans="6:32" s="21" customFormat="1" ht="14.25" x14ac:dyDescent="0.45">
      <c r="F189" s="49">
        <v>42675</v>
      </c>
      <c r="G189" s="52">
        <v>86.5</v>
      </c>
      <c r="H189" s="52">
        <v>173</v>
      </c>
      <c r="I189" s="52">
        <v>86.5</v>
      </c>
      <c r="J189"/>
      <c r="K189"/>
      <c r="L189"/>
      <c r="M189"/>
      <c r="N189" s="37"/>
      <c r="O189" s="53">
        <v>707668.61</v>
      </c>
      <c r="P189" s="53">
        <v>5661348.8799999999</v>
      </c>
      <c r="Q189" s="53">
        <v>707668.61</v>
      </c>
      <c r="R189" s="53"/>
      <c r="S189" s="53">
        <v>707668.61</v>
      </c>
      <c r="T189" s="15">
        <v>5661348.8799999999</v>
      </c>
      <c r="U189" s="15">
        <v>707668.61</v>
      </c>
      <c r="V189" s="15"/>
      <c r="W189" s="15"/>
      <c r="X189" s="15"/>
      <c r="Y189" s="15"/>
      <c r="Z189" s="15"/>
      <c r="AA189" s="15"/>
      <c r="AB189" s="15"/>
      <c r="AC189" s="15"/>
      <c r="AD189" s="15"/>
      <c r="AE189" s="15"/>
      <c r="AF189" s="15"/>
    </row>
    <row r="190" spans="6:32" s="21" customFormat="1" ht="14.25" x14ac:dyDescent="0.45">
      <c r="F190" s="49">
        <v>42705</v>
      </c>
      <c r="G190" s="52">
        <v>77.2</v>
      </c>
      <c r="H190" s="52">
        <v>154.4</v>
      </c>
      <c r="I190" s="52">
        <v>77.2</v>
      </c>
      <c r="J190"/>
      <c r="K190"/>
      <c r="L190"/>
      <c r="M190"/>
      <c r="N190" s="37"/>
      <c r="O190" s="53">
        <v>602337.56000000006</v>
      </c>
      <c r="P190" s="53">
        <v>4818700.4800000004</v>
      </c>
      <c r="Q190" s="53">
        <v>602337.56000000006</v>
      </c>
      <c r="R190" s="53"/>
      <c r="S190" s="53">
        <v>602337.56000000006</v>
      </c>
      <c r="T190" s="15">
        <v>4818700.4800000004</v>
      </c>
      <c r="U190" s="15">
        <v>602337.56000000006</v>
      </c>
      <c r="V190" s="15"/>
      <c r="W190" s="15"/>
      <c r="X190" s="15"/>
      <c r="Y190" s="15"/>
      <c r="Z190" s="15"/>
      <c r="AA190" s="15"/>
      <c r="AB190" s="15"/>
      <c r="AC190" s="15"/>
      <c r="AD190" s="15"/>
      <c r="AE190" s="15"/>
      <c r="AF190" s="15"/>
    </row>
    <row r="191" spans="6:32" s="21" customFormat="1" ht="14.25" x14ac:dyDescent="0.45">
      <c r="F191" s="49">
        <v>42736</v>
      </c>
      <c r="G191" s="52">
        <v>77.900000000000006</v>
      </c>
      <c r="H191" s="52">
        <v>155.80000000000001</v>
      </c>
      <c r="I191" s="52">
        <v>77.900000000000006</v>
      </c>
      <c r="J191"/>
      <c r="K191"/>
      <c r="L191"/>
      <c r="M191"/>
      <c r="N191" s="37"/>
      <c r="O191" s="53">
        <v>520200.62000000005</v>
      </c>
      <c r="P191" s="53">
        <v>4161604.9600000004</v>
      </c>
      <c r="Q191" s="53">
        <v>520200.62000000005</v>
      </c>
      <c r="R191" s="53"/>
      <c r="S191" s="53">
        <v>520200.62000000005</v>
      </c>
      <c r="T191" s="15">
        <v>4161604.9600000004</v>
      </c>
      <c r="U191" s="15">
        <v>520200.62000000005</v>
      </c>
      <c r="V191" s="15"/>
      <c r="W191" s="15"/>
      <c r="X191" s="15"/>
      <c r="Y191" s="15"/>
      <c r="Z191" s="15"/>
      <c r="AA191" s="15"/>
      <c r="AB191" s="15"/>
      <c r="AC191" s="15"/>
      <c r="AD191" s="15"/>
      <c r="AE191" s="15"/>
      <c r="AF191" s="15"/>
    </row>
    <row r="192" spans="6:32" s="21" customFormat="1" ht="14.25" x14ac:dyDescent="0.45">
      <c r="F192" s="49">
        <v>42767</v>
      </c>
      <c r="G192" s="52">
        <v>75.900000000000006</v>
      </c>
      <c r="H192" s="52">
        <v>151.80000000000001</v>
      </c>
      <c r="I192" s="52">
        <v>75.900000000000006</v>
      </c>
      <c r="J192"/>
      <c r="K192"/>
      <c r="L192"/>
      <c r="M192"/>
      <c r="N192" s="37"/>
      <c r="O192" s="53">
        <v>456453.49200000009</v>
      </c>
      <c r="P192" s="53">
        <v>3651627.9360000007</v>
      </c>
      <c r="Q192" s="53">
        <v>456453.49200000009</v>
      </c>
      <c r="R192" s="53"/>
      <c r="S192" s="53">
        <v>456453.49200000009</v>
      </c>
      <c r="T192" s="15">
        <v>3651627.9360000007</v>
      </c>
      <c r="U192" s="15">
        <v>456453.49200000009</v>
      </c>
      <c r="V192" s="15"/>
      <c r="W192" s="15"/>
      <c r="X192" s="15"/>
      <c r="Y192" s="15"/>
      <c r="Z192" s="15"/>
      <c r="AA192" s="15"/>
      <c r="AB192" s="15"/>
      <c r="AC192" s="15"/>
      <c r="AD192" s="15"/>
      <c r="AE192" s="15"/>
      <c r="AF192" s="15"/>
    </row>
    <row r="193" spans="6:32" s="21" customFormat="1" ht="14.25" x14ac:dyDescent="0.45">
      <c r="F193" s="49">
        <v>42795</v>
      </c>
      <c r="G193" s="52">
        <v>85.4</v>
      </c>
      <c r="H193" s="52">
        <v>170.8</v>
      </c>
      <c r="I193" s="52">
        <v>85.4</v>
      </c>
      <c r="J193"/>
      <c r="K193"/>
      <c r="L193"/>
      <c r="M193"/>
      <c r="N193" s="37"/>
      <c r="O193" s="53">
        <v>504936.89400000009</v>
      </c>
      <c r="P193" s="53">
        <v>4039495.1520000007</v>
      </c>
      <c r="Q193" s="53">
        <v>504936.89400000009</v>
      </c>
      <c r="R193" s="53"/>
      <c r="S193" s="53">
        <v>504936.89400000009</v>
      </c>
      <c r="T193" s="15">
        <v>4039495.1520000007</v>
      </c>
      <c r="U193" s="15">
        <v>504936.89400000009</v>
      </c>
      <c r="V193" s="15"/>
      <c r="W193" s="15"/>
      <c r="X193" s="15"/>
      <c r="Y193" s="15"/>
      <c r="Z193" s="15"/>
      <c r="AA193" s="15"/>
      <c r="AB193" s="15"/>
      <c r="AC193" s="15"/>
      <c r="AD193" s="15"/>
      <c r="AE193" s="15"/>
      <c r="AF193" s="15"/>
    </row>
    <row r="194" spans="6:32" s="21" customFormat="1" ht="14.25" x14ac:dyDescent="0.45">
      <c r="F194" s="49">
        <v>42826</v>
      </c>
      <c r="G194" s="52">
        <v>79.3</v>
      </c>
      <c r="H194" s="52">
        <v>158.6</v>
      </c>
      <c r="I194" s="52">
        <v>79.3</v>
      </c>
      <c r="J194"/>
      <c r="K194"/>
      <c r="L194"/>
      <c r="M194"/>
      <c r="N194" s="37"/>
      <c r="O194" s="53">
        <v>514011.49800000002</v>
      </c>
      <c r="P194" s="53">
        <v>4112091.9840000002</v>
      </c>
      <c r="Q194" s="53">
        <v>514011.49800000002</v>
      </c>
      <c r="R194" s="53"/>
      <c r="S194" s="53">
        <v>514011.49800000002</v>
      </c>
      <c r="T194" s="15">
        <v>4112091.9840000002</v>
      </c>
      <c r="U194" s="15">
        <v>514011.49800000002</v>
      </c>
      <c r="V194" s="15"/>
      <c r="W194" s="15"/>
      <c r="X194" s="15"/>
      <c r="Y194" s="15"/>
      <c r="Z194" s="15"/>
      <c r="AA194" s="15"/>
      <c r="AB194" s="15"/>
      <c r="AC194" s="15"/>
      <c r="AD194" s="15"/>
      <c r="AE194" s="15"/>
      <c r="AF194" s="15"/>
    </row>
    <row r="195" spans="6:32" s="21" customFormat="1" ht="14.25" x14ac:dyDescent="0.45">
      <c r="F195" s="49">
        <v>42856</v>
      </c>
      <c r="G195" s="52">
        <v>90.1</v>
      </c>
      <c r="H195" s="52">
        <v>180.2</v>
      </c>
      <c r="I195" s="52">
        <v>90.1</v>
      </c>
      <c r="J195"/>
      <c r="K195"/>
      <c r="L195"/>
      <c r="M195"/>
      <c r="N195" s="37"/>
      <c r="O195" s="53">
        <v>610177.022</v>
      </c>
      <c r="P195" s="53">
        <v>4881416.176</v>
      </c>
      <c r="Q195" s="53">
        <v>610177.022</v>
      </c>
      <c r="R195" s="53"/>
      <c r="S195" s="53">
        <v>610177.022</v>
      </c>
      <c r="T195" s="15">
        <v>4881416.176</v>
      </c>
      <c r="U195" s="15">
        <v>610177.022</v>
      </c>
      <c r="V195" s="15"/>
      <c r="W195" s="15"/>
      <c r="X195" s="15"/>
      <c r="Y195" s="15"/>
      <c r="Z195" s="15"/>
      <c r="AA195" s="15"/>
      <c r="AB195" s="15"/>
      <c r="AC195" s="15"/>
      <c r="AD195" s="15"/>
      <c r="AE195" s="15"/>
      <c r="AF195" s="15"/>
    </row>
    <row r="196" spans="6:32" s="21" customFormat="1" ht="14.25" x14ac:dyDescent="0.45">
      <c r="F196" s="49">
        <v>42887</v>
      </c>
      <c r="G196" s="52">
        <v>88.4</v>
      </c>
      <c r="H196" s="52">
        <v>176.8</v>
      </c>
      <c r="I196" s="52">
        <v>88.4</v>
      </c>
      <c r="J196"/>
      <c r="K196"/>
      <c r="L196"/>
      <c r="M196"/>
      <c r="N196" s="37"/>
      <c r="O196" s="53">
        <v>631611.81200000003</v>
      </c>
      <c r="P196" s="53">
        <v>5052894.4960000003</v>
      </c>
      <c r="Q196" s="53">
        <v>631611.81200000003</v>
      </c>
      <c r="R196" s="53"/>
      <c r="S196" s="53">
        <v>631611.81200000003</v>
      </c>
      <c r="T196" s="15">
        <v>5052894.4960000003</v>
      </c>
      <c r="U196" s="15">
        <v>631611.81200000003</v>
      </c>
      <c r="V196" s="15"/>
      <c r="W196" s="15"/>
      <c r="X196" s="15"/>
      <c r="Y196" s="15"/>
      <c r="Z196" s="15"/>
      <c r="AA196" s="15"/>
      <c r="AB196" s="15"/>
      <c r="AC196" s="15"/>
      <c r="AD196" s="15"/>
      <c r="AE196" s="15"/>
      <c r="AF196" s="15"/>
    </row>
    <row r="197" spans="6:32" s="21" customFormat="1" ht="14.25" x14ac:dyDescent="0.45">
      <c r="F197" s="49">
        <v>42917</v>
      </c>
      <c r="G197" s="52">
        <v>92.1</v>
      </c>
      <c r="H197" s="52">
        <v>184.2</v>
      </c>
      <c r="I197" s="52">
        <v>92.1</v>
      </c>
      <c r="J197"/>
      <c r="K197"/>
      <c r="L197"/>
      <c r="M197"/>
      <c r="N197" s="37"/>
      <c r="O197" s="53">
        <v>733561.76399999997</v>
      </c>
      <c r="P197" s="53">
        <v>5868494.1119999997</v>
      </c>
      <c r="Q197" s="53">
        <v>733561.76399999997</v>
      </c>
      <c r="R197" s="53"/>
      <c r="S197" s="53">
        <v>733561.76399999997</v>
      </c>
      <c r="T197" s="15">
        <v>5868494.1119999997</v>
      </c>
      <c r="U197" s="15">
        <v>733561.76399999997</v>
      </c>
      <c r="V197" s="15"/>
      <c r="W197" s="15"/>
      <c r="X197" s="15"/>
      <c r="Y197" s="15"/>
      <c r="Z197" s="15"/>
      <c r="AA197" s="15"/>
      <c r="AB197" s="15"/>
      <c r="AC197" s="15"/>
      <c r="AD197" s="15"/>
      <c r="AE197" s="15"/>
      <c r="AF197" s="15"/>
    </row>
    <row r="198" spans="6:32" s="21" customFormat="1" ht="14.25" x14ac:dyDescent="0.45">
      <c r="F198" s="49">
        <v>42948</v>
      </c>
      <c r="G198" s="52">
        <v>96.7</v>
      </c>
      <c r="H198" s="52">
        <v>193.4</v>
      </c>
      <c r="I198" s="52">
        <v>96.7</v>
      </c>
      <c r="J198"/>
      <c r="K198"/>
      <c r="L198"/>
      <c r="M198"/>
      <c r="N198" s="37"/>
      <c r="O198" s="53">
        <v>787296.58800000011</v>
      </c>
      <c r="P198" s="53">
        <v>6298372.7040000008</v>
      </c>
      <c r="Q198" s="53">
        <v>787296.58800000011</v>
      </c>
      <c r="R198" s="53"/>
      <c r="S198" s="53">
        <v>787296.58800000011</v>
      </c>
      <c r="T198" s="15">
        <v>6298372.7040000008</v>
      </c>
      <c r="U198" s="15">
        <v>787296.58800000011</v>
      </c>
      <c r="V198" s="15"/>
      <c r="W198" s="15"/>
      <c r="X198" s="15"/>
      <c r="Y198" s="15"/>
      <c r="Z198" s="15"/>
      <c r="AA198" s="15"/>
      <c r="AB198" s="15"/>
      <c r="AC198" s="15"/>
      <c r="AD198" s="15"/>
      <c r="AE198" s="15"/>
      <c r="AF198" s="15"/>
    </row>
    <row r="199" spans="6:32" s="21" customFormat="1" ht="14.25" x14ac:dyDescent="0.45">
      <c r="F199" s="49">
        <v>42979</v>
      </c>
      <c r="G199" s="52">
        <v>93</v>
      </c>
      <c r="H199" s="52">
        <v>186</v>
      </c>
      <c r="I199" s="52">
        <v>93</v>
      </c>
      <c r="J199"/>
      <c r="K199"/>
      <c r="L199"/>
      <c r="M199"/>
      <c r="N199" s="37"/>
      <c r="O199" s="53">
        <v>828264.51</v>
      </c>
      <c r="P199" s="53">
        <v>6626116.0800000001</v>
      </c>
      <c r="Q199" s="53">
        <v>828264.51</v>
      </c>
      <c r="R199" s="53"/>
      <c r="S199" s="53">
        <v>828264.51</v>
      </c>
      <c r="T199" s="15">
        <v>6626116.0800000001</v>
      </c>
      <c r="U199" s="15">
        <v>828264.51</v>
      </c>
      <c r="V199" s="15"/>
      <c r="W199" s="15"/>
      <c r="X199" s="15"/>
      <c r="Y199" s="15"/>
      <c r="Z199" s="15"/>
      <c r="AA199" s="15"/>
      <c r="AB199" s="15"/>
      <c r="AC199" s="15"/>
      <c r="AD199" s="15"/>
      <c r="AE199" s="15"/>
      <c r="AF199" s="15"/>
    </row>
    <row r="200" spans="6:32" s="21" customFormat="1" ht="14.25" x14ac:dyDescent="0.45">
      <c r="F200" s="49">
        <v>43009</v>
      </c>
      <c r="G200" s="52">
        <v>95.1</v>
      </c>
      <c r="H200" s="52">
        <v>190.2</v>
      </c>
      <c r="I200" s="52">
        <v>95.1</v>
      </c>
      <c r="J200"/>
      <c r="K200"/>
      <c r="L200"/>
      <c r="M200"/>
      <c r="N200" s="37"/>
      <c r="O200" s="53">
        <v>855243.80999999994</v>
      </c>
      <c r="P200" s="53">
        <v>6841950.4799999995</v>
      </c>
      <c r="Q200" s="53">
        <v>855243.80999999994</v>
      </c>
      <c r="R200" s="53"/>
      <c r="S200" s="53">
        <v>855243.80999999994</v>
      </c>
      <c r="T200" s="15">
        <v>6841950.4799999995</v>
      </c>
      <c r="U200" s="15">
        <v>855243.80999999994</v>
      </c>
      <c r="V200" s="15"/>
      <c r="W200" s="15"/>
      <c r="X200" s="15"/>
      <c r="Y200" s="15"/>
      <c r="Z200" s="15"/>
      <c r="AA200" s="15"/>
      <c r="AB200" s="15"/>
      <c r="AC200" s="15"/>
      <c r="AD200" s="15"/>
      <c r="AE200" s="15"/>
      <c r="AF200" s="15"/>
    </row>
    <row r="201" spans="6:32" s="21" customFormat="1" ht="14.25" x14ac:dyDescent="0.45">
      <c r="F201" s="49">
        <v>43040</v>
      </c>
      <c r="G201" s="52">
        <v>90.6</v>
      </c>
      <c r="H201" s="52">
        <v>181.2</v>
      </c>
      <c r="I201" s="52">
        <v>90.6</v>
      </c>
      <c r="J201"/>
      <c r="K201"/>
      <c r="L201"/>
      <c r="M201"/>
      <c r="N201" s="37"/>
      <c r="O201" s="53">
        <v>801293.57999999984</v>
      </c>
      <c r="P201" s="53">
        <v>6410348.6399999987</v>
      </c>
      <c r="Q201" s="53">
        <v>801293.57999999984</v>
      </c>
      <c r="R201" s="53"/>
      <c r="S201" s="53">
        <v>801293.57999999984</v>
      </c>
      <c r="T201" s="15">
        <v>6410348.6399999987</v>
      </c>
      <c r="U201" s="15">
        <v>801293.57999999984</v>
      </c>
      <c r="V201" s="15"/>
      <c r="W201" s="15"/>
      <c r="X201" s="15"/>
      <c r="Y201" s="15"/>
      <c r="Z201" s="15"/>
      <c r="AA201" s="15"/>
      <c r="AB201" s="15"/>
      <c r="AC201" s="15"/>
      <c r="AD201" s="15"/>
      <c r="AE201" s="15"/>
      <c r="AF201" s="15"/>
    </row>
    <row r="202" spans="6:32" s="21" customFormat="1" ht="14.25" x14ac:dyDescent="0.45">
      <c r="F202" s="49">
        <v>43070</v>
      </c>
      <c r="G202" s="52">
        <v>81</v>
      </c>
      <c r="H202" s="52">
        <v>162</v>
      </c>
      <c r="I202" s="52">
        <v>81</v>
      </c>
      <c r="J202"/>
      <c r="K202"/>
      <c r="L202"/>
      <c r="M202"/>
      <c r="N202" s="37"/>
      <c r="O202" s="53">
        <v>697900.86</v>
      </c>
      <c r="P202" s="53">
        <v>5583206.8799999999</v>
      </c>
      <c r="Q202" s="53">
        <v>697900.86</v>
      </c>
      <c r="R202" s="53"/>
      <c r="S202" s="53">
        <v>697900.86</v>
      </c>
      <c r="T202" s="15">
        <v>5583206.8799999999</v>
      </c>
      <c r="U202" s="15">
        <v>697900.86</v>
      </c>
      <c r="V202" s="15"/>
      <c r="W202" s="15"/>
      <c r="X202" s="15"/>
      <c r="Y202" s="15"/>
      <c r="Z202" s="15"/>
      <c r="AA202" s="15"/>
      <c r="AB202" s="15"/>
      <c r="AC202" s="15"/>
      <c r="AD202" s="15"/>
      <c r="AE202" s="15"/>
      <c r="AF202" s="15"/>
    </row>
    <row r="203" spans="6:32" s="21" customFormat="1" ht="14.25" x14ac:dyDescent="0.45">
      <c r="F203" s="49">
        <v>43101</v>
      </c>
      <c r="G203" s="52">
        <v>82.3</v>
      </c>
      <c r="H203" s="52">
        <v>164.6</v>
      </c>
      <c r="I203" s="52">
        <v>82.3</v>
      </c>
      <c r="J203"/>
      <c r="K203"/>
      <c r="L203"/>
      <c r="M203"/>
      <c r="N203" s="37"/>
      <c r="O203" s="53">
        <v>603966.77999999991</v>
      </c>
      <c r="P203" s="53">
        <v>4831734.2399999993</v>
      </c>
      <c r="Q203" s="53">
        <v>603966.77999999991</v>
      </c>
      <c r="R203" s="53"/>
      <c r="S203" s="53">
        <v>603966.77999999991</v>
      </c>
      <c r="T203" s="15">
        <v>4831734.2399999993</v>
      </c>
      <c r="U203" s="15">
        <v>603966.77999999991</v>
      </c>
      <c r="V203" s="15"/>
      <c r="W203" s="15"/>
      <c r="X203" s="15"/>
      <c r="Y203" s="15"/>
      <c r="Z203" s="15"/>
      <c r="AA203" s="15"/>
      <c r="AB203" s="15"/>
      <c r="AC203" s="15"/>
      <c r="AD203" s="15"/>
      <c r="AE203" s="15"/>
      <c r="AF203" s="15"/>
    </row>
    <row r="204" spans="6:32" s="21" customFormat="1" ht="14.25" x14ac:dyDescent="0.45">
      <c r="F204" s="49">
        <v>43132</v>
      </c>
      <c r="G204" s="52">
        <v>77.3</v>
      </c>
      <c r="H204" s="52">
        <v>154.6</v>
      </c>
      <c r="I204" s="52">
        <v>77.3</v>
      </c>
      <c r="J204"/>
      <c r="K204"/>
      <c r="L204"/>
      <c r="M204"/>
      <c r="N204" s="37"/>
      <c r="O204" s="53">
        <v>515304.99</v>
      </c>
      <c r="P204" s="53">
        <v>4122439.92</v>
      </c>
      <c r="Q204" s="53">
        <v>515304.99</v>
      </c>
      <c r="R204" s="53"/>
      <c r="S204" s="53">
        <v>515304.99</v>
      </c>
      <c r="T204" s="15">
        <v>4122439.92</v>
      </c>
      <c r="U204" s="15">
        <v>515304.99</v>
      </c>
      <c r="V204" s="15"/>
      <c r="W204" s="15"/>
      <c r="X204" s="15"/>
      <c r="Y204" s="15"/>
      <c r="Z204" s="15"/>
      <c r="AA204" s="15"/>
      <c r="AB204" s="15"/>
      <c r="AC204" s="15"/>
      <c r="AD204" s="15"/>
      <c r="AE204" s="15"/>
      <c r="AF204" s="15"/>
    </row>
    <row r="205" spans="6:32" s="21" customFormat="1" ht="14.25" x14ac:dyDescent="0.45">
      <c r="F205" s="49">
        <v>43160</v>
      </c>
      <c r="G205" s="52">
        <v>86.2</v>
      </c>
      <c r="H205" s="52">
        <v>172.4</v>
      </c>
      <c r="I205" s="52">
        <v>86.2</v>
      </c>
      <c r="J205"/>
      <c r="K205"/>
      <c r="L205"/>
      <c r="M205"/>
      <c r="N205" s="37"/>
      <c r="O205" s="53">
        <v>548386.29800000007</v>
      </c>
      <c r="P205" s="53">
        <v>4387090.3840000005</v>
      </c>
      <c r="Q205" s="53">
        <v>548386.29800000007</v>
      </c>
      <c r="R205" s="53"/>
      <c r="S205" s="53">
        <v>548386.29800000007</v>
      </c>
      <c r="T205" s="15">
        <v>4387090.3840000005</v>
      </c>
      <c r="U205" s="15">
        <v>548386.29800000007</v>
      </c>
      <c r="V205" s="15"/>
      <c r="W205" s="15"/>
      <c r="X205" s="15"/>
      <c r="Y205" s="15"/>
      <c r="Z205" s="15"/>
      <c r="AA205" s="15"/>
      <c r="AB205" s="15"/>
      <c r="AC205" s="15"/>
      <c r="AD205" s="15"/>
      <c r="AE205" s="15"/>
      <c r="AF205" s="15"/>
    </row>
    <row r="206" spans="6:32" s="21" customFormat="1" ht="14.25" x14ac:dyDescent="0.45">
      <c r="F206" s="49">
        <v>43191</v>
      </c>
      <c r="G206" s="52">
        <v>86.5</v>
      </c>
      <c r="H206" s="52">
        <v>173</v>
      </c>
      <c r="I206" s="52">
        <v>86.5</v>
      </c>
      <c r="J206"/>
      <c r="K206"/>
      <c r="L206"/>
      <c r="M206"/>
      <c r="N206" s="37"/>
      <c r="O206" s="53">
        <v>576371.99</v>
      </c>
      <c r="P206" s="53">
        <v>4610975.92</v>
      </c>
      <c r="Q206" s="53">
        <v>576371.99</v>
      </c>
      <c r="R206" s="53"/>
      <c r="S206" s="53">
        <v>576371.99</v>
      </c>
      <c r="T206" s="15">
        <v>4610975.92</v>
      </c>
      <c r="U206" s="15">
        <v>576371.99</v>
      </c>
      <c r="V206" s="15"/>
      <c r="W206" s="15"/>
      <c r="X206" s="15"/>
      <c r="Y206" s="15"/>
      <c r="Z206" s="15"/>
      <c r="AA206" s="15"/>
      <c r="AB206" s="15"/>
      <c r="AC206" s="15"/>
      <c r="AD206" s="15"/>
      <c r="AE206" s="15"/>
      <c r="AF206" s="15"/>
    </row>
    <row r="207" spans="6:32" s="21" customFormat="1" ht="14.25" x14ac:dyDescent="0.45">
      <c r="F207" s="49">
        <v>43221</v>
      </c>
      <c r="G207" s="52">
        <v>84.4</v>
      </c>
      <c r="H207" s="52">
        <v>168.8</v>
      </c>
      <c r="I207" s="52">
        <v>84.4</v>
      </c>
      <c r="J207"/>
      <c r="K207"/>
      <c r="L207"/>
      <c r="M207"/>
      <c r="N207" s="37"/>
      <c r="O207" s="53">
        <v>629311.72000000009</v>
      </c>
      <c r="P207" s="53">
        <v>5034493.7600000007</v>
      </c>
      <c r="Q207" s="53">
        <v>629311.72000000009</v>
      </c>
      <c r="R207" s="53"/>
      <c r="S207" s="53">
        <v>629311.72000000009</v>
      </c>
      <c r="T207" s="15">
        <v>5034493.7600000007</v>
      </c>
      <c r="U207" s="15">
        <v>629311.72000000009</v>
      </c>
      <c r="V207" s="15"/>
      <c r="W207" s="15"/>
      <c r="X207" s="15"/>
      <c r="Y207" s="15"/>
      <c r="Z207" s="15"/>
      <c r="AA207" s="15"/>
      <c r="AB207" s="15"/>
      <c r="AC207" s="15"/>
      <c r="AD207" s="15"/>
      <c r="AE207" s="15"/>
      <c r="AF207" s="15"/>
    </row>
    <row r="208" spans="6:32" s="21" customFormat="1" ht="14.25" x14ac:dyDescent="0.45">
      <c r="F208" s="49">
        <v>43252</v>
      </c>
      <c r="G208" s="52">
        <v>91.1</v>
      </c>
      <c r="H208" s="52">
        <v>182.2</v>
      </c>
      <c r="I208" s="52">
        <v>91.1</v>
      </c>
      <c r="J208"/>
      <c r="K208"/>
      <c r="L208"/>
      <c r="M208"/>
      <c r="N208" s="37"/>
      <c r="O208" s="53">
        <v>665084.66</v>
      </c>
      <c r="P208" s="53">
        <v>5320677.28</v>
      </c>
      <c r="Q208" s="53">
        <v>665084.66</v>
      </c>
      <c r="R208" s="53"/>
      <c r="S208" s="53">
        <v>665084.66</v>
      </c>
      <c r="T208" s="15">
        <v>5320677.28</v>
      </c>
      <c r="U208" s="15">
        <v>665084.66</v>
      </c>
      <c r="V208" s="15"/>
      <c r="W208" s="15"/>
      <c r="X208" s="15"/>
      <c r="Y208" s="15"/>
      <c r="Z208" s="15"/>
      <c r="AA208" s="15"/>
      <c r="AB208" s="15"/>
      <c r="AC208" s="15"/>
      <c r="AD208" s="15"/>
      <c r="AE208" s="15"/>
      <c r="AF208" s="15"/>
    </row>
    <row r="209" spans="6:32" s="21" customFormat="1" ht="14.25" x14ac:dyDescent="0.45">
      <c r="F209" s="49">
        <v>43282</v>
      </c>
      <c r="G209" s="52">
        <v>95.8</v>
      </c>
      <c r="H209" s="52">
        <v>191.6</v>
      </c>
      <c r="I209" s="52">
        <v>95.8</v>
      </c>
      <c r="J209"/>
      <c r="K209"/>
      <c r="L209"/>
      <c r="M209"/>
      <c r="N209" s="37"/>
      <c r="O209" s="53">
        <v>736590.87199999997</v>
      </c>
      <c r="P209" s="53">
        <v>5892726.9759999998</v>
      </c>
      <c r="Q209" s="53">
        <v>736590.87199999997</v>
      </c>
      <c r="R209" s="53"/>
      <c r="S209" s="53">
        <v>736590.87199999997</v>
      </c>
      <c r="T209" s="15">
        <v>5892726.9759999998</v>
      </c>
      <c r="U209" s="15">
        <v>736590.87199999997</v>
      </c>
      <c r="V209" s="15"/>
      <c r="W209" s="15"/>
      <c r="X209" s="15"/>
      <c r="Y209" s="15"/>
      <c r="Z209" s="15"/>
      <c r="AA209" s="15"/>
      <c r="AB209" s="15"/>
      <c r="AC209" s="15"/>
      <c r="AD209" s="15"/>
      <c r="AE209" s="15"/>
      <c r="AF209" s="15"/>
    </row>
    <row r="210" spans="6:32" s="21" customFormat="1" ht="14.25" x14ac:dyDescent="0.45">
      <c r="F210" s="49">
        <v>43313</v>
      </c>
      <c r="G210" s="52">
        <v>98.2</v>
      </c>
      <c r="H210" s="52">
        <v>196.4</v>
      </c>
      <c r="I210" s="52">
        <v>98.2</v>
      </c>
      <c r="J210"/>
      <c r="K210"/>
      <c r="L210"/>
      <c r="M210"/>
      <c r="N210" s="37"/>
      <c r="O210" s="53">
        <v>857028.7159999999</v>
      </c>
      <c r="P210" s="53">
        <v>6856229.7279999992</v>
      </c>
      <c r="Q210" s="53">
        <v>857028.7159999999</v>
      </c>
      <c r="R210" s="53"/>
      <c r="S210" s="53">
        <v>857028.7159999999</v>
      </c>
      <c r="T210" s="15">
        <v>6856229.7279999992</v>
      </c>
      <c r="U210" s="15">
        <v>857028.7159999999</v>
      </c>
      <c r="V210" s="15"/>
      <c r="W210" s="15"/>
      <c r="X210" s="15"/>
      <c r="Y210" s="15"/>
      <c r="Z210" s="15"/>
      <c r="AA210" s="15"/>
      <c r="AB210" s="15"/>
      <c r="AC210" s="15"/>
      <c r="AD210" s="15"/>
      <c r="AE210" s="15"/>
      <c r="AF210" s="15"/>
    </row>
    <row r="211" spans="6:32" s="21" customFormat="1" ht="14.25" x14ac:dyDescent="0.45">
      <c r="F211" s="49">
        <v>43344</v>
      </c>
      <c r="G211" s="52">
        <v>90.7</v>
      </c>
      <c r="H211" s="52">
        <v>181.4</v>
      </c>
      <c r="I211" s="52">
        <v>90.7</v>
      </c>
      <c r="J211"/>
      <c r="K211"/>
      <c r="L211"/>
      <c r="M211"/>
      <c r="N211" s="37"/>
      <c r="O211" s="53">
        <v>853265.69199999992</v>
      </c>
      <c r="P211" s="53">
        <v>6826125.5359999994</v>
      </c>
      <c r="Q211" s="53">
        <v>853265.69199999992</v>
      </c>
      <c r="R211" s="53"/>
      <c r="S211" s="53">
        <v>853265.69199999992</v>
      </c>
      <c r="T211" s="15">
        <v>6826125.5359999994</v>
      </c>
      <c r="U211" s="15">
        <v>853265.69199999992</v>
      </c>
      <c r="V211" s="15"/>
      <c r="W211" s="15"/>
      <c r="X211" s="15"/>
      <c r="Y211" s="15"/>
      <c r="Z211" s="15"/>
      <c r="AA211" s="15"/>
      <c r="AB211" s="15"/>
      <c r="AC211" s="15"/>
      <c r="AD211" s="15"/>
      <c r="AE211" s="15"/>
      <c r="AF211" s="15"/>
    </row>
    <row r="212" spans="6:32" s="21" customFormat="1" ht="14.25" x14ac:dyDescent="0.45">
      <c r="F212" s="49">
        <v>43374</v>
      </c>
      <c r="G212" s="52">
        <v>95.8</v>
      </c>
      <c r="H212" s="52">
        <v>191.6</v>
      </c>
      <c r="I212" s="52">
        <v>95.8</v>
      </c>
      <c r="J212"/>
      <c r="K212"/>
      <c r="L212"/>
      <c r="M212"/>
      <c r="N212" s="37"/>
      <c r="O212" s="53">
        <v>853265.69199999992</v>
      </c>
      <c r="P212" s="53">
        <v>6826125.5359999994</v>
      </c>
      <c r="Q212" s="53">
        <v>853265.69199999992</v>
      </c>
      <c r="R212" s="53"/>
      <c r="S212" s="53">
        <v>853265.69199999992</v>
      </c>
      <c r="T212" s="15">
        <v>6826125.5359999994</v>
      </c>
      <c r="U212" s="15">
        <v>853265.69199999992</v>
      </c>
      <c r="V212" s="15"/>
      <c r="W212" s="15"/>
      <c r="X212" s="15"/>
      <c r="Y212" s="15"/>
      <c r="Z212" s="15"/>
      <c r="AA212" s="15"/>
      <c r="AB212" s="15"/>
      <c r="AC212" s="15"/>
      <c r="AD212" s="15"/>
      <c r="AE212" s="15"/>
      <c r="AF212" s="15"/>
    </row>
    <row r="213" spans="6:32" s="21" customFormat="1" ht="14.25" x14ac:dyDescent="0.45">
      <c r="F213" s="49">
        <v>43405</v>
      </c>
      <c r="G213" s="52">
        <v>89.5</v>
      </c>
      <c r="H213" s="52">
        <v>179</v>
      </c>
      <c r="I213" s="52">
        <v>89.5</v>
      </c>
      <c r="J213"/>
      <c r="K213"/>
      <c r="L213"/>
      <c r="M213"/>
      <c r="N213" s="37"/>
      <c r="O213" s="53">
        <v>777670.87</v>
      </c>
      <c r="P213" s="53">
        <v>6221366.96</v>
      </c>
      <c r="Q213" s="53">
        <v>777670.87</v>
      </c>
      <c r="R213" s="53"/>
      <c r="S213" s="53">
        <v>777670.87</v>
      </c>
      <c r="T213" s="15">
        <v>6221366.96</v>
      </c>
      <c r="U213" s="15">
        <v>777670.87</v>
      </c>
      <c r="V213" s="15"/>
      <c r="W213" s="15"/>
      <c r="X213" s="15"/>
      <c r="Y213" s="15"/>
      <c r="Z213" s="15"/>
      <c r="AA213" s="15"/>
      <c r="AB213" s="15"/>
      <c r="AC213" s="15"/>
      <c r="AD213" s="15"/>
      <c r="AE213" s="15"/>
      <c r="AF213" s="15"/>
    </row>
    <row r="214" spans="6:32" s="21" customFormat="1" ht="14.25" x14ac:dyDescent="0.45">
      <c r="F214" s="49">
        <v>43435</v>
      </c>
      <c r="G214" s="52">
        <v>78</v>
      </c>
      <c r="H214" s="52">
        <v>156</v>
      </c>
      <c r="I214" s="52">
        <v>78</v>
      </c>
      <c r="J214"/>
      <c r="K214"/>
      <c r="L214"/>
      <c r="M214"/>
      <c r="N214" s="37"/>
      <c r="O214" s="53">
        <v>668779.80000000005</v>
      </c>
      <c r="P214" s="53">
        <v>5350238.4000000004</v>
      </c>
      <c r="Q214" s="53">
        <v>668779.80000000005</v>
      </c>
      <c r="R214" s="53"/>
      <c r="S214" s="53">
        <v>668779.80000000005</v>
      </c>
      <c r="T214" s="15">
        <v>5350238.4000000004</v>
      </c>
      <c r="U214" s="15">
        <v>668779.80000000005</v>
      </c>
      <c r="V214" s="15"/>
      <c r="W214" s="15"/>
      <c r="X214" s="15"/>
      <c r="Y214" s="15"/>
      <c r="Z214" s="15"/>
      <c r="AA214" s="15"/>
      <c r="AB214" s="15"/>
      <c r="AC214" s="15"/>
      <c r="AD214" s="15"/>
      <c r="AE214" s="15"/>
      <c r="AF214" s="15"/>
    </row>
    <row r="215" spans="6:32" s="21" customFormat="1" ht="14.25" x14ac:dyDescent="0.45">
      <c r="F215" s="49">
        <v>43466</v>
      </c>
      <c r="G215" s="52">
        <v>80.7</v>
      </c>
      <c r="H215" s="52">
        <v>161.4</v>
      </c>
      <c r="I215" s="52">
        <v>80.7</v>
      </c>
      <c r="J215"/>
      <c r="K215"/>
      <c r="L215"/>
      <c r="M215"/>
      <c r="N215" s="37"/>
      <c r="O215" s="53">
        <v>563366.70000000007</v>
      </c>
      <c r="P215" s="53">
        <v>4506933.6000000006</v>
      </c>
      <c r="Q215" s="53">
        <v>563366.70000000007</v>
      </c>
      <c r="R215" s="53"/>
      <c r="S215" s="53">
        <v>563366.70000000007</v>
      </c>
      <c r="T215" s="15">
        <v>4506933.6000000006</v>
      </c>
      <c r="U215" s="15">
        <v>563366.70000000007</v>
      </c>
      <c r="V215" s="15"/>
      <c r="W215" s="15"/>
      <c r="X215" s="15"/>
      <c r="Y215" s="15"/>
      <c r="Z215" s="15"/>
      <c r="AA215" s="15"/>
      <c r="AB215" s="15"/>
      <c r="AC215" s="15"/>
      <c r="AD215" s="15"/>
      <c r="AE215" s="15"/>
      <c r="AF215" s="15"/>
    </row>
    <row r="216" spans="6:32" s="21" customFormat="1" ht="14.25" x14ac:dyDescent="0.45">
      <c r="F216" s="49">
        <v>43497</v>
      </c>
      <c r="G216" s="52">
        <v>79.099999999999994</v>
      </c>
      <c r="H216" s="52">
        <v>158.19999999999999</v>
      </c>
      <c r="I216" s="52">
        <v>79.099999999999994</v>
      </c>
      <c r="J216"/>
      <c r="K216"/>
      <c r="L216"/>
      <c r="M216"/>
      <c r="N216" s="37"/>
      <c r="O216" s="53">
        <v>497902.86</v>
      </c>
      <c r="P216" s="53">
        <v>3983222.88</v>
      </c>
      <c r="Q216" s="53">
        <v>497902.86</v>
      </c>
      <c r="R216" s="53"/>
      <c r="S216" s="53">
        <v>497902.86</v>
      </c>
      <c r="T216" s="15">
        <v>3983222.88</v>
      </c>
      <c r="U216" s="15">
        <v>497902.86</v>
      </c>
      <c r="V216" s="15"/>
      <c r="W216" s="15"/>
      <c r="X216" s="15"/>
      <c r="Y216" s="15"/>
      <c r="Z216" s="15"/>
      <c r="AA216" s="15"/>
      <c r="AB216" s="15"/>
      <c r="AC216" s="15"/>
      <c r="AD216" s="15"/>
      <c r="AE216" s="15"/>
      <c r="AF216" s="15"/>
    </row>
    <row r="217" spans="6:32" s="21" customFormat="1" ht="14.25" x14ac:dyDescent="0.45">
      <c r="F217" s="49">
        <v>43525</v>
      </c>
      <c r="G217" s="52">
        <v>81</v>
      </c>
      <c r="H217" s="52">
        <v>162</v>
      </c>
      <c r="I217" s="52">
        <v>81</v>
      </c>
      <c r="J217"/>
      <c r="K217"/>
      <c r="L217"/>
      <c r="M217"/>
      <c r="N217" s="37"/>
      <c r="O217" s="53">
        <v>517052.97</v>
      </c>
      <c r="P217" s="53">
        <v>4136423.76</v>
      </c>
      <c r="Q217" s="53">
        <v>517052.97</v>
      </c>
      <c r="R217" s="53"/>
      <c r="S217" s="53">
        <v>517052.97</v>
      </c>
      <c r="T217" s="15">
        <v>4136423.76</v>
      </c>
      <c r="U217" s="15">
        <v>517052.97</v>
      </c>
      <c r="V217" s="15"/>
      <c r="W217" s="15"/>
      <c r="X217" s="15"/>
      <c r="Y217" s="15"/>
      <c r="Z217" s="15"/>
      <c r="AA217" s="15"/>
      <c r="AB217" s="15"/>
      <c r="AC217" s="15"/>
      <c r="AD217" s="15"/>
      <c r="AE217" s="15"/>
      <c r="AF217" s="15"/>
    </row>
    <row r="218" spans="6:32" s="21" customFormat="1" ht="14.25" x14ac:dyDescent="0.45">
      <c r="F218" s="49">
        <v>43556</v>
      </c>
      <c r="G218" s="52">
        <v>83.3</v>
      </c>
      <c r="H218" s="52">
        <v>166.6</v>
      </c>
      <c r="I218" s="52">
        <v>83.3</v>
      </c>
      <c r="J218"/>
      <c r="K218"/>
      <c r="L218"/>
      <c r="M218"/>
      <c r="N218" s="37"/>
      <c r="O218" s="53">
        <v>533711.42999999993</v>
      </c>
      <c r="P218" s="53">
        <v>4269691.4399999995</v>
      </c>
      <c r="Q218" s="53">
        <v>533711.42999999993</v>
      </c>
      <c r="R218" s="53"/>
      <c r="S218" s="53">
        <v>533711.42999999993</v>
      </c>
      <c r="T218" s="15">
        <v>4269691.4399999995</v>
      </c>
      <c r="U218" s="15">
        <v>533711.42999999993</v>
      </c>
      <c r="V218" s="15"/>
      <c r="W218" s="15"/>
      <c r="X218" s="15"/>
      <c r="Y218" s="15"/>
      <c r="Z218" s="15"/>
      <c r="AA218" s="15"/>
      <c r="AB218" s="15"/>
      <c r="AC218" s="15"/>
      <c r="AD218" s="15"/>
      <c r="AE218" s="15"/>
      <c r="AF218" s="15"/>
    </row>
    <row r="219" spans="6:32" s="21" customFormat="1" ht="14.25" x14ac:dyDescent="0.45">
      <c r="F219" s="49">
        <v>43586</v>
      </c>
      <c r="G219" s="52">
        <v>91</v>
      </c>
      <c r="H219" s="52">
        <v>182</v>
      </c>
      <c r="I219" s="52">
        <v>91</v>
      </c>
      <c r="J219"/>
      <c r="K219"/>
      <c r="L219"/>
      <c r="M219"/>
      <c r="N219" s="37"/>
      <c r="O219" s="53">
        <v>614004.30000000005</v>
      </c>
      <c r="P219" s="53">
        <v>4912034.4000000004</v>
      </c>
      <c r="Q219" s="53">
        <v>614004.30000000005</v>
      </c>
      <c r="R219" s="53"/>
      <c r="S219" s="53">
        <v>614004.30000000005</v>
      </c>
      <c r="T219" s="15">
        <v>4912034.4000000004</v>
      </c>
      <c r="U219" s="15">
        <v>614004.30000000005</v>
      </c>
      <c r="V219" s="15"/>
      <c r="W219" s="15"/>
      <c r="X219" s="15"/>
      <c r="Y219" s="15"/>
      <c r="Z219" s="15"/>
      <c r="AA219" s="15"/>
      <c r="AB219" s="15"/>
      <c r="AC219" s="15"/>
      <c r="AD219" s="15"/>
      <c r="AE219" s="15"/>
      <c r="AF219" s="15"/>
    </row>
    <row r="220" spans="6:32" s="21" customFormat="1" ht="14.25" x14ac:dyDescent="0.45">
      <c r="F220" s="49">
        <v>43617</v>
      </c>
      <c r="G220" s="52">
        <v>85.8</v>
      </c>
      <c r="H220" s="52">
        <v>171.6</v>
      </c>
      <c r="I220" s="52">
        <v>85.8</v>
      </c>
      <c r="J220"/>
      <c r="K220"/>
      <c r="L220"/>
      <c r="M220"/>
      <c r="N220" s="37"/>
      <c r="O220" s="53">
        <v>650389.74</v>
      </c>
      <c r="P220" s="53">
        <v>5203117.92</v>
      </c>
      <c r="Q220" s="53">
        <v>650389.74</v>
      </c>
      <c r="R220" s="53"/>
      <c r="S220" s="53">
        <v>650389.74</v>
      </c>
      <c r="T220" s="15">
        <v>5203117.92</v>
      </c>
      <c r="U220" s="15">
        <v>650389.74</v>
      </c>
      <c r="V220" s="15"/>
      <c r="W220" s="15"/>
      <c r="X220" s="15"/>
      <c r="Y220" s="15"/>
      <c r="Z220" s="15"/>
      <c r="AA220" s="15"/>
      <c r="AB220" s="15"/>
      <c r="AC220" s="15"/>
      <c r="AD220" s="15"/>
      <c r="AE220" s="15"/>
      <c r="AF220" s="15"/>
    </row>
    <row r="221" spans="6:32" s="21" customFormat="1" ht="14.25" x14ac:dyDescent="0.45">
      <c r="F221" s="49">
        <v>43647</v>
      </c>
      <c r="G221" s="52">
        <v>93.4</v>
      </c>
      <c r="H221" s="52">
        <v>186.8</v>
      </c>
      <c r="I221" s="52">
        <v>93.4</v>
      </c>
      <c r="J221"/>
      <c r="K221"/>
      <c r="L221"/>
      <c r="M221"/>
      <c r="N221" s="37"/>
      <c r="O221" s="53">
        <v>729248.52</v>
      </c>
      <c r="P221" s="53">
        <v>5833988.1600000001</v>
      </c>
      <c r="Q221" s="53">
        <v>729248.52</v>
      </c>
      <c r="R221" s="53"/>
      <c r="S221" s="53">
        <v>729248.52</v>
      </c>
      <c r="T221" s="15">
        <v>5833988.1600000001</v>
      </c>
      <c r="U221" s="15">
        <v>729248.52</v>
      </c>
      <c r="V221" s="15"/>
      <c r="W221" s="15"/>
      <c r="X221" s="15"/>
      <c r="Y221" s="15"/>
      <c r="Z221" s="15"/>
      <c r="AA221" s="15"/>
      <c r="AB221" s="15"/>
      <c r="AC221" s="15"/>
      <c r="AD221" s="15"/>
      <c r="AE221" s="15"/>
      <c r="AF221" s="15"/>
    </row>
    <row r="222" spans="6:32" s="21" customFormat="1" ht="14.25" x14ac:dyDescent="0.45">
      <c r="F222" s="49">
        <v>43678</v>
      </c>
      <c r="G222" s="52">
        <v>96.2</v>
      </c>
      <c r="H222" s="52">
        <v>192.4</v>
      </c>
      <c r="I222" s="52">
        <v>96.2</v>
      </c>
      <c r="J222"/>
      <c r="K222"/>
      <c r="L222"/>
      <c r="M222"/>
      <c r="N222" s="37"/>
      <c r="O222" s="53">
        <v>770919.86400000006</v>
      </c>
      <c r="P222" s="53">
        <v>6167358.9120000005</v>
      </c>
      <c r="Q222" s="53">
        <v>770919.86400000006</v>
      </c>
      <c r="R222" s="53"/>
      <c r="S222" s="53">
        <v>770919.86400000006</v>
      </c>
      <c r="T222" s="15">
        <v>6167358.9120000005</v>
      </c>
      <c r="U222" s="15">
        <v>770919.86400000006</v>
      </c>
      <c r="V222" s="15"/>
      <c r="W222" s="15"/>
      <c r="X222" s="15"/>
      <c r="Y222" s="15"/>
      <c r="Z222" s="15"/>
      <c r="AA222" s="15"/>
      <c r="AB222" s="15"/>
      <c r="AC222" s="15"/>
      <c r="AD222" s="15"/>
      <c r="AE222" s="15"/>
      <c r="AF222" s="15"/>
    </row>
    <row r="223" spans="6:32" s="21" customFormat="1" ht="14.25" x14ac:dyDescent="0.45">
      <c r="F223" s="49">
        <v>43709</v>
      </c>
      <c r="G223" s="52">
        <v>91.8</v>
      </c>
      <c r="H223" s="52">
        <v>183.6</v>
      </c>
      <c r="I223" s="52">
        <v>91.8</v>
      </c>
      <c r="J223"/>
      <c r="K223"/>
      <c r="L223"/>
      <c r="M223"/>
      <c r="N223" s="37"/>
      <c r="O223" s="53">
        <v>824830.34399999992</v>
      </c>
      <c r="P223" s="53">
        <v>6598642.7519999994</v>
      </c>
      <c r="Q223" s="53">
        <v>824830.34399999992</v>
      </c>
      <c r="R223" s="53"/>
      <c r="S223" s="53">
        <v>824830.34399999992</v>
      </c>
      <c r="T223" s="15">
        <v>6598642.7519999994</v>
      </c>
      <c r="U223" s="15">
        <v>824830.34399999992</v>
      </c>
      <c r="V223" s="15"/>
      <c r="W223" s="15"/>
      <c r="X223" s="15"/>
      <c r="Y223" s="15"/>
      <c r="Z223" s="15"/>
      <c r="AA223" s="15"/>
      <c r="AB223" s="15"/>
      <c r="AC223" s="15"/>
      <c r="AD223" s="15"/>
      <c r="AE223" s="15"/>
      <c r="AF223" s="15"/>
    </row>
    <row r="224" spans="6:32" s="21" customFormat="1" ht="14.25" x14ac:dyDescent="0.45">
      <c r="F224" s="49">
        <v>43739</v>
      </c>
      <c r="G224" s="52">
        <v>97</v>
      </c>
      <c r="H224" s="52">
        <v>194</v>
      </c>
      <c r="I224" s="52">
        <v>97</v>
      </c>
      <c r="J224"/>
      <c r="K224"/>
      <c r="L224"/>
      <c r="M224"/>
      <c r="N224" s="37"/>
      <c r="O224" s="53">
        <v>856622.52</v>
      </c>
      <c r="P224" s="53">
        <v>6852980.1600000001</v>
      </c>
      <c r="Q224" s="53">
        <v>856622.52</v>
      </c>
      <c r="R224" s="53"/>
      <c r="S224" s="53">
        <v>856622.52</v>
      </c>
      <c r="T224" s="15">
        <v>6852980.1600000001</v>
      </c>
      <c r="U224" s="15">
        <v>856622.52</v>
      </c>
      <c r="V224" s="15"/>
      <c r="W224" s="15"/>
      <c r="X224" s="15"/>
      <c r="Y224" s="15"/>
      <c r="Z224" s="15"/>
      <c r="AA224" s="15"/>
      <c r="AB224" s="15"/>
      <c r="AC224" s="15"/>
      <c r="AD224" s="15"/>
      <c r="AE224" s="15"/>
      <c r="AF224" s="15"/>
    </row>
    <row r="225" spans="6:32" s="21" customFormat="1" ht="14.25" x14ac:dyDescent="0.45">
      <c r="F225" s="49">
        <v>43770</v>
      </c>
      <c r="G225" s="52">
        <v>88</v>
      </c>
      <c r="H225" s="52">
        <v>176</v>
      </c>
      <c r="I225" s="52">
        <v>88</v>
      </c>
      <c r="J225"/>
      <c r="K225"/>
      <c r="L225"/>
      <c r="M225"/>
      <c r="N225" s="37"/>
      <c r="O225" s="53">
        <v>783604.8</v>
      </c>
      <c r="P225" s="53">
        <v>6268838.4000000004</v>
      </c>
      <c r="Q225" s="53">
        <v>783604.8</v>
      </c>
      <c r="R225" s="53"/>
      <c r="S225" s="53">
        <v>783604.8</v>
      </c>
      <c r="T225" s="15">
        <v>6268838.4000000004</v>
      </c>
      <c r="U225" s="15">
        <v>783604.8</v>
      </c>
      <c r="V225" s="15"/>
      <c r="W225" s="15"/>
      <c r="X225" s="15"/>
      <c r="Y225" s="15"/>
      <c r="Z225" s="15"/>
      <c r="AA225" s="15"/>
      <c r="AB225" s="15"/>
      <c r="AC225" s="15"/>
      <c r="AD225" s="15"/>
      <c r="AE225" s="15"/>
      <c r="AF225" s="15"/>
    </row>
    <row r="226" spans="6:32" s="21" customFormat="1" ht="14.25" x14ac:dyDescent="0.45">
      <c r="F226" s="49">
        <v>43800</v>
      </c>
      <c r="G226" s="52">
        <v>76.900000000000006</v>
      </c>
      <c r="H226" s="52">
        <v>153.80000000000001</v>
      </c>
      <c r="I226" s="52">
        <v>76.900000000000006</v>
      </c>
      <c r="J226"/>
      <c r="K226"/>
      <c r="L226"/>
      <c r="M226"/>
      <c r="N226" s="37"/>
      <c r="O226" s="53">
        <v>656418.4</v>
      </c>
      <c r="P226" s="53">
        <v>5251347.2</v>
      </c>
      <c r="Q226" s="53">
        <v>656418.4</v>
      </c>
      <c r="R226" s="53"/>
      <c r="S226" s="53">
        <v>656418.4</v>
      </c>
      <c r="T226" s="15">
        <v>5251347.2</v>
      </c>
      <c r="U226" s="15">
        <v>656418.4</v>
      </c>
      <c r="V226" s="15"/>
      <c r="W226" s="15"/>
      <c r="X226" s="15"/>
      <c r="Y226" s="15"/>
      <c r="Z226" s="15"/>
      <c r="AA226" s="15"/>
      <c r="AB226" s="15"/>
      <c r="AC226" s="15"/>
      <c r="AD226" s="15"/>
      <c r="AE226" s="15"/>
      <c r="AF226" s="15"/>
    </row>
    <row r="227" spans="6:32" s="21" customFormat="1" ht="14.25" x14ac:dyDescent="0.45">
      <c r="F227" s="49">
        <v>43831</v>
      </c>
      <c r="G227" s="52">
        <v>80</v>
      </c>
      <c r="H227" s="52">
        <v>160</v>
      </c>
      <c r="I227" s="52">
        <v>80</v>
      </c>
      <c r="J227"/>
      <c r="K227"/>
      <c r="L227"/>
      <c r="M227"/>
      <c r="N227" s="37"/>
      <c r="O227" s="53">
        <v>541376</v>
      </c>
      <c r="P227" s="53">
        <v>4331008</v>
      </c>
      <c r="Q227" s="53">
        <v>541376</v>
      </c>
      <c r="R227" s="53"/>
      <c r="S227" s="53">
        <v>541376</v>
      </c>
      <c r="T227" s="15">
        <v>4331008</v>
      </c>
      <c r="U227" s="15">
        <v>541376</v>
      </c>
      <c r="V227" s="15"/>
      <c r="W227" s="15"/>
      <c r="X227" s="15"/>
      <c r="Y227" s="15"/>
      <c r="Z227" s="15"/>
      <c r="AA227" s="15"/>
      <c r="AB227" s="15"/>
      <c r="AC227" s="15"/>
      <c r="AD227" s="15"/>
      <c r="AE227" s="15"/>
      <c r="AF227" s="15"/>
    </row>
    <row r="228" spans="6:32" s="21" customFormat="1" ht="14.25" x14ac:dyDescent="0.45">
      <c r="F228" s="49">
        <v>43862</v>
      </c>
      <c r="G228" s="52">
        <v>78.900000000000006</v>
      </c>
      <c r="H228" s="52">
        <v>157.80000000000001</v>
      </c>
      <c r="I228" s="52">
        <v>78.900000000000006</v>
      </c>
      <c r="J228"/>
      <c r="K228"/>
      <c r="L228"/>
      <c r="M228"/>
      <c r="N228" s="37"/>
      <c r="O228" s="53">
        <v>485392.80000000005</v>
      </c>
      <c r="P228" s="53">
        <v>3883142.4000000004</v>
      </c>
      <c r="Q228" s="53">
        <v>485392.80000000005</v>
      </c>
      <c r="R228" s="53"/>
      <c r="S228" s="53">
        <v>485392.80000000005</v>
      </c>
      <c r="T228" s="15">
        <v>3883142.4000000004</v>
      </c>
      <c r="U228" s="15">
        <v>485392.80000000005</v>
      </c>
      <c r="V228" s="15"/>
      <c r="W228" s="15"/>
      <c r="X228" s="15"/>
      <c r="Y228" s="15"/>
      <c r="Z228" s="15"/>
      <c r="AA228" s="15"/>
      <c r="AB228" s="15"/>
      <c r="AC228" s="15"/>
      <c r="AD228" s="15"/>
      <c r="AE228" s="15"/>
      <c r="AF228" s="15"/>
    </row>
    <row r="229" spans="6:32" s="21" customFormat="1" ht="14.25" x14ac:dyDescent="0.45">
      <c r="F229" s="49">
        <v>43891</v>
      </c>
      <c r="G229" s="52">
        <v>77.900000000000006</v>
      </c>
      <c r="H229" s="52">
        <v>155.80000000000001</v>
      </c>
      <c r="I229" s="52">
        <v>77.900000000000006</v>
      </c>
      <c r="J229"/>
      <c r="K229"/>
      <c r="L229"/>
      <c r="M229"/>
      <c r="N229" s="37"/>
      <c r="O229" s="53">
        <v>491704.80000000005</v>
      </c>
      <c r="P229" s="53">
        <v>3933638.4000000004</v>
      </c>
      <c r="Q229" s="53">
        <v>491704.80000000005</v>
      </c>
      <c r="R229" s="53"/>
      <c r="S229" s="53">
        <v>491704.80000000005</v>
      </c>
      <c r="T229" s="15">
        <v>3933638.4000000004</v>
      </c>
      <c r="U229" s="15">
        <v>491704.80000000005</v>
      </c>
      <c r="V229" s="15"/>
      <c r="W229" s="15"/>
      <c r="X229" s="15"/>
      <c r="Y229" s="15"/>
      <c r="Z229" s="15"/>
      <c r="AA229" s="15"/>
      <c r="AB229" s="15"/>
      <c r="AC229" s="15"/>
      <c r="AD229" s="15"/>
      <c r="AE229" s="15"/>
      <c r="AF229" s="15"/>
    </row>
    <row r="230" spans="6:32" s="21" customFormat="1" ht="14.25" x14ac:dyDescent="0.45">
      <c r="F230" s="49">
        <v>43922</v>
      </c>
      <c r="G230" s="52">
        <v>60.3</v>
      </c>
      <c r="H230" s="52">
        <v>120.6</v>
      </c>
      <c r="I230" s="52">
        <v>60.3</v>
      </c>
      <c r="J230"/>
      <c r="K230"/>
      <c r="L230"/>
      <c r="M230"/>
      <c r="N230" s="37"/>
      <c r="O230" s="53">
        <v>370622.49300000007</v>
      </c>
      <c r="P230" s="53">
        <v>2964979.9440000006</v>
      </c>
      <c r="Q230" s="53">
        <v>370622.49300000007</v>
      </c>
      <c r="R230" s="53"/>
      <c r="S230" s="53">
        <v>370622.49300000007</v>
      </c>
      <c r="T230" s="15">
        <v>2964979.9440000006</v>
      </c>
      <c r="U230" s="15">
        <v>370622.49300000007</v>
      </c>
      <c r="V230" s="15"/>
      <c r="W230" s="15"/>
      <c r="X230" s="15"/>
      <c r="Y230" s="15"/>
      <c r="Z230" s="15"/>
      <c r="AA230" s="15"/>
      <c r="AB230" s="15"/>
      <c r="AC230" s="15"/>
      <c r="AD230" s="15"/>
      <c r="AE230" s="15"/>
      <c r="AF230" s="15"/>
    </row>
    <row r="231" spans="6:32" s="21" customFormat="1" ht="14.25" x14ac:dyDescent="0.45">
      <c r="F231" s="49">
        <v>43952</v>
      </c>
      <c r="G231" s="52">
        <v>71.2</v>
      </c>
      <c r="H231" s="52">
        <v>142.4</v>
      </c>
      <c r="I231" s="52">
        <v>71.2</v>
      </c>
      <c r="J231"/>
      <c r="K231"/>
      <c r="L231"/>
      <c r="M231"/>
      <c r="N231" s="37"/>
      <c r="O231" s="53">
        <v>334452.74400000001</v>
      </c>
      <c r="P231" s="53">
        <v>2675621.952</v>
      </c>
      <c r="Q231" s="53">
        <v>334452.74400000001</v>
      </c>
      <c r="R231" s="53"/>
      <c r="S231" s="53">
        <v>334452.74400000001</v>
      </c>
      <c r="T231" s="15">
        <v>2675621.952</v>
      </c>
      <c r="U231" s="15">
        <v>334452.74400000001</v>
      </c>
      <c r="V231" s="15"/>
      <c r="W231" s="15"/>
      <c r="X231" s="15"/>
      <c r="Y231" s="15"/>
      <c r="Z231" s="15"/>
      <c r="AA231" s="15"/>
      <c r="AB231" s="15"/>
      <c r="AC231" s="15"/>
      <c r="AD231" s="15"/>
      <c r="AE231" s="15"/>
      <c r="AF231" s="15"/>
    </row>
    <row r="232" spans="6:32" s="21" customFormat="1" ht="14.25" x14ac:dyDescent="0.45">
      <c r="F232" s="49">
        <v>43983</v>
      </c>
      <c r="G232" s="52">
        <v>78.400000000000006</v>
      </c>
      <c r="H232" s="52">
        <v>156.80000000000001</v>
      </c>
      <c r="I232" s="52">
        <v>78.400000000000006</v>
      </c>
      <c r="J232"/>
      <c r="K232"/>
      <c r="L232"/>
      <c r="M232"/>
      <c r="N232" s="37"/>
      <c r="O232" s="53">
        <v>336599.424</v>
      </c>
      <c r="P232" s="53">
        <v>2692795.392</v>
      </c>
      <c r="Q232" s="53">
        <v>336599.424</v>
      </c>
      <c r="R232" s="53"/>
      <c r="S232" s="53">
        <v>336599.424</v>
      </c>
      <c r="T232" s="15">
        <v>2692795.392</v>
      </c>
      <c r="U232" s="15">
        <v>336599.424</v>
      </c>
      <c r="V232" s="15"/>
      <c r="W232" s="15"/>
      <c r="X232" s="15"/>
      <c r="Y232" s="15"/>
      <c r="Z232" s="15"/>
      <c r="AA232" s="15"/>
      <c r="AB232" s="15"/>
      <c r="AC232" s="15"/>
      <c r="AD232" s="15"/>
      <c r="AE232" s="15"/>
      <c r="AF232" s="15"/>
    </row>
    <row r="233" spans="6:32" s="21" customFormat="1" ht="14.25" x14ac:dyDescent="0.45">
      <c r="F233" s="49">
        <v>44013</v>
      </c>
      <c r="G233" s="52">
        <v>91</v>
      </c>
      <c r="H233" s="52">
        <v>182</v>
      </c>
      <c r="I233" s="52">
        <v>91</v>
      </c>
      <c r="J233"/>
      <c r="K233"/>
      <c r="L233"/>
      <c r="M233"/>
      <c r="N233" s="37"/>
      <c r="O233" s="53">
        <v>507969.28000000009</v>
      </c>
      <c r="P233" s="53">
        <v>4063754.2400000007</v>
      </c>
      <c r="Q233" s="53">
        <v>507969.28000000009</v>
      </c>
      <c r="R233" s="53"/>
      <c r="S233" s="53">
        <v>507969.28000000009</v>
      </c>
      <c r="T233" s="15">
        <v>4063754.2400000007</v>
      </c>
      <c r="U233" s="15">
        <v>507969.28000000009</v>
      </c>
      <c r="V233" s="15"/>
      <c r="W233" s="15"/>
      <c r="X233" s="15"/>
      <c r="Y233" s="15"/>
      <c r="Z233" s="15"/>
      <c r="AA233" s="15"/>
      <c r="AB233" s="15"/>
      <c r="AC233" s="15"/>
      <c r="AD233" s="15"/>
      <c r="AE233" s="15"/>
      <c r="AF233" s="15"/>
    </row>
    <row r="234" spans="6:32" s="21" customFormat="1" ht="14.25" x14ac:dyDescent="0.45">
      <c r="F234" s="49">
        <v>44044</v>
      </c>
      <c r="G234" s="52">
        <v>93.9</v>
      </c>
      <c r="H234" s="52">
        <v>187.8</v>
      </c>
      <c r="I234" s="52">
        <v>93.9</v>
      </c>
      <c r="J234"/>
      <c r="K234"/>
      <c r="L234"/>
      <c r="M234"/>
      <c r="N234" s="37"/>
      <c r="O234" s="53">
        <v>669920.16000000015</v>
      </c>
      <c r="P234" s="53">
        <v>5359361.2800000012</v>
      </c>
      <c r="Q234" s="53">
        <v>669920.16000000015</v>
      </c>
      <c r="R234" s="53"/>
      <c r="S234" s="53">
        <v>669920.16000000015</v>
      </c>
      <c r="T234" s="15">
        <v>5359361.2800000012</v>
      </c>
      <c r="U234" s="15">
        <v>669920.16000000015</v>
      </c>
      <c r="V234" s="15"/>
      <c r="W234" s="15"/>
      <c r="X234" s="15"/>
      <c r="Y234" s="15"/>
      <c r="Z234" s="15"/>
      <c r="AA234" s="15"/>
      <c r="AB234" s="15"/>
      <c r="AC234" s="15"/>
      <c r="AD234" s="15"/>
      <c r="AE234" s="15"/>
      <c r="AF234" s="15"/>
    </row>
    <row r="235" spans="6:32" s="21" customFormat="1" ht="14.25" x14ac:dyDescent="0.45">
      <c r="F235" s="49">
        <v>44075</v>
      </c>
      <c r="G235" s="52">
        <v>95.4</v>
      </c>
      <c r="H235" s="52">
        <v>190.8</v>
      </c>
      <c r="I235" s="52">
        <v>95.4</v>
      </c>
      <c r="J235"/>
      <c r="K235"/>
      <c r="L235"/>
      <c r="M235"/>
      <c r="N235" s="37"/>
      <c r="O235" s="53">
        <v>815183.46</v>
      </c>
      <c r="P235" s="53">
        <v>6521467.6799999997</v>
      </c>
      <c r="Q235" s="53">
        <v>815183.46</v>
      </c>
      <c r="R235" s="53"/>
      <c r="S235" s="53">
        <v>815183.46</v>
      </c>
      <c r="T235" s="15">
        <v>6521467.6799999997</v>
      </c>
      <c r="U235" s="15">
        <v>815183.46</v>
      </c>
      <c r="V235" s="15"/>
      <c r="W235" s="15"/>
      <c r="X235" s="15"/>
      <c r="Y235" s="15"/>
      <c r="Z235" s="15"/>
      <c r="AA235" s="15"/>
      <c r="AB235" s="15"/>
      <c r="AC235" s="15"/>
      <c r="AD235" s="15"/>
      <c r="AE235" s="15"/>
      <c r="AF235" s="15"/>
    </row>
    <row r="236" spans="6:32" s="21" customFormat="1" ht="14.25" x14ac:dyDescent="0.45">
      <c r="F236" s="49">
        <v>44105</v>
      </c>
      <c r="G236" s="52">
        <v>97.3</v>
      </c>
      <c r="H236" s="52">
        <v>194.6</v>
      </c>
      <c r="I236" s="52">
        <v>97.3</v>
      </c>
      <c r="J236"/>
      <c r="K236"/>
      <c r="L236"/>
      <c r="M236"/>
      <c r="N236" s="37"/>
      <c r="O236" s="53">
        <v>871619.23800000013</v>
      </c>
      <c r="P236" s="53">
        <v>6972953.904000001</v>
      </c>
      <c r="Q236" s="53">
        <v>871619.23800000013</v>
      </c>
      <c r="R236" s="53"/>
      <c r="S236" s="53">
        <v>871619.23800000013</v>
      </c>
      <c r="T236" s="15">
        <v>6972953.904000001</v>
      </c>
      <c r="U236" s="15">
        <v>871619.23800000013</v>
      </c>
      <c r="V236" s="15"/>
      <c r="W236" s="15"/>
      <c r="X236" s="15"/>
      <c r="Y236" s="15"/>
      <c r="Z236" s="15"/>
      <c r="AA236" s="15"/>
      <c r="AB236" s="15"/>
      <c r="AC236" s="15"/>
      <c r="AD236" s="15"/>
      <c r="AE236" s="15"/>
      <c r="AF236" s="15"/>
    </row>
    <row r="237" spans="6:32" s="21" customFormat="1" ht="14.25" x14ac:dyDescent="0.45">
      <c r="F237" s="49">
        <v>44136</v>
      </c>
      <c r="G237" s="52">
        <v>90.2</v>
      </c>
      <c r="H237" s="52">
        <v>180.4</v>
      </c>
      <c r="I237" s="52">
        <v>90.2</v>
      </c>
      <c r="J237"/>
      <c r="K237"/>
      <c r="L237"/>
      <c r="M237"/>
      <c r="N237" s="37"/>
      <c r="O237" s="53">
        <v>837274.28399999999</v>
      </c>
      <c r="P237" s="53">
        <v>6698194.2719999999</v>
      </c>
      <c r="Q237" s="53">
        <v>837274.28399999999</v>
      </c>
      <c r="R237" s="53"/>
      <c r="S237" s="53">
        <v>837274.28399999999</v>
      </c>
      <c r="T237" s="15">
        <v>6698194.2719999999</v>
      </c>
      <c r="U237" s="15">
        <v>837274.28399999999</v>
      </c>
      <c r="V237" s="15"/>
      <c r="W237" s="15"/>
      <c r="X237" s="15"/>
      <c r="Y237" s="15"/>
      <c r="Z237" s="15"/>
      <c r="AA237" s="15"/>
      <c r="AB237" s="15"/>
      <c r="AC237" s="15"/>
      <c r="AD237" s="15"/>
      <c r="AE237" s="15"/>
      <c r="AF237" s="15"/>
    </row>
    <row r="238" spans="6:32" s="21" customFormat="1" ht="14.25" x14ac:dyDescent="0.45">
      <c r="F238" s="49">
        <v>44166</v>
      </c>
      <c r="G238" s="52">
        <v>83.3</v>
      </c>
      <c r="H238" s="52">
        <v>166.6</v>
      </c>
      <c r="I238" s="52">
        <v>83.3</v>
      </c>
      <c r="J238"/>
      <c r="K238"/>
      <c r="L238"/>
      <c r="M238"/>
      <c r="N238" s="37"/>
      <c r="O238" s="53">
        <v>731079.1179999999</v>
      </c>
      <c r="P238" s="53">
        <v>5848632.9439999992</v>
      </c>
      <c r="Q238" s="53">
        <v>731079.1179999999</v>
      </c>
      <c r="R238" s="53"/>
      <c r="S238" s="53">
        <v>731079.1179999999</v>
      </c>
      <c r="T238" s="15">
        <v>5848632.9439999992</v>
      </c>
      <c r="U238" s="15">
        <v>731079.1179999999</v>
      </c>
      <c r="V238" s="15"/>
      <c r="W238" s="15"/>
      <c r="X238" s="15"/>
      <c r="Y238" s="15"/>
      <c r="Z238" s="15"/>
      <c r="AA238" s="15"/>
      <c r="AB238" s="15"/>
      <c r="AC238" s="15"/>
      <c r="AD238" s="15"/>
      <c r="AE238" s="15"/>
      <c r="AF238" s="15"/>
    </row>
    <row r="239" spans="6:32" s="21" customFormat="1" ht="14.25" x14ac:dyDescent="0.45">
      <c r="F239" s="49">
        <v>44197</v>
      </c>
      <c r="G239" s="52">
        <v>81.900000000000006</v>
      </c>
      <c r="H239" s="52">
        <v>163.80000000000001</v>
      </c>
      <c r="I239" s="52">
        <v>81.900000000000006</v>
      </c>
      <c r="J239"/>
      <c r="K239"/>
      <c r="L239"/>
      <c r="M239"/>
      <c r="N239" s="37"/>
      <c r="O239" s="53">
        <v>615368.75400000007</v>
      </c>
      <c r="P239" s="53">
        <v>4922950.0320000006</v>
      </c>
      <c r="Q239" s="53">
        <v>615368.75400000007</v>
      </c>
      <c r="R239" s="53"/>
      <c r="S239" s="53">
        <v>615368.75400000007</v>
      </c>
      <c r="T239" s="15">
        <v>4922950.0320000006</v>
      </c>
      <c r="U239" s="15">
        <v>615368.75400000007</v>
      </c>
      <c r="V239" s="15"/>
      <c r="W239" s="15"/>
      <c r="X239" s="15"/>
      <c r="Y239" s="15"/>
      <c r="Z239" s="15"/>
      <c r="AA239" s="15"/>
      <c r="AB239" s="15"/>
      <c r="AC239" s="15"/>
      <c r="AD239" s="15"/>
      <c r="AE239" s="15"/>
      <c r="AF239" s="15"/>
    </row>
    <row r="240" spans="6:32" s="21" customFormat="1" ht="14.25" x14ac:dyDescent="0.45">
      <c r="F240" s="49">
        <v>44228</v>
      </c>
      <c r="G240" s="52">
        <v>79.099999999999994</v>
      </c>
      <c r="H240" s="52">
        <v>158.19999999999999</v>
      </c>
      <c r="I240" s="52">
        <v>79.099999999999994</v>
      </c>
      <c r="J240"/>
      <c r="K240"/>
      <c r="L240"/>
      <c r="M240"/>
      <c r="N240" s="37"/>
      <c r="O240" s="53">
        <v>539641.55700000003</v>
      </c>
      <c r="P240" s="53">
        <v>4317132.4560000002</v>
      </c>
      <c r="Q240" s="53">
        <v>539641.55700000003</v>
      </c>
      <c r="R240" s="53"/>
      <c r="S240" s="53">
        <v>539641.55700000003</v>
      </c>
      <c r="T240" s="15">
        <v>4317132.4560000002</v>
      </c>
      <c r="U240" s="15">
        <v>539641.55700000003</v>
      </c>
      <c r="V240" s="15"/>
      <c r="W240" s="15"/>
      <c r="X240" s="15"/>
      <c r="Y240" s="15"/>
      <c r="Z240" s="15"/>
      <c r="AA240" s="15"/>
      <c r="AB240" s="15"/>
      <c r="AC240" s="15"/>
      <c r="AD240" s="15"/>
      <c r="AE240" s="15"/>
      <c r="AF240" s="15"/>
    </row>
    <row r="241" spans="6:32" s="21" customFormat="1" ht="14.25" x14ac:dyDescent="0.45">
      <c r="F241" s="49">
        <v>44256</v>
      </c>
      <c r="G241" s="52">
        <v>86.1</v>
      </c>
      <c r="H241" s="52">
        <v>172.2</v>
      </c>
      <c r="I241" s="52">
        <v>86.1</v>
      </c>
      <c r="J241"/>
      <c r="K241"/>
      <c r="L241"/>
      <c r="M241"/>
      <c r="N241" s="37"/>
      <c r="O241" s="53">
        <v>557780.76899999997</v>
      </c>
      <c r="P241" s="53">
        <v>4462246.1519999998</v>
      </c>
      <c r="Q241" s="53">
        <v>557780.76899999997</v>
      </c>
      <c r="R241" s="53"/>
      <c r="S241" s="53">
        <v>557780.76899999997</v>
      </c>
      <c r="T241" s="15">
        <v>4462246.1519999998</v>
      </c>
      <c r="U241" s="15">
        <v>557780.76899999997</v>
      </c>
      <c r="V241" s="15"/>
      <c r="W241" s="15"/>
      <c r="X241" s="15"/>
      <c r="Y241" s="15"/>
      <c r="Z241" s="15"/>
      <c r="AA241" s="15"/>
      <c r="AB241" s="15"/>
      <c r="AC241" s="15"/>
      <c r="AD241" s="15"/>
      <c r="AE241" s="15"/>
      <c r="AF241" s="15"/>
    </row>
    <row r="242" spans="6:32" s="21" customFormat="1" ht="14.25" x14ac:dyDescent="0.45">
      <c r="F242" s="49">
        <v>44287</v>
      </c>
      <c r="G242" s="52">
        <v>81.3</v>
      </c>
      <c r="H242" s="52">
        <v>162.6</v>
      </c>
      <c r="I242" s="52">
        <v>81.3</v>
      </c>
      <c r="J242"/>
      <c r="K242"/>
      <c r="L242"/>
      <c r="M242"/>
      <c r="N242" s="37"/>
      <c r="O242" s="53">
        <v>553694.46299999987</v>
      </c>
      <c r="P242" s="53">
        <v>4429555.703999999</v>
      </c>
      <c r="Q242" s="53">
        <v>553694.46299999987</v>
      </c>
      <c r="R242" s="53"/>
      <c r="S242" s="53">
        <v>553694.46299999987</v>
      </c>
      <c r="T242" s="15">
        <v>4429555.703999999</v>
      </c>
      <c r="U242" s="15">
        <v>553694.46299999987</v>
      </c>
      <c r="V242" s="15"/>
      <c r="W242" s="15"/>
      <c r="X242" s="15"/>
      <c r="Y242" s="15"/>
      <c r="Z242" s="15"/>
      <c r="AA242" s="15"/>
      <c r="AB242" s="15"/>
      <c r="AC242" s="15"/>
      <c r="AD242" s="15"/>
      <c r="AE242" s="15"/>
      <c r="AF242" s="15"/>
    </row>
    <row r="243" spans="6:32" s="21" customFormat="1" ht="14.25" x14ac:dyDescent="0.45">
      <c r="F243" s="49">
        <v>44317</v>
      </c>
      <c r="G243" s="52">
        <v>88.4</v>
      </c>
      <c r="H243" s="52">
        <v>176.8</v>
      </c>
      <c r="I243" s="52">
        <v>88.4</v>
      </c>
      <c r="J243"/>
      <c r="K243"/>
      <c r="L243"/>
      <c r="M243"/>
      <c r="N243" s="37"/>
      <c r="O243" s="53">
        <v>618793.81200000003</v>
      </c>
      <c r="P243" s="53">
        <v>4950350.4960000003</v>
      </c>
      <c r="Q243" s="53">
        <v>618793.81200000003</v>
      </c>
      <c r="R243" s="53"/>
      <c r="S243" s="53">
        <v>618793.81200000003</v>
      </c>
      <c r="T243" s="15">
        <v>4950350.4960000003</v>
      </c>
      <c r="U243" s="15">
        <v>618793.81200000003</v>
      </c>
      <c r="V243" s="15"/>
      <c r="W243" s="15"/>
      <c r="X243" s="15"/>
      <c r="Y243" s="15"/>
      <c r="Z243" s="15"/>
      <c r="AA243" s="15"/>
      <c r="AB243" s="15"/>
      <c r="AC243" s="15"/>
      <c r="AD243" s="15"/>
      <c r="AE243" s="15"/>
      <c r="AF243" s="15"/>
    </row>
    <row r="244" spans="6:32" s="21" customFormat="1" ht="14.25" x14ac:dyDescent="0.45">
      <c r="F244" s="49">
        <v>44348</v>
      </c>
      <c r="G244" s="52">
        <v>87.9</v>
      </c>
      <c r="H244" s="52">
        <v>175.8</v>
      </c>
      <c r="I244" s="52">
        <v>87.9</v>
      </c>
      <c r="J244"/>
      <c r="K244"/>
      <c r="L244"/>
      <c r="M244"/>
      <c r="N244" s="37"/>
      <c r="O244" s="53">
        <v>631730.26800000004</v>
      </c>
      <c r="P244" s="53">
        <v>5053842.1440000003</v>
      </c>
      <c r="Q244" s="53">
        <v>631730.26800000004</v>
      </c>
      <c r="R244" s="53"/>
      <c r="S244" s="53">
        <v>631730.26800000004</v>
      </c>
      <c r="T244" s="15">
        <v>5053842.1440000003</v>
      </c>
      <c r="U244" s="15">
        <v>631730.26800000004</v>
      </c>
      <c r="V244" s="15"/>
      <c r="W244" s="15"/>
      <c r="X244" s="15"/>
      <c r="Y244" s="15"/>
      <c r="Z244" s="15"/>
      <c r="AA244" s="15"/>
      <c r="AB244" s="15"/>
      <c r="AC244" s="15"/>
      <c r="AD244" s="15"/>
      <c r="AE244" s="15"/>
      <c r="AF244" s="15"/>
    </row>
    <row r="245" spans="6:32" s="21" customFormat="1" ht="14.25" x14ac:dyDescent="0.45">
      <c r="F245" s="49">
        <v>44378</v>
      </c>
      <c r="G245" s="52">
        <v>92.2</v>
      </c>
      <c r="H245" s="52">
        <v>184.4</v>
      </c>
      <c r="I245" s="52">
        <v>92.2</v>
      </c>
      <c r="J245"/>
      <c r="K245"/>
      <c r="L245"/>
      <c r="M245"/>
      <c r="N245" s="37"/>
      <c r="O245" s="53">
        <v>716427.19200000004</v>
      </c>
      <c r="P245" s="53">
        <v>5731417.5360000003</v>
      </c>
      <c r="Q245" s="53">
        <v>716427.19200000004</v>
      </c>
      <c r="R245" s="53"/>
      <c r="S245" s="53">
        <v>716427.19200000004</v>
      </c>
      <c r="T245" s="15">
        <v>5731417.5360000003</v>
      </c>
      <c r="U245" s="15">
        <v>716427.19200000004</v>
      </c>
      <c r="V245" s="15"/>
      <c r="W245" s="15"/>
      <c r="X245" s="15"/>
      <c r="Y245" s="15"/>
      <c r="Z245" s="15"/>
      <c r="AA245" s="15"/>
      <c r="AB245" s="15"/>
      <c r="AC245" s="15"/>
      <c r="AD245" s="15"/>
      <c r="AE245" s="15"/>
      <c r="AF245" s="15"/>
    </row>
    <row r="246" spans="6:32" s="21" customFormat="1" ht="14.25" x14ac:dyDescent="0.45">
      <c r="F246" s="49">
        <v>44409</v>
      </c>
      <c r="G246" s="52">
        <v>93.4</v>
      </c>
      <c r="H246" s="52">
        <v>186.8</v>
      </c>
      <c r="I246" s="52">
        <v>93.4</v>
      </c>
      <c r="J246"/>
      <c r="K246"/>
      <c r="L246"/>
      <c r="M246"/>
      <c r="N246" s="37"/>
      <c r="O246" s="53">
        <v>756949.09200000018</v>
      </c>
      <c r="P246" s="53">
        <v>6055592.7360000014</v>
      </c>
      <c r="Q246" s="53">
        <v>756949.09200000018</v>
      </c>
      <c r="R246" s="53"/>
      <c r="S246" s="53">
        <v>756949.09200000018</v>
      </c>
      <c r="T246" s="15">
        <v>6055592.7360000014</v>
      </c>
      <c r="U246" s="15">
        <v>756949.09200000018</v>
      </c>
      <c r="V246" s="15"/>
      <c r="W246" s="15"/>
      <c r="X246" s="15"/>
      <c r="Y246" s="15"/>
      <c r="Z246" s="15"/>
      <c r="AA246" s="15"/>
      <c r="AB246" s="15"/>
      <c r="AC246" s="15"/>
      <c r="AD246" s="15"/>
      <c r="AE246" s="15"/>
      <c r="AF246" s="15"/>
    </row>
    <row r="247" spans="6:32" s="21" customFormat="1" ht="14.25" x14ac:dyDescent="0.45">
      <c r="F247" s="49">
        <v>44440</v>
      </c>
      <c r="G247" s="52">
        <v>91.5</v>
      </c>
      <c r="H247" s="52">
        <v>183</v>
      </c>
      <c r="I247" s="52">
        <v>91.5</v>
      </c>
      <c r="J247"/>
      <c r="K247"/>
      <c r="L247"/>
      <c r="M247"/>
      <c r="N247" s="37"/>
      <c r="O247" s="53">
        <v>787950.42000000016</v>
      </c>
      <c r="P247" s="53">
        <v>6303603.3600000013</v>
      </c>
      <c r="Q247" s="53">
        <v>787950.42000000016</v>
      </c>
      <c r="R247" s="53"/>
      <c r="S247" s="53">
        <v>787950.42000000016</v>
      </c>
      <c r="T247" s="15">
        <v>6303603.3600000013</v>
      </c>
      <c r="U247" s="15">
        <v>787950.42000000016</v>
      </c>
      <c r="V247" s="15"/>
      <c r="W247" s="15"/>
      <c r="X247" s="15"/>
      <c r="Y247" s="15"/>
      <c r="Z247" s="15"/>
      <c r="AA247" s="15"/>
      <c r="AB247" s="15"/>
      <c r="AC247" s="15"/>
      <c r="AD247" s="15"/>
      <c r="AE247" s="15"/>
      <c r="AF247" s="15"/>
    </row>
    <row r="248" spans="6:32" s="21" customFormat="1" ht="14.25" x14ac:dyDescent="0.45">
      <c r="F248" s="49">
        <v>44470</v>
      </c>
      <c r="G248" s="52">
        <v>89.7</v>
      </c>
      <c r="H248" s="52">
        <v>179.4</v>
      </c>
      <c r="I248" s="52">
        <v>89.7</v>
      </c>
      <c r="J248"/>
      <c r="K248"/>
      <c r="L248"/>
      <c r="M248"/>
      <c r="N248" s="37"/>
      <c r="O248" s="53">
        <v>766585.17</v>
      </c>
      <c r="P248" s="53">
        <v>6132681.3600000003</v>
      </c>
      <c r="Q248" s="53">
        <v>766585.17</v>
      </c>
      <c r="R248" s="53"/>
      <c r="S248" s="53">
        <v>766585.17</v>
      </c>
      <c r="T248" s="15">
        <v>6132681.3600000003</v>
      </c>
      <c r="U248" s="15">
        <v>766585.17</v>
      </c>
      <c r="V248" s="15"/>
      <c r="W248" s="15"/>
      <c r="X248" s="15"/>
      <c r="Y248" s="15"/>
      <c r="Z248" s="15"/>
      <c r="AA248" s="15"/>
      <c r="AB248" s="15"/>
      <c r="AC248" s="15"/>
      <c r="AD248" s="15"/>
      <c r="AE248" s="15"/>
      <c r="AF248" s="15"/>
    </row>
    <row r="249" spans="6:32" s="21" customFormat="1" ht="14.25" x14ac:dyDescent="0.45">
      <c r="F249" s="49">
        <v>44501</v>
      </c>
      <c r="G249" s="52">
        <v>86.3</v>
      </c>
      <c r="H249" s="52">
        <v>172.6</v>
      </c>
      <c r="I249" s="52">
        <v>86.3</v>
      </c>
      <c r="J249"/>
      <c r="K249"/>
      <c r="L249"/>
      <c r="M249"/>
      <c r="N249" s="37"/>
      <c r="O249" s="53">
        <v>708311.56500000006</v>
      </c>
      <c r="P249" s="53">
        <v>5666492.5200000005</v>
      </c>
      <c r="Q249" s="53">
        <v>708311.56500000006</v>
      </c>
      <c r="R249" s="53"/>
      <c r="S249" s="53">
        <v>708311.56500000006</v>
      </c>
      <c r="T249" s="15">
        <v>5666492.5200000005</v>
      </c>
      <c r="U249" s="15">
        <v>708311.56500000006</v>
      </c>
      <c r="V249" s="15"/>
      <c r="W249" s="15"/>
      <c r="X249" s="15"/>
      <c r="Y249" s="15"/>
      <c r="Z249" s="15"/>
      <c r="AA249" s="15"/>
      <c r="AB249" s="15"/>
      <c r="AC249" s="15"/>
      <c r="AD249" s="15"/>
      <c r="AE249" s="15"/>
      <c r="AF249" s="15"/>
    </row>
    <row r="250" spans="6:32" s="21" customFormat="1" ht="14.25" x14ac:dyDescent="0.45">
      <c r="F250" s="49">
        <v>44531</v>
      </c>
      <c r="G250" s="52">
        <v>79.2</v>
      </c>
      <c r="H250" s="52">
        <v>158.4</v>
      </c>
      <c r="I250" s="52">
        <v>79.2</v>
      </c>
      <c r="J250"/>
      <c r="K250"/>
      <c r="L250"/>
      <c r="M250"/>
      <c r="N250" s="37"/>
      <c r="O250" s="53">
        <v>613095.91200000001</v>
      </c>
      <c r="P250" s="53">
        <v>4904767.2960000001</v>
      </c>
      <c r="Q250" s="53">
        <v>613095.91200000001</v>
      </c>
      <c r="R250" s="53"/>
      <c r="S250" s="53">
        <v>613095.91200000001</v>
      </c>
      <c r="T250" s="15">
        <v>4904767.2960000001</v>
      </c>
      <c r="U250" s="15">
        <v>613095.91200000001</v>
      </c>
      <c r="V250" s="15"/>
      <c r="W250" s="15"/>
      <c r="X250" s="15"/>
      <c r="Y250" s="15"/>
      <c r="Z250" s="15"/>
      <c r="AA250" s="15"/>
      <c r="AB250" s="15"/>
      <c r="AC250" s="15"/>
      <c r="AD250" s="15"/>
      <c r="AE250" s="15"/>
      <c r="AF250" s="15"/>
    </row>
  </sheetData>
  <mergeCells count="2">
    <mergeCell ref="G10:I10"/>
    <mergeCell ref="D14:D15"/>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51727-383D-43D5-BBAD-729532AF11A1}">
  <sheetPr codeName="Planilha11">
    <tabColor theme="9" tint="0.59999389629810485"/>
  </sheetPr>
  <dimension ref="A1:U247"/>
  <sheetViews>
    <sheetView showGridLines="0" workbookViewId="0">
      <selection activeCell="J8" sqref="J8"/>
    </sheetView>
  </sheetViews>
  <sheetFormatPr defaultColWidth="8.796875" defaultRowHeight="18" x14ac:dyDescent="0.55000000000000004"/>
  <cols>
    <col min="1" max="1" width="12.6640625" style="17" customWidth="1"/>
    <col min="2" max="2" width="24.796875" bestFit="1" customWidth="1"/>
    <col min="4" max="4" width="44.33203125" bestFit="1" customWidth="1"/>
    <col min="5" max="5" width="4.6640625" customWidth="1"/>
    <col min="6" max="7" width="7.1328125" bestFit="1" customWidth="1"/>
    <col min="8" max="8" width="9.33203125" bestFit="1" customWidth="1"/>
    <col min="10" max="21" width="9" style="15" customWidth="1"/>
  </cols>
  <sheetData>
    <row r="1" spans="1:21" x14ac:dyDescent="0.55000000000000004">
      <c r="A1" s="16" t="s">
        <v>183</v>
      </c>
      <c r="J1" s="14"/>
      <c r="K1" s="14"/>
      <c r="L1" s="14"/>
      <c r="M1" s="14"/>
      <c r="N1" s="14"/>
      <c r="O1" s="14"/>
      <c r="P1" s="14"/>
      <c r="Q1" s="14"/>
      <c r="R1" s="14"/>
      <c r="S1" s="14"/>
      <c r="T1" s="14"/>
      <c r="U1" s="14"/>
    </row>
    <row r="2" spans="1:21" x14ac:dyDescent="0.55000000000000004">
      <c r="A2" s="17" t="s">
        <v>184</v>
      </c>
      <c r="J2" s="14"/>
      <c r="K2" s="14"/>
      <c r="L2" s="14"/>
      <c r="M2" s="14"/>
      <c r="N2" s="14"/>
      <c r="O2" s="14"/>
      <c r="P2" s="14"/>
      <c r="Q2" s="14"/>
      <c r="R2" s="14"/>
      <c r="S2" s="14"/>
      <c r="T2" s="14"/>
      <c r="U2" s="14"/>
    </row>
    <row r="4" spans="1:21" ht="15.75" x14ac:dyDescent="0.5">
      <c r="A4" s="2" t="s">
        <v>15</v>
      </c>
      <c r="B4" s="2" t="s">
        <v>16</v>
      </c>
    </row>
    <row r="5" spans="1:21" ht="15.75" x14ac:dyDescent="0.5">
      <c r="A5" s="23" t="s">
        <v>165</v>
      </c>
      <c r="B5" s="24" t="s">
        <v>167</v>
      </c>
    </row>
    <row r="6" spans="1:21" ht="47.25" x14ac:dyDescent="0.5">
      <c r="A6" s="23" t="s">
        <v>514</v>
      </c>
      <c r="B6" s="24" t="s">
        <v>512</v>
      </c>
    </row>
    <row r="7" spans="1:21" x14ac:dyDescent="0.55000000000000004">
      <c r="D7" s="1" t="s">
        <v>17</v>
      </c>
      <c r="G7" s="13" t="s">
        <v>165</v>
      </c>
      <c r="H7" s="13" t="s">
        <v>185</v>
      </c>
    </row>
    <row r="8" spans="1:21" x14ac:dyDescent="0.55000000000000004">
      <c r="D8" t="s">
        <v>176</v>
      </c>
      <c r="F8" s="49">
        <v>37257</v>
      </c>
      <c r="G8" s="52">
        <v>72.400000000000006</v>
      </c>
      <c r="H8" s="54" t="s">
        <v>513</v>
      </c>
      <c r="J8" s="53" cm="1">
        <f t="array" ref="J8:J247">_xlfn.LAMBDA(_xlpm.values,_xlop.type, _xlfn.LET(_xlpm.nPower, IF( OR(_xlfn.ISOMITTED(_xlpm.type), UPPER(_xlpm.type) = "LOG"), 1, _xlpm.type),
IF(ISNUMBER(_xlpm.type),
_xlpm.values - OLS_FITTED(_xlpm.values, ADDCONST(_xlfn.SEQUENCE(ROWS(_xlpm.values))^_xlpm.nPower)),
EXP( LN(_xlpm.values) ) - EXP(  OLS_FITTED(LN(_xlpm.values), ADDCONST(_xlfn.SEQUENCE(ROWS(_xlpm.values))^_xlpm.nPower)) )
) ) )($G$8:$G$247,$H$8)</f>
        <v>-17.996783312622867</v>
      </c>
      <c r="K8" s="53"/>
      <c r="L8" s="53" cm="1">
        <f t="array" ref="L8:L247">DETREND($G$8:$G$247,$H$8)</f>
        <v>-17.996783312622867</v>
      </c>
      <c r="M8" s="53"/>
      <c r="N8" s="53"/>
      <c r="O8" s="53"/>
      <c r="P8" s="53"/>
      <c r="Q8" s="53"/>
      <c r="R8" s="53"/>
      <c r="S8" s="53"/>
      <c r="T8" s="53"/>
      <c r="U8" s="53"/>
    </row>
    <row r="9" spans="1:21" x14ac:dyDescent="0.55000000000000004">
      <c r="D9" t="s">
        <v>177</v>
      </c>
      <c r="F9" s="49">
        <v>37288</v>
      </c>
      <c r="G9" s="52">
        <v>69.7</v>
      </c>
      <c r="J9" s="53">
        <v>-20.700272758308301</v>
      </c>
      <c r="K9" s="53"/>
      <c r="L9" s="53">
        <v>-20.700272758308301</v>
      </c>
      <c r="M9" s="53"/>
      <c r="N9" s="53"/>
      <c r="O9" s="53"/>
      <c r="P9" s="53"/>
      <c r="Q9" s="53"/>
      <c r="R9" s="53"/>
      <c r="S9" s="53"/>
      <c r="T9" s="53"/>
      <c r="U9" s="53"/>
    </row>
    <row r="10" spans="1:21" x14ac:dyDescent="0.55000000000000004">
      <c r="D10" t="s">
        <v>155</v>
      </c>
      <c r="F10" s="49">
        <v>37316</v>
      </c>
      <c r="G10" s="52">
        <v>77.400000000000006</v>
      </c>
      <c r="J10" s="53">
        <v>-13.00376233869126</v>
      </c>
      <c r="K10" s="53"/>
      <c r="L10" s="53">
        <v>-13.00376233869126</v>
      </c>
      <c r="M10" s="53"/>
      <c r="N10" s="53"/>
      <c r="O10" s="53"/>
      <c r="P10" s="53"/>
      <c r="Q10" s="53"/>
      <c r="R10" s="53"/>
      <c r="S10" s="53"/>
      <c r="T10" s="53"/>
      <c r="U10" s="53"/>
    </row>
    <row r="11" spans="1:21" ht="18.75" customHeight="1" x14ac:dyDescent="0.55000000000000004">
      <c r="D11" s="173"/>
      <c r="F11" s="49">
        <v>37347</v>
      </c>
      <c r="G11" s="52">
        <v>79.599999999999994</v>
      </c>
      <c r="J11" s="53">
        <v>-10.807252053777134</v>
      </c>
      <c r="K11" s="53"/>
      <c r="L11" s="53">
        <v>-10.807252053777134</v>
      </c>
      <c r="M11" s="53"/>
      <c r="N11" s="53"/>
      <c r="O11" s="53"/>
      <c r="P11" s="53"/>
      <c r="Q11" s="53"/>
      <c r="R11" s="53"/>
      <c r="S11" s="53"/>
      <c r="T11" s="53"/>
      <c r="U11" s="53"/>
    </row>
    <row r="12" spans="1:21" x14ac:dyDescent="0.55000000000000004">
      <c r="D12" s="173"/>
      <c r="F12" s="49">
        <v>37377</v>
      </c>
      <c r="G12" s="52">
        <v>80.400000000000006</v>
      </c>
      <c r="J12" s="53">
        <v>-10.010741903570903</v>
      </c>
      <c r="K12" s="53"/>
      <c r="L12" s="53">
        <v>-10.010741903570903</v>
      </c>
      <c r="M12" s="53"/>
      <c r="N12" s="53"/>
      <c r="O12" s="53"/>
      <c r="P12" s="53"/>
      <c r="Q12" s="53"/>
      <c r="R12" s="53"/>
      <c r="S12" s="53"/>
      <c r="T12" s="53"/>
      <c r="U12" s="53"/>
    </row>
    <row r="13" spans="1:21" x14ac:dyDescent="0.55000000000000004">
      <c r="D13" s="46"/>
      <c r="F13" s="49">
        <v>37408</v>
      </c>
      <c r="G13" s="52">
        <v>77.5</v>
      </c>
      <c r="J13" s="53">
        <v>-12.914231888077978</v>
      </c>
      <c r="K13" s="53"/>
      <c r="L13" s="53">
        <v>-12.914231888077978</v>
      </c>
      <c r="M13" s="53"/>
      <c r="N13" s="53"/>
      <c r="O13" s="53"/>
      <c r="P13" s="53"/>
      <c r="Q13" s="53"/>
      <c r="R13" s="53"/>
      <c r="S13" s="53"/>
      <c r="T13" s="53"/>
      <c r="U13" s="53"/>
    </row>
    <row r="14" spans="1:21" x14ac:dyDescent="0.55000000000000004">
      <c r="F14" s="49">
        <v>37438</v>
      </c>
      <c r="G14" s="52">
        <v>83.3</v>
      </c>
      <c r="J14" s="53">
        <v>-7.1177220073033851</v>
      </c>
      <c r="K14" s="53"/>
      <c r="L14" s="53">
        <v>-7.1177220073033851</v>
      </c>
      <c r="M14" s="53"/>
      <c r="N14" s="53"/>
      <c r="O14" s="53"/>
      <c r="P14" s="53"/>
      <c r="Q14" s="53"/>
      <c r="R14" s="53"/>
      <c r="S14" s="53"/>
      <c r="T14" s="53"/>
      <c r="U14" s="53"/>
    </row>
    <row r="15" spans="1:21" x14ac:dyDescent="0.55000000000000004">
      <c r="F15" s="49">
        <v>37469</v>
      </c>
      <c r="G15" s="52">
        <v>83.6</v>
      </c>
      <c r="J15" s="53">
        <v>-6.8212122612525121</v>
      </c>
      <c r="K15" s="53"/>
      <c r="L15" s="53">
        <v>-6.8212122612525121</v>
      </c>
      <c r="M15" s="53"/>
      <c r="N15" s="53"/>
      <c r="O15" s="53"/>
      <c r="P15" s="53"/>
      <c r="Q15" s="53"/>
      <c r="R15" s="53"/>
      <c r="S15" s="53"/>
      <c r="T15" s="53"/>
      <c r="U15" s="53"/>
    </row>
    <row r="16" spans="1:21" x14ac:dyDescent="0.55000000000000004">
      <c r="F16" s="49">
        <v>37500</v>
      </c>
      <c r="G16" s="52">
        <v>82.1</v>
      </c>
      <c r="J16" s="53">
        <v>-8.3247026499303303</v>
      </c>
      <c r="K16" s="53"/>
      <c r="L16" s="53">
        <v>-8.3247026499303303</v>
      </c>
      <c r="M16" s="53"/>
      <c r="N16" s="53"/>
      <c r="O16" s="53"/>
      <c r="P16" s="53"/>
      <c r="Q16" s="53"/>
      <c r="R16" s="53"/>
      <c r="S16" s="53"/>
      <c r="T16" s="53"/>
      <c r="U16" s="53"/>
    </row>
    <row r="17" spans="6:21" x14ac:dyDescent="0.55000000000000004">
      <c r="F17" s="49">
        <v>37530</v>
      </c>
      <c r="G17" s="52">
        <v>89.2</v>
      </c>
      <c r="J17" s="53">
        <v>-1.2281931733422908</v>
      </c>
      <c r="K17" s="53"/>
      <c r="L17" s="53">
        <v>-1.2281931733422908</v>
      </c>
      <c r="M17" s="53"/>
      <c r="N17" s="53"/>
      <c r="O17" s="53"/>
      <c r="P17" s="53"/>
      <c r="Q17" s="53"/>
      <c r="R17" s="53"/>
      <c r="S17" s="53"/>
      <c r="T17" s="53"/>
      <c r="U17" s="53"/>
    </row>
    <row r="18" spans="6:21" x14ac:dyDescent="0.55000000000000004">
      <c r="F18" s="49">
        <v>37561</v>
      </c>
      <c r="G18" s="52">
        <v>83.9</v>
      </c>
      <c r="J18" s="53">
        <v>-6.5316838314933534</v>
      </c>
      <c r="K18" s="53"/>
      <c r="L18" s="53">
        <v>-6.5316838314933534</v>
      </c>
      <c r="M18" s="53"/>
      <c r="N18" s="53"/>
      <c r="O18" s="53"/>
      <c r="P18" s="53"/>
      <c r="Q18" s="53"/>
      <c r="R18" s="53"/>
      <c r="S18" s="53"/>
      <c r="T18" s="53"/>
      <c r="U18" s="53"/>
    </row>
    <row r="19" spans="6:21" x14ac:dyDescent="0.55000000000000004">
      <c r="F19" s="49">
        <v>37591</v>
      </c>
      <c r="G19" s="52">
        <v>74.599999999999994</v>
      </c>
      <c r="J19" s="53">
        <v>-15.835174624388941</v>
      </c>
      <c r="K19" s="53"/>
      <c r="L19" s="53">
        <v>-15.835174624388941</v>
      </c>
      <c r="M19" s="53"/>
      <c r="N19" s="53"/>
      <c r="O19" s="53"/>
      <c r="P19" s="53"/>
      <c r="Q19" s="53"/>
      <c r="R19" s="53"/>
      <c r="S19" s="53"/>
      <c r="T19" s="53"/>
      <c r="U19" s="53"/>
    </row>
    <row r="20" spans="6:21" x14ac:dyDescent="0.55000000000000004">
      <c r="F20" s="49">
        <v>37622</v>
      </c>
      <c r="G20" s="52">
        <v>74</v>
      </c>
      <c r="J20" s="53">
        <v>-16.438665552034053</v>
      </c>
      <c r="K20" s="53"/>
      <c r="L20" s="53">
        <v>-16.438665552034053</v>
      </c>
      <c r="M20" s="53"/>
      <c r="N20" s="53"/>
      <c r="O20" s="53"/>
      <c r="P20" s="53"/>
      <c r="Q20" s="53"/>
      <c r="R20" s="53"/>
      <c r="S20" s="53"/>
      <c r="T20" s="53"/>
      <c r="U20" s="53"/>
    </row>
    <row r="21" spans="6:21" x14ac:dyDescent="0.55000000000000004">
      <c r="F21" s="49">
        <v>37653</v>
      </c>
      <c r="G21" s="52">
        <v>71.8</v>
      </c>
      <c r="J21" s="53">
        <v>-18.642156614434143</v>
      </c>
      <c r="K21" s="53"/>
      <c r="L21" s="53">
        <v>-18.642156614434143</v>
      </c>
      <c r="M21" s="53"/>
      <c r="N21" s="53"/>
      <c r="O21" s="53"/>
      <c r="P21" s="53"/>
      <c r="Q21" s="53"/>
      <c r="R21" s="53"/>
      <c r="S21" s="53"/>
      <c r="T21" s="53"/>
      <c r="U21" s="53"/>
    </row>
    <row r="22" spans="6:21" x14ac:dyDescent="0.55000000000000004">
      <c r="F22" s="49">
        <v>37681</v>
      </c>
      <c r="G22" s="52">
        <v>77.400000000000006</v>
      </c>
      <c r="J22" s="53">
        <v>-13.045647811594066</v>
      </c>
      <c r="K22" s="53"/>
      <c r="L22" s="53">
        <v>-13.045647811594066</v>
      </c>
      <c r="M22" s="53"/>
      <c r="N22" s="53"/>
      <c r="O22" s="53"/>
      <c r="P22" s="53"/>
      <c r="Q22" s="53"/>
      <c r="R22" s="53"/>
      <c r="S22" s="53"/>
      <c r="T22" s="53"/>
      <c r="U22" s="53"/>
    </row>
    <row r="23" spans="6:21" x14ac:dyDescent="0.55000000000000004">
      <c r="F23" s="49">
        <v>37712</v>
      </c>
      <c r="G23" s="52">
        <v>76.5</v>
      </c>
      <c r="J23" s="53">
        <v>-13.949139143519361</v>
      </c>
      <c r="K23" s="53"/>
      <c r="L23" s="53">
        <v>-13.949139143519361</v>
      </c>
      <c r="M23" s="53"/>
      <c r="N23" s="53"/>
      <c r="O23" s="53"/>
      <c r="P23" s="53"/>
      <c r="Q23" s="53"/>
      <c r="R23" s="53"/>
      <c r="S23" s="53"/>
      <c r="T23" s="53"/>
      <c r="U23" s="53"/>
    </row>
    <row r="24" spans="6:21" x14ac:dyDescent="0.55000000000000004">
      <c r="F24" s="49">
        <v>37742</v>
      </c>
      <c r="G24" s="52">
        <v>79.7</v>
      </c>
      <c r="J24" s="53">
        <v>-10.752630610214965</v>
      </c>
      <c r="K24" s="53"/>
      <c r="L24" s="53">
        <v>-10.752630610214965</v>
      </c>
      <c r="M24" s="53"/>
      <c r="N24" s="53"/>
      <c r="O24" s="53"/>
      <c r="P24" s="53"/>
      <c r="Q24" s="53"/>
      <c r="R24" s="53"/>
      <c r="S24" s="53"/>
      <c r="T24" s="53"/>
      <c r="U24" s="53"/>
    </row>
    <row r="25" spans="6:21" x14ac:dyDescent="0.55000000000000004">
      <c r="F25" s="49">
        <v>37773</v>
      </c>
      <c r="G25" s="52">
        <v>76.3</v>
      </c>
      <c r="J25" s="53">
        <v>-14.156122211686238</v>
      </c>
      <c r="K25" s="53"/>
      <c r="L25" s="53">
        <v>-14.156122211686238</v>
      </c>
      <c r="M25" s="53"/>
      <c r="N25" s="53"/>
      <c r="O25" s="53"/>
      <c r="P25" s="53"/>
      <c r="Q25" s="53"/>
      <c r="R25" s="53"/>
      <c r="S25" s="53"/>
      <c r="T25" s="53"/>
      <c r="U25" s="53"/>
    </row>
    <row r="26" spans="6:21" x14ac:dyDescent="0.55000000000000004">
      <c r="F26" s="49">
        <v>37803</v>
      </c>
      <c r="G26" s="52">
        <v>81.3</v>
      </c>
      <c r="J26" s="53">
        <v>-9.1596139479383396</v>
      </c>
      <c r="K26" s="53"/>
      <c r="L26" s="53">
        <v>-9.1596139479383396</v>
      </c>
      <c r="M26" s="53"/>
      <c r="N26" s="53"/>
      <c r="O26" s="53"/>
      <c r="P26" s="53"/>
      <c r="Q26" s="53"/>
      <c r="R26" s="53"/>
      <c r="S26" s="53"/>
      <c r="T26" s="53"/>
      <c r="U26" s="53"/>
    </row>
    <row r="27" spans="6:21" x14ac:dyDescent="0.55000000000000004">
      <c r="F27" s="49">
        <v>37834</v>
      </c>
      <c r="G27" s="52">
        <v>81.599999999999994</v>
      </c>
      <c r="J27" s="53">
        <v>-8.8631058189765213</v>
      </c>
      <c r="K27" s="53"/>
      <c r="L27" s="53">
        <v>-8.8631058189765213</v>
      </c>
      <c r="M27" s="53"/>
      <c r="N27" s="53"/>
      <c r="O27" s="53"/>
      <c r="P27" s="53"/>
      <c r="Q27" s="53"/>
      <c r="R27" s="53"/>
      <c r="S27" s="53"/>
      <c r="T27" s="53"/>
      <c r="U27" s="53"/>
    </row>
    <row r="28" spans="6:21" x14ac:dyDescent="0.55000000000000004">
      <c r="F28" s="49">
        <v>37865</v>
      </c>
      <c r="G28" s="52">
        <v>85.7</v>
      </c>
      <c r="J28" s="53">
        <v>-4.7665978248059133</v>
      </c>
      <c r="K28" s="53"/>
      <c r="L28" s="53">
        <v>-4.7665978248059133</v>
      </c>
      <c r="M28" s="53"/>
      <c r="N28" s="53"/>
      <c r="O28" s="53"/>
      <c r="P28" s="53"/>
      <c r="Q28" s="53"/>
      <c r="R28" s="53"/>
      <c r="S28" s="53"/>
      <c r="T28" s="53"/>
      <c r="U28" s="53"/>
    </row>
    <row r="29" spans="6:21" x14ac:dyDescent="0.55000000000000004">
      <c r="F29" s="49">
        <v>37895</v>
      </c>
      <c r="G29" s="52">
        <v>90</v>
      </c>
      <c r="J29" s="53">
        <v>-0.47008996543171122</v>
      </c>
      <c r="K29" s="53"/>
      <c r="L29" s="53">
        <v>-0.47008996543171122</v>
      </c>
      <c r="M29" s="53"/>
      <c r="N29" s="53"/>
      <c r="O29" s="53"/>
      <c r="P29" s="53"/>
      <c r="Q29" s="53"/>
      <c r="R29" s="53"/>
      <c r="S29" s="53"/>
      <c r="T29" s="53"/>
      <c r="U29" s="53"/>
    </row>
    <row r="30" spans="6:21" x14ac:dyDescent="0.55000000000000004">
      <c r="F30" s="49">
        <v>37926</v>
      </c>
      <c r="G30" s="52">
        <v>84.6</v>
      </c>
      <c r="J30" s="53">
        <v>-5.8735822408592071</v>
      </c>
      <c r="K30" s="53"/>
      <c r="L30" s="53">
        <v>-5.8735822408592071</v>
      </c>
      <c r="M30" s="53"/>
      <c r="N30" s="53"/>
      <c r="O30" s="53"/>
      <c r="P30" s="53"/>
      <c r="Q30" s="53"/>
      <c r="R30" s="53"/>
      <c r="S30" s="53"/>
      <c r="T30" s="53"/>
      <c r="U30" s="53"/>
    </row>
    <row r="31" spans="6:21" x14ac:dyDescent="0.55000000000000004">
      <c r="F31" s="49">
        <v>37956</v>
      </c>
      <c r="G31" s="52">
        <v>77.900000000000006</v>
      </c>
      <c r="J31" s="53">
        <v>-12.57707465109354</v>
      </c>
      <c r="K31" s="53"/>
      <c r="L31" s="53">
        <v>-12.57707465109354</v>
      </c>
      <c r="M31" s="53"/>
      <c r="N31" s="53"/>
      <c r="O31" s="53"/>
      <c r="P31" s="53"/>
      <c r="Q31" s="53"/>
      <c r="R31" s="53"/>
      <c r="S31" s="53"/>
      <c r="T31" s="53"/>
      <c r="U31" s="53"/>
    </row>
    <row r="32" spans="6:21" x14ac:dyDescent="0.55000000000000004">
      <c r="F32" s="49">
        <v>37987</v>
      </c>
      <c r="G32" s="52">
        <v>76.8</v>
      </c>
      <c r="J32" s="53">
        <v>-13.680567196139947</v>
      </c>
      <c r="K32" s="53"/>
      <c r="L32" s="53">
        <v>-13.680567196139947</v>
      </c>
      <c r="M32" s="53"/>
      <c r="N32" s="53"/>
      <c r="O32" s="53"/>
      <c r="P32" s="53"/>
      <c r="Q32" s="53"/>
      <c r="R32" s="53"/>
      <c r="S32" s="53"/>
      <c r="T32" s="53"/>
      <c r="U32" s="53"/>
    </row>
    <row r="33" spans="6:21" x14ac:dyDescent="0.55000000000000004">
      <c r="F33" s="49">
        <v>38018</v>
      </c>
      <c r="G33" s="52">
        <v>74</v>
      </c>
      <c r="J33" s="53">
        <v>-16.484059876003499</v>
      </c>
      <c r="K33" s="53"/>
      <c r="L33" s="53">
        <v>-16.484059876003499</v>
      </c>
      <c r="M33" s="53"/>
      <c r="N33" s="53"/>
      <c r="O33" s="53"/>
      <c r="P33" s="53"/>
      <c r="Q33" s="53"/>
      <c r="R33" s="53"/>
      <c r="S33" s="53"/>
      <c r="T33" s="53"/>
      <c r="U33" s="53"/>
    </row>
    <row r="34" spans="6:21" x14ac:dyDescent="0.55000000000000004">
      <c r="F34" s="49">
        <v>38047</v>
      </c>
      <c r="G34" s="52">
        <v>86.9</v>
      </c>
      <c r="J34" s="53">
        <v>-3.5875526906896766</v>
      </c>
      <c r="K34" s="53"/>
      <c r="L34" s="53">
        <v>-3.5875526906896766</v>
      </c>
      <c r="M34" s="53"/>
      <c r="N34" s="53"/>
      <c r="O34" s="53"/>
      <c r="P34" s="53"/>
      <c r="Q34" s="53"/>
      <c r="R34" s="53"/>
      <c r="S34" s="53"/>
      <c r="T34" s="53"/>
      <c r="U34" s="53"/>
    </row>
    <row r="35" spans="6:21" x14ac:dyDescent="0.55000000000000004">
      <c r="F35" s="49">
        <v>38078</v>
      </c>
      <c r="G35" s="52">
        <v>82.2</v>
      </c>
      <c r="J35" s="53">
        <v>-8.2910456402033503</v>
      </c>
      <c r="K35" s="53"/>
      <c r="L35" s="53">
        <v>-8.2910456402033503</v>
      </c>
      <c r="M35" s="53"/>
      <c r="N35" s="53"/>
      <c r="O35" s="53"/>
      <c r="P35" s="53"/>
      <c r="Q35" s="53"/>
      <c r="R35" s="53"/>
      <c r="S35" s="53"/>
      <c r="T35" s="53"/>
      <c r="U35" s="53"/>
    </row>
    <row r="36" spans="6:21" x14ac:dyDescent="0.55000000000000004">
      <c r="F36" s="49">
        <v>38108</v>
      </c>
      <c r="G36" s="52">
        <v>86.3</v>
      </c>
      <c r="J36" s="53">
        <v>-4.1945387245500854</v>
      </c>
      <c r="K36" s="53"/>
      <c r="L36" s="53">
        <v>-4.1945387245500854</v>
      </c>
      <c r="M36" s="53"/>
      <c r="N36" s="53"/>
      <c r="O36" s="53"/>
      <c r="P36" s="53"/>
      <c r="Q36" s="53"/>
      <c r="R36" s="53"/>
      <c r="S36" s="53"/>
      <c r="T36" s="53"/>
      <c r="U36" s="53"/>
    </row>
    <row r="37" spans="6:21" x14ac:dyDescent="0.55000000000000004">
      <c r="F37" s="49">
        <v>38139</v>
      </c>
      <c r="G37" s="52">
        <v>86.1</v>
      </c>
      <c r="J37" s="53">
        <v>-4.3980319437347646</v>
      </c>
      <c r="K37" s="53"/>
      <c r="L37" s="53">
        <v>-4.3980319437347646</v>
      </c>
      <c r="M37" s="53"/>
      <c r="N37" s="53"/>
      <c r="O37" s="53"/>
      <c r="P37" s="53"/>
      <c r="Q37" s="53"/>
      <c r="R37" s="53"/>
      <c r="S37" s="53"/>
      <c r="T37" s="53"/>
      <c r="U37" s="53"/>
    </row>
    <row r="38" spans="6:21" x14ac:dyDescent="0.55000000000000004">
      <c r="F38" s="49">
        <v>38169</v>
      </c>
      <c r="G38" s="52">
        <v>90.1</v>
      </c>
      <c r="J38" s="53">
        <v>-0.40152529776275969</v>
      </c>
      <c r="K38" s="53"/>
      <c r="L38" s="53">
        <v>-0.40152529776275969</v>
      </c>
      <c r="M38" s="53"/>
      <c r="N38" s="53"/>
      <c r="O38" s="53"/>
      <c r="P38" s="53"/>
      <c r="Q38" s="53"/>
      <c r="R38" s="53"/>
      <c r="S38" s="53"/>
      <c r="T38" s="53"/>
      <c r="U38" s="53"/>
    </row>
    <row r="39" spans="6:21" x14ac:dyDescent="0.55000000000000004">
      <c r="F39" s="49">
        <v>38200</v>
      </c>
      <c r="G39" s="52">
        <v>92.1</v>
      </c>
      <c r="J39" s="53">
        <v>1.5949812133608248</v>
      </c>
      <c r="K39" s="53"/>
      <c r="L39" s="53">
        <v>1.5949812133608248</v>
      </c>
      <c r="M39" s="53"/>
      <c r="N39" s="53"/>
      <c r="O39" s="53"/>
      <c r="P39" s="53"/>
      <c r="Q39" s="53"/>
      <c r="R39" s="53"/>
      <c r="S39" s="53"/>
      <c r="T39" s="53"/>
      <c r="U39" s="53"/>
    </row>
    <row r="40" spans="6:21" x14ac:dyDescent="0.55000000000000004">
      <c r="F40" s="49">
        <v>38231</v>
      </c>
      <c r="G40" s="52">
        <v>92.1</v>
      </c>
      <c r="J40" s="53">
        <v>1.5914875896307166</v>
      </c>
      <c r="K40" s="53"/>
      <c r="L40" s="53">
        <v>1.5914875896307166</v>
      </c>
      <c r="M40" s="53"/>
      <c r="N40" s="53"/>
      <c r="O40" s="53"/>
      <c r="P40" s="53"/>
      <c r="Q40" s="53"/>
      <c r="R40" s="53"/>
      <c r="S40" s="53"/>
      <c r="T40" s="53"/>
      <c r="U40" s="53"/>
    </row>
    <row r="41" spans="6:21" x14ac:dyDescent="0.55000000000000004">
      <c r="F41" s="49">
        <v>38261</v>
      </c>
      <c r="G41" s="52">
        <v>93.5</v>
      </c>
      <c r="J41" s="53">
        <v>2.9879938310416634</v>
      </c>
      <c r="K41" s="53"/>
      <c r="L41" s="53">
        <v>2.9879938310416634</v>
      </c>
      <c r="M41" s="53"/>
      <c r="N41" s="53"/>
      <c r="O41" s="53"/>
      <c r="P41" s="53"/>
      <c r="Q41" s="53"/>
      <c r="R41" s="53"/>
      <c r="S41" s="53"/>
      <c r="T41" s="53"/>
      <c r="U41" s="53"/>
    </row>
    <row r="42" spans="6:21" x14ac:dyDescent="0.55000000000000004">
      <c r="F42" s="49">
        <v>38292</v>
      </c>
      <c r="G42" s="52">
        <v>91.8</v>
      </c>
      <c r="J42" s="53">
        <v>1.2844999375885493</v>
      </c>
      <c r="K42" s="53"/>
      <c r="L42" s="53">
        <v>1.2844999375885493</v>
      </c>
      <c r="M42" s="53"/>
      <c r="N42" s="53"/>
      <c r="O42" s="53"/>
      <c r="P42" s="53"/>
      <c r="Q42" s="53"/>
      <c r="R42" s="53"/>
      <c r="S42" s="53"/>
      <c r="T42" s="53"/>
      <c r="U42" s="53"/>
    </row>
    <row r="43" spans="6:21" x14ac:dyDescent="0.55000000000000004">
      <c r="F43" s="49">
        <v>38322</v>
      </c>
      <c r="G43" s="52">
        <v>84.7</v>
      </c>
      <c r="J43" s="53">
        <v>-5.8189940907339235</v>
      </c>
      <c r="K43" s="53"/>
      <c r="L43" s="53">
        <v>-5.8189940907339235</v>
      </c>
      <c r="M43" s="53"/>
      <c r="N43" s="53"/>
      <c r="O43" s="53"/>
      <c r="P43" s="53"/>
      <c r="Q43" s="53"/>
      <c r="R43" s="53"/>
      <c r="S43" s="53"/>
      <c r="T43" s="53"/>
      <c r="U43" s="53"/>
    </row>
    <row r="44" spans="6:21" x14ac:dyDescent="0.55000000000000004">
      <c r="F44" s="49">
        <v>38353</v>
      </c>
      <c r="G44" s="52">
        <v>81</v>
      </c>
      <c r="J44" s="53">
        <v>-9.5224882539308311</v>
      </c>
      <c r="K44" s="53"/>
      <c r="L44" s="53">
        <v>-9.5224882539308311</v>
      </c>
      <c r="M44" s="53"/>
      <c r="N44" s="53"/>
      <c r="O44" s="53"/>
      <c r="P44" s="53"/>
      <c r="Q44" s="53"/>
      <c r="R44" s="53"/>
      <c r="S44" s="53"/>
      <c r="T44" s="53"/>
      <c r="U44" s="53"/>
    </row>
    <row r="45" spans="6:21" x14ac:dyDescent="0.55000000000000004">
      <c r="F45" s="49">
        <v>38384</v>
      </c>
      <c r="G45" s="52">
        <v>76.400000000000006</v>
      </c>
      <c r="J45" s="53">
        <v>-14.125982552007599</v>
      </c>
      <c r="K45" s="53"/>
      <c r="L45" s="53">
        <v>-14.125982552007599</v>
      </c>
      <c r="M45" s="53"/>
      <c r="N45" s="53"/>
      <c r="O45" s="53"/>
      <c r="P45" s="53"/>
      <c r="Q45" s="53"/>
      <c r="R45" s="53"/>
      <c r="S45" s="53"/>
      <c r="T45" s="53"/>
      <c r="U45" s="53"/>
    </row>
    <row r="46" spans="6:21" x14ac:dyDescent="0.55000000000000004">
      <c r="F46" s="49">
        <v>38412</v>
      </c>
      <c r="G46" s="52">
        <v>88</v>
      </c>
      <c r="J46" s="53">
        <v>-2.5294769849691221</v>
      </c>
      <c r="K46" s="53"/>
      <c r="L46" s="53">
        <v>-2.5294769849691221</v>
      </c>
      <c r="M46" s="53"/>
      <c r="N46" s="53"/>
      <c r="O46" s="53"/>
      <c r="P46" s="53"/>
      <c r="Q46" s="53"/>
      <c r="R46" s="53"/>
      <c r="S46" s="53"/>
      <c r="T46" s="53"/>
      <c r="U46" s="53"/>
    </row>
    <row r="47" spans="6:21" x14ac:dyDescent="0.55000000000000004">
      <c r="F47" s="49">
        <v>38443</v>
      </c>
      <c r="G47" s="52">
        <v>87</v>
      </c>
      <c r="J47" s="53">
        <v>-3.5329715528209391</v>
      </c>
      <c r="K47" s="53"/>
      <c r="L47" s="53">
        <v>-3.5329715528209391</v>
      </c>
      <c r="M47" s="53"/>
      <c r="N47" s="53"/>
      <c r="O47" s="53"/>
      <c r="P47" s="53"/>
      <c r="Q47" s="53"/>
      <c r="R47" s="53"/>
      <c r="S47" s="53"/>
      <c r="T47" s="53"/>
      <c r="U47" s="53"/>
    </row>
    <row r="48" spans="6:21" x14ac:dyDescent="0.55000000000000004">
      <c r="F48" s="49">
        <v>38473</v>
      </c>
      <c r="G48" s="52">
        <v>91.1</v>
      </c>
      <c r="J48" s="53">
        <v>0.563533744431993</v>
      </c>
      <c r="K48" s="53"/>
      <c r="L48" s="53">
        <v>0.563533744431993</v>
      </c>
      <c r="M48" s="53"/>
      <c r="N48" s="53"/>
      <c r="O48" s="53"/>
      <c r="P48" s="53"/>
      <c r="Q48" s="53"/>
      <c r="R48" s="53"/>
      <c r="S48" s="53"/>
      <c r="T48" s="53"/>
      <c r="U48" s="53"/>
    </row>
    <row r="49" spans="6:21" x14ac:dyDescent="0.55000000000000004">
      <c r="F49" s="49">
        <v>38504</v>
      </c>
      <c r="G49" s="52">
        <v>91.4</v>
      </c>
      <c r="J49" s="53">
        <v>0.86003890678438211</v>
      </c>
      <c r="K49" s="53"/>
      <c r="L49" s="53">
        <v>0.86003890678438211</v>
      </c>
      <c r="M49" s="53"/>
      <c r="N49" s="53"/>
      <c r="O49" s="53"/>
      <c r="P49" s="53"/>
      <c r="Q49" s="53"/>
      <c r="R49" s="53"/>
      <c r="S49" s="53"/>
      <c r="T49" s="53"/>
      <c r="U49" s="53"/>
    </row>
    <row r="50" spans="6:21" x14ac:dyDescent="0.55000000000000004">
      <c r="F50" s="49">
        <v>38534</v>
      </c>
      <c r="G50" s="52">
        <v>90.5</v>
      </c>
      <c r="J50" s="53">
        <v>-4.3456065768950225E-2</v>
      </c>
      <c r="K50" s="53"/>
      <c r="L50" s="53">
        <v>-4.3456065768950225E-2</v>
      </c>
      <c r="M50" s="53"/>
      <c r="N50" s="53"/>
      <c r="O50" s="53"/>
      <c r="P50" s="53"/>
      <c r="Q50" s="53"/>
      <c r="R50" s="53"/>
      <c r="S50" s="53"/>
      <c r="T50" s="53"/>
      <c r="U50" s="53"/>
    </row>
    <row r="51" spans="6:21" x14ac:dyDescent="0.55000000000000004">
      <c r="F51" s="49">
        <v>38565</v>
      </c>
      <c r="G51" s="52">
        <v>95.6</v>
      </c>
      <c r="J51" s="53">
        <v>5.0530488267666698</v>
      </c>
      <c r="K51" s="53"/>
      <c r="L51" s="53">
        <v>5.0530488267666698</v>
      </c>
      <c r="M51" s="53"/>
      <c r="N51" s="53"/>
      <c r="O51" s="53"/>
      <c r="P51" s="53"/>
      <c r="Q51" s="53"/>
      <c r="R51" s="53"/>
      <c r="S51" s="53"/>
      <c r="T51" s="53"/>
      <c r="U51" s="53"/>
    </row>
    <row r="52" spans="6:21" x14ac:dyDescent="0.55000000000000004">
      <c r="F52" s="49">
        <v>38596</v>
      </c>
      <c r="G52" s="52">
        <v>92</v>
      </c>
      <c r="J52" s="53">
        <v>1.4495535843861944</v>
      </c>
      <c r="K52" s="53"/>
      <c r="L52" s="53">
        <v>1.4495535843861944</v>
      </c>
      <c r="M52" s="53"/>
      <c r="N52" s="53"/>
      <c r="O52" s="53"/>
      <c r="P52" s="53"/>
      <c r="Q52" s="53"/>
      <c r="R52" s="53"/>
      <c r="S52" s="53"/>
      <c r="T52" s="53"/>
      <c r="U52" s="53"/>
    </row>
    <row r="53" spans="6:21" x14ac:dyDescent="0.55000000000000004">
      <c r="F53" s="49">
        <v>38626</v>
      </c>
      <c r="G53" s="52">
        <v>93.7</v>
      </c>
      <c r="J53" s="53">
        <v>3.1460582070842236</v>
      </c>
      <c r="K53" s="53"/>
      <c r="L53" s="53">
        <v>3.1460582070842236</v>
      </c>
      <c r="M53" s="53"/>
      <c r="N53" s="53"/>
      <c r="O53" s="53"/>
      <c r="P53" s="53"/>
      <c r="Q53" s="53"/>
      <c r="R53" s="53"/>
      <c r="S53" s="53"/>
      <c r="T53" s="53"/>
      <c r="U53" s="53"/>
    </row>
    <row r="54" spans="6:21" x14ac:dyDescent="0.55000000000000004">
      <c r="F54" s="49">
        <v>38657</v>
      </c>
      <c r="G54" s="52">
        <v>92.4</v>
      </c>
      <c r="J54" s="53">
        <v>1.8425626948558005</v>
      </c>
      <c r="K54" s="53"/>
      <c r="L54" s="53">
        <v>1.8425626948558005</v>
      </c>
      <c r="M54" s="53"/>
      <c r="N54" s="53"/>
      <c r="O54" s="53"/>
      <c r="P54" s="53"/>
      <c r="Q54" s="53"/>
      <c r="R54" s="53"/>
      <c r="S54" s="53"/>
      <c r="T54" s="53"/>
      <c r="U54" s="53"/>
    </row>
    <row r="55" spans="6:21" x14ac:dyDescent="0.55000000000000004">
      <c r="F55" s="49">
        <v>38687</v>
      </c>
      <c r="G55" s="52">
        <v>86.6</v>
      </c>
      <c r="J55" s="53">
        <v>-3.9609329523044039</v>
      </c>
      <c r="K55" s="53"/>
      <c r="L55" s="53">
        <v>-3.9609329523044039</v>
      </c>
      <c r="M55" s="53"/>
      <c r="N55" s="53"/>
      <c r="O55" s="53"/>
      <c r="P55" s="53"/>
      <c r="Q55" s="53"/>
      <c r="R55" s="53"/>
      <c r="S55" s="53"/>
      <c r="T55" s="53"/>
      <c r="U55" s="53"/>
    </row>
    <row r="56" spans="6:21" x14ac:dyDescent="0.55000000000000004">
      <c r="F56" s="49">
        <v>38718</v>
      </c>
      <c r="G56" s="52">
        <v>83.7</v>
      </c>
      <c r="J56" s="53">
        <v>-6.8644287344016988</v>
      </c>
      <c r="K56" s="53"/>
      <c r="L56" s="53">
        <v>-6.8644287344016988</v>
      </c>
      <c r="M56" s="53"/>
      <c r="N56" s="53"/>
      <c r="O56" s="53"/>
      <c r="P56" s="53"/>
      <c r="Q56" s="53"/>
      <c r="R56" s="53"/>
      <c r="S56" s="53"/>
      <c r="T56" s="53"/>
      <c r="U56" s="53"/>
    </row>
    <row r="57" spans="6:21" x14ac:dyDescent="0.55000000000000004">
      <c r="F57" s="49">
        <v>38749</v>
      </c>
      <c r="G57" s="52">
        <v>80.2</v>
      </c>
      <c r="J57" s="53">
        <v>-10.367924651441115</v>
      </c>
      <c r="K57" s="53"/>
      <c r="L57" s="53">
        <v>-10.367924651441115</v>
      </c>
      <c r="M57" s="53"/>
      <c r="N57" s="53"/>
      <c r="O57" s="53"/>
      <c r="P57" s="53"/>
      <c r="Q57" s="53"/>
      <c r="R57" s="53"/>
      <c r="S57" s="53"/>
      <c r="T57" s="53"/>
      <c r="U57" s="53"/>
    </row>
    <row r="58" spans="6:21" x14ac:dyDescent="0.55000000000000004">
      <c r="F58" s="49">
        <v>38777</v>
      </c>
      <c r="G58" s="52">
        <v>92.4</v>
      </c>
      <c r="J58" s="53">
        <v>1.8285792965719025</v>
      </c>
      <c r="K58" s="53"/>
      <c r="L58" s="53">
        <v>1.8285792965719025</v>
      </c>
      <c r="M58" s="53"/>
      <c r="N58" s="53"/>
      <c r="O58" s="53"/>
      <c r="P58" s="53"/>
      <c r="Q58" s="53"/>
      <c r="R58" s="53"/>
      <c r="S58" s="53"/>
      <c r="T58" s="53"/>
      <c r="U58" s="53"/>
    </row>
    <row r="59" spans="6:21" x14ac:dyDescent="0.55000000000000004">
      <c r="F59" s="49">
        <v>38808</v>
      </c>
      <c r="G59" s="52">
        <v>85.7</v>
      </c>
      <c r="J59" s="53">
        <v>-4.8749168903675297</v>
      </c>
      <c r="K59" s="53"/>
      <c r="L59" s="53">
        <v>-4.8749168903675297</v>
      </c>
      <c r="M59" s="53"/>
      <c r="N59" s="53"/>
      <c r="O59" s="53"/>
      <c r="P59" s="53"/>
      <c r="Q59" s="53"/>
      <c r="R59" s="53"/>
      <c r="S59" s="53"/>
      <c r="T59" s="53"/>
      <c r="U59" s="53"/>
    </row>
    <row r="60" spans="6:21" x14ac:dyDescent="0.55000000000000004">
      <c r="F60" s="49">
        <v>38838</v>
      </c>
      <c r="G60" s="52">
        <v>95.4</v>
      </c>
      <c r="J60" s="53">
        <v>4.821586787735086</v>
      </c>
      <c r="K60" s="53"/>
      <c r="L60" s="53">
        <v>4.821586787735086</v>
      </c>
      <c r="M60" s="53"/>
      <c r="N60" s="53"/>
      <c r="O60" s="53"/>
      <c r="P60" s="53"/>
      <c r="Q60" s="53"/>
      <c r="R60" s="53"/>
      <c r="S60" s="53"/>
      <c r="T60" s="53"/>
      <c r="U60" s="53"/>
    </row>
    <row r="61" spans="6:21" x14ac:dyDescent="0.55000000000000004">
      <c r="F61" s="49">
        <v>38869</v>
      </c>
      <c r="G61" s="52">
        <v>91.1</v>
      </c>
      <c r="J61" s="53">
        <v>0.5180903308746565</v>
      </c>
      <c r="K61" s="53"/>
      <c r="L61" s="53">
        <v>0.5180903308746565</v>
      </c>
      <c r="M61" s="53"/>
      <c r="N61" s="53"/>
      <c r="O61" s="53"/>
      <c r="P61" s="53"/>
      <c r="Q61" s="53"/>
      <c r="R61" s="53"/>
      <c r="S61" s="53"/>
      <c r="T61" s="53"/>
      <c r="U61" s="53"/>
    </row>
    <row r="62" spans="6:21" x14ac:dyDescent="0.55000000000000004">
      <c r="F62" s="49">
        <v>38899</v>
      </c>
      <c r="G62" s="52">
        <v>93.8</v>
      </c>
      <c r="J62" s="53">
        <v>3.2145937390459665</v>
      </c>
      <c r="K62" s="53"/>
      <c r="L62" s="53">
        <v>3.2145937390459665</v>
      </c>
      <c r="M62" s="53"/>
      <c r="N62" s="53"/>
      <c r="O62" s="53"/>
      <c r="P62" s="53"/>
      <c r="Q62" s="53"/>
      <c r="R62" s="53"/>
      <c r="S62" s="53"/>
      <c r="T62" s="53"/>
      <c r="U62" s="53"/>
    </row>
    <row r="63" spans="6:21" x14ac:dyDescent="0.55000000000000004">
      <c r="F63" s="49">
        <v>38930</v>
      </c>
      <c r="G63" s="52">
        <v>98.6</v>
      </c>
      <c r="J63" s="53">
        <v>8.0110970122438658</v>
      </c>
      <c r="K63" s="53"/>
      <c r="L63" s="53">
        <v>8.0110970122438658</v>
      </c>
      <c r="M63" s="53"/>
      <c r="N63" s="53"/>
      <c r="O63" s="53"/>
      <c r="P63" s="53"/>
      <c r="Q63" s="53"/>
      <c r="R63" s="53"/>
      <c r="S63" s="53"/>
      <c r="T63" s="53"/>
      <c r="U63" s="53"/>
    </row>
    <row r="64" spans="6:21" x14ac:dyDescent="0.55000000000000004">
      <c r="F64" s="49">
        <v>38961</v>
      </c>
      <c r="G64" s="52">
        <v>93.2</v>
      </c>
      <c r="J64" s="53">
        <v>2.6076001504630995</v>
      </c>
      <c r="K64" s="53"/>
      <c r="L64" s="53">
        <v>2.6076001504630995</v>
      </c>
      <c r="M64" s="53"/>
      <c r="N64" s="53"/>
      <c r="O64" s="53"/>
      <c r="P64" s="53"/>
      <c r="Q64" s="53"/>
      <c r="R64" s="53"/>
      <c r="S64" s="53"/>
      <c r="T64" s="53"/>
      <c r="U64" s="53"/>
    </row>
    <row r="65" spans="6:21" x14ac:dyDescent="0.55000000000000004">
      <c r="F65" s="49">
        <v>38991</v>
      </c>
      <c r="G65" s="52">
        <v>97.5</v>
      </c>
      <c r="J65" s="53">
        <v>6.9041031536983866</v>
      </c>
      <c r="K65" s="53"/>
      <c r="L65" s="53">
        <v>6.9041031536983866</v>
      </c>
      <c r="M65" s="53"/>
      <c r="N65" s="53"/>
      <c r="O65" s="53"/>
      <c r="P65" s="53"/>
      <c r="Q65" s="53"/>
      <c r="R65" s="53"/>
      <c r="S65" s="53"/>
      <c r="T65" s="53"/>
      <c r="U65" s="53"/>
    </row>
    <row r="66" spans="6:21" x14ac:dyDescent="0.55000000000000004">
      <c r="F66" s="49">
        <v>39022</v>
      </c>
      <c r="G66" s="52">
        <v>95.9</v>
      </c>
      <c r="J66" s="53">
        <v>5.3006060219445743</v>
      </c>
      <c r="K66" s="53"/>
      <c r="L66" s="53">
        <v>5.3006060219445743</v>
      </c>
      <c r="M66" s="53"/>
      <c r="N66" s="53"/>
      <c r="O66" s="53"/>
      <c r="P66" s="53"/>
      <c r="Q66" s="53"/>
      <c r="R66" s="53"/>
      <c r="S66" s="53"/>
      <c r="T66" s="53"/>
      <c r="U66" s="53"/>
    </row>
    <row r="67" spans="6:21" x14ac:dyDescent="0.55000000000000004">
      <c r="F67" s="49">
        <v>39052</v>
      </c>
      <c r="G67" s="52">
        <v>87</v>
      </c>
      <c r="J67" s="53">
        <v>-3.6028912448035015</v>
      </c>
      <c r="K67" s="53"/>
      <c r="L67" s="53">
        <v>-3.6028912448035015</v>
      </c>
      <c r="M67" s="53"/>
      <c r="N67" s="53"/>
      <c r="O67" s="53"/>
      <c r="P67" s="53"/>
      <c r="Q67" s="53"/>
      <c r="R67" s="53"/>
      <c r="S67" s="53"/>
      <c r="T67" s="53"/>
      <c r="U67" s="53"/>
    </row>
    <row r="68" spans="6:21" x14ac:dyDescent="0.55000000000000004">
      <c r="F68" s="49">
        <v>39083</v>
      </c>
      <c r="G68" s="52">
        <v>87</v>
      </c>
      <c r="J68" s="53">
        <v>-3.6063886465511672</v>
      </c>
      <c r="K68" s="53"/>
      <c r="L68" s="53">
        <v>-3.6063886465511672</v>
      </c>
      <c r="M68" s="53"/>
      <c r="N68" s="53"/>
      <c r="O68" s="53"/>
      <c r="P68" s="53"/>
      <c r="Q68" s="53"/>
      <c r="R68" s="53"/>
      <c r="S68" s="53"/>
      <c r="T68" s="53"/>
      <c r="U68" s="53"/>
    </row>
    <row r="69" spans="6:21" x14ac:dyDescent="0.55000000000000004">
      <c r="F69" s="49">
        <v>39114</v>
      </c>
      <c r="G69" s="52">
        <v>82.6</v>
      </c>
      <c r="J69" s="53">
        <v>-8.0098861833034505</v>
      </c>
      <c r="K69" s="53"/>
      <c r="L69" s="53">
        <v>-8.0098861833034505</v>
      </c>
      <c r="M69" s="53"/>
      <c r="N69" s="53"/>
      <c r="O69" s="53"/>
      <c r="P69" s="53"/>
      <c r="Q69" s="53"/>
      <c r="R69" s="53"/>
      <c r="S69" s="53"/>
      <c r="T69" s="53"/>
      <c r="U69" s="53"/>
    </row>
    <row r="70" spans="6:21" x14ac:dyDescent="0.55000000000000004">
      <c r="F70" s="49">
        <v>39142</v>
      </c>
      <c r="G70" s="52">
        <v>96.4</v>
      </c>
      <c r="J70" s="53">
        <v>5.7866161449341575</v>
      </c>
      <c r="K70" s="53"/>
      <c r="L70" s="53">
        <v>5.7866161449341575</v>
      </c>
      <c r="M70" s="53"/>
      <c r="N70" s="53"/>
      <c r="O70" s="53"/>
      <c r="P70" s="53"/>
      <c r="Q70" s="53"/>
      <c r="R70" s="53"/>
      <c r="S70" s="53"/>
      <c r="T70" s="53"/>
      <c r="U70" s="53"/>
    </row>
    <row r="71" spans="6:21" x14ac:dyDescent="0.55000000000000004">
      <c r="F71" s="49">
        <v>39173</v>
      </c>
      <c r="G71" s="52">
        <v>90.6</v>
      </c>
      <c r="J71" s="53">
        <v>-1.6881661843214602E-2</v>
      </c>
      <c r="K71" s="53"/>
      <c r="L71" s="53">
        <v>-1.6881661843214602E-2</v>
      </c>
      <c r="M71" s="53"/>
      <c r="N71" s="53"/>
      <c r="O71" s="53"/>
      <c r="P71" s="53"/>
      <c r="Q71" s="53"/>
      <c r="R71" s="53"/>
      <c r="S71" s="53"/>
      <c r="T71" s="53"/>
      <c r="U71" s="53"/>
    </row>
    <row r="72" spans="6:21" x14ac:dyDescent="0.55000000000000004">
      <c r="F72" s="49">
        <v>39203</v>
      </c>
      <c r="G72" s="52">
        <v>99.9</v>
      </c>
      <c r="J72" s="53">
        <v>9.2796203963590074</v>
      </c>
      <c r="K72" s="53"/>
      <c r="L72" s="53">
        <v>9.2796203963590074</v>
      </c>
      <c r="M72" s="53"/>
      <c r="N72" s="53"/>
      <c r="O72" s="53"/>
      <c r="P72" s="53"/>
      <c r="Q72" s="53"/>
      <c r="R72" s="53"/>
      <c r="S72" s="53"/>
      <c r="T72" s="53"/>
      <c r="U72" s="53"/>
    </row>
    <row r="73" spans="6:21" x14ac:dyDescent="0.55000000000000004">
      <c r="F73" s="49">
        <v>39234</v>
      </c>
      <c r="G73" s="52">
        <v>96.9</v>
      </c>
      <c r="J73" s="53">
        <v>6.2761223195355456</v>
      </c>
      <c r="K73" s="53"/>
      <c r="L73" s="53">
        <v>6.2761223195355456</v>
      </c>
      <c r="M73" s="53"/>
      <c r="N73" s="53"/>
      <c r="O73" s="53"/>
      <c r="P73" s="53"/>
      <c r="Q73" s="53"/>
      <c r="R73" s="53"/>
      <c r="S73" s="53"/>
      <c r="T73" s="53"/>
      <c r="U73" s="53"/>
    </row>
    <row r="74" spans="6:21" x14ac:dyDescent="0.55000000000000004">
      <c r="F74" s="49">
        <v>39264</v>
      </c>
      <c r="G74" s="52">
        <v>99.8</v>
      </c>
      <c r="J74" s="53">
        <v>9.1726241076814148</v>
      </c>
      <c r="K74" s="53"/>
      <c r="L74" s="53">
        <v>9.1726241076814148</v>
      </c>
      <c r="M74" s="53"/>
      <c r="N74" s="53"/>
      <c r="O74" s="53"/>
      <c r="P74" s="53"/>
      <c r="Q74" s="53"/>
      <c r="R74" s="53"/>
      <c r="S74" s="53"/>
      <c r="T74" s="53"/>
      <c r="U74" s="53"/>
    </row>
    <row r="75" spans="6:21" x14ac:dyDescent="0.55000000000000004">
      <c r="F75" s="49">
        <v>39295</v>
      </c>
      <c r="G75" s="52">
        <v>104.9</v>
      </c>
      <c r="J75" s="53">
        <v>14.269125760791155</v>
      </c>
      <c r="K75" s="53"/>
      <c r="L75" s="53">
        <v>14.269125760791155</v>
      </c>
      <c r="M75" s="53"/>
      <c r="N75" s="53"/>
      <c r="O75" s="53"/>
      <c r="P75" s="53"/>
      <c r="Q75" s="53"/>
      <c r="R75" s="53"/>
      <c r="S75" s="53"/>
      <c r="T75" s="53"/>
      <c r="U75" s="53"/>
    </row>
    <row r="76" spans="6:21" x14ac:dyDescent="0.55000000000000004">
      <c r="F76" s="49">
        <v>39326</v>
      </c>
      <c r="G76" s="52">
        <v>98.4</v>
      </c>
      <c r="J76" s="53">
        <v>7.7656272788597818</v>
      </c>
      <c r="K76" s="53"/>
      <c r="L76" s="53">
        <v>7.7656272788597818</v>
      </c>
      <c r="M76" s="53"/>
      <c r="N76" s="53"/>
      <c r="O76" s="53"/>
      <c r="P76" s="53"/>
      <c r="Q76" s="53"/>
      <c r="R76" s="53"/>
      <c r="S76" s="53"/>
      <c r="T76" s="53"/>
      <c r="U76" s="53"/>
    </row>
    <row r="77" spans="6:21" x14ac:dyDescent="0.55000000000000004">
      <c r="F77" s="49">
        <v>39356</v>
      </c>
      <c r="G77" s="52">
        <v>107.8</v>
      </c>
      <c r="J77" s="53">
        <v>17.162128661881979</v>
      </c>
      <c r="K77" s="53"/>
      <c r="L77" s="53">
        <v>17.162128661881979</v>
      </c>
      <c r="M77" s="53"/>
      <c r="N77" s="53"/>
      <c r="O77" s="53"/>
      <c r="P77" s="53"/>
      <c r="Q77" s="53"/>
      <c r="R77" s="53"/>
      <c r="S77" s="53"/>
      <c r="T77" s="53"/>
      <c r="U77" s="53"/>
    </row>
    <row r="78" spans="6:21" x14ac:dyDescent="0.55000000000000004">
      <c r="F78" s="49">
        <v>39387</v>
      </c>
      <c r="G78" s="52">
        <v>102.4</v>
      </c>
      <c r="J78" s="53">
        <v>11.758629909852488</v>
      </c>
      <c r="K78" s="53"/>
      <c r="L78" s="53">
        <v>11.758629909852488</v>
      </c>
      <c r="M78" s="53"/>
      <c r="N78" s="53"/>
      <c r="O78" s="53"/>
      <c r="P78" s="53"/>
      <c r="Q78" s="53"/>
      <c r="R78" s="53"/>
      <c r="S78" s="53"/>
      <c r="T78" s="53"/>
      <c r="U78" s="53"/>
    </row>
    <row r="79" spans="6:21" x14ac:dyDescent="0.55000000000000004">
      <c r="F79" s="49">
        <v>39417</v>
      </c>
      <c r="G79" s="52">
        <v>92.6</v>
      </c>
      <c r="J79" s="53">
        <v>1.9551310227661389</v>
      </c>
      <c r="K79" s="53"/>
      <c r="L79" s="53">
        <v>1.9551310227661389</v>
      </c>
      <c r="M79" s="53"/>
      <c r="N79" s="53"/>
      <c r="O79" s="53"/>
      <c r="P79" s="53"/>
      <c r="Q79" s="53"/>
      <c r="R79" s="53"/>
      <c r="S79" s="53"/>
      <c r="T79" s="53"/>
      <c r="U79" s="53"/>
    </row>
    <row r="80" spans="6:21" x14ac:dyDescent="0.55000000000000004">
      <c r="F80" s="49">
        <v>39448</v>
      </c>
      <c r="G80" s="52">
        <v>94.8</v>
      </c>
      <c r="J80" s="53">
        <v>4.1516320006178233</v>
      </c>
      <c r="K80" s="53"/>
      <c r="L80" s="53">
        <v>4.1516320006178233</v>
      </c>
      <c r="M80" s="53"/>
      <c r="N80" s="53"/>
      <c r="O80" s="53"/>
      <c r="P80" s="53"/>
      <c r="Q80" s="53"/>
      <c r="R80" s="53"/>
      <c r="S80" s="53"/>
      <c r="T80" s="53"/>
      <c r="U80" s="53"/>
    </row>
    <row r="81" spans="6:21" x14ac:dyDescent="0.55000000000000004">
      <c r="F81" s="49">
        <v>39479</v>
      </c>
      <c r="G81" s="52">
        <v>91.1</v>
      </c>
      <c r="J81" s="53">
        <v>0.44813284340204973</v>
      </c>
      <c r="K81" s="53"/>
      <c r="L81" s="53">
        <v>0.44813284340204973</v>
      </c>
      <c r="M81" s="53"/>
      <c r="N81" s="53"/>
      <c r="O81" s="53"/>
      <c r="P81" s="53"/>
      <c r="Q81" s="53"/>
      <c r="R81" s="53"/>
      <c r="S81" s="53"/>
      <c r="T81" s="53"/>
      <c r="U81" s="53"/>
    </row>
    <row r="82" spans="6:21" x14ac:dyDescent="0.55000000000000004">
      <c r="F82" s="49">
        <v>39508</v>
      </c>
      <c r="G82" s="52">
        <v>97.7</v>
      </c>
      <c r="J82" s="53">
        <v>7.0446335511139893</v>
      </c>
      <c r="K82" s="53"/>
      <c r="L82" s="53">
        <v>7.0446335511139893</v>
      </c>
      <c r="M82" s="53"/>
      <c r="N82" s="53"/>
      <c r="O82" s="53"/>
      <c r="P82" s="53"/>
      <c r="Q82" s="53"/>
      <c r="R82" s="53"/>
      <c r="S82" s="53"/>
      <c r="T82" s="53"/>
      <c r="U82" s="53"/>
    </row>
    <row r="83" spans="6:21" x14ac:dyDescent="0.55000000000000004">
      <c r="F83" s="49">
        <v>39539</v>
      </c>
      <c r="G83" s="52">
        <v>99.2</v>
      </c>
      <c r="J83" s="53">
        <v>8.5411341237480656</v>
      </c>
      <c r="K83" s="53"/>
      <c r="L83" s="53">
        <v>8.5411341237480656</v>
      </c>
      <c r="M83" s="53"/>
      <c r="N83" s="53"/>
      <c r="O83" s="53"/>
      <c r="P83" s="53"/>
      <c r="Q83" s="53"/>
      <c r="R83" s="53"/>
      <c r="S83" s="53"/>
      <c r="T83" s="53"/>
      <c r="U83" s="53"/>
    </row>
    <row r="84" spans="6:21" x14ac:dyDescent="0.55000000000000004">
      <c r="F84" s="49">
        <v>39569</v>
      </c>
      <c r="G84" s="52">
        <v>102.5</v>
      </c>
      <c r="J84" s="53">
        <v>11.837634561299282</v>
      </c>
      <c r="K84" s="53"/>
      <c r="L84" s="53">
        <v>11.837634561299282</v>
      </c>
      <c r="M84" s="53"/>
      <c r="N84" s="53"/>
      <c r="O84" s="53"/>
      <c r="P84" s="53"/>
      <c r="Q84" s="53"/>
      <c r="R84" s="53"/>
      <c r="S84" s="53"/>
      <c r="T84" s="53"/>
      <c r="U84" s="53"/>
    </row>
    <row r="85" spans="6:21" x14ac:dyDescent="0.55000000000000004">
      <c r="F85" s="49">
        <v>39600</v>
      </c>
      <c r="G85" s="52">
        <v>103.3</v>
      </c>
      <c r="J85" s="53">
        <v>12.63413486376227</v>
      </c>
      <c r="K85" s="53"/>
      <c r="L85" s="53">
        <v>12.63413486376227</v>
      </c>
      <c r="M85" s="53"/>
      <c r="N85" s="53"/>
      <c r="O85" s="53"/>
      <c r="P85" s="53"/>
      <c r="Q85" s="53"/>
      <c r="R85" s="53"/>
      <c r="S85" s="53"/>
      <c r="T85" s="53"/>
      <c r="U85" s="53"/>
    </row>
    <row r="86" spans="6:21" x14ac:dyDescent="0.55000000000000004">
      <c r="F86" s="49">
        <v>39630</v>
      </c>
      <c r="G86" s="52">
        <v>108.5</v>
      </c>
      <c r="J86" s="53">
        <v>17.830635031132061</v>
      </c>
      <c r="K86" s="53"/>
      <c r="L86" s="53">
        <v>17.830635031132061</v>
      </c>
      <c r="M86" s="53"/>
      <c r="N86" s="53"/>
      <c r="O86" s="53"/>
      <c r="P86" s="53"/>
      <c r="Q86" s="53"/>
      <c r="R86" s="53"/>
      <c r="S86" s="53"/>
      <c r="T86" s="53"/>
      <c r="U86" s="53"/>
    </row>
    <row r="87" spans="6:21" x14ac:dyDescent="0.55000000000000004">
      <c r="F87" s="49">
        <v>39661</v>
      </c>
      <c r="G87" s="52">
        <v>106.9</v>
      </c>
      <c r="J87" s="53">
        <v>16.227135063403111</v>
      </c>
      <c r="K87" s="53"/>
      <c r="L87" s="53">
        <v>16.227135063403111</v>
      </c>
      <c r="M87" s="53"/>
      <c r="N87" s="53"/>
      <c r="O87" s="53"/>
      <c r="P87" s="53"/>
      <c r="Q87" s="53"/>
      <c r="R87" s="53"/>
      <c r="S87" s="53"/>
      <c r="T87" s="53"/>
      <c r="U87" s="53"/>
    </row>
    <row r="88" spans="6:21" x14ac:dyDescent="0.55000000000000004">
      <c r="F88" s="49">
        <v>39692</v>
      </c>
      <c r="G88" s="52">
        <v>107.3</v>
      </c>
      <c r="J88" s="53">
        <v>16.623634960570527</v>
      </c>
      <c r="K88" s="53"/>
      <c r="L88" s="53">
        <v>16.623634960570527</v>
      </c>
      <c r="M88" s="53"/>
      <c r="N88" s="53"/>
      <c r="O88" s="53"/>
      <c r="P88" s="53"/>
      <c r="Q88" s="53"/>
      <c r="R88" s="53"/>
      <c r="S88" s="53"/>
      <c r="T88" s="53"/>
      <c r="U88" s="53"/>
    </row>
    <row r="89" spans="6:21" x14ac:dyDescent="0.55000000000000004">
      <c r="F89" s="49">
        <v>39722</v>
      </c>
      <c r="G89" s="52">
        <v>108.4</v>
      </c>
      <c r="J89" s="53">
        <v>17.720134722628956</v>
      </c>
      <c r="K89" s="53"/>
      <c r="L89" s="53">
        <v>17.720134722628956</v>
      </c>
      <c r="M89" s="53"/>
      <c r="N89" s="53"/>
      <c r="O89" s="53"/>
      <c r="P89" s="53"/>
      <c r="Q89" s="53"/>
      <c r="R89" s="53"/>
      <c r="S89" s="53"/>
      <c r="T89" s="53"/>
      <c r="U89" s="53"/>
    </row>
    <row r="90" spans="6:21" x14ac:dyDescent="0.55000000000000004">
      <c r="F90" s="49">
        <v>39753</v>
      </c>
      <c r="G90" s="52">
        <v>96.2</v>
      </c>
      <c r="J90" s="53">
        <v>5.5166343495730246</v>
      </c>
      <c r="K90" s="53"/>
      <c r="L90" s="53">
        <v>5.5166343495730246</v>
      </c>
      <c r="M90" s="53"/>
      <c r="N90" s="53"/>
      <c r="O90" s="53"/>
      <c r="P90" s="53"/>
      <c r="Q90" s="53"/>
      <c r="R90" s="53"/>
      <c r="S90" s="53"/>
      <c r="T90" s="53"/>
      <c r="U90" s="53"/>
    </row>
    <row r="91" spans="6:21" x14ac:dyDescent="0.55000000000000004">
      <c r="F91" s="49">
        <v>39783</v>
      </c>
      <c r="G91" s="52">
        <v>79.099999999999994</v>
      </c>
      <c r="J91" s="53">
        <v>-11.586866158602177</v>
      </c>
      <c r="K91" s="53"/>
      <c r="L91" s="53">
        <v>-11.586866158602177</v>
      </c>
      <c r="M91" s="53"/>
      <c r="N91" s="53"/>
      <c r="O91" s="53"/>
      <c r="P91" s="53"/>
      <c r="Q91" s="53"/>
      <c r="R91" s="53"/>
      <c r="S91" s="53"/>
      <c r="T91" s="53"/>
      <c r="U91" s="53"/>
    </row>
    <row r="92" spans="6:21" x14ac:dyDescent="0.55000000000000004">
      <c r="F92" s="49">
        <v>39814</v>
      </c>
      <c r="G92" s="52">
        <v>78.7</v>
      </c>
      <c r="J92" s="53">
        <v>-11.990366801902169</v>
      </c>
      <c r="K92" s="53"/>
      <c r="L92" s="53">
        <v>-11.990366801902169</v>
      </c>
      <c r="M92" s="53"/>
      <c r="N92" s="53"/>
      <c r="O92" s="53"/>
      <c r="P92" s="53"/>
      <c r="Q92" s="53"/>
      <c r="R92" s="53"/>
      <c r="S92" s="53"/>
      <c r="T92" s="53"/>
      <c r="U92" s="53"/>
    </row>
    <row r="93" spans="6:21" x14ac:dyDescent="0.55000000000000004">
      <c r="F93" s="49">
        <v>39845</v>
      </c>
      <c r="G93" s="52">
        <v>76.099999999999994</v>
      </c>
      <c r="J93" s="53">
        <v>-14.593867580331889</v>
      </c>
      <c r="K93" s="53"/>
      <c r="L93" s="53">
        <v>-14.593867580331889</v>
      </c>
      <c r="M93" s="53"/>
      <c r="N93" s="53"/>
      <c r="O93" s="53"/>
      <c r="P93" s="53"/>
      <c r="Q93" s="53"/>
      <c r="R93" s="53"/>
      <c r="S93" s="53"/>
      <c r="T93" s="53"/>
      <c r="U93" s="53"/>
    </row>
    <row r="94" spans="6:21" x14ac:dyDescent="0.55000000000000004">
      <c r="F94" s="49">
        <v>39873</v>
      </c>
      <c r="G94" s="52">
        <v>88.6</v>
      </c>
      <c r="J94" s="53">
        <v>-2.0973684938967807</v>
      </c>
      <c r="K94" s="53"/>
      <c r="L94" s="53">
        <v>-2.0973684938967807</v>
      </c>
      <c r="M94" s="53"/>
      <c r="N94" s="53"/>
      <c r="O94" s="53"/>
      <c r="P94" s="53"/>
      <c r="Q94" s="53"/>
      <c r="R94" s="53"/>
      <c r="S94" s="53"/>
      <c r="T94" s="53"/>
      <c r="U94" s="53"/>
    </row>
    <row r="95" spans="6:21" x14ac:dyDescent="0.55000000000000004">
      <c r="F95" s="49">
        <v>39904</v>
      </c>
      <c r="G95" s="52">
        <v>85.2</v>
      </c>
      <c r="J95" s="53">
        <v>-5.5008695426018619</v>
      </c>
      <c r="K95" s="53"/>
      <c r="L95" s="53">
        <v>-5.5008695426018619</v>
      </c>
      <c r="M95" s="53"/>
      <c r="N95" s="53"/>
      <c r="O95" s="53"/>
      <c r="P95" s="53"/>
      <c r="Q95" s="53"/>
      <c r="R95" s="53"/>
      <c r="S95" s="53"/>
      <c r="T95" s="53"/>
      <c r="U95" s="53"/>
    </row>
    <row r="96" spans="6:21" x14ac:dyDescent="0.55000000000000004">
      <c r="F96" s="49">
        <v>39934</v>
      </c>
      <c r="G96" s="52">
        <v>91.3</v>
      </c>
      <c r="J96" s="53">
        <v>0.59562927354743067</v>
      </c>
      <c r="K96" s="53"/>
      <c r="L96" s="53">
        <v>0.59562927354743067</v>
      </c>
      <c r="M96" s="53"/>
      <c r="N96" s="53"/>
      <c r="O96" s="53"/>
      <c r="P96" s="53"/>
      <c r="Q96" s="53"/>
      <c r="R96" s="53"/>
      <c r="S96" s="53"/>
      <c r="T96" s="53"/>
      <c r="U96" s="53"/>
    </row>
    <row r="97" spans="6:21" x14ac:dyDescent="0.55000000000000004">
      <c r="F97" s="49">
        <v>39965</v>
      </c>
      <c r="G97" s="52">
        <v>92.2</v>
      </c>
      <c r="J97" s="53">
        <v>1.4921279545460635</v>
      </c>
      <c r="K97" s="53"/>
      <c r="L97" s="53">
        <v>1.4921279545460635</v>
      </c>
      <c r="M97" s="53"/>
      <c r="N97" s="53"/>
      <c r="O97" s="53"/>
      <c r="P97" s="53"/>
      <c r="Q97" s="53"/>
      <c r="R97" s="53"/>
      <c r="S97" s="53"/>
      <c r="T97" s="53"/>
      <c r="U97" s="53"/>
    </row>
    <row r="98" spans="6:21" x14ac:dyDescent="0.55000000000000004">
      <c r="F98" s="49">
        <v>39995</v>
      </c>
      <c r="G98" s="52">
        <v>97.7</v>
      </c>
      <c r="J98" s="53">
        <v>6.9886265003887331</v>
      </c>
      <c r="K98" s="53"/>
      <c r="L98" s="53">
        <v>6.9886265003887331</v>
      </c>
      <c r="M98" s="53"/>
      <c r="N98" s="53"/>
      <c r="O98" s="53"/>
      <c r="P98" s="53"/>
      <c r="Q98" s="53"/>
      <c r="R98" s="53"/>
      <c r="S98" s="53"/>
      <c r="T98" s="53"/>
      <c r="U98" s="53"/>
    </row>
    <row r="99" spans="6:21" x14ac:dyDescent="0.55000000000000004">
      <c r="F99" s="49">
        <v>40026</v>
      </c>
      <c r="G99" s="52">
        <v>99.6</v>
      </c>
      <c r="J99" s="53">
        <v>8.8851249110702213</v>
      </c>
      <c r="K99" s="53"/>
      <c r="L99" s="53">
        <v>8.8851249110702213</v>
      </c>
      <c r="M99" s="53"/>
      <c r="N99" s="53"/>
      <c r="O99" s="53"/>
      <c r="P99" s="53"/>
      <c r="Q99" s="53"/>
      <c r="R99" s="53"/>
      <c r="S99" s="53"/>
      <c r="T99" s="53"/>
      <c r="U99" s="53"/>
    </row>
    <row r="100" spans="6:21" x14ac:dyDescent="0.55000000000000004">
      <c r="F100" s="49">
        <v>40057</v>
      </c>
      <c r="G100" s="52">
        <v>99.4</v>
      </c>
      <c r="J100" s="53">
        <v>8.6816231865853553</v>
      </c>
      <c r="K100" s="53"/>
      <c r="L100" s="53">
        <v>8.6816231865853553</v>
      </c>
      <c r="M100" s="53"/>
      <c r="N100" s="53"/>
      <c r="O100" s="53"/>
      <c r="P100" s="53"/>
      <c r="Q100" s="53"/>
      <c r="R100" s="53"/>
      <c r="S100" s="53"/>
      <c r="T100" s="53"/>
      <c r="U100" s="53"/>
    </row>
    <row r="101" spans="6:21" x14ac:dyDescent="0.55000000000000004">
      <c r="F101" s="49">
        <v>40087</v>
      </c>
      <c r="G101" s="52">
        <v>105.6</v>
      </c>
      <c r="J101" s="53">
        <v>14.878121326928905</v>
      </c>
      <c r="K101" s="53"/>
      <c r="L101" s="53">
        <v>14.878121326928905</v>
      </c>
      <c r="M101" s="53"/>
      <c r="N101" s="53"/>
      <c r="O101" s="53"/>
      <c r="P101" s="53"/>
      <c r="Q101" s="53"/>
      <c r="R101" s="53"/>
      <c r="S101" s="53"/>
      <c r="T101" s="53"/>
      <c r="U101" s="53"/>
    </row>
    <row r="102" spans="6:21" x14ac:dyDescent="0.55000000000000004">
      <c r="F102" s="49">
        <v>40118</v>
      </c>
      <c r="G102" s="52">
        <v>101.4</v>
      </c>
      <c r="J102" s="53">
        <v>10.674619332095631</v>
      </c>
      <c r="K102" s="53"/>
      <c r="L102" s="53">
        <v>10.674619332095631</v>
      </c>
      <c r="M102" s="53"/>
      <c r="N102" s="53"/>
      <c r="O102" s="53"/>
      <c r="P102" s="53"/>
      <c r="Q102" s="53"/>
      <c r="R102" s="53"/>
      <c r="S102" s="53"/>
      <c r="T102" s="53"/>
      <c r="U102" s="53"/>
    </row>
    <row r="103" spans="6:21" x14ac:dyDescent="0.55000000000000004">
      <c r="F103" s="49">
        <v>40148</v>
      </c>
      <c r="G103" s="52">
        <v>94.1</v>
      </c>
      <c r="J103" s="53">
        <v>3.3711172020803701</v>
      </c>
      <c r="K103" s="53"/>
      <c r="L103" s="53">
        <v>3.3711172020803701</v>
      </c>
      <c r="M103" s="53"/>
      <c r="N103" s="53"/>
      <c r="O103" s="53"/>
      <c r="P103" s="53"/>
      <c r="Q103" s="53"/>
      <c r="R103" s="53"/>
      <c r="S103" s="53"/>
      <c r="T103" s="53"/>
      <c r="U103" s="53"/>
    </row>
    <row r="104" spans="6:21" x14ac:dyDescent="0.55000000000000004">
      <c r="F104" s="49">
        <v>40179</v>
      </c>
      <c r="G104" s="52">
        <v>91.2</v>
      </c>
      <c r="J104" s="53">
        <v>0.46761493687785105</v>
      </c>
      <c r="K104" s="53"/>
      <c r="L104" s="53">
        <v>0.46761493687785105</v>
      </c>
      <c r="M104" s="53"/>
      <c r="N104" s="53"/>
      <c r="O104" s="53"/>
      <c r="P104" s="53"/>
      <c r="Q104" s="53"/>
      <c r="R104" s="53"/>
      <c r="S104" s="53"/>
      <c r="T104" s="53"/>
      <c r="U104" s="53"/>
    </row>
    <row r="105" spans="6:21" x14ac:dyDescent="0.55000000000000004">
      <c r="F105" s="49">
        <v>40210</v>
      </c>
      <c r="G105" s="52">
        <v>89</v>
      </c>
      <c r="J105" s="53">
        <v>-1.7358874635172441</v>
      </c>
      <c r="K105" s="53"/>
      <c r="L105" s="53">
        <v>-1.7358874635172441</v>
      </c>
      <c r="M105" s="53"/>
      <c r="N105" s="53"/>
      <c r="O105" s="53"/>
      <c r="P105" s="53"/>
      <c r="Q105" s="53"/>
      <c r="R105" s="53"/>
      <c r="S105" s="53"/>
      <c r="T105" s="53"/>
      <c r="U105" s="53"/>
    </row>
    <row r="106" spans="6:21" x14ac:dyDescent="0.55000000000000004">
      <c r="F106" s="49">
        <v>40238</v>
      </c>
      <c r="G106" s="52">
        <v>105.1</v>
      </c>
      <c r="J106" s="53">
        <v>14.360610000890119</v>
      </c>
      <c r="K106" s="53"/>
      <c r="L106" s="53">
        <v>14.360610000890119</v>
      </c>
      <c r="M106" s="53"/>
      <c r="N106" s="53"/>
      <c r="O106" s="53"/>
      <c r="P106" s="53"/>
      <c r="Q106" s="53"/>
      <c r="R106" s="53"/>
      <c r="S106" s="53"/>
      <c r="T106" s="53"/>
      <c r="U106" s="53"/>
    </row>
    <row r="107" spans="6:21" x14ac:dyDescent="0.55000000000000004">
      <c r="F107" s="49">
        <v>40269</v>
      </c>
      <c r="G107" s="52">
        <v>99.3</v>
      </c>
      <c r="J107" s="53">
        <v>8.5571073300944676</v>
      </c>
      <c r="K107" s="53"/>
      <c r="L107" s="53">
        <v>8.5571073300944676</v>
      </c>
      <c r="M107" s="53"/>
      <c r="N107" s="53"/>
      <c r="O107" s="53"/>
      <c r="P107" s="53"/>
      <c r="Q107" s="53"/>
      <c r="R107" s="53"/>
      <c r="S107" s="53"/>
      <c r="T107" s="53"/>
      <c r="U107" s="53"/>
    </row>
    <row r="108" spans="6:21" x14ac:dyDescent="0.55000000000000004">
      <c r="F108" s="49">
        <v>40299</v>
      </c>
      <c r="G108" s="52">
        <v>104.3</v>
      </c>
      <c r="J108" s="53">
        <v>13.553604524090758</v>
      </c>
      <c r="K108" s="53"/>
      <c r="L108" s="53">
        <v>13.553604524090758</v>
      </c>
      <c r="M108" s="53"/>
      <c r="N108" s="53"/>
      <c r="O108" s="53"/>
      <c r="P108" s="53"/>
      <c r="Q108" s="53"/>
      <c r="R108" s="53"/>
      <c r="S108" s="53"/>
      <c r="T108" s="53"/>
      <c r="U108" s="53"/>
    </row>
    <row r="109" spans="6:21" x14ac:dyDescent="0.55000000000000004">
      <c r="F109" s="49">
        <v>40330</v>
      </c>
      <c r="G109" s="52">
        <v>102.5</v>
      </c>
      <c r="J109" s="53">
        <v>11.750101582873654</v>
      </c>
      <c r="K109" s="53"/>
      <c r="L109" s="53">
        <v>11.750101582873654</v>
      </c>
      <c r="M109" s="53"/>
      <c r="N109" s="53"/>
      <c r="O109" s="53"/>
      <c r="P109" s="53"/>
      <c r="Q109" s="53"/>
      <c r="R109" s="53"/>
      <c r="S109" s="53"/>
      <c r="T109" s="53"/>
      <c r="U109" s="53"/>
    </row>
    <row r="110" spans="6:21" x14ac:dyDescent="0.55000000000000004">
      <c r="F110" s="49">
        <v>40360</v>
      </c>
      <c r="G110" s="52">
        <v>106.9</v>
      </c>
      <c r="J110" s="53">
        <v>16.146598506437996</v>
      </c>
      <c r="K110" s="53"/>
      <c r="L110" s="53">
        <v>16.146598506437996</v>
      </c>
      <c r="M110" s="53"/>
      <c r="N110" s="53"/>
      <c r="O110" s="53"/>
      <c r="P110" s="53"/>
      <c r="Q110" s="53"/>
      <c r="R110" s="53"/>
      <c r="S110" s="53"/>
      <c r="T110" s="53"/>
      <c r="U110" s="53"/>
    </row>
    <row r="111" spans="6:21" x14ac:dyDescent="0.55000000000000004">
      <c r="F111" s="49">
        <v>40391</v>
      </c>
      <c r="G111" s="52">
        <v>108.1</v>
      </c>
      <c r="J111" s="53">
        <v>17.343095294778522</v>
      </c>
      <c r="K111" s="53"/>
      <c r="L111" s="53">
        <v>17.343095294778522</v>
      </c>
      <c r="M111" s="53"/>
      <c r="N111" s="53"/>
      <c r="O111" s="53"/>
      <c r="P111" s="53"/>
      <c r="Q111" s="53"/>
      <c r="R111" s="53"/>
      <c r="S111" s="53"/>
      <c r="T111" s="53"/>
      <c r="U111" s="53"/>
    </row>
    <row r="112" spans="6:21" x14ac:dyDescent="0.55000000000000004">
      <c r="F112" s="49">
        <v>40422</v>
      </c>
      <c r="G112" s="52">
        <v>105.8</v>
      </c>
      <c r="J112" s="53">
        <v>15.039591947890173</v>
      </c>
      <c r="K112" s="53"/>
      <c r="L112" s="53">
        <v>15.039591947890173</v>
      </c>
      <c r="M112" s="53"/>
      <c r="N112" s="53"/>
      <c r="O112" s="53"/>
      <c r="P112" s="53"/>
      <c r="Q112" s="53"/>
      <c r="R112" s="53"/>
      <c r="S112" s="53"/>
      <c r="T112" s="53"/>
      <c r="U112" s="53"/>
    </row>
    <row r="113" spans="6:21" x14ac:dyDescent="0.55000000000000004">
      <c r="F113" s="49">
        <v>40452</v>
      </c>
      <c r="G113" s="52">
        <v>107.7</v>
      </c>
      <c r="J113" s="53">
        <v>16.936088465767469</v>
      </c>
      <c r="K113" s="53"/>
      <c r="L113" s="53">
        <v>16.936088465767469</v>
      </c>
      <c r="M113" s="53"/>
      <c r="N113" s="53"/>
      <c r="O113" s="53"/>
      <c r="P113" s="53"/>
      <c r="Q113" s="53"/>
      <c r="R113" s="53"/>
      <c r="S113" s="53"/>
      <c r="T113" s="53"/>
      <c r="U113" s="53"/>
    </row>
    <row r="114" spans="6:21" x14ac:dyDescent="0.55000000000000004">
      <c r="F114" s="49">
        <v>40483</v>
      </c>
      <c r="G114" s="52">
        <v>106.8</v>
      </c>
      <c r="J114" s="53">
        <v>16.032584848405463</v>
      </c>
      <c r="K114" s="53"/>
      <c r="L114" s="53">
        <v>16.032584848405463</v>
      </c>
      <c r="M114" s="53"/>
      <c r="N114" s="53"/>
      <c r="O114" s="53"/>
      <c r="P114" s="53"/>
      <c r="Q114" s="53"/>
      <c r="R114" s="53"/>
      <c r="S114" s="53"/>
      <c r="T114" s="53"/>
      <c r="U114" s="53"/>
    </row>
    <row r="115" spans="6:21" x14ac:dyDescent="0.55000000000000004">
      <c r="F115" s="49">
        <v>40513</v>
      </c>
      <c r="G115" s="52">
        <v>96.6</v>
      </c>
      <c r="J115" s="53">
        <v>5.8290810957986849</v>
      </c>
      <c r="K115" s="53"/>
      <c r="L115" s="53">
        <v>5.8290810957986849</v>
      </c>
      <c r="M115" s="53"/>
      <c r="N115" s="53"/>
      <c r="O115" s="53"/>
      <c r="P115" s="53"/>
      <c r="Q115" s="53"/>
      <c r="R115" s="53"/>
      <c r="S115" s="53"/>
      <c r="T115" s="53"/>
      <c r="U115" s="53"/>
    </row>
    <row r="116" spans="6:21" x14ac:dyDescent="0.55000000000000004">
      <c r="F116" s="49">
        <v>40544</v>
      </c>
      <c r="G116" s="52">
        <v>93.2</v>
      </c>
      <c r="J116" s="53">
        <v>2.4255772079420979</v>
      </c>
      <c r="K116" s="53"/>
      <c r="L116" s="53">
        <v>2.4255772079420979</v>
      </c>
      <c r="M116" s="53"/>
      <c r="N116" s="53"/>
      <c r="O116" s="53"/>
      <c r="P116" s="53"/>
      <c r="Q116" s="53"/>
      <c r="R116" s="53"/>
      <c r="S116" s="53"/>
      <c r="T116" s="53"/>
      <c r="U116" s="53"/>
    </row>
    <row r="117" spans="6:21" x14ac:dyDescent="0.55000000000000004">
      <c r="F117" s="49">
        <v>40575</v>
      </c>
      <c r="G117" s="52">
        <v>95.4</v>
      </c>
      <c r="J117" s="53">
        <v>4.6220731848302989</v>
      </c>
      <c r="K117" s="53"/>
      <c r="L117" s="53">
        <v>4.6220731848302989</v>
      </c>
      <c r="M117" s="53"/>
      <c r="N117" s="53"/>
      <c r="O117" s="53"/>
      <c r="P117" s="53"/>
      <c r="Q117" s="53"/>
      <c r="R117" s="53"/>
      <c r="S117" s="53"/>
      <c r="T117" s="53"/>
      <c r="U117" s="53"/>
    </row>
    <row r="118" spans="6:21" x14ac:dyDescent="0.55000000000000004">
      <c r="F118" s="49">
        <v>40603</v>
      </c>
      <c r="G118" s="52">
        <v>104.4</v>
      </c>
      <c r="J118" s="53">
        <v>13.61856902645826</v>
      </c>
      <c r="K118" s="53"/>
      <c r="L118" s="53">
        <v>13.61856902645826</v>
      </c>
      <c r="M118" s="53"/>
      <c r="N118" s="53"/>
      <c r="O118" s="53"/>
      <c r="P118" s="53"/>
      <c r="Q118" s="53"/>
      <c r="R118" s="53"/>
      <c r="S118" s="53"/>
      <c r="T118" s="53"/>
      <c r="U118" s="53"/>
    </row>
    <row r="119" spans="6:21" x14ac:dyDescent="0.55000000000000004">
      <c r="F119" s="49">
        <v>40634</v>
      </c>
      <c r="G119" s="52">
        <v>97.5</v>
      </c>
      <c r="J119" s="53">
        <v>6.7150647328206503</v>
      </c>
      <c r="K119" s="53"/>
      <c r="L119" s="53">
        <v>6.7150647328206503</v>
      </c>
      <c r="M119" s="53"/>
      <c r="N119" s="53"/>
      <c r="O119" s="53"/>
      <c r="P119" s="53"/>
      <c r="Q119" s="53"/>
      <c r="R119" s="53"/>
      <c r="S119" s="53"/>
      <c r="T119" s="53"/>
      <c r="U119" s="53"/>
    </row>
    <row r="120" spans="6:21" x14ac:dyDescent="0.55000000000000004">
      <c r="F120" s="49">
        <v>40664</v>
      </c>
      <c r="G120" s="52">
        <v>107.1</v>
      </c>
      <c r="J120" s="53">
        <v>16.311560303912231</v>
      </c>
      <c r="K120" s="53"/>
      <c r="L120" s="53">
        <v>16.311560303912231</v>
      </c>
      <c r="M120" s="53"/>
      <c r="N120" s="53"/>
      <c r="O120" s="53"/>
      <c r="P120" s="53"/>
      <c r="Q120" s="53"/>
      <c r="R120" s="53"/>
      <c r="S120" s="53"/>
      <c r="T120" s="53"/>
      <c r="U120" s="53"/>
    </row>
    <row r="121" spans="6:21" x14ac:dyDescent="0.55000000000000004">
      <c r="F121" s="49">
        <v>40695</v>
      </c>
      <c r="G121" s="52">
        <v>102.8</v>
      </c>
      <c r="J121" s="53">
        <v>12.008055739727936</v>
      </c>
      <c r="K121" s="53"/>
      <c r="L121" s="53">
        <v>12.008055739727936</v>
      </c>
      <c r="M121" s="53"/>
      <c r="N121" s="53"/>
      <c r="O121" s="53"/>
      <c r="P121" s="53"/>
      <c r="Q121" s="53"/>
      <c r="R121" s="53"/>
      <c r="S121" s="53"/>
      <c r="T121" s="53"/>
      <c r="U121" s="53"/>
    </row>
    <row r="122" spans="6:21" x14ac:dyDescent="0.55000000000000004">
      <c r="F122" s="49">
        <v>40725</v>
      </c>
      <c r="G122" s="52">
        <v>106.1</v>
      </c>
      <c r="J122" s="53">
        <v>15.30455104026224</v>
      </c>
      <c r="K122" s="53"/>
      <c r="L122" s="53">
        <v>15.30455104026224</v>
      </c>
      <c r="M122" s="53"/>
      <c r="N122" s="53"/>
      <c r="O122" s="53"/>
      <c r="P122" s="53"/>
      <c r="Q122" s="53"/>
      <c r="R122" s="53"/>
      <c r="S122" s="53"/>
      <c r="T122" s="53"/>
      <c r="U122" s="53"/>
    </row>
    <row r="123" spans="6:21" x14ac:dyDescent="0.55000000000000004">
      <c r="F123" s="49">
        <v>40756</v>
      </c>
      <c r="G123" s="52">
        <v>110.8</v>
      </c>
      <c r="J123" s="53">
        <v>20.001046205510306</v>
      </c>
      <c r="K123" s="53"/>
      <c r="L123" s="53">
        <v>20.001046205510306</v>
      </c>
      <c r="M123" s="53"/>
      <c r="N123" s="53"/>
      <c r="O123" s="53"/>
      <c r="P123" s="53"/>
      <c r="Q123" s="53"/>
      <c r="R123" s="53"/>
      <c r="S123" s="53"/>
      <c r="T123" s="53"/>
      <c r="U123" s="53"/>
    </row>
    <row r="124" spans="6:21" x14ac:dyDescent="0.55000000000000004">
      <c r="F124" s="49">
        <v>40787</v>
      </c>
      <c r="G124" s="52">
        <v>104.8</v>
      </c>
      <c r="J124" s="53">
        <v>13.997541235466571</v>
      </c>
      <c r="K124" s="53"/>
      <c r="L124" s="53">
        <v>13.997541235466571</v>
      </c>
      <c r="M124" s="53"/>
      <c r="N124" s="53"/>
      <c r="O124" s="53"/>
      <c r="P124" s="53"/>
      <c r="Q124" s="53"/>
      <c r="R124" s="53"/>
      <c r="S124" s="53"/>
      <c r="T124" s="53"/>
      <c r="U124" s="53"/>
    </row>
    <row r="125" spans="6:21" x14ac:dyDescent="0.55000000000000004">
      <c r="F125" s="49">
        <v>40817</v>
      </c>
      <c r="G125" s="52">
        <v>106.3</v>
      </c>
      <c r="J125" s="53">
        <v>15.494036130126048</v>
      </c>
      <c r="K125" s="53"/>
      <c r="L125" s="53">
        <v>15.494036130126048</v>
      </c>
      <c r="M125" s="53"/>
      <c r="N125" s="53"/>
      <c r="O125" s="53"/>
      <c r="P125" s="53"/>
      <c r="Q125" s="53"/>
      <c r="R125" s="53"/>
      <c r="S125" s="53"/>
      <c r="T125" s="53"/>
      <c r="U125" s="53"/>
    </row>
    <row r="126" spans="6:21" x14ac:dyDescent="0.55000000000000004">
      <c r="F126" s="49">
        <v>40848</v>
      </c>
      <c r="G126" s="52">
        <v>104.2</v>
      </c>
      <c r="J126" s="53">
        <v>13.390530889483387</v>
      </c>
      <c r="K126" s="53"/>
      <c r="L126" s="53">
        <v>13.390530889483387</v>
      </c>
      <c r="M126" s="53"/>
      <c r="N126" s="53"/>
      <c r="O126" s="53"/>
      <c r="P126" s="53"/>
      <c r="Q126" s="53"/>
      <c r="R126" s="53"/>
      <c r="S126" s="53"/>
      <c r="T126" s="53"/>
      <c r="U126" s="53"/>
    </row>
    <row r="127" spans="6:21" x14ac:dyDescent="0.55000000000000004">
      <c r="F127" s="49">
        <v>40878</v>
      </c>
      <c r="G127" s="52">
        <v>95.7</v>
      </c>
      <c r="J127" s="53">
        <v>4.8870255135334446</v>
      </c>
      <c r="K127" s="53"/>
      <c r="L127" s="53">
        <v>4.8870255135334446</v>
      </c>
      <c r="M127" s="53"/>
      <c r="N127" s="53"/>
      <c r="O127" s="53"/>
      <c r="P127" s="53"/>
      <c r="Q127" s="53"/>
      <c r="R127" s="53"/>
      <c r="S127" s="53"/>
      <c r="T127" s="53"/>
      <c r="U127" s="53"/>
    </row>
    <row r="128" spans="6:21" x14ac:dyDescent="0.55000000000000004">
      <c r="F128" s="49">
        <v>40909</v>
      </c>
      <c r="G128" s="52">
        <v>88.7</v>
      </c>
      <c r="J128" s="53">
        <v>-2.1164799977290727</v>
      </c>
      <c r="K128" s="53"/>
      <c r="L128" s="53">
        <v>-2.1164799977290727</v>
      </c>
      <c r="M128" s="53"/>
      <c r="N128" s="53"/>
      <c r="O128" s="53"/>
      <c r="P128" s="53"/>
      <c r="Q128" s="53"/>
      <c r="R128" s="53"/>
      <c r="S128" s="53"/>
      <c r="T128" s="53"/>
      <c r="U128" s="53"/>
    </row>
    <row r="129" spans="6:21" x14ac:dyDescent="0.55000000000000004">
      <c r="F129" s="49">
        <v>40940</v>
      </c>
      <c r="G129" s="52">
        <v>89.8</v>
      </c>
      <c r="J129" s="53">
        <v>-1.0199856443093438</v>
      </c>
      <c r="K129" s="53"/>
      <c r="L129" s="53">
        <v>-1.0199856443093438</v>
      </c>
      <c r="M129" s="53"/>
      <c r="N129" s="53"/>
      <c r="O129" s="53"/>
      <c r="P129" s="53"/>
      <c r="Q129" s="53"/>
      <c r="R129" s="53"/>
      <c r="S129" s="53"/>
      <c r="T129" s="53"/>
      <c r="U129" s="53"/>
    </row>
    <row r="130" spans="6:21" x14ac:dyDescent="0.55000000000000004">
      <c r="F130" s="49">
        <v>40969</v>
      </c>
      <c r="G130" s="52">
        <v>99.7</v>
      </c>
      <c r="J130" s="53">
        <v>8.8765085737872909</v>
      </c>
      <c r="K130" s="53"/>
      <c r="L130" s="53">
        <v>8.8765085737872909</v>
      </c>
      <c r="M130" s="53"/>
      <c r="N130" s="53"/>
      <c r="O130" s="53"/>
      <c r="P130" s="53"/>
      <c r="Q130" s="53"/>
      <c r="R130" s="53"/>
      <c r="S130" s="53"/>
      <c r="T130" s="53"/>
      <c r="U130" s="53"/>
    </row>
    <row r="131" spans="6:21" x14ac:dyDescent="0.55000000000000004">
      <c r="F131" s="49">
        <v>41000</v>
      </c>
      <c r="G131" s="52">
        <v>92.8</v>
      </c>
      <c r="J131" s="53">
        <v>1.9730026565558489</v>
      </c>
      <c r="K131" s="53"/>
      <c r="L131" s="53">
        <v>1.9730026565558489</v>
      </c>
      <c r="M131" s="53"/>
      <c r="N131" s="53"/>
      <c r="O131" s="53"/>
      <c r="P131" s="53"/>
      <c r="Q131" s="53"/>
      <c r="R131" s="53"/>
      <c r="S131" s="53"/>
      <c r="T131" s="53"/>
      <c r="U131" s="53"/>
    </row>
    <row r="132" spans="6:21" x14ac:dyDescent="0.55000000000000004">
      <c r="F132" s="49">
        <v>41030</v>
      </c>
      <c r="G132" s="52">
        <v>102.5</v>
      </c>
      <c r="J132" s="53">
        <v>11.669496603990879</v>
      </c>
      <c r="K132" s="53"/>
      <c r="L132" s="53">
        <v>11.669496603990879</v>
      </c>
      <c r="M132" s="53"/>
      <c r="N132" s="53"/>
      <c r="O132" s="53"/>
      <c r="P132" s="53"/>
      <c r="Q132" s="53"/>
      <c r="R132" s="53"/>
      <c r="S132" s="53"/>
      <c r="T132" s="53"/>
      <c r="U132" s="53"/>
    </row>
    <row r="133" spans="6:21" x14ac:dyDescent="0.55000000000000004">
      <c r="F133" s="49">
        <v>41061</v>
      </c>
      <c r="G133" s="52">
        <v>98.3</v>
      </c>
      <c r="J133" s="53">
        <v>7.4659904160872657</v>
      </c>
      <c r="K133" s="53"/>
      <c r="L133" s="53">
        <v>7.4659904160872657</v>
      </c>
      <c r="M133" s="53"/>
      <c r="N133" s="53"/>
      <c r="O133" s="53"/>
      <c r="P133" s="53"/>
      <c r="Q133" s="53"/>
      <c r="R133" s="53"/>
      <c r="S133" s="53"/>
      <c r="T133" s="53"/>
      <c r="U133" s="53"/>
    </row>
    <row r="134" spans="6:21" x14ac:dyDescent="0.55000000000000004">
      <c r="F134" s="49">
        <v>41091</v>
      </c>
      <c r="G134" s="52">
        <v>104.5</v>
      </c>
      <c r="J134" s="53">
        <v>13.662484092839733</v>
      </c>
      <c r="K134" s="53"/>
      <c r="L134" s="53">
        <v>13.662484092839733</v>
      </c>
      <c r="M134" s="53"/>
      <c r="N134" s="53"/>
      <c r="O134" s="53"/>
      <c r="P134" s="53"/>
      <c r="Q134" s="53"/>
      <c r="R134" s="53"/>
      <c r="S134" s="53"/>
      <c r="T134" s="53"/>
      <c r="U134" s="53"/>
    </row>
    <row r="135" spans="6:21" x14ac:dyDescent="0.55000000000000004">
      <c r="F135" s="49">
        <v>41122</v>
      </c>
      <c r="G135" s="52">
        <v>111.5</v>
      </c>
      <c r="J135" s="53">
        <v>20.658977634243172</v>
      </c>
      <c r="K135" s="53"/>
      <c r="L135" s="53">
        <v>20.658977634243172</v>
      </c>
      <c r="M135" s="53"/>
      <c r="N135" s="53"/>
      <c r="O135" s="53"/>
      <c r="P135" s="53"/>
      <c r="Q135" s="53"/>
      <c r="R135" s="53"/>
      <c r="S135" s="53"/>
      <c r="T135" s="53"/>
      <c r="U135" s="53"/>
    </row>
    <row r="136" spans="6:21" x14ac:dyDescent="0.55000000000000004">
      <c r="F136" s="49">
        <v>41153</v>
      </c>
      <c r="G136" s="52">
        <v>103.4</v>
      </c>
      <c r="J136" s="53">
        <v>12.555471040292247</v>
      </c>
      <c r="K136" s="53"/>
      <c r="L136" s="53">
        <v>12.555471040292247</v>
      </c>
      <c r="M136" s="53"/>
      <c r="N136" s="53"/>
      <c r="O136" s="53"/>
      <c r="P136" s="53"/>
      <c r="Q136" s="53"/>
      <c r="R136" s="53"/>
      <c r="S136" s="53"/>
      <c r="T136" s="53"/>
      <c r="U136" s="53"/>
    </row>
    <row r="137" spans="6:21" x14ac:dyDescent="0.55000000000000004">
      <c r="F137" s="49">
        <v>41183</v>
      </c>
      <c r="G137" s="52">
        <v>111.8</v>
      </c>
      <c r="J137" s="53">
        <v>20.951964310981694</v>
      </c>
      <c r="K137" s="53"/>
      <c r="L137" s="53">
        <v>20.951964310981694</v>
      </c>
      <c r="M137" s="53"/>
      <c r="N137" s="53"/>
      <c r="O137" s="53"/>
      <c r="P137" s="53"/>
      <c r="Q137" s="53"/>
      <c r="R137" s="53"/>
      <c r="S137" s="53"/>
      <c r="T137" s="53"/>
      <c r="U137" s="53"/>
    </row>
    <row r="138" spans="6:21" x14ac:dyDescent="0.55000000000000004">
      <c r="F138" s="49">
        <v>41214</v>
      </c>
      <c r="G138" s="52">
        <v>104.8</v>
      </c>
      <c r="J138" s="53">
        <v>13.948457446306406</v>
      </c>
      <c r="K138" s="53"/>
      <c r="L138" s="53">
        <v>13.948457446306406</v>
      </c>
      <c r="M138" s="53"/>
      <c r="N138" s="53"/>
      <c r="O138" s="53"/>
      <c r="P138" s="53"/>
      <c r="Q138" s="53"/>
      <c r="R138" s="53"/>
      <c r="S138" s="53"/>
      <c r="T138" s="53"/>
      <c r="U138" s="53"/>
    </row>
    <row r="139" spans="6:21" x14ac:dyDescent="0.55000000000000004">
      <c r="F139" s="49">
        <v>41244</v>
      </c>
      <c r="G139" s="52">
        <v>92.2</v>
      </c>
      <c r="J139" s="53">
        <v>1.3449504462610662</v>
      </c>
      <c r="K139" s="53"/>
      <c r="L139" s="53">
        <v>1.3449504462610662</v>
      </c>
      <c r="M139" s="53"/>
      <c r="N139" s="53"/>
      <c r="O139" s="53"/>
      <c r="P139" s="53"/>
      <c r="Q139" s="53"/>
      <c r="R139" s="53"/>
      <c r="S139" s="53"/>
      <c r="T139" s="53"/>
      <c r="U139" s="53"/>
    </row>
    <row r="140" spans="6:21" x14ac:dyDescent="0.55000000000000004">
      <c r="F140" s="49">
        <v>41275</v>
      </c>
      <c r="G140" s="52">
        <v>94.5</v>
      </c>
      <c r="J140" s="53">
        <v>3.6414433108405717</v>
      </c>
      <c r="K140" s="53"/>
      <c r="L140" s="53">
        <v>3.6414433108405717</v>
      </c>
      <c r="M140" s="53"/>
      <c r="N140" s="53"/>
      <c r="O140" s="53"/>
      <c r="P140" s="53"/>
      <c r="Q140" s="53"/>
      <c r="R140" s="53"/>
      <c r="S140" s="53"/>
      <c r="T140" s="53"/>
      <c r="U140" s="53"/>
    </row>
    <row r="141" spans="6:21" x14ac:dyDescent="0.55000000000000004">
      <c r="F141" s="49">
        <v>41306</v>
      </c>
      <c r="G141" s="52">
        <v>88.1</v>
      </c>
      <c r="J141" s="53">
        <v>-2.7620639599604857</v>
      </c>
      <c r="K141" s="53"/>
      <c r="L141" s="53">
        <v>-2.7620639599604857</v>
      </c>
      <c r="M141" s="53"/>
      <c r="N141" s="53"/>
      <c r="O141" s="53"/>
      <c r="P141" s="53"/>
      <c r="Q141" s="53"/>
      <c r="R141" s="53"/>
      <c r="S141" s="53"/>
      <c r="T141" s="53"/>
      <c r="U141" s="53"/>
    </row>
    <row r="142" spans="6:21" x14ac:dyDescent="0.55000000000000004">
      <c r="F142" s="49">
        <v>41334</v>
      </c>
      <c r="G142" s="52">
        <v>97.7</v>
      </c>
      <c r="J142" s="53">
        <v>6.8344286338528519</v>
      </c>
      <c r="K142" s="53"/>
      <c r="L142" s="53">
        <v>6.8344286338528519</v>
      </c>
      <c r="M142" s="53"/>
      <c r="N142" s="53"/>
      <c r="O142" s="53"/>
      <c r="P142" s="53"/>
      <c r="Q142" s="53"/>
      <c r="R142" s="53"/>
      <c r="S142" s="53"/>
      <c r="T142" s="53"/>
      <c r="U142" s="53"/>
    </row>
    <row r="143" spans="6:21" x14ac:dyDescent="0.55000000000000004">
      <c r="F143" s="49">
        <v>41365</v>
      </c>
      <c r="G143" s="52">
        <v>101.8</v>
      </c>
      <c r="J143" s="53">
        <v>10.930921092275128</v>
      </c>
      <c r="K143" s="53"/>
      <c r="L143" s="53">
        <v>10.930921092275128</v>
      </c>
      <c r="M143" s="53"/>
      <c r="N143" s="53"/>
      <c r="O143" s="53"/>
      <c r="P143" s="53"/>
      <c r="Q143" s="53"/>
      <c r="R143" s="53"/>
      <c r="S143" s="53"/>
      <c r="T143" s="53"/>
      <c r="U143" s="53"/>
    </row>
    <row r="144" spans="6:21" x14ac:dyDescent="0.55000000000000004">
      <c r="F144" s="49">
        <v>41395</v>
      </c>
      <c r="G144" s="52">
        <v>105</v>
      </c>
      <c r="J144" s="53">
        <v>14.12741341530139</v>
      </c>
      <c r="K144" s="53"/>
      <c r="L144" s="53">
        <v>14.12741341530139</v>
      </c>
      <c r="M144" s="53"/>
      <c r="N144" s="53"/>
      <c r="O144" s="53"/>
      <c r="P144" s="53"/>
      <c r="Q144" s="53"/>
      <c r="R144" s="53"/>
      <c r="S144" s="53"/>
      <c r="T144" s="53"/>
      <c r="U144" s="53"/>
    </row>
    <row r="145" spans="6:21" x14ac:dyDescent="0.55000000000000004">
      <c r="F145" s="49">
        <v>41426</v>
      </c>
      <c r="G145" s="52">
        <v>101.7</v>
      </c>
      <c r="J145" s="53">
        <v>10.823905602926203</v>
      </c>
      <c r="K145" s="53"/>
      <c r="L145" s="53">
        <v>10.823905602926203</v>
      </c>
      <c r="M145" s="53"/>
      <c r="N145" s="53"/>
      <c r="O145" s="53"/>
      <c r="P145" s="53"/>
      <c r="Q145" s="53"/>
      <c r="R145" s="53"/>
      <c r="S145" s="53"/>
      <c r="T145" s="53"/>
      <c r="U145" s="53"/>
    </row>
    <row r="146" spans="6:21" x14ac:dyDescent="0.55000000000000004">
      <c r="F146" s="49">
        <v>41456</v>
      </c>
      <c r="G146" s="52">
        <v>108</v>
      </c>
      <c r="J146" s="53">
        <v>17.120397655144558</v>
      </c>
      <c r="K146" s="53"/>
      <c r="L146" s="53">
        <v>17.120397655144558</v>
      </c>
      <c r="M146" s="53"/>
      <c r="N146" s="53"/>
      <c r="O146" s="53"/>
      <c r="P146" s="53"/>
      <c r="Q146" s="53"/>
      <c r="R146" s="53"/>
      <c r="S146" s="53"/>
      <c r="T146" s="53"/>
      <c r="U146" s="53"/>
    </row>
    <row r="147" spans="6:21" x14ac:dyDescent="0.55000000000000004">
      <c r="F147" s="49">
        <v>41487</v>
      </c>
      <c r="G147" s="52">
        <v>112</v>
      </c>
      <c r="J147" s="53">
        <v>21.116889571950892</v>
      </c>
      <c r="K147" s="53"/>
      <c r="L147" s="53">
        <v>21.116889571950892</v>
      </c>
      <c r="M147" s="53"/>
      <c r="N147" s="53"/>
      <c r="O147" s="53"/>
      <c r="P147" s="53"/>
      <c r="Q147" s="53"/>
      <c r="R147" s="53"/>
      <c r="S147" s="53"/>
      <c r="T147" s="53"/>
      <c r="U147" s="53"/>
    </row>
    <row r="148" spans="6:21" x14ac:dyDescent="0.55000000000000004">
      <c r="F148" s="49">
        <v>41518</v>
      </c>
      <c r="G148" s="52">
        <v>107.3</v>
      </c>
      <c r="J148" s="53">
        <v>16.413381353340341</v>
      </c>
      <c r="K148" s="53"/>
      <c r="L148" s="53">
        <v>16.413381353340341</v>
      </c>
      <c r="M148" s="53"/>
      <c r="N148" s="53"/>
      <c r="O148" s="53"/>
      <c r="P148" s="53"/>
      <c r="Q148" s="53"/>
      <c r="R148" s="53"/>
      <c r="S148" s="53"/>
      <c r="T148" s="53"/>
      <c r="U148" s="53"/>
    </row>
    <row r="149" spans="6:21" x14ac:dyDescent="0.55000000000000004">
      <c r="F149" s="49">
        <v>41548</v>
      </c>
      <c r="G149" s="52">
        <v>112.6</v>
      </c>
      <c r="J149" s="53">
        <v>21.709872999307436</v>
      </c>
      <c r="K149" s="53"/>
      <c r="L149" s="53">
        <v>21.709872999307436</v>
      </c>
      <c r="M149" s="53"/>
      <c r="N149" s="53"/>
      <c r="O149" s="53"/>
      <c r="P149" s="53"/>
      <c r="Q149" s="53"/>
      <c r="R149" s="53"/>
      <c r="S149" s="53"/>
      <c r="T149" s="53"/>
      <c r="U149" s="53"/>
    </row>
    <row r="150" spans="6:21" x14ac:dyDescent="0.55000000000000004">
      <c r="F150" s="49">
        <v>41579</v>
      </c>
      <c r="G150" s="52">
        <v>106.1</v>
      </c>
      <c r="J150" s="53">
        <v>15.20636450984702</v>
      </c>
      <c r="K150" s="53"/>
      <c r="L150" s="53">
        <v>15.20636450984702</v>
      </c>
      <c r="M150" s="53"/>
      <c r="N150" s="53"/>
      <c r="O150" s="53"/>
      <c r="P150" s="53"/>
      <c r="Q150" s="53"/>
      <c r="R150" s="53"/>
      <c r="S150" s="53"/>
      <c r="T150" s="53"/>
      <c r="U150" s="53"/>
    </row>
    <row r="151" spans="6:21" x14ac:dyDescent="0.55000000000000004">
      <c r="F151" s="49">
        <v>41609</v>
      </c>
      <c r="G151" s="52">
        <v>90.1</v>
      </c>
      <c r="J151" s="53">
        <v>-0.79714411504613736</v>
      </c>
      <c r="K151" s="53"/>
      <c r="L151" s="53">
        <v>-0.79714411504613736</v>
      </c>
      <c r="M151" s="53"/>
      <c r="N151" s="53"/>
      <c r="O151" s="53"/>
      <c r="P151" s="53"/>
      <c r="Q151" s="53"/>
      <c r="R151" s="53"/>
      <c r="S151" s="53"/>
      <c r="T151" s="53"/>
      <c r="U151" s="53"/>
    </row>
    <row r="152" spans="6:21" x14ac:dyDescent="0.55000000000000004">
      <c r="F152" s="49">
        <v>41640</v>
      </c>
      <c r="G152" s="52">
        <v>92.6</v>
      </c>
      <c r="J152" s="53">
        <v>1.6993471246228324</v>
      </c>
      <c r="K152" s="53"/>
      <c r="L152" s="53">
        <v>1.6993471246228324</v>
      </c>
      <c r="M152" s="53"/>
      <c r="N152" s="53"/>
      <c r="O152" s="53"/>
      <c r="P152" s="53"/>
      <c r="Q152" s="53"/>
      <c r="R152" s="53"/>
      <c r="S152" s="53"/>
      <c r="T152" s="53"/>
      <c r="U152" s="53"/>
    </row>
    <row r="153" spans="6:21" x14ac:dyDescent="0.55000000000000004">
      <c r="F153" s="49">
        <v>41671</v>
      </c>
      <c r="G153" s="52">
        <v>92.3</v>
      </c>
      <c r="J153" s="53">
        <v>1.395838228848632</v>
      </c>
      <c r="K153" s="53"/>
      <c r="L153" s="53">
        <v>1.395838228848632</v>
      </c>
      <c r="M153" s="53"/>
      <c r="N153" s="53"/>
      <c r="O153" s="53"/>
      <c r="P153" s="53"/>
      <c r="Q153" s="53"/>
      <c r="R153" s="53"/>
      <c r="S153" s="53"/>
      <c r="T153" s="53"/>
      <c r="U153" s="53"/>
    </row>
    <row r="154" spans="6:21" x14ac:dyDescent="0.55000000000000004">
      <c r="F154" s="49">
        <v>41699</v>
      </c>
      <c r="G154" s="52">
        <v>97.3</v>
      </c>
      <c r="J154" s="53">
        <v>6.392329197625827</v>
      </c>
      <c r="K154" s="53"/>
      <c r="L154" s="53">
        <v>6.392329197625827</v>
      </c>
      <c r="M154" s="53"/>
      <c r="N154" s="53"/>
      <c r="O154" s="53"/>
      <c r="P154" s="53"/>
      <c r="Q154" s="53"/>
      <c r="R154" s="53"/>
      <c r="S154" s="53"/>
      <c r="T154" s="53"/>
      <c r="U154" s="53"/>
    </row>
    <row r="155" spans="6:21" x14ac:dyDescent="0.55000000000000004">
      <c r="F155" s="49">
        <v>41730</v>
      </c>
      <c r="G155" s="52">
        <v>96</v>
      </c>
      <c r="J155" s="53">
        <v>5.0888200309495488</v>
      </c>
      <c r="K155" s="53"/>
      <c r="L155" s="53">
        <v>5.0888200309495488</v>
      </c>
      <c r="M155" s="53"/>
      <c r="N155" s="53"/>
      <c r="O155" s="53"/>
      <c r="P155" s="53"/>
      <c r="Q155" s="53"/>
      <c r="R155" s="53"/>
      <c r="S155" s="53"/>
      <c r="T155" s="53"/>
      <c r="U155" s="53"/>
    </row>
    <row r="156" spans="6:21" x14ac:dyDescent="0.55000000000000004">
      <c r="F156" s="49">
        <v>41760</v>
      </c>
      <c r="G156" s="52">
        <v>101.7</v>
      </c>
      <c r="J156" s="53">
        <v>10.785310728814281</v>
      </c>
      <c r="K156" s="53"/>
      <c r="L156" s="53">
        <v>10.785310728814281</v>
      </c>
      <c r="M156" s="53"/>
      <c r="N156" s="53"/>
      <c r="O156" s="53"/>
      <c r="P156" s="53"/>
      <c r="Q156" s="53"/>
      <c r="R156" s="53"/>
      <c r="S156" s="53"/>
      <c r="T156" s="53"/>
      <c r="U156" s="53"/>
    </row>
    <row r="157" spans="6:21" x14ac:dyDescent="0.55000000000000004">
      <c r="F157" s="49">
        <v>41791</v>
      </c>
      <c r="G157" s="52">
        <v>94.9</v>
      </c>
      <c r="J157" s="53">
        <v>3.9818012912150209</v>
      </c>
      <c r="K157" s="53"/>
      <c r="L157" s="53">
        <v>3.9818012912150209</v>
      </c>
      <c r="M157" s="53"/>
      <c r="N157" s="53"/>
      <c r="O157" s="53"/>
      <c r="P157" s="53"/>
      <c r="Q157" s="53"/>
      <c r="R157" s="53"/>
      <c r="S157" s="53"/>
      <c r="T157" s="53"/>
      <c r="U157" s="53"/>
    </row>
    <row r="158" spans="6:21" x14ac:dyDescent="0.55000000000000004">
      <c r="F158" s="49">
        <v>41821</v>
      </c>
      <c r="G158" s="52">
        <v>104.4</v>
      </c>
      <c r="J158" s="53">
        <v>13.478291718146352</v>
      </c>
      <c r="K158" s="53"/>
      <c r="L158" s="53">
        <v>13.478291718146352</v>
      </c>
      <c r="M158" s="53"/>
      <c r="N158" s="53"/>
      <c r="O158" s="53"/>
      <c r="P158" s="53"/>
      <c r="Q158" s="53"/>
      <c r="R158" s="53"/>
      <c r="S158" s="53"/>
      <c r="T158" s="53"/>
      <c r="U158" s="53"/>
    </row>
    <row r="159" spans="6:21" x14ac:dyDescent="0.55000000000000004">
      <c r="F159" s="49">
        <v>41852</v>
      </c>
      <c r="G159" s="52">
        <v>106.3</v>
      </c>
      <c r="J159" s="53">
        <v>15.374782009603109</v>
      </c>
      <c r="K159" s="53"/>
      <c r="L159" s="53">
        <v>15.374782009603109</v>
      </c>
      <c r="M159" s="53"/>
      <c r="N159" s="53"/>
      <c r="O159" s="53"/>
      <c r="P159" s="53"/>
      <c r="Q159" s="53"/>
      <c r="R159" s="53"/>
      <c r="S159" s="53"/>
      <c r="T159" s="53"/>
      <c r="U159" s="53"/>
    </row>
    <row r="160" spans="6:21" x14ac:dyDescent="0.55000000000000004">
      <c r="F160" s="49">
        <v>41883</v>
      </c>
      <c r="G160" s="52">
        <v>105.6</v>
      </c>
      <c r="J160" s="53">
        <v>14.671272165580092</v>
      </c>
      <c r="K160" s="53"/>
      <c r="L160" s="53">
        <v>14.671272165580092</v>
      </c>
      <c r="M160" s="53"/>
      <c r="N160" s="53"/>
      <c r="O160" s="53"/>
      <c r="P160" s="53"/>
      <c r="Q160" s="53"/>
      <c r="R160" s="53"/>
      <c r="S160" s="53"/>
      <c r="T160" s="53"/>
      <c r="U160" s="53"/>
    </row>
    <row r="161" spans="6:21" x14ac:dyDescent="0.55000000000000004">
      <c r="F161" s="49">
        <v>41913</v>
      </c>
      <c r="G161" s="52">
        <v>109.3</v>
      </c>
      <c r="J161" s="53">
        <v>18.367762186072127</v>
      </c>
      <c r="K161" s="53"/>
      <c r="L161" s="53">
        <v>18.367762186072127</v>
      </c>
      <c r="M161" s="53"/>
      <c r="N161" s="53"/>
      <c r="O161" s="53"/>
      <c r="P161" s="53"/>
      <c r="Q161" s="53"/>
      <c r="R161" s="53"/>
      <c r="S161" s="53"/>
      <c r="T161" s="53"/>
      <c r="U161" s="53"/>
    </row>
    <row r="162" spans="6:21" x14ac:dyDescent="0.55000000000000004">
      <c r="F162" s="49">
        <v>41944</v>
      </c>
      <c r="G162" s="52">
        <v>99.8</v>
      </c>
      <c r="J162" s="53">
        <v>8.8642520710737926</v>
      </c>
      <c r="K162" s="53"/>
      <c r="L162" s="53">
        <v>8.8642520710737926</v>
      </c>
      <c r="M162" s="53"/>
      <c r="N162" s="53"/>
      <c r="O162" s="53"/>
      <c r="P162" s="53"/>
      <c r="Q162" s="53"/>
      <c r="R162" s="53"/>
      <c r="S162" s="53"/>
      <c r="T162" s="53"/>
      <c r="U162" s="53"/>
    </row>
    <row r="163" spans="6:21" x14ac:dyDescent="0.55000000000000004">
      <c r="F163" s="49">
        <v>41974</v>
      </c>
      <c r="G163" s="52">
        <v>87.7</v>
      </c>
      <c r="J163" s="53">
        <v>-3.2392581794199486</v>
      </c>
      <c r="K163" s="53"/>
      <c r="L163" s="53">
        <v>-3.2392581794199486</v>
      </c>
      <c r="M163" s="53"/>
      <c r="N163" s="53"/>
      <c r="O163" s="53"/>
      <c r="P163" s="53"/>
      <c r="Q163" s="53"/>
      <c r="R163" s="53"/>
      <c r="S163" s="53"/>
      <c r="T163" s="53"/>
      <c r="U163" s="53"/>
    </row>
    <row r="164" spans="6:21" x14ac:dyDescent="0.55000000000000004">
      <c r="F164" s="49">
        <v>42005</v>
      </c>
      <c r="G164" s="52">
        <v>88.1</v>
      </c>
      <c r="J164" s="53">
        <v>-2.842768565414417</v>
      </c>
      <c r="K164" s="53"/>
      <c r="L164" s="53">
        <v>-2.842768565414417</v>
      </c>
      <c r="M164" s="53"/>
      <c r="N164" s="53"/>
      <c r="O164" s="53"/>
      <c r="P164" s="53"/>
      <c r="Q164" s="53"/>
      <c r="R164" s="53"/>
      <c r="S164" s="53"/>
      <c r="T164" s="53"/>
      <c r="U164" s="53"/>
    </row>
    <row r="165" spans="6:21" x14ac:dyDescent="0.55000000000000004">
      <c r="F165" s="49">
        <v>42036</v>
      </c>
      <c r="G165" s="52">
        <v>83.7</v>
      </c>
      <c r="J165" s="53">
        <v>-7.2462790869148108</v>
      </c>
      <c r="K165" s="53"/>
      <c r="L165" s="53">
        <v>-7.2462790869148108</v>
      </c>
      <c r="M165" s="53"/>
      <c r="N165" s="53"/>
      <c r="O165" s="53"/>
      <c r="P165" s="53"/>
      <c r="Q165" s="53"/>
      <c r="R165" s="53"/>
      <c r="S165" s="53"/>
      <c r="T165" s="53"/>
      <c r="U165" s="53"/>
    </row>
    <row r="166" spans="6:21" x14ac:dyDescent="0.55000000000000004">
      <c r="F166" s="49">
        <v>42064</v>
      </c>
      <c r="G166" s="52">
        <v>94.3</v>
      </c>
      <c r="J166" s="53">
        <v>3.3502102560735665</v>
      </c>
      <c r="K166" s="53"/>
      <c r="L166" s="53">
        <v>3.3502102560735665</v>
      </c>
      <c r="M166" s="53"/>
      <c r="N166" s="53"/>
      <c r="O166" s="53"/>
      <c r="P166" s="53"/>
      <c r="Q166" s="53"/>
      <c r="R166" s="53"/>
      <c r="S166" s="53"/>
      <c r="T166" s="53"/>
      <c r="U166" s="53"/>
    </row>
    <row r="167" spans="6:21" x14ac:dyDescent="0.55000000000000004">
      <c r="F167" s="49">
        <v>42095</v>
      </c>
      <c r="G167" s="52">
        <v>88.8</v>
      </c>
      <c r="J167" s="53">
        <v>-2.1533005364543953</v>
      </c>
      <c r="K167" s="53"/>
      <c r="L167" s="53">
        <v>-2.1533005364543953</v>
      </c>
      <c r="M167" s="53"/>
      <c r="N167" s="53"/>
      <c r="O167" s="53"/>
      <c r="P167" s="53"/>
      <c r="Q167" s="53"/>
      <c r="R167" s="53"/>
      <c r="S167" s="53"/>
      <c r="T167" s="53"/>
      <c r="U167" s="53"/>
    </row>
    <row r="168" spans="6:21" x14ac:dyDescent="0.55000000000000004">
      <c r="F168" s="49">
        <v>42125</v>
      </c>
      <c r="G168" s="52">
        <v>93.1</v>
      </c>
      <c r="J168" s="53">
        <v>2.1431885354960372</v>
      </c>
      <c r="K168" s="53"/>
      <c r="L168" s="53">
        <v>2.1431885354960372</v>
      </c>
      <c r="M168" s="53"/>
      <c r="N168" s="53"/>
      <c r="O168" s="53"/>
      <c r="P168" s="53"/>
      <c r="Q168" s="53"/>
      <c r="R168" s="53"/>
      <c r="S168" s="53"/>
      <c r="T168" s="53"/>
      <c r="U168" s="53"/>
    </row>
    <row r="169" spans="6:21" x14ac:dyDescent="0.55000000000000004">
      <c r="F169" s="49">
        <v>42156</v>
      </c>
      <c r="G169" s="52">
        <v>92.5</v>
      </c>
      <c r="J169" s="53">
        <v>1.5396774719195605</v>
      </c>
      <c r="K169" s="53"/>
      <c r="L169" s="53">
        <v>1.5396774719195605</v>
      </c>
      <c r="M169" s="53"/>
      <c r="N169" s="53"/>
      <c r="O169" s="53"/>
      <c r="P169" s="53"/>
      <c r="Q169" s="53"/>
      <c r="R169" s="53"/>
      <c r="S169" s="53"/>
      <c r="T169" s="53"/>
      <c r="U169" s="53"/>
    </row>
    <row r="170" spans="6:21" x14ac:dyDescent="0.55000000000000004">
      <c r="F170" s="49">
        <v>42186</v>
      </c>
      <c r="G170" s="52">
        <v>95.5</v>
      </c>
      <c r="J170" s="53">
        <v>4.5361662728109735</v>
      </c>
      <c r="K170" s="53"/>
      <c r="L170" s="53">
        <v>4.5361662728109735</v>
      </c>
      <c r="M170" s="53"/>
      <c r="N170" s="53"/>
      <c r="O170" s="53"/>
      <c r="P170" s="53"/>
      <c r="Q170" s="53"/>
      <c r="R170" s="53"/>
      <c r="S170" s="53"/>
      <c r="T170" s="53"/>
      <c r="U170" s="53"/>
    </row>
    <row r="171" spans="6:21" x14ac:dyDescent="0.55000000000000004">
      <c r="F171" s="49">
        <v>42217</v>
      </c>
      <c r="G171" s="52">
        <v>97.6</v>
      </c>
      <c r="J171" s="53">
        <v>6.6326549381650324</v>
      </c>
      <c r="K171" s="53"/>
      <c r="L171" s="53">
        <v>6.6326549381650324</v>
      </c>
      <c r="M171" s="53"/>
      <c r="N171" s="53"/>
      <c r="O171" s="53"/>
      <c r="P171" s="53"/>
      <c r="Q171" s="53"/>
      <c r="R171" s="53"/>
      <c r="S171" s="53"/>
      <c r="T171" s="53"/>
      <c r="U171" s="53"/>
    </row>
    <row r="172" spans="6:21" x14ac:dyDescent="0.55000000000000004">
      <c r="F172" s="49">
        <v>42248</v>
      </c>
      <c r="G172" s="52">
        <v>94.3</v>
      </c>
      <c r="J172" s="53">
        <v>3.3291434679765644</v>
      </c>
      <c r="K172" s="53"/>
      <c r="L172" s="53">
        <v>3.3291434679765644</v>
      </c>
      <c r="M172" s="53"/>
      <c r="N172" s="53"/>
      <c r="O172" s="53"/>
      <c r="P172" s="53"/>
      <c r="Q172" s="53"/>
      <c r="R172" s="53"/>
      <c r="S172" s="53"/>
      <c r="T172" s="53"/>
      <c r="U172" s="53"/>
    </row>
    <row r="173" spans="6:21" x14ac:dyDescent="0.55000000000000004">
      <c r="F173" s="49">
        <v>42278</v>
      </c>
      <c r="G173" s="52">
        <v>97.2</v>
      </c>
      <c r="J173" s="53">
        <v>6.2256318622402347</v>
      </c>
      <c r="K173" s="53"/>
      <c r="L173" s="53">
        <v>6.2256318622402347</v>
      </c>
      <c r="M173" s="53"/>
      <c r="N173" s="53"/>
      <c r="O173" s="53"/>
      <c r="P173" s="53"/>
      <c r="Q173" s="53"/>
      <c r="R173" s="53"/>
      <c r="S173" s="53"/>
      <c r="T173" s="53"/>
      <c r="U173" s="53"/>
    </row>
    <row r="174" spans="6:21" x14ac:dyDescent="0.55000000000000004">
      <c r="F174" s="49">
        <v>42309</v>
      </c>
      <c r="G174" s="52">
        <v>87.6</v>
      </c>
      <c r="J174" s="53">
        <v>-3.3778798790489901</v>
      </c>
      <c r="K174" s="53"/>
      <c r="L174" s="53">
        <v>-3.3778798790489901</v>
      </c>
      <c r="M174" s="53"/>
      <c r="N174" s="53"/>
      <c r="O174" s="53"/>
      <c r="P174" s="53"/>
      <c r="Q174" s="53"/>
      <c r="R174" s="53"/>
      <c r="S174" s="53"/>
      <c r="T174" s="53"/>
      <c r="U174" s="53"/>
    </row>
    <row r="175" spans="6:21" x14ac:dyDescent="0.55000000000000004">
      <c r="F175" s="49">
        <v>42339</v>
      </c>
      <c r="G175" s="52">
        <v>77.2</v>
      </c>
      <c r="J175" s="53">
        <v>-13.781391755896578</v>
      </c>
      <c r="K175" s="53"/>
      <c r="L175" s="53">
        <v>-13.781391755896578</v>
      </c>
      <c r="M175" s="53"/>
      <c r="N175" s="53"/>
      <c r="O175" s="53"/>
      <c r="P175" s="53"/>
      <c r="Q175" s="53"/>
      <c r="R175" s="53"/>
      <c r="S175" s="53"/>
      <c r="T175" s="53"/>
      <c r="U175" s="53"/>
    </row>
    <row r="176" spans="6:21" x14ac:dyDescent="0.55000000000000004">
      <c r="F176" s="49">
        <v>42370</v>
      </c>
      <c r="G176" s="52">
        <v>76.3</v>
      </c>
      <c r="J176" s="53">
        <v>-14.68490376830762</v>
      </c>
      <c r="K176" s="53"/>
      <c r="L176" s="53">
        <v>-14.68490376830762</v>
      </c>
      <c r="M176" s="53"/>
      <c r="N176" s="53"/>
      <c r="O176" s="53"/>
      <c r="P176" s="53"/>
      <c r="Q176" s="53"/>
      <c r="R176" s="53"/>
      <c r="S176" s="53"/>
      <c r="T176" s="53"/>
      <c r="U176" s="53"/>
    </row>
    <row r="177" spans="6:21" x14ac:dyDescent="0.55000000000000004">
      <c r="F177" s="49">
        <v>42401</v>
      </c>
      <c r="G177" s="52">
        <v>75.8</v>
      </c>
      <c r="J177" s="53">
        <v>-15.188415916287411</v>
      </c>
      <c r="K177" s="53"/>
      <c r="L177" s="53">
        <v>-15.188415916287411</v>
      </c>
      <c r="M177" s="53"/>
      <c r="N177" s="53"/>
      <c r="O177" s="53"/>
      <c r="P177" s="53"/>
      <c r="Q177" s="53"/>
      <c r="R177" s="53"/>
      <c r="S177" s="53"/>
      <c r="T177" s="53"/>
      <c r="U177" s="53"/>
    </row>
    <row r="178" spans="6:21" x14ac:dyDescent="0.55000000000000004">
      <c r="F178" s="49">
        <v>42430</v>
      </c>
      <c r="G178" s="52">
        <v>83.7</v>
      </c>
      <c r="J178" s="53">
        <v>-7.2919281998410952</v>
      </c>
      <c r="K178" s="53"/>
      <c r="L178" s="53">
        <v>-7.2919281998410952</v>
      </c>
      <c r="M178" s="53"/>
      <c r="N178" s="53"/>
      <c r="O178" s="53"/>
      <c r="P178" s="53"/>
      <c r="Q178" s="53"/>
      <c r="R178" s="53"/>
      <c r="S178" s="53"/>
      <c r="T178" s="53"/>
      <c r="U178" s="53"/>
    </row>
    <row r="179" spans="6:21" x14ac:dyDescent="0.55000000000000004">
      <c r="F179" s="49">
        <v>42461</v>
      </c>
      <c r="G179" s="52">
        <v>83</v>
      </c>
      <c r="J179" s="53">
        <v>-7.9954406189740155</v>
      </c>
      <c r="K179" s="53"/>
      <c r="L179" s="53">
        <v>-7.9954406189740155</v>
      </c>
      <c r="M179" s="53"/>
      <c r="N179" s="53"/>
      <c r="O179" s="53"/>
      <c r="P179" s="53"/>
      <c r="Q179" s="53"/>
      <c r="R179" s="53"/>
      <c r="S179" s="53"/>
      <c r="T179" s="53"/>
      <c r="U179" s="53"/>
    </row>
    <row r="180" spans="6:21" x14ac:dyDescent="0.55000000000000004">
      <c r="F180" s="49">
        <v>42491</v>
      </c>
      <c r="G180" s="52">
        <v>86.3</v>
      </c>
      <c r="J180" s="53">
        <v>-4.698953173691379</v>
      </c>
      <c r="K180" s="53"/>
      <c r="L180" s="53">
        <v>-4.698953173691379</v>
      </c>
      <c r="M180" s="53"/>
      <c r="N180" s="53"/>
      <c r="O180" s="53"/>
      <c r="P180" s="53"/>
      <c r="Q180" s="53"/>
      <c r="R180" s="53"/>
      <c r="S180" s="53"/>
      <c r="T180" s="53"/>
      <c r="U180" s="53"/>
    </row>
    <row r="181" spans="6:21" x14ac:dyDescent="0.55000000000000004">
      <c r="F181" s="49">
        <v>42522</v>
      </c>
      <c r="G181" s="52">
        <v>87.7</v>
      </c>
      <c r="J181" s="53">
        <v>-3.3024658639984068</v>
      </c>
      <c r="K181" s="53"/>
      <c r="L181" s="53">
        <v>-3.3024658639984068</v>
      </c>
      <c r="M181" s="53"/>
      <c r="N181" s="53"/>
      <c r="O181" s="53"/>
      <c r="P181" s="53"/>
      <c r="Q181" s="53"/>
      <c r="R181" s="53"/>
      <c r="S181" s="53"/>
      <c r="T181" s="53"/>
      <c r="U181" s="53"/>
    </row>
    <row r="182" spans="6:21" x14ac:dyDescent="0.55000000000000004">
      <c r="F182" s="49">
        <v>42552</v>
      </c>
      <c r="G182" s="52">
        <v>89.6</v>
      </c>
      <c r="J182" s="53">
        <v>-1.405978689900266</v>
      </c>
      <c r="K182" s="53"/>
      <c r="L182" s="53">
        <v>-1.405978689900266</v>
      </c>
      <c r="M182" s="53"/>
      <c r="N182" s="53"/>
      <c r="O182" s="53"/>
      <c r="P182" s="53"/>
      <c r="Q182" s="53"/>
      <c r="R182" s="53"/>
      <c r="S182" s="53"/>
      <c r="T182" s="53"/>
      <c r="U182" s="53"/>
    </row>
    <row r="183" spans="6:21" x14ac:dyDescent="0.55000000000000004">
      <c r="F183" s="49">
        <v>42583</v>
      </c>
      <c r="G183" s="52">
        <v>93</v>
      </c>
      <c r="J183" s="53">
        <v>1.9905083485978281</v>
      </c>
      <c r="K183" s="53"/>
      <c r="L183" s="53">
        <v>1.9905083485978281</v>
      </c>
      <c r="M183" s="53"/>
      <c r="N183" s="53"/>
      <c r="O183" s="53"/>
      <c r="P183" s="53"/>
      <c r="Q183" s="53"/>
      <c r="R183" s="53"/>
      <c r="S183" s="53"/>
      <c r="T183" s="53"/>
      <c r="U183" s="53"/>
    </row>
    <row r="184" spans="6:21" x14ac:dyDescent="0.55000000000000004">
      <c r="F184" s="49">
        <v>42614</v>
      </c>
      <c r="G184" s="52">
        <v>90.7</v>
      </c>
      <c r="J184" s="53">
        <v>-0.31300474850959858</v>
      </c>
      <c r="K184" s="53"/>
      <c r="L184" s="53">
        <v>-0.31300474850959858</v>
      </c>
      <c r="M184" s="53"/>
      <c r="N184" s="53"/>
      <c r="O184" s="53"/>
      <c r="P184" s="53"/>
      <c r="Q184" s="53"/>
      <c r="R184" s="53"/>
      <c r="S184" s="53"/>
      <c r="T184" s="53"/>
      <c r="U184" s="53"/>
    </row>
    <row r="185" spans="6:21" x14ac:dyDescent="0.55000000000000004">
      <c r="F185" s="49">
        <v>42644</v>
      </c>
      <c r="G185" s="52">
        <v>90.2</v>
      </c>
      <c r="J185" s="53">
        <v>-0.81651798122753405</v>
      </c>
      <c r="K185" s="53"/>
      <c r="L185" s="53">
        <v>-0.81651798122753405</v>
      </c>
      <c r="M185" s="53"/>
      <c r="N185" s="53"/>
      <c r="O185" s="53"/>
      <c r="P185" s="53"/>
      <c r="Q185" s="53"/>
      <c r="R185" s="53"/>
      <c r="S185" s="53"/>
      <c r="T185" s="53"/>
      <c r="U185" s="53"/>
    </row>
    <row r="186" spans="6:21" x14ac:dyDescent="0.55000000000000004">
      <c r="F186" s="49">
        <v>42675</v>
      </c>
      <c r="G186" s="52">
        <v>86.5</v>
      </c>
      <c r="J186" s="53">
        <v>-4.5200313495613642</v>
      </c>
      <c r="K186" s="53"/>
      <c r="L186" s="53">
        <v>-4.5200313495613642</v>
      </c>
      <c r="M186" s="53"/>
      <c r="N186" s="53"/>
      <c r="O186" s="53"/>
      <c r="P186" s="53"/>
      <c r="Q186" s="53"/>
      <c r="R186" s="53"/>
      <c r="S186" s="53"/>
      <c r="T186" s="53"/>
      <c r="U186" s="53"/>
    </row>
    <row r="187" spans="6:21" x14ac:dyDescent="0.55000000000000004">
      <c r="F187" s="49">
        <v>42705</v>
      </c>
      <c r="G187" s="52">
        <v>77.2</v>
      </c>
      <c r="J187" s="53">
        <v>-13.823544853516211</v>
      </c>
      <c r="K187" s="53"/>
      <c r="L187" s="53">
        <v>-13.823544853516211</v>
      </c>
      <c r="M187" s="53"/>
      <c r="N187" s="53"/>
      <c r="O187" s="53"/>
      <c r="P187" s="53"/>
      <c r="Q187" s="53"/>
      <c r="R187" s="53"/>
      <c r="S187" s="53"/>
      <c r="T187" s="53"/>
      <c r="U187" s="53"/>
    </row>
    <row r="188" spans="6:21" x14ac:dyDescent="0.55000000000000004">
      <c r="F188" s="49">
        <v>42736</v>
      </c>
      <c r="G188" s="52">
        <v>77.900000000000006</v>
      </c>
      <c r="J188" s="53">
        <v>-13.127058493097437</v>
      </c>
      <c r="K188" s="53"/>
      <c r="L188" s="53">
        <v>-13.127058493097437</v>
      </c>
      <c r="M188" s="53"/>
      <c r="N188" s="53"/>
      <c r="O188" s="53"/>
      <c r="P188" s="53"/>
      <c r="Q188" s="53"/>
      <c r="R188" s="53"/>
      <c r="S188" s="53"/>
      <c r="T188" s="53"/>
      <c r="U188" s="53"/>
    </row>
    <row r="189" spans="6:21" x14ac:dyDescent="0.55000000000000004">
      <c r="F189" s="49">
        <v>42767</v>
      </c>
      <c r="G189" s="52">
        <v>75.900000000000006</v>
      </c>
      <c r="J189" s="53">
        <v>-15.130572268310061</v>
      </c>
      <c r="K189" s="53"/>
      <c r="L189" s="53">
        <v>-15.130572268310061</v>
      </c>
      <c r="M189" s="53"/>
      <c r="N189" s="53"/>
      <c r="O189" s="53"/>
      <c r="P189" s="53"/>
      <c r="Q189" s="53"/>
      <c r="R189" s="53"/>
      <c r="S189" s="53"/>
      <c r="T189" s="53"/>
      <c r="U189" s="53"/>
    </row>
    <row r="190" spans="6:21" x14ac:dyDescent="0.55000000000000004">
      <c r="F190" s="49">
        <v>42795</v>
      </c>
      <c r="G190" s="52">
        <v>85.4</v>
      </c>
      <c r="J190" s="53">
        <v>-5.6340861791595813</v>
      </c>
      <c r="K190" s="53"/>
      <c r="L190" s="53">
        <v>-5.6340861791595813</v>
      </c>
      <c r="M190" s="53"/>
      <c r="N190" s="53"/>
      <c r="O190" s="53"/>
      <c r="P190" s="53"/>
      <c r="Q190" s="53"/>
      <c r="R190" s="53"/>
      <c r="S190" s="53"/>
      <c r="T190" s="53"/>
      <c r="U190" s="53"/>
    </row>
    <row r="191" spans="6:21" x14ac:dyDescent="0.55000000000000004">
      <c r="F191" s="49">
        <v>42826</v>
      </c>
      <c r="G191" s="52">
        <v>79.3</v>
      </c>
      <c r="J191" s="53">
        <v>-11.737600225650993</v>
      </c>
      <c r="K191" s="53"/>
      <c r="L191" s="53">
        <v>-11.737600225650993</v>
      </c>
      <c r="M191" s="53"/>
      <c r="N191" s="53"/>
      <c r="O191" s="53"/>
      <c r="P191" s="53"/>
      <c r="Q191" s="53"/>
      <c r="R191" s="53"/>
      <c r="S191" s="53"/>
      <c r="T191" s="53"/>
      <c r="U191" s="53"/>
    </row>
    <row r="192" spans="6:21" x14ac:dyDescent="0.55000000000000004">
      <c r="F192" s="49">
        <v>42856</v>
      </c>
      <c r="G192" s="52">
        <v>90.1</v>
      </c>
      <c r="J192" s="53">
        <v>-0.94111440778981148</v>
      </c>
      <c r="K192" s="53"/>
      <c r="L192" s="53">
        <v>-0.94111440778981148</v>
      </c>
      <c r="M192" s="53"/>
      <c r="N192" s="53"/>
      <c r="O192" s="53"/>
      <c r="P192" s="53"/>
      <c r="Q192" s="53"/>
      <c r="R192" s="53"/>
      <c r="S192" s="53"/>
      <c r="T192" s="53"/>
      <c r="U192" s="53"/>
    </row>
    <row r="193" spans="6:21" x14ac:dyDescent="0.55000000000000004">
      <c r="F193" s="49">
        <v>42887</v>
      </c>
      <c r="G193" s="52">
        <v>88.4</v>
      </c>
      <c r="J193" s="53">
        <v>-2.6446287255808869</v>
      </c>
      <c r="K193" s="53"/>
      <c r="L193" s="53">
        <v>-2.6446287255808869</v>
      </c>
      <c r="M193" s="53"/>
      <c r="N193" s="53"/>
      <c r="O193" s="53"/>
      <c r="P193" s="53"/>
      <c r="Q193" s="53"/>
      <c r="R193" s="53"/>
      <c r="S193" s="53"/>
      <c r="T193" s="53"/>
      <c r="U193" s="53"/>
    </row>
    <row r="194" spans="6:21" x14ac:dyDescent="0.55000000000000004">
      <c r="F194" s="49">
        <v>42917</v>
      </c>
      <c r="G194" s="52">
        <v>92.1</v>
      </c>
      <c r="J194" s="53">
        <v>1.0518568209701016</v>
      </c>
      <c r="K194" s="53"/>
      <c r="L194" s="53">
        <v>1.0518568209701016</v>
      </c>
      <c r="M194" s="53"/>
      <c r="N194" s="53"/>
      <c r="O194" s="53"/>
      <c r="P194" s="53"/>
      <c r="Q194" s="53"/>
      <c r="R194" s="53"/>
      <c r="S194" s="53"/>
      <c r="T194" s="53"/>
      <c r="U194" s="53"/>
    </row>
    <row r="195" spans="6:21" x14ac:dyDescent="0.55000000000000004">
      <c r="F195" s="49">
        <v>42948</v>
      </c>
      <c r="G195" s="52">
        <v>96.7</v>
      </c>
      <c r="J195" s="53">
        <v>5.6483422318582512</v>
      </c>
      <c r="K195" s="53"/>
      <c r="L195" s="53">
        <v>5.6483422318582512</v>
      </c>
      <c r="M195" s="53"/>
      <c r="N195" s="53"/>
      <c r="O195" s="53"/>
      <c r="P195" s="53"/>
      <c r="Q195" s="53"/>
      <c r="R195" s="53"/>
      <c r="S195" s="53"/>
      <c r="T195" s="53"/>
      <c r="U195" s="53"/>
    </row>
    <row r="196" spans="6:21" x14ac:dyDescent="0.55000000000000004">
      <c r="F196" s="49">
        <v>42979</v>
      </c>
      <c r="G196" s="52">
        <v>93</v>
      </c>
      <c r="J196" s="53">
        <v>1.9448275070782302</v>
      </c>
      <c r="K196" s="53"/>
      <c r="L196" s="53">
        <v>1.9448275070782302</v>
      </c>
      <c r="M196" s="53"/>
      <c r="N196" s="53"/>
      <c r="O196" s="53"/>
      <c r="P196" s="53"/>
      <c r="Q196" s="53"/>
      <c r="R196" s="53"/>
      <c r="S196" s="53"/>
      <c r="T196" s="53"/>
      <c r="U196" s="53"/>
    </row>
    <row r="197" spans="6:21" x14ac:dyDescent="0.55000000000000004">
      <c r="F197" s="49">
        <v>43009</v>
      </c>
      <c r="G197" s="52">
        <v>95.1</v>
      </c>
      <c r="J197" s="53">
        <v>4.0413126466247462</v>
      </c>
      <c r="K197" s="53"/>
      <c r="L197" s="53">
        <v>4.0413126466247462</v>
      </c>
      <c r="M197" s="53"/>
      <c r="N197" s="53"/>
      <c r="O197" s="53"/>
      <c r="P197" s="53"/>
      <c r="Q197" s="53"/>
      <c r="R197" s="53"/>
      <c r="S197" s="53"/>
      <c r="T197" s="53"/>
      <c r="U197" s="53"/>
    </row>
    <row r="198" spans="6:21" x14ac:dyDescent="0.55000000000000004">
      <c r="F198" s="49">
        <v>43040</v>
      </c>
      <c r="G198" s="52">
        <v>90.6</v>
      </c>
      <c r="J198" s="53">
        <v>-0.46220234950740746</v>
      </c>
      <c r="K198" s="53"/>
      <c r="L198" s="53">
        <v>-0.46220234950740746</v>
      </c>
      <c r="M198" s="53"/>
      <c r="N198" s="53"/>
      <c r="O198" s="53"/>
      <c r="P198" s="53"/>
      <c r="Q198" s="53"/>
      <c r="R198" s="53"/>
      <c r="S198" s="53"/>
      <c r="T198" s="53"/>
      <c r="U198" s="53"/>
    </row>
    <row r="199" spans="6:21" x14ac:dyDescent="0.55000000000000004">
      <c r="F199" s="49">
        <v>43070</v>
      </c>
      <c r="G199" s="52">
        <v>81</v>
      </c>
      <c r="J199" s="53">
        <v>-10.065717481323375</v>
      </c>
      <c r="K199" s="53"/>
      <c r="L199" s="53">
        <v>-10.065717481323375</v>
      </c>
      <c r="M199" s="53"/>
      <c r="N199" s="53"/>
      <c r="O199" s="53"/>
      <c r="P199" s="53"/>
      <c r="Q199" s="53"/>
      <c r="R199" s="53"/>
      <c r="S199" s="53"/>
      <c r="T199" s="53"/>
      <c r="U199" s="53"/>
    </row>
    <row r="200" spans="6:21" x14ac:dyDescent="0.55000000000000004">
      <c r="F200" s="49">
        <v>43101</v>
      </c>
      <c r="G200" s="52">
        <v>82.3</v>
      </c>
      <c r="J200" s="53">
        <v>-8.7692327488285571</v>
      </c>
      <c r="K200" s="53"/>
      <c r="L200" s="53">
        <v>-8.7692327488285571</v>
      </c>
      <c r="M200" s="53"/>
      <c r="N200" s="53"/>
      <c r="O200" s="53"/>
      <c r="P200" s="53"/>
      <c r="Q200" s="53"/>
      <c r="R200" s="53"/>
      <c r="S200" s="53"/>
      <c r="T200" s="53"/>
      <c r="U200" s="53"/>
    </row>
    <row r="201" spans="6:21" x14ac:dyDescent="0.55000000000000004">
      <c r="F201" s="49">
        <v>43132</v>
      </c>
      <c r="G201" s="52">
        <v>77.3</v>
      </c>
      <c r="J201" s="53">
        <v>-13.772748152028115</v>
      </c>
      <c r="K201" s="53"/>
      <c r="L201" s="53">
        <v>-13.772748152028115</v>
      </c>
      <c r="M201" s="53"/>
      <c r="N201" s="53"/>
      <c r="O201" s="53"/>
      <c r="P201" s="53"/>
      <c r="Q201" s="53"/>
      <c r="R201" s="53"/>
      <c r="S201" s="53"/>
      <c r="T201" s="53"/>
      <c r="U201" s="53"/>
    </row>
    <row r="202" spans="6:21" x14ac:dyDescent="0.55000000000000004">
      <c r="F202" s="49">
        <v>43160</v>
      </c>
      <c r="G202" s="52">
        <v>86.2</v>
      </c>
      <c r="J202" s="53">
        <v>-4.8762636909272175</v>
      </c>
      <c r="K202" s="53"/>
      <c r="L202" s="53">
        <v>-4.8762636909272175</v>
      </c>
      <c r="M202" s="53"/>
      <c r="N202" s="53"/>
      <c r="O202" s="53"/>
      <c r="P202" s="53"/>
      <c r="Q202" s="53"/>
      <c r="R202" s="53"/>
      <c r="S202" s="53"/>
      <c r="T202" s="53"/>
      <c r="U202" s="53"/>
    </row>
    <row r="203" spans="6:21" x14ac:dyDescent="0.55000000000000004">
      <c r="F203" s="49">
        <v>43191</v>
      </c>
      <c r="G203" s="52">
        <v>86.5</v>
      </c>
      <c r="J203" s="53">
        <v>-4.5797793655312802</v>
      </c>
      <c r="K203" s="53"/>
      <c r="L203" s="53">
        <v>-4.5797793655312802</v>
      </c>
      <c r="M203" s="53"/>
      <c r="N203" s="53"/>
      <c r="O203" s="53"/>
      <c r="P203" s="53"/>
      <c r="Q203" s="53"/>
      <c r="R203" s="53"/>
      <c r="S203" s="53"/>
      <c r="T203" s="53"/>
      <c r="U203" s="53"/>
    </row>
    <row r="204" spans="6:21" x14ac:dyDescent="0.55000000000000004">
      <c r="F204" s="49">
        <v>43221</v>
      </c>
      <c r="G204" s="52">
        <v>84.4</v>
      </c>
      <c r="J204" s="53">
        <v>-6.6832951758453731</v>
      </c>
      <c r="K204" s="53"/>
      <c r="L204" s="53">
        <v>-6.6832951758453731</v>
      </c>
      <c r="M204" s="53"/>
      <c r="N204" s="53"/>
      <c r="O204" s="53"/>
      <c r="P204" s="53"/>
      <c r="Q204" s="53"/>
      <c r="R204" s="53"/>
      <c r="S204" s="53"/>
      <c r="T204" s="53"/>
      <c r="U204" s="53"/>
    </row>
    <row r="205" spans="6:21" x14ac:dyDescent="0.55000000000000004">
      <c r="F205" s="49">
        <v>43252</v>
      </c>
      <c r="G205" s="52">
        <v>91.1</v>
      </c>
      <c r="J205" s="53">
        <v>1.3188878125120596E-2</v>
      </c>
      <c r="K205" s="53"/>
      <c r="L205" s="53">
        <v>1.3188878125120596E-2</v>
      </c>
      <c r="M205" s="53"/>
      <c r="N205" s="53"/>
      <c r="O205" s="53"/>
      <c r="P205" s="53"/>
      <c r="Q205" s="53"/>
      <c r="R205" s="53"/>
      <c r="S205" s="53"/>
      <c r="T205" s="53"/>
      <c r="U205" s="53"/>
    </row>
    <row r="206" spans="6:21" x14ac:dyDescent="0.55000000000000004">
      <c r="F206" s="49">
        <v>43282</v>
      </c>
      <c r="G206" s="52">
        <v>95.8</v>
      </c>
      <c r="J206" s="53">
        <v>4.7096727963751448</v>
      </c>
      <c r="K206" s="53"/>
      <c r="L206" s="53">
        <v>4.7096727963751448</v>
      </c>
      <c r="M206" s="53"/>
      <c r="N206" s="53"/>
      <c r="O206" s="53"/>
      <c r="P206" s="53"/>
      <c r="Q206" s="53"/>
      <c r="R206" s="53"/>
      <c r="S206" s="53"/>
      <c r="T206" s="53"/>
      <c r="U206" s="53"/>
    </row>
    <row r="207" spans="6:21" x14ac:dyDescent="0.55000000000000004">
      <c r="F207" s="49">
        <v>43313</v>
      </c>
      <c r="G207" s="52">
        <v>98.2</v>
      </c>
      <c r="J207" s="53">
        <v>7.1061565788993022</v>
      </c>
      <c r="K207" s="53"/>
      <c r="L207" s="53">
        <v>7.1061565788993022</v>
      </c>
      <c r="M207" s="53"/>
      <c r="N207" s="53"/>
      <c r="O207" s="53"/>
      <c r="P207" s="53"/>
      <c r="Q207" s="53"/>
      <c r="R207" s="53"/>
      <c r="S207" s="53"/>
      <c r="T207" s="53"/>
      <c r="U207" s="53"/>
    </row>
    <row r="208" spans="6:21" x14ac:dyDescent="0.55000000000000004">
      <c r="F208" s="49">
        <v>43344</v>
      </c>
      <c r="G208" s="52">
        <v>90.7</v>
      </c>
      <c r="J208" s="53">
        <v>-0.3973597743074464</v>
      </c>
      <c r="K208" s="53"/>
      <c r="L208" s="53">
        <v>-0.3973597743074464</v>
      </c>
      <c r="M208" s="53"/>
      <c r="N208" s="53"/>
      <c r="O208" s="53"/>
      <c r="P208" s="53"/>
      <c r="Q208" s="53"/>
      <c r="R208" s="53"/>
      <c r="S208" s="53"/>
      <c r="T208" s="53"/>
      <c r="U208" s="53"/>
    </row>
    <row r="209" spans="6:21" x14ac:dyDescent="0.55000000000000004">
      <c r="F209" s="49">
        <v>43374</v>
      </c>
      <c r="G209" s="52">
        <v>95.8</v>
      </c>
      <c r="J209" s="53">
        <v>4.6991237367493142</v>
      </c>
      <c r="K209" s="53"/>
      <c r="L209" s="53">
        <v>4.6991237367493142</v>
      </c>
      <c r="M209" s="53"/>
      <c r="N209" s="53"/>
      <c r="O209" s="53"/>
      <c r="P209" s="53"/>
      <c r="Q209" s="53"/>
      <c r="R209" s="53"/>
      <c r="S209" s="53"/>
      <c r="T209" s="53"/>
      <c r="U209" s="53"/>
    </row>
    <row r="210" spans="6:21" x14ac:dyDescent="0.55000000000000004">
      <c r="F210" s="49">
        <v>43405</v>
      </c>
      <c r="G210" s="52">
        <v>89.5</v>
      </c>
      <c r="J210" s="53">
        <v>-1.6043928879352762</v>
      </c>
      <c r="K210" s="53"/>
      <c r="L210" s="53">
        <v>-1.6043928879352762</v>
      </c>
      <c r="M210" s="53"/>
      <c r="N210" s="53"/>
      <c r="O210" s="53"/>
      <c r="P210" s="53"/>
      <c r="Q210" s="53"/>
      <c r="R210" s="53"/>
      <c r="S210" s="53"/>
      <c r="T210" s="53"/>
      <c r="U210" s="53"/>
    </row>
    <row r="211" spans="6:21" x14ac:dyDescent="0.55000000000000004">
      <c r="F211" s="49">
        <v>43435</v>
      </c>
      <c r="G211" s="52">
        <v>78</v>
      </c>
      <c r="J211" s="53">
        <v>-13.107909648366729</v>
      </c>
      <c r="K211" s="53"/>
      <c r="L211" s="53">
        <v>-13.107909648366729</v>
      </c>
      <c r="M211" s="53"/>
      <c r="N211" s="53"/>
      <c r="O211" s="53"/>
      <c r="P211" s="53"/>
      <c r="Q211" s="53"/>
      <c r="R211" s="53"/>
      <c r="S211" s="53"/>
      <c r="T211" s="53"/>
      <c r="U211" s="53"/>
    </row>
    <row r="212" spans="6:21" x14ac:dyDescent="0.55000000000000004">
      <c r="F212" s="49">
        <v>43466</v>
      </c>
      <c r="G212" s="52">
        <v>80.7</v>
      </c>
      <c r="J212" s="53">
        <v>-10.41142654455011</v>
      </c>
      <c r="K212" s="53"/>
      <c r="L212" s="53">
        <v>-10.41142654455011</v>
      </c>
      <c r="M212" s="53"/>
      <c r="N212" s="53"/>
      <c r="O212" s="53"/>
      <c r="P212" s="53"/>
      <c r="Q212" s="53"/>
      <c r="R212" s="53"/>
      <c r="S212" s="53"/>
      <c r="T212" s="53"/>
      <c r="U212" s="53"/>
    </row>
    <row r="213" spans="6:21" x14ac:dyDescent="0.55000000000000004">
      <c r="F213" s="49">
        <v>43497</v>
      </c>
      <c r="G213" s="52">
        <v>79.099999999999994</v>
      </c>
      <c r="J213" s="53">
        <v>-12.014943576490822</v>
      </c>
      <c r="K213" s="53"/>
      <c r="L213" s="53">
        <v>-12.014943576490822</v>
      </c>
      <c r="M213" s="53"/>
      <c r="N213" s="53"/>
      <c r="O213" s="53"/>
      <c r="P213" s="53"/>
      <c r="Q213" s="53"/>
      <c r="R213" s="53"/>
      <c r="S213" s="53"/>
      <c r="T213" s="53"/>
      <c r="U213" s="53"/>
    </row>
    <row r="214" spans="6:21" x14ac:dyDescent="0.55000000000000004">
      <c r="F214" s="49">
        <v>43525</v>
      </c>
      <c r="G214" s="52">
        <v>81</v>
      </c>
      <c r="J214" s="53">
        <v>-10.118460744193925</v>
      </c>
      <c r="K214" s="53"/>
      <c r="L214" s="53">
        <v>-10.118460744193925</v>
      </c>
      <c r="M214" s="53"/>
      <c r="N214" s="53"/>
      <c r="O214" s="53"/>
      <c r="P214" s="53"/>
      <c r="Q214" s="53"/>
      <c r="R214" s="53"/>
      <c r="S214" s="53"/>
      <c r="T214" s="53"/>
      <c r="U214" s="53"/>
    </row>
    <row r="215" spans="6:21" x14ac:dyDescent="0.55000000000000004">
      <c r="F215" s="49">
        <v>43556</v>
      </c>
      <c r="G215" s="52">
        <v>83.3</v>
      </c>
      <c r="J215" s="53">
        <v>-7.8219780476648708</v>
      </c>
      <c r="K215" s="53"/>
      <c r="L215" s="53">
        <v>-7.8219780476648708</v>
      </c>
      <c r="M215" s="53"/>
      <c r="N215" s="53"/>
      <c r="O215" s="53"/>
      <c r="P215" s="53"/>
      <c r="Q215" s="53"/>
      <c r="R215" s="53"/>
      <c r="S215" s="53"/>
      <c r="T215" s="53"/>
      <c r="U215" s="53"/>
    </row>
    <row r="216" spans="6:21" x14ac:dyDescent="0.55000000000000004">
      <c r="F216" s="49">
        <v>43586</v>
      </c>
      <c r="G216" s="52">
        <v>91</v>
      </c>
      <c r="J216" s="53">
        <v>-0.12549548690871859</v>
      </c>
      <c r="K216" s="53"/>
      <c r="L216" s="53">
        <v>-0.12549548690871859</v>
      </c>
      <c r="M216" s="53"/>
      <c r="N216" s="53"/>
      <c r="O216" s="53"/>
      <c r="P216" s="53"/>
      <c r="Q216" s="53"/>
      <c r="R216" s="53"/>
      <c r="S216" s="53"/>
      <c r="T216" s="53"/>
      <c r="U216" s="53"/>
    </row>
    <row r="217" spans="6:21" x14ac:dyDescent="0.55000000000000004">
      <c r="F217" s="49">
        <v>43617</v>
      </c>
      <c r="G217" s="52">
        <v>85.8</v>
      </c>
      <c r="J217" s="53">
        <v>-5.3290130619307234</v>
      </c>
      <c r="K217" s="53"/>
      <c r="L217" s="53">
        <v>-5.3290130619307234</v>
      </c>
      <c r="M217" s="53"/>
      <c r="N217" s="53"/>
      <c r="O217" s="53"/>
      <c r="P217" s="53"/>
      <c r="Q217" s="53"/>
      <c r="R217" s="53"/>
      <c r="S217" s="53"/>
      <c r="T217" s="53"/>
      <c r="U217" s="53"/>
    </row>
    <row r="218" spans="6:21" x14ac:dyDescent="0.55000000000000004">
      <c r="F218" s="49">
        <v>43647</v>
      </c>
      <c r="G218" s="52">
        <v>93.4</v>
      </c>
      <c r="J218" s="53">
        <v>2.2674692272637458</v>
      </c>
      <c r="K218" s="53"/>
      <c r="L218" s="53">
        <v>2.2674692272637458</v>
      </c>
      <c r="M218" s="53"/>
      <c r="N218" s="53"/>
      <c r="O218" s="53"/>
      <c r="P218" s="53"/>
      <c r="Q218" s="53"/>
      <c r="R218" s="53"/>
      <c r="S218" s="53"/>
      <c r="T218" s="53"/>
      <c r="U218" s="53"/>
    </row>
    <row r="219" spans="6:21" x14ac:dyDescent="0.55000000000000004">
      <c r="F219" s="49">
        <v>43678</v>
      </c>
      <c r="G219" s="52">
        <v>96.2</v>
      </c>
      <c r="J219" s="53">
        <v>5.0639513806695646</v>
      </c>
      <c r="K219" s="53"/>
      <c r="L219" s="53">
        <v>5.0639513806695646</v>
      </c>
      <c r="M219" s="53"/>
      <c r="N219" s="53"/>
      <c r="O219" s="53"/>
      <c r="P219" s="53"/>
      <c r="Q219" s="53"/>
      <c r="R219" s="53"/>
      <c r="S219" s="53"/>
      <c r="T219" s="53"/>
      <c r="U219" s="53"/>
    </row>
    <row r="220" spans="6:21" x14ac:dyDescent="0.55000000000000004">
      <c r="F220" s="49">
        <v>43709</v>
      </c>
      <c r="G220" s="52">
        <v>91.8</v>
      </c>
      <c r="J220" s="53">
        <v>0.66043339828141256</v>
      </c>
      <c r="K220" s="53"/>
      <c r="L220" s="53">
        <v>0.66043339828141256</v>
      </c>
      <c r="M220" s="53"/>
      <c r="N220" s="53"/>
      <c r="O220" s="53"/>
      <c r="P220" s="53"/>
      <c r="Q220" s="53"/>
      <c r="R220" s="53"/>
      <c r="S220" s="53"/>
      <c r="T220" s="53"/>
      <c r="U220" s="53"/>
    </row>
    <row r="221" spans="6:21" x14ac:dyDescent="0.55000000000000004">
      <c r="F221" s="49">
        <v>43739</v>
      </c>
      <c r="G221" s="52">
        <v>97</v>
      </c>
      <c r="J221" s="53">
        <v>5.8569152800941566</v>
      </c>
      <c r="K221" s="53"/>
      <c r="L221" s="53">
        <v>5.8569152800941566</v>
      </c>
      <c r="M221" s="53"/>
      <c r="N221" s="53"/>
      <c r="O221" s="53"/>
      <c r="P221" s="53"/>
      <c r="Q221" s="53"/>
      <c r="R221" s="53"/>
      <c r="S221" s="53"/>
      <c r="T221" s="53"/>
      <c r="U221" s="53"/>
    </row>
    <row r="222" spans="6:21" x14ac:dyDescent="0.55000000000000004">
      <c r="F222" s="49">
        <v>43770</v>
      </c>
      <c r="G222" s="52">
        <v>88</v>
      </c>
      <c r="J222" s="53">
        <v>-3.146602973897572</v>
      </c>
      <c r="K222" s="53"/>
      <c r="L222" s="53">
        <v>-3.146602973897572</v>
      </c>
      <c r="M222" s="53"/>
      <c r="N222" s="53"/>
      <c r="O222" s="53"/>
      <c r="P222" s="53"/>
      <c r="Q222" s="53"/>
      <c r="R222" s="53"/>
      <c r="S222" s="53"/>
      <c r="T222" s="53"/>
      <c r="U222" s="53"/>
    </row>
    <row r="223" spans="6:21" x14ac:dyDescent="0.55000000000000004">
      <c r="F223" s="49">
        <v>43800</v>
      </c>
      <c r="G223" s="52">
        <v>76.900000000000006</v>
      </c>
      <c r="J223" s="53">
        <v>-14.250121363698909</v>
      </c>
      <c r="K223" s="53"/>
      <c r="L223" s="53">
        <v>-14.250121363698909</v>
      </c>
      <c r="M223" s="53"/>
      <c r="N223" s="53"/>
      <c r="O223" s="53"/>
      <c r="P223" s="53"/>
      <c r="Q223" s="53"/>
      <c r="R223" s="53"/>
      <c r="S223" s="53"/>
      <c r="T223" s="53"/>
      <c r="U223" s="53"/>
    </row>
    <row r="224" spans="6:21" x14ac:dyDescent="0.55000000000000004">
      <c r="F224" s="49">
        <v>43831</v>
      </c>
      <c r="G224" s="52">
        <v>80</v>
      </c>
      <c r="J224" s="53">
        <v>-11.153639889315286</v>
      </c>
      <c r="K224" s="53"/>
      <c r="L224" s="53">
        <v>-11.153639889315286</v>
      </c>
      <c r="M224" s="53"/>
      <c r="N224" s="53"/>
      <c r="O224" s="53"/>
      <c r="P224" s="53"/>
      <c r="Q224" s="53"/>
      <c r="R224" s="53"/>
      <c r="S224" s="53"/>
      <c r="T224" s="53"/>
      <c r="U224" s="53"/>
    </row>
    <row r="225" spans="6:21" x14ac:dyDescent="0.55000000000000004">
      <c r="F225" s="49">
        <v>43862</v>
      </c>
      <c r="G225" s="52">
        <v>78.900000000000006</v>
      </c>
      <c r="J225" s="53">
        <v>-12.257158550751612</v>
      </c>
      <c r="K225" s="53"/>
      <c r="L225" s="53">
        <v>-12.257158550751612</v>
      </c>
      <c r="M225" s="53"/>
      <c r="N225" s="53"/>
      <c r="O225" s="53"/>
      <c r="P225" s="53"/>
      <c r="Q225" s="53"/>
      <c r="R225" s="53"/>
      <c r="S225" s="53"/>
      <c r="T225" s="53"/>
      <c r="U225" s="53"/>
    </row>
    <row r="226" spans="6:21" x14ac:dyDescent="0.55000000000000004">
      <c r="F226" s="49">
        <v>43891</v>
      </c>
      <c r="G226" s="52">
        <v>77.900000000000006</v>
      </c>
      <c r="J226" s="53">
        <v>-13.260677348013502</v>
      </c>
      <c r="K226" s="53"/>
      <c r="L226" s="53">
        <v>-13.260677348013502</v>
      </c>
      <c r="M226" s="53"/>
      <c r="N226" s="53"/>
      <c r="O226" s="53"/>
      <c r="P226" s="53"/>
      <c r="Q226" s="53"/>
      <c r="R226" s="53"/>
      <c r="S226" s="53"/>
      <c r="T226" s="53"/>
      <c r="U226" s="53"/>
    </row>
    <row r="227" spans="6:21" x14ac:dyDescent="0.55000000000000004">
      <c r="F227" s="49">
        <v>43922</v>
      </c>
      <c r="G227" s="52">
        <v>60.3</v>
      </c>
      <c r="J227" s="53">
        <v>-30.864196281105869</v>
      </c>
      <c r="K227" s="53"/>
      <c r="L227" s="53">
        <v>-30.864196281105869</v>
      </c>
      <c r="M227" s="53"/>
      <c r="N227" s="53"/>
      <c r="O227" s="53"/>
      <c r="P227" s="53"/>
      <c r="Q227" s="53"/>
      <c r="R227" s="53"/>
      <c r="S227" s="53"/>
      <c r="T227" s="53"/>
      <c r="U227" s="53"/>
    </row>
    <row r="228" spans="6:21" x14ac:dyDescent="0.55000000000000004">
      <c r="F228" s="49">
        <v>43952</v>
      </c>
      <c r="G228" s="52">
        <v>71.2</v>
      </c>
      <c r="J228" s="53">
        <v>-19.967715350034226</v>
      </c>
      <c r="K228" s="53"/>
      <c r="L228" s="53">
        <v>-19.967715350034226</v>
      </c>
      <c r="M228" s="53"/>
      <c r="N228" s="53"/>
      <c r="O228" s="53"/>
      <c r="P228" s="53"/>
      <c r="Q228" s="53"/>
      <c r="R228" s="53"/>
      <c r="S228" s="53"/>
      <c r="T228" s="53"/>
      <c r="U228" s="53"/>
    </row>
    <row r="229" spans="6:21" x14ac:dyDescent="0.55000000000000004">
      <c r="F229" s="49">
        <v>43983</v>
      </c>
      <c r="G229" s="52">
        <v>78.400000000000006</v>
      </c>
      <c r="J229" s="53">
        <v>-12.771234554803556</v>
      </c>
      <c r="K229" s="53"/>
      <c r="L229" s="53">
        <v>-12.771234554803556</v>
      </c>
      <c r="M229" s="53"/>
      <c r="N229" s="53"/>
      <c r="O229" s="53"/>
      <c r="P229" s="53"/>
      <c r="Q229" s="53"/>
      <c r="R229" s="53"/>
      <c r="S229" s="53"/>
      <c r="T229" s="53"/>
      <c r="U229" s="53"/>
    </row>
    <row r="230" spans="6:21" x14ac:dyDescent="0.55000000000000004">
      <c r="F230" s="49">
        <v>44013</v>
      </c>
      <c r="G230" s="52">
        <v>91</v>
      </c>
      <c r="J230" s="53">
        <v>-0.17475389541944253</v>
      </c>
      <c r="K230" s="53"/>
      <c r="L230" s="53">
        <v>-0.17475389541944253</v>
      </c>
      <c r="M230" s="53"/>
      <c r="N230" s="53"/>
      <c r="O230" s="53"/>
      <c r="P230" s="53"/>
      <c r="Q230" s="53"/>
      <c r="R230" s="53"/>
      <c r="S230" s="53"/>
      <c r="T230" s="53"/>
      <c r="U230" s="53"/>
    </row>
    <row r="231" spans="6:21" x14ac:dyDescent="0.55000000000000004">
      <c r="F231" s="49">
        <v>44044</v>
      </c>
      <c r="G231" s="52">
        <v>93.9</v>
      </c>
      <c r="J231" s="53">
        <v>2.7217266281132169</v>
      </c>
      <c r="K231" s="53"/>
      <c r="L231" s="53">
        <v>2.7217266281132169</v>
      </c>
      <c r="M231" s="53"/>
      <c r="N231" s="53"/>
      <c r="O231" s="53"/>
      <c r="P231" s="53"/>
      <c r="Q231" s="53"/>
      <c r="R231" s="53"/>
      <c r="S231" s="53"/>
      <c r="T231" s="53"/>
      <c r="U231" s="53"/>
    </row>
    <row r="232" spans="6:21" x14ac:dyDescent="0.55000000000000004">
      <c r="F232" s="49">
        <v>44075</v>
      </c>
      <c r="G232" s="52">
        <v>95.4</v>
      </c>
      <c r="J232" s="53">
        <v>4.2182070157890763</v>
      </c>
      <c r="K232" s="53"/>
      <c r="L232" s="53">
        <v>4.2182070157890763</v>
      </c>
      <c r="M232" s="53"/>
      <c r="N232" s="53"/>
      <c r="O232" s="53"/>
      <c r="P232" s="53"/>
      <c r="Q232" s="53"/>
      <c r="R232" s="53"/>
      <c r="S232" s="53"/>
      <c r="T232" s="53"/>
      <c r="U232" s="53"/>
    </row>
    <row r="233" spans="6:21" x14ac:dyDescent="0.55000000000000004">
      <c r="F233" s="49">
        <v>44105</v>
      </c>
      <c r="G233" s="52">
        <v>97.3</v>
      </c>
      <c r="J233" s="53">
        <v>6.1146872676026618</v>
      </c>
      <c r="K233" s="53"/>
      <c r="L233" s="53">
        <v>6.1146872676026618</v>
      </c>
      <c r="M233" s="53"/>
      <c r="N233" s="53"/>
      <c r="O233" s="53"/>
      <c r="P233" s="53"/>
      <c r="Q233" s="53"/>
      <c r="R233" s="53"/>
      <c r="S233" s="53"/>
      <c r="T233" s="53"/>
      <c r="U233" s="53"/>
    </row>
    <row r="234" spans="6:21" x14ac:dyDescent="0.55000000000000004">
      <c r="F234" s="49">
        <v>44136</v>
      </c>
      <c r="G234" s="52">
        <v>90.2</v>
      </c>
      <c r="J234" s="53">
        <v>-0.9888326164509067</v>
      </c>
      <c r="K234" s="53"/>
      <c r="L234" s="53">
        <v>-0.9888326164509067</v>
      </c>
      <c r="M234" s="53"/>
      <c r="N234" s="53"/>
      <c r="O234" s="53"/>
      <c r="P234" s="53"/>
      <c r="Q234" s="53"/>
      <c r="R234" s="53"/>
      <c r="S234" s="53"/>
      <c r="T234" s="53"/>
      <c r="U234" s="53"/>
    </row>
    <row r="235" spans="6:21" x14ac:dyDescent="0.55000000000000004">
      <c r="F235" s="49">
        <v>44166</v>
      </c>
      <c r="G235" s="52">
        <v>83.3</v>
      </c>
      <c r="J235" s="53">
        <v>-7.892352636377197</v>
      </c>
      <c r="K235" s="53"/>
      <c r="L235" s="53">
        <v>-7.892352636377197</v>
      </c>
      <c r="M235" s="53"/>
      <c r="N235" s="53"/>
      <c r="O235" s="53"/>
      <c r="P235" s="53"/>
      <c r="Q235" s="53"/>
      <c r="R235" s="53"/>
      <c r="S235" s="53"/>
      <c r="T235" s="53"/>
      <c r="U235" s="53"/>
    </row>
    <row r="236" spans="6:21" x14ac:dyDescent="0.55000000000000004">
      <c r="F236" s="49">
        <v>44197</v>
      </c>
      <c r="G236" s="52">
        <v>81.900000000000006</v>
      </c>
      <c r="J236" s="53">
        <v>-9.2958727921812283</v>
      </c>
      <c r="K236" s="53"/>
      <c r="L236" s="53">
        <v>-9.2958727921812283</v>
      </c>
      <c r="M236" s="53"/>
      <c r="N236" s="53"/>
      <c r="O236" s="53"/>
      <c r="P236" s="53"/>
      <c r="Q236" s="53"/>
      <c r="R236" s="53"/>
      <c r="S236" s="53"/>
      <c r="T236" s="53"/>
      <c r="U236" s="53"/>
    </row>
    <row r="237" spans="6:21" x14ac:dyDescent="0.55000000000000004">
      <c r="F237" s="49">
        <v>44228</v>
      </c>
      <c r="G237" s="52">
        <v>79.099999999999994</v>
      </c>
      <c r="J237" s="53">
        <v>-12.099393083868392</v>
      </c>
      <c r="K237" s="53"/>
      <c r="L237" s="53">
        <v>-12.099393083868392</v>
      </c>
      <c r="M237" s="53"/>
      <c r="N237" s="53"/>
      <c r="O237" s="53"/>
      <c r="P237" s="53"/>
      <c r="Q237" s="53"/>
      <c r="R237" s="53"/>
      <c r="S237" s="53"/>
      <c r="T237" s="53"/>
      <c r="U237" s="53"/>
    </row>
    <row r="238" spans="6:21" x14ac:dyDescent="0.55000000000000004">
      <c r="F238" s="49">
        <v>44256</v>
      </c>
      <c r="G238" s="52">
        <v>86.1</v>
      </c>
      <c r="J238" s="53">
        <v>-5.1029135114438589</v>
      </c>
      <c r="K238" s="53"/>
      <c r="L238" s="53">
        <v>-5.1029135114438589</v>
      </c>
      <c r="M238" s="53"/>
      <c r="N238" s="53"/>
      <c r="O238" s="53"/>
      <c r="P238" s="53"/>
      <c r="Q238" s="53"/>
      <c r="R238" s="53"/>
      <c r="S238" s="53"/>
      <c r="T238" s="53"/>
      <c r="U238" s="53"/>
    </row>
    <row r="239" spans="6:21" x14ac:dyDescent="0.55000000000000004">
      <c r="F239" s="49">
        <v>44287</v>
      </c>
      <c r="G239" s="52">
        <v>81.3</v>
      </c>
      <c r="J239" s="53">
        <v>-9.9064340749128377</v>
      </c>
      <c r="K239" s="53"/>
      <c r="L239" s="53">
        <v>-9.9064340749128377</v>
      </c>
      <c r="M239" s="53"/>
      <c r="N239" s="53"/>
      <c r="O239" s="53"/>
      <c r="P239" s="53"/>
      <c r="Q239" s="53"/>
      <c r="R239" s="53"/>
      <c r="S239" s="53"/>
      <c r="T239" s="53"/>
      <c r="U239" s="53"/>
    </row>
    <row r="240" spans="6:21" x14ac:dyDescent="0.55000000000000004">
      <c r="F240" s="49">
        <v>44317</v>
      </c>
      <c r="G240" s="52">
        <v>88.4</v>
      </c>
      <c r="J240" s="53">
        <v>-2.8099547742805981</v>
      </c>
      <c r="K240" s="53"/>
      <c r="L240" s="53">
        <v>-2.8099547742805981</v>
      </c>
      <c r="M240" s="53"/>
      <c r="N240" s="53"/>
      <c r="O240" s="53"/>
      <c r="P240" s="53"/>
      <c r="Q240" s="53"/>
      <c r="R240" s="53"/>
      <c r="S240" s="53"/>
      <c r="T240" s="53"/>
      <c r="U240" s="53"/>
    </row>
    <row r="241" spans="6:21" x14ac:dyDescent="0.55000000000000004">
      <c r="F241" s="49">
        <v>44348</v>
      </c>
      <c r="G241" s="52">
        <v>87.9</v>
      </c>
      <c r="J241" s="53">
        <v>-3.3134756095525262</v>
      </c>
      <c r="K241" s="53"/>
      <c r="L241" s="53">
        <v>-3.3134756095525262</v>
      </c>
      <c r="M241" s="53"/>
      <c r="N241" s="53"/>
      <c r="O241" s="53"/>
      <c r="P241" s="53"/>
      <c r="Q241" s="53"/>
      <c r="R241" s="53"/>
      <c r="S241" s="53"/>
      <c r="T241" s="53"/>
      <c r="U241" s="53"/>
    </row>
    <row r="242" spans="6:21" x14ac:dyDescent="0.55000000000000004">
      <c r="F242" s="49">
        <v>44378</v>
      </c>
      <c r="G242" s="52">
        <v>92.2</v>
      </c>
      <c r="J242" s="53">
        <v>0.98300341926629642</v>
      </c>
      <c r="K242" s="53"/>
      <c r="L242" s="53">
        <v>0.98300341926629642</v>
      </c>
      <c r="M242" s="53"/>
      <c r="N242" s="53"/>
      <c r="O242" s="53"/>
      <c r="P242" s="53"/>
      <c r="Q242" s="53"/>
      <c r="R242" s="53"/>
      <c r="S242" s="53"/>
      <c r="T242" s="53"/>
      <c r="U242" s="53"/>
    </row>
    <row r="243" spans="6:21" x14ac:dyDescent="0.55000000000000004">
      <c r="F243" s="49">
        <v>44409</v>
      </c>
      <c r="G243" s="52">
        <v>93.4</v>
      </c>
      <c r="J243" s="53">
        <v>2.1794823121705633</v>
      </c>
      <c r="K243" s="53"/>
      <c r="L243" s="53">
        <v>2.1794823121705633</v>
      </c>
      <c r="M243" s="53"/>
      <c r="N243" s="53"/>
      <c r="O243" s="53"/>
      <c r="P243" s="53"/>
      <c r="Q243" s="53"/>
      <c r="R243" s="53"/>
      <c r="S243" s="53"/>
      <c r="T243" s="53"/>
      <c r="U243" s="53"/>
    </row>
    <row r="244" spans="6:21" x14ac:dyDescent="0.55000000000000004">
      <c r="F244" s="49">
        <v>44440</v>
      </c>
      <c r="G244" s="52">
        <v>91.5</v>
      </c>
      <c r="J244" s="53">
        <v>0.27596106915511598</v>
      </c>
      <c r="K244" s="53"/>
      <c r="L244" s="53">
        <v>0.27596106915511598</v>
      </c>
      <c r="M244" s="53"/>
      <c r="N244" s="53"/>
      <c r="O244" s="53"/>
      <c r="P244" s="53"/>
      <c r="Q244" s="53"/>
      <c r="R244" s="53"/>
      <c r="S244" s="53"/>
      <c r="T244" s="53"/>
      <c r="U244" s="53"/>
    </row>
    <row r="245" spans="6:21" x14ac:dyDescent="0.55000000000000004">
      <c r="F245" s="49">
        <v>44470</v>
      </c>
      <c r="G245" s="52">
        <v>89.7</v>
      </c>
      <c r="J245" s="53">
        <v>-1.5275603097855281</v>
      </c>
      <c r="K245" s="53"/>
      <c r="L245" s="53">
        <v>-1.5275603097855281</v>
      </c>
      <c r="M245" s="53"/>
      <c r="N245" s="53"/>
      <c r="O245" s="53"/>
      <c r="P245" s="53"/>
      <c r="Q245" s="53"/>
      <c r="R245" s="53"/>
      <c r="S245" s="53"/>
      <c r="T245" s="53"/>
      <c r="U245" s="53"/>
    </row>
    <row r="246" spans="6:21" x14ac:dyDescent="0.55000000000000004">
      <c r="F246" s="49">
        <v>44501</v>
      </c>
      <c r="G246" s="52">
        <v>86.3</v>
      </c>
      <c r="J246" s="53">
        <v>-4.9310818246563173</v>
      </c>
      <c r="K246" s="53"/>
      <c r="L246" s="53">
        <v>-4.9310818246563173</v>
      </c>
      <c r="M246" s="53"/>
      <c r="N246" s="53"/>
      <c r="O246" s="53"/>
      <c r="P246" s="53"/>
      <c r="Q246" s="53"/>
      <c r="R246" s="53"/>
      <c r="S246" s="53"/>
      <c r="T246" s="53"/>
      <c r="U246" s="53"/>
    </row>
    <row r="247" spans="6:21" x14ac:dyDescent="0.55000000000000004">
      <c r="F247" s="49">
        <v>44531</v>
      </c>
      <c r="G247" s="52">
        <v>79.2</v>
      </c>
      <c r="J247" s="53">
        <v>-12.034603475462617</v>
      </c>
      <c r="K247" s="53"/>
      <c r="L247" s="53">
        <v>-12.034603475462617</v>
      </c>
      <c r="M247" s="53"/>
      <c r="N247" s="53"/>
      <c r="O247" s="53"/>
      <c r="P247" s="53"/>
      <c r="Q247" s="53"/>
      <c r="R247" s="53"/>
      <c r="S247" s="53"/>
      <c r="T247" s="53"/>
      <c r="U247" s="53"/>
    </row>
  </sheetData>
  <mergeCells count="1">
    <mergeCell ref="D11:D12"/>
  </mergeCell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8DFC-2981-4D00-B762-AB865C54FB3A}">
  <sheetPr codeName="Planilha44">
    <tabColor theme="9" tint="0.59999389629810485"/>
  </sheetPr>
  <dimension ref="A1:U247"/>
  <sheetViews>
    <sheetView showGridLines="0" workbookViewId="0">
      <selection activeCell="J8" sqref="J8"/>
    </sheetView>
  </sheetViews>
  <sheetFormatPr defaultColWidth="8.796875" defaultRowHeight="18" x14ac:dyDescent="0.55000000000000004"/>
  <cols>
    <col min="1" max="1" width="12.6640625" style="17" customWidth="1"/>
    <col min="2" max="2" width="24.796875" bestFit="1" customWidth="1"/>
    <col min="4" max="4" width="44.33203125" bestFit="1" customWidth="1"/>
    <col min="5" max="5" width="4.6640625" customWidth="1"/>
    <col min="6" max="7" width="7.1328125" bestFit="1" customWidth="1"/>
    <col min="8" max="8" width="9.33203125" bestFit="1" customWidth="1"/>
    <col min="10" max="21" width="9" style="15" customWidth="1"/>
  </cols>
  <sheetData>
    <row r="1" spans="1:21" x14ac:dyDescent="0.55000000000000004">
      <c r="A1" s="16" t="s">
        <v>510</v>
      </c>
      <c r="J1" s="14"/>
      <c r="K1" s="14"/>
      <c r="L1" s="14"/>
      <c r="M1" s="14"/>
      <c r="N1" s="14"/>
      <c r="O1" s="14"/>
      <c r="P1" s="14"/>
      <c r="Q1" s="14"/>
      <c r="R1" s="14"/>
      <c r="S1" s="14"/>
      <c r="T1" s="14"/>
      <c r="U1" s="14"/>
    </row>
    <row r="2" spans="1:21" x14ac:dyDescent="0.55000000000000004">
      <c r="A2" s="17" t="s">
        <v>509</v>
      </c>
      <c r="J2" s="14"/>
      <c r="K2" s="14"/>
      <c r="L2" s="14"/>
      <c r="M2" s="14"/>
      <c r="N2" s="14"/>
      <c r="O2" s="14"/>
      <c r="P2" s="14"/>
      <c r="Q2" s="14"/>
      <c r="R2" s="14"/>
      <c r="S2" s="14"/>
      <c r="T2" s="14"/>
      <c r="U2" s="14"/>
    </row>
    <row r="4" spans="1:21" ht="15.75" x14ac:dyDescent="0.5">
      <c r="A4" s="2" t="s">
        <v>15</v>
      </c>
      <c r="B4" s="2" t="s">
        <v>16</v>
      </c>
    </row>
    <row r="5" spans="1:21" ht="15.75" x14ac:dyDescent="0.5">
      <c r="A5" s="23" t="s">
        <v>165</v>
      </c>
      <c r="B5" s="24" t="s">
        <v>167</v>
      </c>
    </row>
    <row r="6" spans="1:21" ht="31.5" x14ac:dyDescent="0.5">
      <c r="A6" s="23" t="s">
        <v>185</v>
      </c>
      <c r="B6" s="24" t="s">
        <v>186</v>
      </c>
    </row>
    <row r="7" spans="1:21" x14ac:dyDescent="0.55000000000000004">
      <c r="D7" s="1" t="s">
        <v>17</v>
      </c>
      <c r="G7" s="13" t="s">
        <v>165</v>
      </c>
      <c r="H7" s="13" t="s">
        <v>185</v>
      </c>
    </row>
    <row r="8" spans="1:21" x14ac:dyDescent="0.55000000000000004">
      <c r="D8" t="s">
        <v>176</v>
      </c>
      <c r="F8" s="49">
        <v>37257</v>
      </c>
      <c r="G8" s="52">
        <v>72.400000000000006</v>
      </c>
      <c r="H8" s="54">
        <v>1</v>
      </c>
      <c r="J8" s="53" cm="1">
        <f t="array" ref="J8:J247">_xlfn.LAMBDA(_xlpm.values,_xlop.nPower, _xlfn.LET(_xlpm.nPower, IF(_xlfn.ISOMITTED(_xlpm.nPower), 1, _xlpm.nPower),  OLS_FITTED(_xlpm.values, ADDCONST(_xlfn.SEQUENCE(ROWS(_xlpm.values))^_xlpm.nPower)) ) )($G$8:$G$247,$H$8)</f>
        <v>91.019097510373555</v>
      </c>
      <c r="K8" s="53"/>
      <c r="L8" s="53" cm="1">
        <f t="array" ref="L8:L247">TSTREND($G$8:$G$247,$H$8)</f>
        <v>91.019097510373555</v>
      </c>
      <c r="M8" s="53"/>
      <c r="N8" s="53"/>
      <c r="O8" s="53"/>
      <c r="P8" s="53"/>
      <c r="Q8" s="53"/>
      <c r="R8" s="53"/>
      <c r="S8" s="53"/>
      <c r="T8" s="53"/>
      <c r="U8" s="53"/>
    </row>
    <row r="9" spans="1:21" x14ac:dyDescent="0.55000000000000004">
      <c r="D9" t="s">
        <v>177</v>
      </c>
      <c r="F9" s="49">
        <v>37288</v>
      </c>
      <c r="G9" s="52">
        <v>69.7</v>
      </c>
      <c r="J9" s="53">
        <v>91.021939790621474</v>
      </c>
      <c r="K9" s="53"/>
      <c r="L9" s="53">
        <v>91.021939790621474</v>
      </c>
      <c r="M9" s="53"/>
      <c r="N9" s="53"/>
      <c r="O9" s="53"/>
      <c r="P9" s="53"/>
      <c r="Q9" s="53"/>
      <c r="R9" s="53"/>
      <c r="S9" s="53"/>
      <c r="T9" s="53"/>
      <c r="U9" s="53"/>
    </row>
    <row r="10" spans="1:21" x14ac:dyDescent="0.55000000000000004">
      <c r="D10" t="s">
        <v>155</v>
      </c>
      <c r="F10" s="49">
        <v>37316</v>
      </c>
      <c r="G10" s="52">
        <v>77.400000000000006</v>
      </c>
      <c r="J10" s="53">
        <v>91.024782070869392</v>
      </c>
      <c r="K10" s="53"/>
      <c r="L10" s="53">
        <v>91.024782070869392</v>
      </c>
      <c r="M10" s="53"/>
      <c r="N10" s="53"/>
      <c r="O10" s="53"/>
      <c r="P10" s="53"/>
      <c r="Q10" s="53"/>
      <c r="R10" s="53"/>
      <c r="S10" s="53"/>
      <c r="T10" s="53"/>
      <c r="U10" s="53"/>
    </row>
    <row r="11" spans="1:21" ht="18.75" customHeight="1" x14ac:dyDescent="0.55000000000000004">
      <c r="D11" s="173"/>
      <c r="F11" s="49">
        <v>37347</v>
      </c>
      <c r="G11" s="52">
        <v>79.599999999999994</v>
      </c>
      <c r="J11" s="53">
        <v>91.027624351117325</v>
      </c>
      <c r="K11" s="53"/>
      <c r="L11" s="53">
        <v>91.027624351117325</v>
      </c>
      <c r="M11" s="53"/>
      <c r="N11" s="53"/>
      <c r="O11" s="53"/>
      <c r="P11" s="53"/>
      <c r="Q11" s="53"/>
      <c r="R11" s="53"/>
      <c r="S11" s="53"/>
      <c r="T11" s="53"/>
      <c r="U11" s="53"/>
    </row>
    <row r="12" spans="1:21" x14ac:dyDescent="0.55000000000000004">
      <c r="D12" s="173"/>
      <c r="F12" s="49">
        <v>37377</v>
      </c>
      <c r="G12" s="52">
        <v>80.400000000000006</v>
      </c>
      <c r="J12" s="53">
        <v>91.030466631365243</v>
      </c>
      <c r="K12" s="53"/>
      <c r="L12" s="53">
        <v>91.030466631365243</v>
      </c>
      <c r="M12" s="53"/>
      <c r="N12" s="53"/>
      <c r="O12" s="53"/>
      <c r="P12" s="53"/>
      <c r="Q12" s="53"/>
      <c r="R12" s="53"/>
      <c r="S12" s="53"/>
      <c r="T12" s="53"/>
      <c r="U12" s="53"/>
    </row>
    <row r="13" spans="1:21" x14ac:dyDescent="0.55000000000000004">
      <c r="D13" s="46"/>
      <c r="F13" s="49">
        <v>37408</v>
      </c>
      <c r="G13" s="52">
        <v>77.5</v>
      </c>
      <c r="J13" s="53">
        <v>91.033308911613162</v>
      </c>
      <c r="K13" s="53"/>
      <c r="L13" s="53">
        <v>91.033308911613162</v>
      </c>
      <c r="M13" s="53"/>
      <c r="N13" s="53"/>
      <c r="O13" s="53"/>
      <c r="P13" s="53"/>
      <c r="Q13" s="53"/>
      <c r="R13" s="53"/>
      <c r="S13" s="53"/>
      <c r="T13" s="53"/>
      <c r="U13" s="53"/>
    </row>
    <row r="14" spans="1:21" x14ac:dyDescent="0.55000000000000004">
      <c r="F14" s="49">
        <v>37438</v>
      </c>
      <c r="G14" s="52">
        <v>83.3</v>
      </c>
      <c r="J14" s="53">
        <v>91.03615119186108</v>
      </c>
      <c r="K14" s="53"/>
      <c r="L14" s="53">
        <v>91.03615119186108</v>
      </c>
      <c r="M14" s="53"/>
      <c r="N14" s="53"/>
      <c r="O14" s="53"/>
      <c r="P14" s="53"/>
      <c r="Q14" s="53"/>
      <c r="R14" s="53"/>
      <c r="S14" s="53"/>
      <c r="T14" s="53"/>
      <c r="U14" s="53"/>
    </row>
    <row r="15" spans="1:21" x14ac:dyDescent="0.55000000000000004">
      <c r="F15" s="49">
        <v>37469</v>
      </c>
      <c r="G15" s="52">
        <v>83.6</v>
      </c>
      <c r="J15" s="53">
        <v>91.038993472108999</v>
      </c>
      <c r="K15" s="53"/>
      <c r="L15" s="53">
        <v>91.038993472108999</v>
      </c>
      <c r="M15" s="53"/>
      <c r="N15" s="53"/>
      <c r="O15" s="53"/>
      <c r="P15" s="53"/>
      <c r="Q15" s="53"/>
      <c r="R15" s="53"/>
      <c r="S15" s="53"/>
      <c r="T15" s="53"/>
      <c r="U15" s="53"/>
    </row>
    <row r="16" spans="1:21" x14ac:dyDescent="0.55000000000000004">
      <c r="F16" s="49">
        <v>37500</v>
      </c>
      <c r="G16" s="52">
        <v>82.1</v>
      </c>
      <c r="J16" s="53">
        <v>91.041835752356917</v>
      </c>
      <c r="K16" s="53"/>
      <c r="L16" s="53">
        <v>91.041835752356917</v>
      </c>
      <c r="M16" s="53"/>
      <c r="N16" s="53"/>
      <c r="O16" s="53"/>
      <c r="P16" s="53"/>
      <c r="Q16" s="53"/>
      <c r="R16" s="53"/>
      <c r="S16" s="53"/>
      <c r="T16" s="53"/>
      <c r="U16" s="53"/>
    </row>
    <row r="17" spans="6:21" x14ac:dyDescent="0.55000000000000004">
      <c r="F17" s="49">
        <v>37530</v>
      </c>
      <c r="G17" s="52">
        <v>89.2</v>
      </c>
      <c r="J17" s="53">
        <v>91.04467803260485</v>
      </c>
      <c r="K17" s="53"/>
      <c r="L17" s="53">
        <v>91.04467803260485</v>
      </c>
      <c r="M17" s="53"/>
      <c r="N17" s="53"/>
      <c r="O17" s="53"/>
      <c r="P17" s="53"/>
      <c r="Q17" s="53"/>
      <c r="R17" s="53"/>
      <c r="S17" s="53"/>
      <c r="T17" s="53"/>
      <c r="U17" s="53"/>
    </row>
    <row r="18" spans="6:21" x14ac:dyDescent="0.55000000000000004">
      <c r="F18" s="49">
        <v>37561</v>
      </c>
      <c r="G18" s="52">
        <v>83.9</v>
      </c>
      <c r="J18" s="53">
        <v>91.047520312852768</v>
      </c>
      <c r="K18" s="53"/>
      <c r="L18" s="53">
        <v>91.047520312852768</v>
      </c>
      <c r="M18" s="53"/>
      <c r="N18" s="53"/>
      <c r="O18" s="53"/>
      <c r="P18" s="53"/>
      <c r="Q18" s="53"/>
      <c r="R18" s="53"/>
      <c r="S18" s="53"/>
      <c r="T18" s="53"/>
      <c r="U18" s="53"/>
    </row>
    <row r="19" spans="6:21" x14ac:dyDescent="0.55000000000000004">
      <c r="F19" s="49">
        <v>37591</v>
      </c>
      <c r="G19" s="52">
        <v>74.599999999999994</v>
      </c>
      <c r="J19" s="53">
        <v>91.050362593100687</v>
      </c>
      <c r="K19" s="53"/>
      <c r="L19" s="53">
        <v>91.050362593100687</v>
      </c>
      <c r="M19" s="53"/>
      <c r="N19" s="53"/>
      <c r="O19" s="53"/>
      <c r="P19" s="53"/>
      <c r="Q19" s="53"/>
      <c r="R19" s="53"/>
      <c r="S19" s="53"/>
      <c r="T19" s="53"/>
      <c r="U19" s="53"/>
    </row>
    <row r="20" spans="6:21" x14ac:dyDescent="0.55000000000000004">
      <c r="F20" s="49">
        <v>37622</v>
      </c>
      <c r="G20" s="52">
        <v>74</v>
      </c>
      <c r="J20" s="53">
        <v>91.053204873348605</v>
      </c>
      <c r="K20" s="53"/>
      <c r="L20" s="53">
        <v>91.053204873348605</v>
      </c>
      <c r="M20" s="53"/>
      <c r="N20" s="53"/>
      <c r="O20" s="53"/>
      <c r="P20" s="53"/>
      <c r="Q20" s="53"/>
      <c r="R20" s="53"/>
      <c r="S20" s="53"/>
      <c r="T20" s="53"/>
      <c r="U20" s="53"/>
    </row>
    <row r="21" spans="6:21" x14ac:dyDescent="0.55000000000000004">
      <c r="F21" s="49">
        <v>37653</v>
      </c>
      <c r="G21" s="52">
        <v>71.8</v>
      </c>
      <c r="J21" s="53">
        <v>91.056047153596523</v>
      </c>
      <c r="K21" s="53"/>
      <c r="L21" s="53">
        <v>91.056047153596523</v>
      </c>
      <c r="M21" s="53"/>
      <c r="N21" s="53"/>
      <c r="O21" s="53"/>
      <c r="P21" s="53"/>
      <c r="Q21" s="53"/>
      <c r="R21" s="53"/>
      <c r="S21" s="53"/>
      <c r="T21" s="53"/>
      <c r="U21" s="53"/>
    </row>
    <row r="22" spans="6:21" x14ac:dyDescent="0.55000000000000004">
      <c r="F22" s="49">
        <v>37681</v>
      </c>
      <c r="G22" s="52">
        <v>77.400000000000006</v>
      </c>
      <c r="J22" s="53">
        <v>91.058889433844442</v>
      </c>
      <c r="K22" s="53"/>
      <c r="L22" s="53">
        <v>91.058889433844442</v>
      </c>
      <c r="M22" s="53"/>
      <c r="N22" s="53"/>
      <c r="O22" s="53"/>
      <c r="P22" s="53"/>
      <c r="Q22" s="53"/>
      <c r="R22" s="53"/>
      <c r="S22" s="53"/>
      <c r="T22" s="53"/>
      <c r="U22" s="53"/>
    </row>
    <row r="23" spans="6:21" x14ac:dyDescent="0.55000000000000004">
      <c r="F23" s="49">
        <v>37712</v>
      </c>
      <c r="G23" s="52">
        <v>76.5</v>
      </c>
      <c r="J23" s="53">
        <v>91.06173171409236</v>
      </c>
      <c r="K23" s="53"/>
      <c r="L23" s="53">
        <v>91.06173171409236</v>
      </c>
      <c r="M23" s="53"/>
      <c r="N23" s="53"/>
      <c r="O23" s="53"/>
      <c r="P23" s="53"/>
      <c r="Q23" s="53"/>
      <c r="R23" s="53"/>
      <c r="S23" s="53"/>
      <c r="T23" s="53"/>
      <c r="U23" s="53"/>
    </row>
    <row r="24" spans="6:21" x14ac:dyDescent="0.55000000000000004">
      <c r="F24" s="49">
        <v>37742</v>
      </c>
      <c r="G24" s="52">
        <v>79.7</v>
      </c>
      <c r="J24" s="53">
        <v>91.064573994340293</v>
      </c>
      <c r="K24" s="53"/>
      <c r="L24" s="53">
        <v>91.064573994340293</v>
      </c>
      <c r="M24" s="53"/>
      <c r="N24" s="53"/>
      <c r="O24" s="53"/>
      <c r="P24" s="53"/>
      <c r="Q24" s="53"/>
      <c r="R24" s="53"/>
      <c r="S24" s="53"/>
      <c r="T24" s="53"/>
      <c r="U24" s="53"/>
    </row>
    <row r="25" spans="6:21" x14ac:dyDescent="0.55000000000000004">
      <c r="F25" s="49">
        <v>37773</v>
      </c>
      <c r="G25" s="52">
        <v>76.3</v>
      </c>
      <c r="J25" s="53">
        <v>91.067416274588211</v>
      </c>
      <c r="K25" s="53"/>
      <c r="L25" s="53">
        <v>91.067416274588211</v>
      </c>
      <c r="M25" s="53"/>
      <c r="N25" s="53"/>
      <c r="O25" s="53"/>
      <c r="P25" s="53"/>
      <c r="Q25" s="53"/>
      <c r="R25" s="53"/>
      <c r="S25" s="53"/>
      <c r="T25" s="53"/>
      <c r="U25" s="53"/>
    </row>
    <row r="26" spans="6:21" x14ac:dyDescent="0.55000000000000004">
      <c r="F26" s="49">
        <v>37803</v>
      </c>
      <c r="G26" s="52">
        <v>81.3</v>
      </c>
      <c r="J26" s="53">
        <v>91.07025855483613</v>
      </c>
      <c r="K26" s="53"/>
      <c r="L26" s="53">
        <v>91.07025855483613</v>
      </c>
      <c r="M26" s="53"/>
      <c r="N26" s="53"/>
      <c r="O26" s="53"/>
      <c r="P26" s="53"/>
      <c r="Q26" s="53"/>
      <c r="R26" s="53"/>
      <c r="S26" s="53"/>
      <c r="T26" s="53"/>
      <c r="U26" s="53"/>
    </row>
    <row r="27" spans="6:21" x14ac:dyDescent="0.55000000000000004">
      <c r="F27" s="49">
        <v>37834</v>
      </c>
      <c r="G27" s="52">
        <v>81.599999999999994</v>
      </c>
      <c r="J27" s="53">
        <v>91.073100835084048</v>
      </c>
      <c r="K27" s="53"/>
      <c r="L27" s="53">
        <v>91.073100835084048</v>
      </c>
      <c r="M27" s="53"/>
      <c r="N27" s="53"/>
      <c r="O27" s="53"/>
      <c r="P27" s="53"/>
      <c r="Q27" s="53"/>
      <c r="R27" s="53"/>
      <c r="S27" s="53"/>
      <c r="T27" s="53"/>
      <c r="U27" s="53"/>
    </row>
    <row r="28" spans="6:21" x14ac:dyDescent="0.55000000000000004">
      <c r="F28" s="49">
        <v>37865</v>
      </c>
      <c r="G28" s="52">
        <v>85.7</v>
      </c>
      <c r="J28" s="53">
        <v>91.075943115331967</v>
      </c>
      <c r="K28" s="53"/>
      <c r="L28" s="53">
        <v>91.075943115331967</v>
      </c>
      <c r="M28" s="53"/>
      <c r="N28" s="53"/>
      <c r="O28" s="53"/>
      <c r="P28" s="53"/>
      <c r="Q28" s="53"/>
      <c r="R28" s="53"/>
      <c r="S28" s="53"/>
      <c r="T28" s="53"/>
      <c r="U28" s="53"/>
    </row>
    <row r="29" spans="6:21" x14ac:dyDescent="0.55000000000000004">
      <c r="F29" s="49">
        <v>37895</v>
      </c>
      <c r="G29" s="52">
        <v>90</v>
      </c>
      <c r="J29" s="53">
        <v>91.078785395579885</v>
      </c>
      <c r="K29" s="53"/>
      <c r="L29" s="53">
        <v>91.078785395579885</v>
      </c>
      <c r="M29" s="53"/>
      <c r="N29" s="53"/>
      <c r="O29" s="53"/>
      <c r="P29" s="53"/>
      <c r="Q29" s="53"/>
      <c r="R29" s="53"/>
      <c r="S29" s="53"/>
      <c r="T29" s="53"/>
      <c r="U29" s="53"/>
    </row>
    <row r="30" spans="6:21" x14ac:dyDescent="0.55000000000000004">
      <c r="F30" s="49">
        <v>37926</v>
      </c>
      <c r="G30" s="52">
        <v>84.6</v>
      </c>
      <c r="J30" s="53">
        <v>91.081627675827818</v>
      </c>
      <c r="K30" s="53"/>
      <c r="L30" s="53">
        <v>91.081627675827818</v>
      </c>
      <c r="M30" s="53"/>
      <c r="N30" s="53"/>
      <c r="O30" s="53"/>
      <c r="P30" s="53"/>
      <c r="Q30" s="53"/>
      <c r="R30" s="53"/>
      <c r="S30" s="53"/>
      <c r="T30" s="53"/>
      <c r="U30" s="53"/>
    </row>
    <row r="31" spans="6:21" x14ac:dyDescent="0.55000000000000004">
      <c r="F31" s="49">
        <v>37956</v>
      </c>
      <c r="G31" s="52">
        <v>77.900000000000006</v>
      </c>
      <c r="J31" s="53">
        <v>91.084469956075736</v>
      </c>
      <c r="K31" s="53"/>
      <c r="L31" s="53">
        <v>91.084469956075736</v>
      </c>
      <c r="M31" s="53"/>
      <c r="N31" s="53"/>
      <c r="O31" s="53"/>
      <c r="P31" s="53"/>
      <c r="Q31" s="53"/>
      <c r="R31" s="53"/>
      <c r="S31" s="53"/>
      <c r="T31" s="53"/>
      <c r="U31" s="53"/>
    </row>
    <row r="32" spans="6:21" x14ac:dyDescent="0.55000000000000004">
      <c r="F32" s="49">
        <v>37987</v>
      </c>
      <c r="G32" s="52">
        <v>76.8</v>
      </c>
      <c r="J32" s="53">
        <v>91.087312236323655</v>
      </c>
      <c r="K32" s="53"/>
      <c r="L32" s="53">
        <v>91.087312236323655</v>
      </c>
      <c r="M32" s="53"/>
      <c r="N32" s="53"/>
      <c r="O32" s="53"/>
      <c r="P32" s="53"/>
      <c r="Q32" s="53"/>
      <c r="R32" s="53"/>
      <c r="S32" s="53"/>
      <c r="T32" s="53"/>
      <c r="U32" s="53"/>
    </row>
    <row r="33" spans="6:21" x14ac:dyDescent="0.55000000000000004">
      <c r="F33" s="49">
        <v>38018</v>
      </c>
      <c r="G33" s="52">
        <v>74</v>
      </c>
      <c r="J33" s="53">
        <v>91.090154516571573</v>
      </c>
      <c r="K33" s="53"/>
      <c r="L33" s="53">
        <v>91.090154516571573</v>
      </c>
      <c r="M33" s="53"/>
      <c r="N33" s="53"/>
      <c r="O33" s="53"/>
      <c r="P33" s="53"/>
      <c r="Q33" s="53"/>
      <c r="R33" s="53"/>
      <c r="S33" s="53"/>
      <c r="T33" s="53"/>
      <c r="U33" s="53"/>
    </row>
    <row r="34" spans="6:21" x14ac:dyDescent="0.55000000000000004">
      <c r="F34" s="49">
        <v>38047</v>
      </c>
      <c r="G34" s="52">
        <v>86.9</v>
      </c>
      <c r="J34" s="53">
        <v>91.092996796819492</v>
      </c>
      <c r="K34" s="53"/>
      <c r="L34" s="53">
        <v>91.092996796819492</v>
      </c>
      <c r="M34" s="53"/>
      <c r="N34" s="53"/>
      <c r="O34" s="53"/>
      <c r="P34" s="53"/>
      <c r="Q34" s="53"/>
      <c r="R34" s="53"/>
      <c r="S34" s="53"/>
      <c r="T34" s="53"/>
      <c r="U34" s="53"/>
    </row>
    <row r="35" spans="6:21" x14ac:dyDescent="0.55000000000000004">
      <c r="F35" s="49">
        <v>38078</v>
      </c>
      <c r="G35" s="52">
        <v>82.2</v>
      </c>
      <c r="J35" s="53">
        <v>91.09583907706741</v>
      </c>
      <c r="K35" s="53"/>
      <c r="L35" s="53">
        <v>91.09583907706741</v>
      </c>
      <c r="M35" s="53"/>
      <c r="N35" s="53"/>
      <c r="O35" s="53"/>
      <c r="P35" s="53"/>
      <c r="Q35" s="53"/>
      <c r="R35" s="53"/>
      <c r="S35" s="53"/>
      <c r="T35" s="53"/>
      <c r="U35" s="53"/>
    </row>
    <row r="36" spans="6:21" x14ac:dyDescent="0.55000000000000004">
      <c r="F36" s="49">
        <v>38108</v>
      </c>
      <c r="G36" s="52">
        <v>86.3</v>
      </c>
      <c r="J36" s="53">
        <v>91.098681357315343</v>
      </c>
      <c r="K36" s="53"/>
      <c r="L36" s="53">
        <v>91.098681357315343</v>
      </c>
      <c r="M36" s="53"/>
      <c r="N36" s="53"/>
      <c r="O36" s="53"/>
      <c r="P36" s="53"/>
      <c r="Q36" s="53"/>
      <c r="R36" s="53"/>
      <c r="S36" s="53"/>
      <c r="T36" s="53"/>
      <c r="U36" s="53"/>
    </row>
    <row r="37" spans="6:21" x14ac:dyDescent="0.55000000000000004">
      <c r="F37" s="49">
        <v>38139</v>
      </c>
      <c r="G37" s="52">
        <v>86.1</v>
      </c>
      <c r="J37" s="53">
        <v>91.101523637563261</v>
      </c>
      <c r="K37" s="53"/>
      <c r="L37" s="53">
        <v>91.101523637563261</v>
      </c>
      <c r="M37" s="53"/>
      <c r="N37" s="53"/>
      <c r="O37" s="53"/>
      <c r="P37" s="53"/>
      <c r="Q37" s="53"/>
      <c r="R37" s="53"/>
      <c r="S37" s="53"/>
      <c r="T37" s="53"/>
      <c r="U37" s="53"/>
    </row>
    <row r="38" spans="6:21" x14ac:dyDescent="0.55000000000000004">
      <c r="F38" s="49">
        <v>38169</v>
      </c>
      <c r="G38" s="52">
        <v>90.1</v>
      </c>
      <c r="J38" s="53">
        <v>91.10436591781118</v>
      </c>
      <c r="K38" s="53"/>
      <c r="L38" s="53">
        <v>91.10436591781118</v>
      </c>
      <c r="M38" s="53"/>
      <c r="N38" s="53"/>
      <c r="O38" s="53"/>
      <c r="P38" s="53"/>
      <c r="Q38" s="53"/>
      <c r="R38" s="53"/>
      <c r="S38" s="53"/>
      <c r="T38" s="53"/>
      <c r="U38" s="53"/>
    </row>
    <row r="39" spans="6:21" x14ac:dyDescent="0.55000000000000004">
      <c r="F39" s="49">
        <v>38200</v>
      </c>
      <c r="G39" s="52">
        <v>92.1</v>
      </c>
      <c r="J39" s="53">
        <v>91.107208198059098</v>
      </c>
      <c r="K39" s="53"/>
      <c r="L39" s="53">
        <v>91.107208198059098</v>
      </c>
      <c r="M39" s="53"/>
      <c r="N39" s="53"/>
      <c r="O39" s="53"/>
      <c r="P39" s="53"/>
      <c r="Q39" s="53"/>
      <c r="R39" s="53"/>
      <c r="S39" s="53"/>
      <c r="T39" s="53"/>
      <c r="U39" s="53"/>
    </row>
    <row r="40" spans="6:21" x14ac:dyDescent="0.55000000000000004">
      <c r="F40" s="49">
        <v>38231</v>
      </c>
      <c r="G40" s="52">
        <v>92.1</v>
      </c>
      <c r="J40" s="53">
        <v>91.110050478307016</v>
      </c>
      <c r="K40" s="53"/>
      <c r="L40" s="53">
        <v>91.110050478307016</v>
      </c>
      <c r="M40" s="53"/>
      <c r="N40" s="53"/>
      <c r="O40" s="53"/>
      <c r="P40" s="53"/>
      <c r="Q40" s="53"/>
      <c r="R40" s="53"/>
      <c r="S40" s="53"/>
      <c r="T40" s="53"/>
      <c r="U40" s="53"/>
    </row>
    <row r="41" spans="6:21" x14ac:dyDescent="0.55000000000000004">
      <c r="F41" s="49">
        <v>38261</v>
      </c>
      <c r="G41" s="52">
        <v>93.5</v>
      </c>
      <c r="J41" s="53">
        <v>91.112892758554935</v>
      </c>
      <c r="K41" s="53"/>
      <c r="L41" s="53">
        <v>91.112892758554935</v>
      </c>
      <c r="M41" s="53"/>
      <c r="N41" s="53"/>
      <c r="O41" s="53"/>
      <c r="P41" s="53"/>
      <c r="Q41" s="53"/>
      <c r="R41" s="53"/>
      <c r="S41" s="53"/>
      <c r="T41" s="53"/>
      <c r="U41" s="53"/>
    </row>
    <row r="42" spans="6:21" x14ac:dyDescent="0.55000000000000004">
      <c r="F42" s="49">
        <v>38292</v>
      </c>
      <c r="G42" s="52">
        <v>91.8</v>
      </c>
      <c r="J42" s="53">
        <v>91.115735038802853</v>
      </c>
      <c r="K42" s="53"/>
      <c r="L42" s="53">
        <v>91.115735038802853</v>
      </c>
      <c r="M42" s="53"/>
      <c r="N42" s="53"/>
      <c r="O42" s="53"/>
      <c r="P42" s="53"/>
      <c r="Q42" s="53"/>
      <c r="R42" s="53"/>
      <c r="S42" s="53"/>
      <c r="T42" s="53"/>
      <c r="U42" s="53"/>
    </row>
    <row r="43" spans="6:21" x14ac:dyDescent="0.55000000000000004">
      <c r="F43" s="49">
        <v>38322</v>
      </c>
      <c r="G43" s="52">
        <v>84.7</v>
      </c>
      <c r="J43" s="53">
        <v>91.118577319050786</v>
      </c>
      <c r="K43" s="53"/>
      <c r="L43" s="53">
        <v>91.118577319050786</v>
      </c>
      <c r="M43" s="53"/>
      <c r="N43" s="53"/>
      <c r="O43" s="53"/>
      <c r="P43" s="53"/>
      <c r="Q43" s="53"/>
      <c r="R43" s="53"/>
      <c r="S43" s="53"/>
      <c r="T43" s="53"/>
      <c r="U43" s="53"/>
    </row>
    <row r="44" spans="6:21" x14ac:dyDescent="0.55000000000000004">
      <c r="F44" s="49">
        <v>38353</v>
      </c>
      <c r="G44" s="52">
        <v>81</v>
      </c>
      <c r="J44" s="53">
        <v>91.121419599298704</v>
      </c>
      <c r="K44" s="53"/>
      <c r="L44" s="53">
        <v>91.121419599298704</v>
      </c>
      <c r="M44" s="53"/>
      <c r="N44" s="53"/>
      <c r="O44" s="53"/>
      <c r="P44" s="53"/>
      <c r="Q44" s="53"/>
      <c r="R44" s="53"/>
      <c r="S44" s="53"/>
      <c r="T44" s="53"/>
      <c r="U44" s="53"/>
    </row>
    <row r="45" spans="6:21" x14ac:dyDescent="0.55000000000000004">
      <c r="F45" s="49">
        <v>38384</v>
      </c>
      <c r="G45" s="52">
        <v>76.400000000000006</v>
      </c>
      <c r="J45" s="53">
        <v>91.124261879546623</v>
      </c>
      <c r="K45" s="53"/>
      <c r="L45" s="53">
        <v>91.124261879546623</v>
      </c>
      <c r="M45" s="53"/>
      <c r="N45" s="53"/>
      <c r="O45" s="53"/>
      <c r="P45" s="53"/>
      <c r="Q45" s="53"/>
      <c r="R45" s="53"/>
      <c r="S45" s="53"/>
      <c r="T45" s="53"/>
      <c r="U45" s="53"/>
    </row>
    <row r="46" spans="6:21" x14ac:dyDescent="0.55000000000000004">
      <c r="F46" s="49">
        <v>38412</v>
      </c>
      <c r="G46" s="52">
        <v>88</v>
      </c>
      <c r="J46" s="53">
        <v>91.127104159794541</v>
      </c>
      <c r="K46" s="53"/>
      <c r="L46" s="53">
        <v>91.127104159794541</v>
      </c>
      <c r="M46" s="53"/>
      <c r="N46" s="53"/>
      <c r="O46" s="53"/>
      <c r="P46" s="53"/>
      <c r="Q46" s="53"/>
      <c r="R46" s="53"/>
      <c r="S46" s="53"/>
      <c r="T46" s="53"/>
      <c r="U46" s="53"/>
    </row>
    <row r="47" spans="6:21" x14ac:dyDescent="0.55000000000000004">
      <c r="F47" s="49">
        <v>38443</v>
      </c>
      <c r="G47" s="52">
        <v>87</v>
      </c>
      <c r="J47" s="53">
        <v>91.12994644004246</v>
      </c>
      <c r="K47" s="53"/>
      <c r="L47" s="53">
        <v>91.12994644004246</v>
      </c>
      <c r="M47" s="53"/>
      <c r="N47" s="53"/>
      <c r="O47" s="53"/>
      <c r="P47" s="53"/>
      <c r="Q47" s="53"/>
      <c r="R47" s="53"/>
      <c r="S47" s="53"/>
      <c r="T47" s="53"/>
      <c r="U47" s="53"/>
    </row>
    <row r="48" spans="6:21" x14ac:dyDescent="0.55000000000000004">
      <c r="F48" s="49">
        <v>38473</v>
      </c>
      <c r="G48" s="52">
        <v>91.1</v>
      </c>
      <c r="J48" s="53">
        <v>91.132788720290378</v>
      </c>
      <c r="K48" s="53"/>
      <c r="L48" s="53">
        <v>91.132788720290378</v>
      </c>
      <c r="M48" s="53"/>
      <c r="N48" s="53"/>
      <c r="O48" s="53"/>
      <c r="P48" s="53"/>
      <c r="Q48" s="53"/>
      <c r="R48" s="53"/>
      <c r="S48" s="53"/>
      <c r="T48" s="53"/>
      <c r="U48" s="53"/>
    </row>
    <row r="49" spans="6:21" x14ac:dyDescent="0.55000000000000004">
      <c r="F49" s="49">
        <v>38504</v>
      </c>
      <c r="G49" s="52">
        <v>91.4</v>
      </c>
      <c r="J49" s="53">
        <v>91.135631000538311</v>
      </c>
      <c r="K49" s="53"/>
      <c r="L49" s="53">
        <v>91.135631000538311</v>
      </c>
      <c r="M49" s="53"/>
      <c r="N49" s="53"/>
      <c r="O49" s="53"/>
      <c r="P49" s="53"/>
      <c r="Q49" s="53"/>
      <c r="R49" s="53"/>
      <c r="S49" s="53"/>
      <c r="T49" s="53"/>
      <c r="U49" s="53"/>
    </row>
    <row r="50" spans="6:21" x14ac:dyDescent="0.55000000000000004">
      <c r="F50" s="49">
        <v>38534</v>
      </c>
      <c r="G50" s="52">
        <v>90.5</v>
      </c>
      <c r="J50" s="53">
        <v>91.138473280786229</v>
      </c>
      <c r="K50" s="53"/>
      <c r="L50" s="53">
        <v>91.138473280786229</v>
      </c>
      <c r="M50" s="53"/>
      <c r="N50" s="53"/>
      <c r="O50" s="53"/>
      <c r="P50" s="53"/>
      <c r="Q50" s="53"/>
      <c r="R50" s="53"/>
      <c r="S50" s="53"/>
      <c r="T50" s="53"/>
      <c r="U50" s="53"/>
    </row>
    <row r="51" spans="6:21" x14ac:dyDescent="0.55000000000000004">
      <c r="F51" s="49">
        <v>38565</v>
      </c>
      <c r="G51" s="52">
        <v>95.6</v>
      </c>
      <c r="J51" s="53">
        <v>91.141315561034148</v>
      </c>
      <c r="K51" s="53"/>
      <c r="L51" s="53">
        <v>91.141315561034148</v>
      </c>
      <c r="M51" s="53"/>
      <c r="N51" s="53"/>
      <c r="O51" s="53"/>
      <c r="P51" s="53"/>
      <c r="Q51" s="53"/>
      <c r="R51" s="53"/>
      <c r="S51" s="53"/>
      <c r="T51" s="53"/>
      <c r="U51" s="53"/>
    </row>
    <row r="52" spans="6:21" x14ac:dyDescent="0.55000000000000004">
      <c r="F52" s="49">
        <v>38596</v>
      </c>
      <c r="G52" s="52">
        <v>92</v>
      </c>
      <c r="J52" s="53">
        <v>91.144157841282066</v>
      </c>
      <c r="K52" s="53"/>
      <c r="L52" s="53">
        <v>91.144157841282066</v>
      </c>
      <c r="M52" s="53"/>
      <c r="N52" s="53"/>
      <c r="O52" s="53"/>
      <c r="P52" s="53"/>
      <c r="Q52" s="53"/>
      <c r="R52" s="53"/>
      <c r="S52" s="53"/>
      <c r="T52" s="53"/>
      <c r="U52" s="53"/>
    </row>
    <row r="53" spans="6:21" x14ac:dyDescent="0.55000000000000004">
      <c r="F53" s="49">
        <v>38626</v>
      </c>
      <c r="G53" s="52">
        <v>93.7</v>
      </c>
      <c r="J53" s="53">
        <v>91.147000121529985</v>
      </c>
      <c r="K53" s="53"/>
      <c r="L53" s="53">
        <v>91.147000121529985</v>
      </c>
      <c r="M53" s="53"/>
      <c r="N53" s="53"/>
      <c r="O53" s="53"/>
      <c r="P53" s="53"/>
      <c r="Q53" s="53"/>
      <c r="R53" s="53"/>
      <c r="S53" s="53"/>
      <c r="T53" s="53"/>
      <c r="U53" s="53"/>
    </row>
    <row r="54" spans="6:21" x14ac:dyDescent="0.55000000000000004">
      <c r="F54" s="49">
        <v>38657</v>
      </c>
      <c r="G54" s="52">
        <v>92.4</v>
      </c>
      <c r="J54" s="53">
        <v>91.149842401777903</v>
      </c>
      <c r="K54" s="53"/>
      <c r="L54" s="53">
        <v>91.149842401777903</v>
      </c>
      <c r="M54" s="53"/>
      <c r="N54" s="53"/>
      <c r="O54" s="53"/>
      <c r="P54" s="53"/>
      <c r="Q54" s="53"/>
      <c r="R54" s="53"/>
      <c r="S54" s="53"/>
      <c r="T54" s="53"/>
      <c r="U54" s="53"/>
    </row>
    <row r="55" spans="6:21" x14ac:dyDescent="0.55000000000000004">
      <c r="F55" s="49">
        <v>38687</v>
      </c>
      <c r="G55" s="52">
        <v>86.6</v>
      </c>
      <c r="J55" s="53">
        <v>91.152684682025836</v>
      </c>
      <c r="K55" s="53"/>
      <c r="L55" s="53">
        <v>91.152684682025836</v>
      </c>
      <c r="M55" s="53"/>
      <c r="N55" s="53"/>
      <c r="O55" s="53"/>
      <c r="P55" s="53"/>
      <c r="Q55" s="53"/>
      <c r="R55" s="53"/>
      <c r="S55" s="53"/>
      <c r="T55" s="53"/>
      <c r="U55" s="53"/>
    </row>
    <row r="56" spans="6:21" x14ac:dyDescent="0.55000000000000004">
      <c r="F56" s="49">
        <v>38718</v>
      </c>
      <c r="G56" s="52">
        <v>83.7</v>
      </c>
      <c r="J56" s="53">
        <v>91.155526962273754</v>
      </c>
      <c r="K56" s="53"/>
      <c r="L56" s="53">
        <v>91.155526962273754</v>
      </c>
      <c r="M56" s="53"/>
      <c r="N56" s="53"/>
      <c r="O56" s="53"/>
      <c r="P56" s="53"/>
      <c r="Q56" s="53"/>
      <c r="R56" s="53"/>
      <c r="S56" s="53"/>
      <c r="T56" s="53"/>
      <c r="U56" s="53"/>
    </row>
    <row r="57" spans="6:21" x14ac:dyDescent="0.55000000000000004">
      <c r="F57" s="49">
        <v>38749</v>
      </c>
      <c r="G57" s="52">
        <v>80.2</v>
      </c>
      <c r="J57" s="53">
        <v>91.158369242521673</v>
      </c>
      <c r="K57" s="53"/>
      <c r="L57" s="53">
        <v>91.158369242521673</v>
      </c>
      <c r="M57" s="53"/>
      <c r="N57" s="53"/>
      <c r="O57" s="53"/>
      <c r="P57" s="53"/>
      <c r="Q57" s="53"/>
      <c r="R57" s="53"/>
      <c r="S57" s="53"/>
      <c r="T57" s="53"/>
      <c r="U57" s="53"/>
    </row>
    <row r="58" spans="6:21" x14ac:dyDescent="0.55000000000000004">
      <c r="F58" s="49">
        <v>38777</v>
      </c>
      <c r="G58" s="52">
        <v>92.4</v>
      </c>
      <c r="J58" s="53">
        <v>91.161211522769591</v>
      </c>
      <c r="K58" s="53"/>
      <c r="L58" s="53">
        <v>91.161211522769591</v>
      </c>
      <c r="M58" s="53"/>
      <c r="N58" s="53"/>
      <c r="O58" s="53"/>
      <c r="P58" s="53"/>
      <c r="Q58" s="53"/>
      <c r="R58" s="53"/>
      <c r="S58" s="53"/>
      <c r="T58" s="53"/>
      <c r="U58" s="53"/>
    </row>
    <row r="59" spans="6:21" x14ac:dyDescent="0.55000000000000004">
      <c r="F59" s="49">
        <v>38808</v>
      </c>
      <c r="G59" s="52">
        <v>85.7</v>
      </c>
      <c r="J59" s="53">
        <v>91.164053803017509</v>
      </c>
      <c r="K59" s="53"/>
      <c r="L59" s="53">
        <v>91.164053803017509</v>
      </c>
      <c r="M59" s="53"/>
      <c r="N59" s="53"/>
      <c r="O59" s="53"/>
      <c r="P59" s="53"/>
      <c r="Q59" s="53"/>
      <c r="R59" s="53"/>
      <c r="S59" s="53"/>
      <c r="T59" s="53"/>
      <c r="U59" s="53"/>
    </row>
    <row r="60" spans="6:21" x14ac:dyDescent="0.55000000000000004">
      <c r="F60" s="49">
        <v>38838</v>
      </c>
      <c r="G60" s="52">
        <v>95.4</v>
      </c>
      <c r="J60" s="53">
        <v>91.166896083265428</v>
      </c>
      <c r="K60" s="53"/>
      <c r="L60" s="53">
        <v>91.166896083265428</v>
      </c>
      <c r="M60" s="53"/>
      <c r="N60" s="53"/>
      <c r="O60" s="53"/>
      <c r="P60" s="53"/>
      <c r="Q60" s="53"/>
      <c r="R60" s="53"/>
      <c r="S60" s="53"/>
      <c r="T60" s="53"/>
      <c r="U60" s="53"/>
    </row>
    <row r="61" spans="6:21" x14ac:dyDescent="0.55000000000000004">
      <c r="F61" s="49">
        <v>38869</v>
      </c>
      <c r="G61" s="52">
        <v>91.1</v>
      </c>
      <c r="J61" s="53">
        <v>91.169738363513346</v>
      </c>
      <c r="K61" s="53"/>
      <c r="L61" s="53">
        <v>91.169738363513346</v>
      </c>
      <c r="M61" s="53"/>
      <c r="N61" s="53"/>
      <c r="O61" s="53"/>
      <c r="P61" s="53"/>
      <c r="Q61" s="53"/>
      <c r="R61" s="53"/>
      <c r="S61" s="53"/>
      <c r="T61" s="53"/>
      <c r="U61" s="53"/>
    </row>
    <row r="62" spans="6:21" x14ac:dyDescent="0.55000000000000004">
      <c r="F62" s="49">
        <v>38899</v>
      </c>
      <c r="G62" s="52">
        <v>93.8</v>
      </c>
      <c r="J62" s="53">
        <v>91.172580643761279</v>
      </c>
      <c r="K62" s="53"/>
      <c r="L62" s="53">
        <v>91.172580643761279</v>
      </c>
      <c r="M62" s="53"/>
      <c r="N62" s="53"/>
      <c r="O62" s="53"/>
      <c r="P62" s="53"/>
      <c r="Q62" s="53"/>
      <c r="R62" s="53"/>
      <c r="S62" s="53"/>
      <c r="T62" s="53"/>
      <c r="U62" s="53"/>
    </row>
    <row r="63" spans="6:21" x14ac:dyDescent="0.55000000000000004">
      <c r="F63" s="49">
        <v>38930</v>
      </c>
      <c r="G63" s="52">
        <v>98.6</v>
      </c>
      <c r="J63" s="53">
        <v>91.175422924009197</v>
      </c>
      <c r="K63" s="53"/>
      <c r="L63" s="53">
        <v>91.175422924009197</v>
      </c>
      <c r="M63" s="53"/>
      <c r="N63" s="53"/>
      <c r="O63" s="53"/>
      <c r="P63" s="53"/>
      <c r="Q63" s="53"/>
      <c r="R63" s="53"/>
      <c r="S63" s="53"/>
      <c r="T63" s="53"/>
      <c r="U63" s="53"/>
    </row>
    <row r="64" spans="6:21" x14ac:dyDescent="0.55000000000000004">
      <c r="F64" s="49">
        <v>38961</v>
      </c>
      <c r="G64" s="52">
        <v>93.2</v>
      </c>
      <c r="J64" s="53">
        <v>91.178265204257116</v>
      </c>
      <c r="K64" s="53"/>
      <c r="L64" s="53">
        <v>91.178265204257116</v>
      </c>
      <c r="M64" s="53"/>
      <c r="N64" s="53"/>
      <c r="O64" s="53"/>
      <c r="P64" s="53"/>
      <c r="Q64" s="53"/>
      <c r="R64" s="53"/>
      <c r="S64" s="53"/>
      <c r="T64" s="53"/>
      <c r="U64" s="53"/>
    </row>
    <row r="65" spans="6:21" x14ac:dyDescent="0.55000000000000004">
      <c r="F65" s="49">
        <v>38991</v>
      </c>
      <c r="G65" s="52">
        <v>97.5</v>
      </c>
      <c r="J65" s="53">
        <v>91.181107484505034</v>
      </c>
      <c r="K65" s="53"/>
      <c r="L65" s="53">
        <v>91.181107484505034</v>
      </c>
      <c r="M65" s="53"/>
      <c r="N65" s="53"/>
      <c r="O65" s="53"/>
      <c r="P65" s="53"/>
      <c r="Q65" s="53"/>
      <c r="R65" s="53"/>
      <c r="S65" s="53"/>
      <c r="T65" s="53"/>
      <c r="U65" s="53"/>
    </row>
    <row r="66" spans="6:21" x14ac:dyDescent="0.55000000000000004">
      <c r="F66" s="49">
        <v>39022</v>
      </c>
      <c r="G66" s="52">
        <v>95.9</v>
      </c>
      <c r="J66" s="53">
        <v>91.183949764752953</v>
      </c>
      <c r="K66" s="53"/>
      <c r="L66" s="53">
        <v>91.183949764752953</v>
      </c>
      <c r="M66" s="53"/>
      <c r="N66" s="53"/>
      <c r="O66" s="53"/>
      <c r="P66" s="53"/>
      <c r="Q66" s="53"/>
      <c r="R66" s="53"/>
      <c r="S66" s="53"/>
      <c r="T66" s="53"/>
      <c r="U66" s="53"/>
    </row>
    <row r="67" spans="6:21" x14ac:dyDescent="0.55000000000000004">
      <c r="F67" s="49">
        <v>39052</v>
      </c>
      <c r="G67" s="52">
        <v>87</v>
      </c>
      <c r="J67" s="53">
        <v>91.186792045000871</v>
      </c>
      <c r="K67" s="53"/>
      <c r="L67" s="53">
        <v>91.186792045000871</v>
      </c>
      <c r="M67" s="53"/>
      <c r="N67" s="53"/>
      <c r="O67" s="53"/>
      <c r="P67" s="53"/>
      <c r="Q67" s="53"/>
      <c r="R67" s="53"/>
      <c r="S67" s="53"/>
      <c r="T67" s="53"/>
      <c r="U67" s="53"/>
    </row>
    <row r="68" spans="6:21" x14ac:dyDescent="0.55000000000000004">
      <c r="F68" s="49">
        <v>39083</v>
      </c>
      <c r="G68" s="52">
        <v>87</v>
      </c>
      <c r="J68" s="53">
        <v>91.189634325248804</v>
      </c>
      <c r="K68" s="53"/>
      <c r="L68" s="53">
        <v>91.189634325248804</v>
      </c>
      <c r="M68" s="53"/>
      <c r="N68" s="53"/>
      <c r="O68" s="53"/>
      <c r="P68" s="53"/>
      <c r="Q68" s="53"/>
      <c r="R68" s="53"/>
      <c r="S68" s="53"/>
      <c r="T68" s="53"/>
      <c r="U68" s="53"/>
    </row>
    <row r="69" spans="6:21" x14ac:dyDescent="0.55000000000000004">
      <c r="F69" s="49">
        <v>39114</v>
      </c>
      <c r="G69" s="52">
        <v>82.6</v>
      </c>
      <c r="J69" s="53">
        <v>91.192476605496722</v>
      </c>
      <c r="K69" s="53"/>
      <c r="L69" s="53">
        <v>91.192476605496722</v>
      </c>
      <c r="M69" s="53"/>
      <c r="N69" s="53"/>
      <c r="O69" s="53"/>
      <c r="P69" s="53"/>
      <c r="Q69" s="53"/>
      <c r="R69" s="53"/>
      <c r="S69" s="53"/>
      <c r="T69" s="53"/>
      <c r="U69" s="53"/>
    </row>
    <row r="70" spans="6:21" x14ac:dyDescent="0.55000000000000004">
      <c r="F70" s="49">
        <v>39142</v>
      </c>
      <c r="G70" s="52">
        <v>96.4</v>
      </c>
      <c r="J70" s="53">
        <v>91.195318885744641</v>
      </c>
      <c r="K70" s="53"/>
      <c r="L70" s="53">
        <v>91.195318885744641</v>
      </c>
      <c r="M70" s="53"/>
      <c r="N70" s="53"/>
      <c r="O70" s="53"/>
      <c r="P70" s="53"/>
      <c r="Q70" s="53"/>
      <c r="R70" s="53"/>
      <c r="S70" s="53"/>
      <c r="T70" s="53"/>
      <c r="U70" s="53"/>
    </row>
    <row r="71" spans="6:21" x14ac:dyDescent="0.55000000000000004">
      <c r="F71" s="49">
        <v>39173</v>
      </c>
      <c r="G71" s="52">
        <v>90.6</v>
      </c>
      <c r="J71" s="53">
        <v>91.198161165992559</v>
      </c>
      <c r="K71" s="53"/>
      <c r="L71" s="53">
        <v>91.198161165992559</v>
      </c>
      <c r="M71" s="53"/>
      <c r="N71" s="53"/>
      <c r="O71" s="53"/>
      <c r="P71" s="53"/>
      <c r="Q71" s="53"/>
      <c r="R71" s="53"/>
      <c r="S71" s="53"/>
      <c r="T71" s="53"/>
      <c r="U71" s="53"/>
    </row>
    <row r="72" spans="6:21" x14ac:dyDescent="0.55000000000000004">
      <c r="F72" s="49">
        <v>39203</v>
      </c>
      <c r="G72" s="52">
        <v>99.9</v>
      </c>
      <c r="J72" s="53">
        <v>91.201003446240478</v>
      </c>
      <c r="K72" s="53"/>
      <c r="L72" s="53">
        <v>91.201003446240478</v>
      </c>
      <c r="M72" s="53"/>
      <c r="N72" s="53"/>
      <c r="O72" s="53"/>
      <c r="P72" s="53"/>
      <c r="Q72" s="53"/>
      <c r="R72" s="53"/>
      <c r="S72" s="53"/>
      <c r="T72" s="53"/>
      <c r="U72" s="53"/>
    </row>
    <row r="73" spans="6:21" x14ac:dyDescent="0.55000000000000004">
      <c r="F73" s="49">
        <v>39234</v>
      </c>
      <c r="G73" s="52">
        <v>96.9</v>
      </c>
      <c r="J73" s="53">
        <v>91.203845726488396</v>
      </c>
      <c r="K73" s="53"/>
      <c r="L73" s="53">
        <v>91.203845726488396</v>
      </c>
      <c r="M73" s="53"/>
      <c r="N73" s="53"/>
      <c r="O73" s="53"/>
      <c r="P73" s="53"/>
      <c r="Q73" s="53"/>
      <c r="R73" s="53"/>
      <c r="S73" s="53"/>
      <c r="T73" s="53"/>
      <c r="U73" s="53"/>
    </row>
    <row r="74" spans="6:21" x14ac:dyDescent="0.55000000000000004">
      <c r="F74" s="49">
        <v>39264</v>
      </c>
      <c r="G74" s="52">
        <v>99.8</v>
      </c>
      <c r="J74" s="53">
        <v>91.206688006736314</v>
      </c>
      <c r="K74" s="53"/>
      <c r="L74" s="53">
        <v>91.206688006736314</v>
      </c>
      <c r="M74" s="53"/>
      <c r="N74" s="53"/>
      <c r="O74" s="53"/>
      <c r="P74" s="53"/>
      <c r="Q74" s="53"/>
      <c r="R74" s="53"/>
      <c r="S74" s="53"/>
      <c r="T74" s="53"/>
      <c r="U74" s="53"/>
    </row>
    <row r="75" spans="6:21" x14ac:dyDescent="0.55000000000000004">
      <c r="F75" s="49">
        <v>39295</v>
      </c>
      <c r="G75" s="52">
        <v>104.9</v>
      </c>
      <c r="J75" s="53">
        <v>91.209530286984247</v>
      </c>
      <c r="K75" s="53"/>
      <c r="L75" s="53">
        <v>91.209530286984247</v>
      </c>
      <c r="M75" s="53"/>
      <c r="N75" s="53"/>
      <c r="O75" s="53"/>
      <c r="P75" s="53"/>
      <c r="Q75" s="53"/>
      <c r="R75" s="53"/>
      <c r="S75" s="53"/>
      <c r="T75" s="53"/>
      <c r="U75" s="53"/>
    </row>
    <row r="76" spans="6:21" x14ac:dyDescent="0.55000000000000004">
      <c r="F76" s="49">
        <v>39326</v>
      </c>
      <c r="G76" s="52">
        <v>98.4</v>
      </c>
      <c r="J76" s="53">
        <v>91.212372567232165</v>
      </c>
      <c r="K76" s="53"/>
      <c r="L76" s="53">
        <v>91.212372567232165</v>
      </c>
      <c r="M76" s="53"/>
      <c r="N76" s="53"/>
      <c r="O76" s="53"/>
      <c r="P76" s="53"/>
      <c r="Q76" s="53"/>
      <c r="R76" s="53"/>
      <c r="S76" s="53"/>
      <c r="T76" s="53"/>
      <c r="U76" s="53"/>
    </row>
    <row r="77" spans="6:21" x14ac:dyDescent="0.55000000000000004">
      <c r="F77" s="49">
        <v>39356</v>
      </c>
      <c r="G77" s="52">
        <v>107.8</v>
      </c>
      <c r="J77" s="53">
        <v>91.215214847480084</v>
      </c>
      <c r="K77" s="53"/>
      <c r="L77" s="53">
        <v>91.215214847480084</v>
      </c>
      <c r="M77" s="53"/>
      <c r="N77" s="53"/>
      <c r="O77" s="53"/>
      <c r="P77" s="53"/>
      <c r="Q77" s="53"/>
      <c r="R77" s="53"/>
      <c r="S77" s="53"/>
      <c r="T77" s="53"/>
      <c r="U77" s="53"/>
    </row>
    <row r="78" spans="6:21" x14ac:dyDescent="0.55000000000000004">
      <c r="F78" s="49">
        <v>39387</v>
      </c>
      <c r="G78" s="52">
        <v>102.4</v>
      </c>
      <c r="J78" s="53">
        <v>91.218057127728002</v>
      </c>
      <c r="K78" s="53"/>
      <c r="L78" s="53">
        <v>91.218057127728002</v>
      </c>
      <c r="M78" s="53"/>
      <c r="N78" s="53"/>
      <c r="O78" s="53"/>
      <c r="P78" s="53"/>
      <c r="Q78" s="53"/>
      <c r="R78" s="53"/>
      <c r="S78" s="53"/>
      <c r="T78" s="53"/>
      <c r="U78" s="53"/>
    </row>
    <row r="79" spans="6:21" x14ac:dyDescent="0.55000000000000004">
      <c r="F79" s="49">
        <v>39417</v>
      </c>
      <c r="G79" s="52">
        <v>92.6</v>
      </c>
      <c r="J79" s="53">
        <v>91.220899407975921</v>
      </c>
      <c r="K79" s="53"/>
      <c r="L79" s="53">
        <v>91.220899407975921</v>
      </c>
      <c r="M79" s="53"/>
      <c r="N79" s="53"/>
      <c r="O79" s="53"/>
      <c r="P79" s="53"/>
      <c r="Q79" s="53"/>
      <c r="R79" s="53"/>
      <c r="S79" s="53"/>
      <c r="T79" s="53"/>
      <c r="U79" s="53"/>
    </row>
    <row r="80" spans="6:21" x14ac:dyDescent="0.55000000000000004">
      <c r="F80" s="49">
        <v>39448</v>
      </c>
      <c r="G80" s="52">
        <v>94.8</v>
      </c>
      <c r="J80" s="53">
        <v>91.223741688223839</v>
      </c>
      <c r="K80" s="53"/>
      <c r="L80" s="53">
        <v>91.223741688223839</v>
      </c>
      <c r="M80" s="53"/>
      <c r="N80" s="53"/>
      <c r="O80" s="53"/>
      <c r="P80" s="53"/>
      <c r="Q80" s="53"/>
      <c r="R80" s="53"/>
      <c r="S80" s="53"/>
      <c r="T80" s="53"/>
      <c r="U80" s="53"/>
    </row>
    <row r="81" spans="6:21" x14ac:dyDescent="0.55000000000000004">
      <c r="F81" s="49">
        <v>39479</v>
      </c>
      <c r="G81" s="52">
        <v>91.1</v>
      </c>
      <c r="J81" s="53">
        <v>91.226583968471772</v>
      </c>
      <c r="K81" s="53"/>
      <c r="L81" s="53">
        <v>91.226583968471772</v>
      </c>
      <c r="M81" s="53"/>
      <c r="N81" s="53"/>
      <c r="O81" s="53"/>
      <c r="P81" s="53"/>
      <c r="Q81" s="53"/>
      <c r="R81" s="53"/>
      <c r="S81" s="53"/>
      <c r="T81" s="53"/>
      <c r="U81" s="53"/>
    </row>
    <row r="82" spans="6:21" x14ac:dyDescent="0.55000000000000004">
      <c r="F82" s="49">
        <v>39508</v>
      </c>
      <c r="G82" s="52">
        <v>97.7</v>
      </c>
      <c r="J82" s="53">
        <v>91.22942624871969</v>
      </c>
      <c r="K82" s="53"/>
      <c r="L82" s="53">
        <v>91.22942624871969</v>
      </c>
      <c r="M82" s="53"/>
      <c r="N82" s="53"/>
      <c r="O82" s="53"/>
      <c r="P82" s="53"/>
      <c r="Q82" s="53"/>
      <c r="R82" s="53"/>
      <c r="S82" s="53"/>
      <c r="T82" s="53"/>
      <c r="U82" s="53"/>
    </row>
    <row r="83" spans="6:21" x14ac:dyDescent="0.55000000000000004">
      <c r="F83" s="49">
        <v>39539</v>
      </c>
      <c r="G83" s="52">
        <v>99.2</v>
      </c>
      <c r="J83" s="53">
        <v>91.232268528967609</v>
      </c>
      <c r="K83" s="53"/>
      <c r="L83" s="53">
        <v>91.232268528967609</v>
      </c>
      <c r="M83" s="53"/>
      <c r="N83" s="53"/>
      <c r="O83" s="53"/>
      <c r="P83" s="53"/>
      <c r="Q83" s="53"/>
      <c r="R83" s="53"/>
      <c r="S83" s="53"/>
      <c r="T83" s="53"/>
      <c r="U83" s="53"/>
    </row>
    <row r="84" spans="6:21" x14ac:dyDescent="0.55000000000000004">
      <c r="F84" s="49">
        <v>39569</v>
      </c>
      <c r="G84" s="52">
        <v>102.5</v>
      </c>
      <c r="J84" s="53">
        <v>91.235110809215527</v>
      </c>
      <c r="K84" s="53"/>
      <c r="L84" s="53">
        <v>91.235110809215527</v>
      </c>
      <c r="M84" s="53"/>
      <c r="N84" s="53"/>
      <c r="O84" s="53"/>
      <c r="P84" s="53"/>
      <c r="Q84" s="53"/>
      <c r="R84" s="53"/>
      <c r="S84" s="53"/>
      <c r="T84" s="53"/>
      <c r="U84" s="53"/>
    </row>
    <row r="85" spans="6:21" x14ac:dyDescent="0.55000000000000004">
      <c r="F85" s="49">
        <v>39600</v>
      </c>
      <c r="G85" s="52">
        <v>103.3</v>
      </c>
      <c r="J85" s="53">
        <v>91.237953089463446</v>
      </c>
      <c r="K85" s="53"/>
      <c r="L85" s="53">
        <v>91.237953089463446</v>
      </c>
      <c r="M85" s="53"/>
      <c r="N85" s="53"/>
      <c r="O85" s="53"/>
      <c r="P85" s="53"/>
      <c r="Q85" s="53"/>
      <c r="R85" s="53"/>
      <c r="S85" s="53"/>
      <c r="T85" s="53"/>
      <c r="U85" s="53"/>
    </row>
    <row r="86" spans="6:21" x14ac:dyDescent="0.55000000000000004">
      <c r="F86" s="49">
        <v>39630</v>
      </c>
      <c r="G86" s="52">
        <v>108.5</v>
      </c>
      <c r="J86" s="53">
        <v>91.240795369711364</v>
      </c>
      <c r="K86" s="53"/>
      <c r="L86" s="53">
        <v>91.240795369711364</v>
      </c>
      <c r="M86" s="53"/>
      <c r="N86" s="53"/>
      <c r="O86" s="53"/>
      <c r="P86" s="53"/>
      <c r="Q86" s="53"/>
      <c r="R86" s="53"/>
      <c r="S86" s="53"/>
      <c r="T86" s="53"/>
      <c r="U86" s="53"/>
    </row>
    <row r="87" spans="6:21" x14ac:dyDescent="0.55000000000000004">
      <c r="F87" s="49">
        <v>39661</v>
      </c>
      <c r="G87" s="52">
        <v>106.9</v>
      </c>
      <c r="J87" s="53">
        <v>91.243637649959282</v>
      </c>
      <c r="K87" s="53"/>
      <c r="L87" s="53">
        <v>91.243637649959282</v>
      </c>
      <c r="M87" s="53"/>
      <c r="N87" s="53"/>
      <c r="O87" s="53"/>
      <c r="P87" s="53"/>
      <c r="Q87" s="53"/>
      <c r="R87" s="53"/>
      <c r="S87" s="53"/>
      <c r="T87" s="53"/>
      <c r="U87" s="53"/>
    </row>
    <row r="88" spans="6:21" x14ac:dyDescent="0.55000000000000004">
      <c r="F88" s="49">
        <v>39692</v>
      </c>
      <c r="G88" s="52">
        <v>107.3</v>
      </c>
      <c r="J88" s="53">
        <v>91.246479930207215</v>
      </c>
      <c r="K88" s="53"/>
      <c r="L88" s="53">
        <v>91.246479930207215</v>
      </c>
      <c r="M88" s="53"/>
      <c r="N88" s="53"/>
      <c r="O88" s="53"/>
      <c r="P88" s="53"/>
      <c r="Q88" s="53"/>
      <c r="R88" s="53"/>
      <c r="S88" s="53"/>
      <c r="T88" s="53"/>
      <c r="U88" s="53"/>
    </row>
    <row r="89" spans="6:21" x14ac:dyDescent="0.55000000000000004">
      <c r="F89" s="49">
        <v>39722</v>
      </c>
      <c r="G89" s="52">
        <v>108.4</v>
      </c>
      <c r="J89" s="53">
        <v>91.249322210455134</v>
      </c>
      <c r="K89" s="53"/>
      <c r="L89" s="53">
        <v>91.249322210455134</v>
      </c>
      <c r="M89" s="53"/>
      <c r="N89" s="53"/>
      <c r="O89" s="53"/>
      <c r="P89" s="53"/>
      <c r="Q89" s="53"/>
      <c r="R89" s="53"/>
      <c r="S89" s="53"/>
      <c r="T89" s="53"/>
      <c r="U89" s="53"/>
    </row>
    <row r="90" spans="6:21" x14ac:dyDescent="0.55000000000000004">
      <c r="F90" s="49">
        <v>39753</v>
      </c>
      <c r="G90" s="52">
        <v>96.2</v>
      </c>
      <c r="J90" s="53">
        <v>91.252164490703052</v>
      </c>
      <c r="K90" s="53"/>
      <c r="L90" s="53">
        <v>91.252164490703052</v>
      </c>
      <c r="M90" s="53"/>
      <c r="N90" s="53"/>
      <c r="O90" s="53"/>
      <c r="P90" s="53"/>
      <c r="Q90" s="53"/>
      <c r="R90" s="53"/>
      <c r="S90" s="53"/>
      <c r="T90" s="53"/>
      <c r="U90" s="53"/>
    </row>
    <row r="91" spans="6:21" x14ac:dyDescent="0.55000000000000004">
      <c r="F91" s="49">
        <v>39783</v>
      </c>
      <c r="G91" s="52">
        <v>79.099999999999994</v>
      </c>
      <c r="J91" s="53">
        <v>91.25500677095097</v>
      </c>
      <c r="K91" s="53"/>
      <c r="L91" s="53">
        <v>91.25500677095097</v>
      </c>
      <c r="M91" s="53"/>
      <c r="N91" s="53"/>
      <c r="O91" s="53"/>
      <c r="P91" s="53"/>
      <c r="Q91" s="53"/>
      <c r="R91" s="53"/>
      <c r="S91" s="53"/>
      <c r="T91" s="53"/>
      <c r="U91" s="53"/>
    </row>
    <row r="92" spans="6:21" x14ac:dyDescent="0.55000000000000004">
      <c r="F92" s="49">
        <v>39814</v>
      </c>
      <c r="G92" s="52">
        <v>78.7</v>
      </c>
      <c r="J92" s="53">
        <v>91.257849051198889</v>
      </c>
      <c r="K92" s="53"/>
      <c r="L92" s="53">
        <v>91.257849051198889</v>
      </c>
      <c r="M92" s="53"/>
      <c r="N92" s="53"/>
      <c r="O92" s="53"/>
      <c r="P92" s="53"/>
      <c r="Q92" s="53"/>
      <c r="R92" s="53"/>
      <c r="S92" s="53"/>
      <c r="T92" s="53"/>
      <c r="U92" s="53"/>
    </row>
    <row r="93" spans="6:21" x14ac:dyDescent="0.55000000000000004">
      <c r="F93" s="49">
        <v>39845</v>
      </c>
      <c r="G93" s="52">
        <v>76.099999999999994</v>
      </c>
      <c r="J93" s="53">
        <v>91.260691331446807</v>
      </c>
      <c r="K93" s="53"/>
      <c r="L93" s="53">
        <v>91.260691331446807</v>
      </c>
      <c r="M93" s="53"/>
      <c r="N93" s="53"/>
      <c r="O93" s="53"/>
      <c r="P93" s="53"/>
      <c r="Q93" s="53"/>
      <c r="R93" s="53"/>
      <c r="S93" s="53"/>
      <c r="T93" s="53"/>
      <c r="U93" s="53"/>
    </row>
    <row r="94" spans="6:21" x14ac:dyDescent="0.55000000000000004">
      <c r="F94" s="49">
        <v>39873</v>
      </c>
      <c r="G94" s="52">
        <v>88.6</v>
      </c>
      <c r="J94" s="53">
        <v>91.26353361169474</v>
      </c>
      <c r="K94" s="53"/>
      <c r="L94" s="53">
        <v>91.26353361169474</v>
      </c>
      <c r="M94" s="53"/>
      <c r="N94" s="53"/>
      <c r="O94" s="53"/>
      <c r="P94" s="53"/>
      <c r="Q94" s="53"/>
      <c r="R94" s="53"/>
      <c r="S94" s="53"/>
      <c r="T94" s="53"/>
      <c r="U94" s="53"/>
    </row>
    <row r="95" spans="6:21" x14ac:dyDescent="0.55000000000000004">
      <c r="F95" s="49">
        <v>39904</v>
      </c>
      <c r="G95" s="52">
        <v>85.2</v>
      </c>
      <c r="J95" s="53">
        <v>91.266375891942658</v>
      </c>
      <c r="K95" s="53"/>
      <c r="L95" s="53">
        <v>91.266375891942658</v>
      </c>
      <c r="M95" s="53"/>
      <c r="N95" s="53"/>
      <c r="O95" s="53"/>
      <c r="P95" s="53"/>
      <c r="Q95" s="53"/>
      <c r="R95" s="53"/>
      <c r="S95" s="53"/>
      <c r="T95" s="53"/>
      <c r="U95" s="53"/>
    </row>
    <row r="96" spans="6:21" x14ac:dyDescent="0.55000000000000004">
      <c r="F96" s="49">
        <v>39934</v>
      </c>
      <c r="G96" s="52">
        <v>91.3</v>
      </c>
      <c r="J96" s="53">
        <v>91.269218172190577</v>
      </c>
      <c r="K96" s="53"/>
      <c r="L96" s="53">
        <v>91.269218172190577</v>
      </c>
      <c r="M96" s="53"/>
      <c r="N96" s="53"/>
      <c r="O96" s="53"/>
      <c r="P96" s="53"/>
      <c r="Q96" s="53"/>
      <c r="R96" s="53"/>
      <c r="S96" s="53"/>
      <c r="T96" s="53"/>
      <c r="U96" s="53"/>
    </row>
    <row r="97" spans="6:21" x14ac:dyDescent="0.55000000000000004">
      <c r="F97" s="49">
        <v>39965</v>
      </c>
      <c r="G97" s="52">
        <v>92.2</v>
      </c>
      <c r="J97" s="53">
        <v>91.272060452438495</v>
      </c>
      <c r="K97" s="53"/>
      <c r="L97" s="53">
        <v>91.272060452438495</v>
      </c>
      <c r="M97" s="53"/>
      <c r="N97" s="53"/>
      <c r="O97" s="53"/>
      <c r="P97" s="53"/>
      <c r="Q97" s="53"/>
      <c r="R97" s="53"/>
      <c r="S97" s="53"/>
      <c r="T97" s="53"/>
      <c r="U97" s="53"/>
    </row>
    <row r="98" spans="6:21" x14ac:dyDescent="0.55000000000000004">
      <c r="F98" s="49">
        <v>39995</v>
      </c>
      <c r="G98" s="52">
        <v>97.7</v>
      </c>
      <c r="J98" s="53">
        <v>91.274902732686414</v>
      </c>
      <c r="K98" s="53"/>
      <c r="L98" s="53">
        <v>91.274902732686414</v>
      </c>
      <c r="M98" s="53"/>
      <c r="N98" s="53"/>
      <c r="O98" s="53"/>
      <c r="P98" s="53"/>
      <c r="Q98" s="53"/>
      <c r="R98" s="53"/>
      <c r="S98" s="53"/>
      <c r="T98" s="53"/>
      <c r="U98" s="53"/>
    </row>
    <row r="99" spans="6:21" x14ac:dyDescent="0.55000000000000004">
      <c r="F99" s="49">
        <v>40026</v>
      </c>
      <c r="G99" s="52">
        <v>99.6</v>
      </c>
      <c r="J99" s="53">
        <v>91.277745012934332</v>
      </c>
      <c r="K99" s="53"/>
      <c r="L99" s="53">
        <v>91.277745012934332</v>
      </c>
      <c r="M99" s="53"/>
      <c r="N99" s="53"/>
      <c r="O99" s="53"/>
      <c r="P99" s="53"/>
      <c r="Q99" s="53"/>
      <c r="R99" s="53"/>
      <c r="S99" s="53"/>
      <c r="T99" s="53"/>
      <c r="U99" s="53"/>
    </row>
    <row r="100" spans="6:21" x14ac:dyDescent="0.55000000000000004">
      <c r="F100" s="49">
        <v>40057</v>
      </c>
      <c r="G100" s="52">
        <v>99.4</v>
      </c>
      <c r="J100" s="53">
        <v>91.280587293182265</v>
      </c>
      <c r="K100" s="53"/>
      <c r="L100" s="53">
        <v>91.280587293182265</v>
      </c>
      <c r="M100" s="53"/>
      <c r="N100" s="53"/>
      <c r="O100" s="53"/>
      <c r="P100" s="53"/>
      <c r="Q100" s="53"/>
      <c r="R100" s="53"/>
      <c r="S100" s="53"/>
      <c r="T100" s="53"/>
      <c r="U100" s="53"/>
    </row>
    <row r="101" spans="6:21" x14ac:dyDescent="0.55000000000000004">
      <c r="F101" s="49">
        <v>40087</v>
      </c>
      <c r="G101" s="52">
        <v>105.6</v>
      </c>
      <c r="J101" s="53">
        <v>91.283429573430183</v>
      </c>
      <c r="K101" s="53"/>
      <c r="L101" s="53">
        <v>91.283429573430183</v>
      </c>
      <c r="M101" s="53"/>
      <c r="N101" s="53"/>
      <c r="O101" s="53"/>
      <c r="P101" s="53"/>
      <c r="Q101" s="53"/>
      <c r="R101" s="53"/>
      <c r="S101" s="53"/>
      <c r="T101" s="53"/>
      <c r="U101" s="53"/>
    </row>
    <row r="102" spans="6:21" x14ac:dyDescent="0.55000000000000004">
      <c r="F102" s="49">
        <v>40118</v>
      </c>
      <c r="G102" s="52">
        <v>101.4</v>
      </c>
      <c r="J102" s="53">
        <v>91.286271853678102</v>
      </c>
      <c r="K102" s="53"/>
      <c r="L102" s="53">
        <v>91.286271853678102</v>
      </c>
      <c r="M102" s="53"/>
      <c r="N102" s="53"/>
      <c r="O102" s="53"/>
      <c r="P102" s="53"/>
      <c r="Q102" s="53"/>
      <c r="R102" s="53"/>
      <c r="S102" s="53"/>
      <c r="T102" s="53"/>
      <c r="U102" s="53"/>
    </row>
    <row r="103" spans="6:21" x14ac:dyDescent="0.55000000000000004">
      <c r="F103" s="49">
        <v>40148</v>
      </c>
      <c r="G103" s="52">
        <v>94.1</v>
      </c>
      <c r="J103" s="53">
        <v>91.28911413392602</v>
      </c>
      <c r="K103" s="53"/>
      <c r="L103" s="53">
        <v>91.28911413392602</v>
      </c>
      <c r="M103" s="53"/>
      <c r="N103" s="53"/>
      <c r="O103" s="53"/>
      <c r="P103" s="53"/>
      <c r="Q103" s="53"/>
      <c r="R103" s="53"/>
      <c r="S103" s="53"/>
      <c r="T103" s="53"/>
      <c r="U103" s="53"/>
    </row>
    <row r="104" spans="6:21" x14ac:dyDescent="0.55000000000000004">
      <c r="F104" s="49">
        <v>40179</v>
      </c>
      <c r="G104" s="52">
        <v>91.2</v>
      </c>
      <c r="J104" s="53">
        <v>91.291956414173939</v>
      </c>
      <c r="K104" s="53"/>
      <c r="L104" s="53">
        <v>91.291956414173939</v>
      </c>
      <c r="M104" s="53"/>
      <c r="N104" s="53"/>
      <c r="O104" s="53"/>
      <c r="P104" s="53"/>
      <c r="Q104" s="53"/>
      <c r="R104" s="53"/>
      <c r="S104" s="53"/>
      <c r="T104" s="53"/>
      <c r="U104" s="53"/>
    </row>
    <row r="105" spans="6:21" x14ac:dyDescent="0.55000000000000004">
      <c r="F105" s="49">
        <v>40210</v>
      </c>
      <c r="G105" s="52">
        <v>89</v>
      </c>
      <c r="J105" s="53">
        <v>91.294798694421857</v>
      </c>
      <c r="K105" s="53"/>
      <c r="L105" s="53">
        <v>91.294798694421857</v>
      </c>
      <c r="M105" s="53"/>
      <c r="N105" s="53"/>
      <c r="O105" s="53"/>
      <c r="P105" s="53"/>
      <c r="Q105" s="53"/>
      <c r="R105" s="53"/>
      <c r="S105" s="53"/>
      <c r="T105" s="53"/>
      <c r="U105" s="53"/>
    </row>
    <row r="106" spans="6:21" x14ac:dyDescent="0.55000000000000004">
      <c r="F106" s="49">
        <v>40238</v>
      </c>
      <c r="G106" s="52">
        <v>105.1</v>
      </c>
      <c r="J106" s="53">
        <v>91.297640974669775</v>
      </c>
      <c r="K106" s="53"/>
      <c r="L106" s="53">
        <v>91.297640974669775</v>
      </c>
      <c r="M106" s="53"/>
      <c r="N106" s="53"/>
      <c r="O106" s="53"/>
      <c r="P106" s="53"/>
      <c r="Q106" s="53"/>
      <c r="R106" s="53"/>
      <c r="S106" s="53"/>
      <c r="T106" s="53"/>
      <c r="U106" s="53"/>
    </row>
    <row r="107" spans="6:21" x14ac:dyDescent="0.55000000000000004">
      <c r="F107" s="49">
        <v>40269</v>
      </c>
      <c r="G107" s="52">
        <v>99.3</v>
      </c>
      <c r="J107" s="53">
        <v>91.300483254917708</v>
      </c>
      <c r="K107" s="53"/>
      <c r="L107" s="53">
        <v>91.300483254917708</v>
      </c>
      <c r="M107" s="53"/>
      <c r="N107" s="53"/>
      <c r="O107" s="53"/>
      <c r="P107" s="53"/>
      <c r="Q107" s="53"/>
      <c r="R107" s="53"/>
      <c r="S107" s="53"/>
      <c r="T107" s="53"/>
      <c r="U107" s="53"/>
    </row>
    <row r="108" spans="6:21" x14ac:dyDescent="0.55000000000000004">
      <c r="F108" s="49">
        <v>40299</v>
      </c>
      <c r="G108" s="52">
        <v>104.3</v>
      </c>
      <c r="J108" s="53">
        <v>91.303325535165627</v>
      </c>
      <c r="K108" s="53"/>
      <c r="L108" s="53">
        <v>91.303325535165627</v>
      </c>
      <c r="M108" s="53"/>
      <c r="N108" s="53"/>
      <c r="O108" s="53"/>
      <c r="P108" s="53"/>
      <c r="Q108" s="53"/>
      <c r="R108" s="53"/>
      <c r="S108" s="53"/>
      <c r="T108" s="53"/>
      <c r="U108" s="53"/>
    </row>
    <row r="109" spans="6:21" x14ac:dyDescent="0.55000000000000004">
      <c r="F109" s="49">
        <v>40330</v>
      </c>
      <c r="G109" s="52">
        <v>102.5</v>
      </c>
      <c r="J109" s="53">
        <v>91.306167815413545</v>
      </c>
      <c r="K109" s="53"/>
      <c r="L109" s="53">
        <v>91.306167815413545</v>
      </c>
      <c r="M109" s="53"/>
      <c r="N109" s="53"/>
      <c r="O109" s="53"/>
      <c r="P109" s="53"/>
      <c r="Q109" s="53"/>
      <c r="R109" s="53"/>
      <c r="S109" s="53"/>
      <c r="T109" s="53"/>
      <c r="U109" s="53"/>
    </row>
    <row r="110" spans="6:21" x14ac:dyDescent="0.55000000000000004">
      <c r="F110" s="49">
        <v>40360</v>
      </c>
      <c r="G110" s="52">
        <v>106.9</v>
      </c>
      <c r="J110" s="53">
        <v>91.309010095661463</v>
      </c>
      <c r="K110" s="53"/>
      <c r="L110" s="53">
        <v>91.309010095661463</v>
      </c>
      <c r="M110" s="53"/>
      <c r="N110" s="53"/>
      <c r="O110" s="53"/>
      <c r="P110" s="53"/>
      <c r="Q110" s="53"/>
      <c r="R110" s="53"/>
      <c r="S110" s="53"/>
      <c r="T110" s="53"/>
      <c r="U110" s="53"/>
    </row>
    <row r="111" spans="6:21" x14ac:dyDescent="0.55000000000000004">
      <c r="F111" s="49">
        <v>40391</v>
      </c>
      <c r="G111" s="52">
        <v>108.1</v>
      </c>
      <c r="J111" s="53">
        <v>91.311852375909382</v>
      </c>
      <c r="K111" s="53"/>
      <c r="L111" s="53">
        <v>91.311852375909382</v>
      </c>
      <c r="M111" s="53"/>
      <c r="N111" s="53"/>
      <c r="O111" s="53"/>
      <c r="P111" s="53"/>
      <c r="Q111" s="53"/>
      <c r="R111" s="53"/>
      <c r="S111" s="53"/>
      <c r="T111" s="53"/>
      <c r="U111" s="53"/>
    </row>
    <row r="112" spans="6:21" x14ac:dyDescent="0.55000000000000004">
      <c r="F112" s="49">
        <v>40422</v>
      </c>
      <c r="G112" s="52">
        <v>105.8</v>
      </c>
      <c r="J112" s="53">
        <v>91.3146946561573</v>
      </c>
      <c r="K112" s="53"/>
      <c r="L112" s="53">
        <v>91.3146946561573</v>
      </c>
      <c r="M112" s="53"/>
      <c r="N112" s="53"/>
      <c r="O112" s="53"/>
      <c r="P112" s="53"/>
      <c r="Q112" s="53"/>
      <c r="R112" s="53"/>
      <c r="S112" s="53"/>
      <c r="T112" s="53"/>
      <c r="U112" s="53"/>
    </row>
    <row r="113" spans="6:21" x14ac:dyDescent="0.55000000000000004">
      <c r="F113" s="49">
        <v>40452</v>
      </c>
      <c r="G113" s="52">
        <v>107.7</v>
      </c>
      <c r="J113" s="53">
        <v>91.317536936405233</v>
      </c>
      <c r="K113" s="53"/>
      <c r="L113" s="53">
        <v>91.317536936405233</v>
      </c>
      <c r="M113" s="53"/>
      <c r="N113" s="53"/>
      <c r="O113" s="53"/>
      <c r="P113" s="53"/>
      <c r="Q113" s="53"/>
      <c r="R113" s="53"/>
      <c r="S113" s="53"/>
      <c r="T113" s="53"/>
      <c r="U113" s="53"/>
    </row>
    <row r="114" spans="6:21" x14ac:dyDescent="0.55000000000000004">
      <c r="F114" s="49">
        <v>40483</v>
      </c>
      <c r="G114" s="52">
        <v>106.8</v>
      </c>
      <c r="J114" s="53">
        <v>91.320379216653151</v>
      </c>
      <c r="K114" s="53"/>
      <c r="L114" s="53">
        <v>91.320379216653151</v>
      </c>
      <c r="M114" s="53"/>
      <c r="N114" s="53"/>
      <c r="O114" s="53"/>
      <c r="P114" s="53"/>
      <c r="Q114" s="53"/>
      <c r="R114" s="53"/>
      <c r="S114" s="53"/>
      <c r="T114" s="53"/>
      <c r="U114" s="53"/>
    </row>
    <row r="115" spans="6:21" x14ac:dyDescent="0.55000000000000004">
      <c r="F115" s="49">
        <v>40513</v>
      </c>
      <c r="G115" s="52">
        <v>96.6</v>
      </c>
      <c r="J115" s="53">
        <v>91.32322149690107</v>
      </c>
      <c r="K115" s="53"/>
      <c r="L115" s="53">
        <v>91.32322149690107</v>
      </c>
      <c r="M115" s="53"/>
      <c r="N115" s="53"/>
      <c r="O115" s="53"/>
      <c r="P115" s="53"/>
      <c r="Q115" s="53"/>
      <c r="R115" s="53"/>
      <c r="S115" s="53"/>
      <c r="T115" s="53"/>
      <c r="U115" s="53"/>
    </row>
    <row r="116" spans="6:21" x14ac:dyDescent="0.55000000000000004">
      <c r="F116" s="49">
        <v>40544</v>
      </c>
      <c r="G116" s="52">
        <v>93.2</v>
      </c>
      <c r="J116" s="53">
        <v>91.326063777148988</v>
      </c>
      <c r="K116" s="53"/>
      <c r="L116" s="53">
        <v>91.326063777148988</v>
      </c>
      <c r="M116" s="53"/>
      <c r="N116" s="53"/>
      <c r="O116" s="53"/>
      <c r="P116" s="53"/>
      <c r="Q116" s="53"/>
      <c r="R116" s="53"/>
      <c r="S116" s="53"/>
      <c r="T116" s="53"/>
      <c r="U116" s="53"/>
    </row>
    <row r="117" spans="6:21" x14ac:dyDescent="0.55000000000000004">
      <c r="F117" s="49">
        <v>40575</v>
      </c>
      <c r="G117" s="52">
        <v>95.4</v>
      </c>
      <c r="J117" s="53">
        <v>91.328906057396907</v>
      </c>
      <c r="K117" s="53"/>
      <c r="L117" s="53">
        <v>91.328906057396907</v>
      </c>
      <c r="M117" s="53"/>
      <c r="N117" s="53"/>
      <c r="O117" s="53"/>
      <c r="P117" s="53"/>
      <c r="Q117" s="53"/>
      <c r="R117" s="53"/>
      <c r="S117" s="53"/>
      <c r="T117" s="53"/>
      <c r="U117" s="53"/>
    </row>
    <row r="118" spans="6:21" x14ac:dyDescent="0.55000000000000004">
      <c r="F118" s="49">
        <v>40603</v>
      </c>
      <c r="G118" s="52">
        <v>104.4</v>
      </c>
      <c r="J118" s="53">
        <v>91.331748337644825</v>
      </c>
      <c r="K118" s="53"/>
      <c r="L118" s="53">
        <v>91.331748337644825</v>
      </c>
      <c r="M118" s="53"/>
      <c r="N118" s="53"/>
      <c r="O118" s="53"/>
      <c r="P118" s="53"/>
      <c r="Q118" s="53"/>
      <c r="R118" s="53"/>
      <c r="S118" s="53"/>
      <c r="T118" s="53"/>
      <c r="U118" s="53"/>
    </row>
    <row r="119" spans="6:21" x14ac:dyDescent="0.55000000000000004">
      <c r="F119" s="49">
        <v>40634</v>
      </c>
      <c r="G119" s="52">
        <v>97.5</v>
      </c>
      <c r="J119" s="53">
        <v>91.334590617892758</v>
      </c>
      <c r="K119" s="53"/>
      <c r="L119" s="53">
        <v>91.334590617892758</v>
      </c>
      <c r="M119" s="53"/>
      <c r="N119" s="53"/>
      <c r="O119" s="53"/>
      <c r="P119" s="53"/>
      <c r="Q119" s="53"/>
      <c r="R119" s="53"/>
      <c r="S119" s="53"/>
      <c r="T119" s="53"/>
      <c r="U119" s="53"/>
    </row>
    <row r="120" spans="6:21" x14ac:dyDescent="0.55000000000000004">
      <c r="F120" s="49">
        <v>40664</v>
      </c>
      <c r="G120" s="52">
        <v>107.1</v>
      </c>
      <c r="J120" s="53">
        <v>91.337432898140676</v>
      </c>
      <c r="K120" s="53"/>
      <c r="L120" s="53">
        <v>91.337432898140676</v>
      </c>
      <c r="M120" s="53"/>
      <c r="N120" s="53"/>
      <c r="O120" s="53"/>
      <c r="P120" s="53"/>
      <c r="Q120" s="53"/>
      <c r="R120" s="53"/>
      <c r="S120" s="53"/>
      <c r="T120" s="53"/>
      <c r="U120" s="53"/>
    </row>
    <row r="121" spans="6:21" x14ac:dyDescent="0.55000000000000004">
      <c r="F121" s="49">
        <v>40695</v>
      </c>
      <c r="G121" s="52">
        <v>102.8</v>
      </c>
      <c r="J121" s="53">
        <v>91.340275178388595</v>
      </c>
      <c r="K121" s="53"/>
      <c r="L121" s="53">
        <v>91.340275178388595</v>
      </c>
      <c r="M121" s="53"/>
      <c r="N121" s="53"/>
      <c r="O121" s="53"/>
      <c r="P121" s="53"/>
      <c r="Q121" s="53"/>
      <c r="R121" s="53"/>
      <c r="S121" s="53"/>
      <c r="T121" s="53"/>
      <c r="U121" s="53"/>
    </row>
    <row r="122" spans="6:21" x14ac:dyDescent="0.55000000000000004">
      <c r="F122" s="49">
        <v>40725</v>
      </c>
      <c r="G122" s="52">
        <v>106.1</v>
      </c>
      <c r="J122" s="53">
        <v>91.343117458636513</v>
      </c>
      <c r="K122" s="53"/>
      <c r="L122" s="53">
        <v>91.343117458636513</v>
      </c>
      <c r="M122" s="53"/>
      <c r="N122" s="53"/>
      <c r="O122" s="53"/>
      <c r="P122" s="53"/>
      <c r="Q122" s="53"/>
      <c r="R122" s="53"/>
      <c r="S122" s="53"/>
      <c r="T122" s="53"/>
      <c r="U122" s="53"/>
    </row>
    <row r="123" spans="6:21" x14ac:dyDescent="0.55000000000000004">
      <c r="F123" s="49">
        <v>40756</v>
      </c>
      <c r="G123" s="52">
        <v>110.8</v>
      </c>
      <c r="J123" s="53">
        <v>91.345959738884432</v>
      </c>
      <c r="K123" s="53"/>
      <c r="L123" s="53">
        <v>91.345959738884432</v>
      </c>
      <c r="M123" s="53"/>
      <c r="N123" s="53"/>
      <c r="O123" s="53"/>
      <c r="P123" s="53"/>
      <c r="Q123" s="53"/>
      <c r="R123" s="53"/>
      <c r="S123" s="53"/>
      <c r="T123" s="53"/>
      <c r="U123" s="53"/>
    </row>
    <row r="124" spans="6:21" x14ac:dyDescent="0.55000000000000004">
      <c r="F124" s="49">
        <v>40787</v>
      </c>
      <c r="G124" s="52">
        <v>104.8</v>
      </c>
      <c r="J124" s="53">
        <v>91.34880201913235</v>
      </c>
      <c r="K124" s="53"/>
      <c r="L124" s="53">
        <v>91.34880201913235</v>
      </c>
      <c r="M124" s="53"/>
      <c r="N124" s="53"/>
      <c r="O124" s="53"/>
      <c r="P124" s="53"/>
      <c r="Q124" s="53"/>
      <c r="R124" s="53"/>
      <c r="S124" s="53"/>
      <c r="T124" s="53"/>
      <c r="U124" s="53"/>
    </row>
    <row r="125" spans="6:21" x14ac:dyDescent="0.55000000000000004">
      <c r="F125" s="49">
        <v>40817</v>
      </c>
      <c r="G125" s="52">
        <v>106.3</v>
      </c>
      <c r="J125" s="53">
        <v>91.351644299380268</v>
      </c>
      <c r="K125" s="53"/>
      <c r="L125" s="53">
        <v>91.351644299380268</v>
      </c>
      <c r="M125" s="53"/>
      <c r="N125" s="53"/>
      <c r="O125" s="53"/>
      <c r="P125" s="53"/>
      <c r="Q125" s="53"/>
      <c r="R125" s="53"/>
      <c r="S125" s="53"/>
      <c r="T125" s="53"/>
      <c r="U125" s="53"/>
    </row>
    <row r="126" spans="6:21" x14ac:dyDescent="0.55000000000000004">
      <c r="F126" s="49">
        <v>40848</v>
      </c>
      <c r="G126" s="52">
        <v>104.2</v>
      </c>
      <c r="J126" s="53">
        <v>91.354486579628201</v>
      </c>
      <c r="K126" s="53"/>
      <c r="L126" s="53">
        <v>91.354486579628201</v>
      </c>
      <c r="M126" s="53"/>
      <c r="N126" s="53"/>
      <c r="O126" s="53"/>
      <c r="P126" s="53"/>
      <c r="Q126" s="53"/>
      <c r="R126" s="53"/>
      <c r="S126" s="53"/>
      <c r="T126" s="53"/>
      <c r="U126" s="53"/>
    </row>
    <row r="127" spans="6:21" x14ac:dyDescent="0.55000000000000004">
      <c r="F127" s="49">
        <v>40878</v>
      </c>
      <c r="G127" s="52">
        <v>95.7</v>
      </c>
      <c r="J127" s="53">
        <v>91.35732885987612</v>
      </c>
      <c r="K127" s="53"/>
      <c r="L127" s="53">
        <v>91.35732885987612</v>
      </c>
      <c r="M127" s="53"/>
      <c r="N127" s="53"/>
      <c r="O127" s="53"/>
      <c r="P127" s="53"/>
      <c r="Q127" s="53"/>
      <c r="R127" s="53"/>
      <c r="S127" s="53"/>
      <c r="T127" s="53"/>
      <c r="U127" s="53"/>
    </row>
    <row r="128" spans="6:21" x14ac:dyDescent="0.55000000000000004">
      <c r="F128" s="49">
        <v>40909</v>
      </c>
      <c r="G128" s="52">
        <v>88.7</v>
      </c>
      <c r="J128" s="53">
        <v>91.360171140124038</v>
      </c>
      <c r="K128" s="53"/>
      <c r="L128" s="53">
        <v>91.360171140124038</v>
      </c>
      <c r="M128" s="53"/>
      <c r="N128" s="53"/>
      <c r="O128" s="53"/>
      <c r="P128" s="53"/>
      <c r="Q128" s="53"/>
      <c r="R128" s="53"/>
      <c r="S128" s="53"/>
      <c r="T128" s="53"/>
      <c r="U128" s="53"/>
    </row>
    <row r="129" spans="6:21" x14ac:dyDescent="0.55000000000000004">
      <c r="F129" s="49">
        <v>40940</v>
      </c>
      <c r="G129" s="52">
        <v>89.8</v>
      </c>
      <c r="J129" s="53">
        <v>91.363013420371956</v>
      </c>
      <c r="K129" s="53"/>
      <c r="L129" s="53">
        <v>91.363013420371956</v>
      </c>
      <c r="M129" s="53"/>
      <c r="N129" s="53"/>
      <c r="O129" s="53"/>
      <c r="P129" s="53"/>
      <c r="Q129" s="53"/>
      <c r="R129" s="53"/>
      <c r="S129" s="53"/>
      <c r="T129" s="53"/>
      <c r="U129" s="53"/>
    </row>
    <row r="130" spans="6:21" x14ac:dyDescent="0.55000000000000004">
      <c r="F130" s="49">
        <v>40969</v>
      </c>
      <c r="G130" s="52">
        <v>99.7</v>
      </c>
      <c r="J130" s="53">
        <v>91.365855700619875</v>
      </c>
      <c r="K130" s="53"/>
      <c r="L130" s="53">
        <v>91.365855700619875</v>
      </c>
      <c r="M130" s="53"/>
      <c r="N130" s="53"/>
      <c r="O130" s="53"/>
      <c r="P130" s="53"/>
      <c r="Q130" s="53"/>
      <c r="R130" s="53"/>
      <c r="S130" s="53"/>
      <c r="T130" s="53"/>
      <c r="U130" s="53"/>
    </row>
    <row r="131" spans="6:21" x14ac:dyDescent="0.55000000000000004">
      <c r="F131" s="49">
        <v>41000</v>
      </c>
      <c r="G131" s="52">
        <v>92.8</v>
      </c>
      <c r="J131" s="53">
        <v>91.368697980867793</v>
      </c>
      <c r="K131" s="53"/>
      <c r="L131" s="53">
        <v>91.368697980867793</v>
      </c>
      <c r="M131" s="53"/>
      <c r="N131" s="53"/>
      <c r="O131" s="53"/>
      <c r="P131" s="53"/>
      <c r="Q131" s="53"/>
      <c r="R131" s="53"/>
      <c r="S131" s="53"/>
      <c r="T131" s="53"/>
      <c r="U131" s="53"/>
    </row>
    <row r="132" spans="6:21" x14ac:dyDescent="0.55000000000000004">
      <c r="F132" s="49">
        <v>41030</v>
      </c>
      <c r="G132" s="52">
        <v>102.5</v>
      </c>
      <c r="J132" s="53">
        <v>91.371540261115726</v>
      </c>
      <c r="K132" s="53"/>
      <c r="L132" s="53">
        <v>91.371540261115726</v>
      </c>
      <c r="M132" s="53"/>
      <c r="N132" s="53"/>
      <c r="O132" s="53"/>
      <c r="P132" s="53"/>
      <c r="Q132" s="53"/>
      <c r="R132" s="53"/>
      <c r="S132" s="53"/>
      <c r="T132" s="53"/>
      <c r="U132" s="53"/>
    </row>
    <row r="133" spans="6:21" x14ac:dyDescent="0.55000000000000004">
      <c r="F133" s="49">
        <v>41061</v>
      </c>
      <c r="G133" s="52">
        <v>98.3</v>
      </c>
      <c r="J133" s="53">
        <v>91.374382541363644</v>
      </c>
      <c r="K133" s="53"/>
      <c r="L133" s="53">
        <v>91.374382541363644</v>
      </c>
      <c r="M133" s="53"/>
      <c r="N133" s="53"/>
      <c r="O133" s="53"/>
      <c r="P133" s="53"/>
      <c r="Q133" s="53"/>
      <c r="R133" s="53"/>
      <c r="S133" s="53"/>
      <c r="T133" s="53"/>
      <c r="U133" s="53"/>
    </row>
    <row r="134" spans="6:21" x14ac:dyDescent="0.55000000000000004">
      <c r="F134" s="49">
        <v>41091</v>
      </c>
      <c r="G134" s="52">
        <v>104.5</v>
      </c>
      <c r="J134" s="53">
        <v>91.377224821611563</v>
      </c>
      <c r="K134" s="53"/>
      <c r="L134" s="53">
        <v>91.377224821611563</v>
      </c>
      <c r="M134" s="53"/>
      <c r="N134" s="53"/>
      <c r="O134" s="53"/>
      <c r="P134" s="53"/>
      <c r="Q134" s="53"/>
      <c r="R134" s="53"/>
      <c r="S134" s="53"/>
      <c r="T134" s="53"/>
      <c r="U134" s="53"/>
    </row>
    <row r="135" spans="6:21" x14ac:dyDescent="0.55000000000000004">
      <c r="F135" s="49">
        <v>41122</v>
      </c>
      <c r="G135" s="52">
        <v>111.5</v>
      </c>
      <c r="J135" s="53">
        <v>91.380067101859481</v>
      </c>
      <c r="K135" s="53"/>
      <c r="L135" s="53">
        <v>91.380067101859481</v>
      </c>
      <c r="M135" s="53"/>
      <c r="N135" s="53"/>
      <c r="O135" s="53"/>
      <c r="P135" s="53"/>
      <c r="Q135" s="53"/>
      <c r="R135" s="53"/>
      <c r="S135" s="53"/>
      <c r="T135" s="53"/>
      <c r="U135" s="53"/>
    </row>
    <row r="136" spans="6:21" x14ac:dyDescent="0.55000000000000004">
      <c r="F136" s="49">
        <v>41153</v>
      </c>
      <c r="G136" s="52">
        <v>103.4</v>
      </c>
      <c r="J136" s="53">
        <v>91.3829093821074</v>
      </c>
      <c r="K136" s="53"/>
      <c r="L136" s="53">
        <v>91.3829093821074</v>
      </c>
      <c r="M136" s="53"/>
      <c r="N136" s="53"/>
      <c r="O136" s="53"/>
      <c r="P136" s="53"/>
      <c r="Q136" s="53"/>
      <c r="R136" s="53"/>
      <c r="S136" s="53"/>
      <c r="T136" s="53"/>
      <c r="U136" s="53"/>
    </row>
    <row r="137" spans="6:21" x14ac:dyDescent="0.55000000000000004">
      <c r="F137" s="49">
        <v>41183</v>
      </c>
      <c r="G137" s="52">
        <v>111.8</v>
      </c>
      <c r="J137" s="53">
        <v>91.385751662355318</v>
      </c>
      <c r="K137" s="53"/>
      <c r="L137" s="53">
        <v>91.385751662355318</v>
      </c>
      <c r="M137" s="53"/>
      <c r="N137" s="53"/>
      <c r="O137" s="53"/>
      <c r="P137" s="53"/>
      <c r="Q137" s="53"/>
      <c r="R137" s="53"/>
      <c r="S137" s="53"/>
      <c r="T137" s="53"/>
      <c r="U137" s="53"/>
    </row>
    <row r="138" spans="6:21" x14ac:dyDescent="0.55000000000000004">
      <c r="F138" s="49">
        <v>41214</v>
      </c>
      <c r="G138" s="52">
        <v>104.8</v>
      </c>
      <c r="J138" s="53">
        <v>91.388593942603237</v>
      </c>
      <c r="K138" s="53"/>
      <c r="L138" s="53">
        <v>91.388593942603237</v>
      </c>
      <c r="M138" s="53"/>
      <c r="N138" s="53"/>
      <c r="O138" s="53"/>
      <c r="P138" s="53"/>
      <c r="Q138" s="53"/>
      <c r="R138" s="53"/>
      <c r="S138" s="53"/>
      <c r="T138" s="53"/>
      <c r="U138" s="53"/>
    </row>
    <row r="139" spans="6:21" x14ac:dyDescent="0.55000000000000004">
      <c r="F139" s="49">
        <v>41244</v>
      </c>
      <c r="G139" s="52">
        <v>92.2</v>
      </c>
      <c r="J139" s="53">
        <v>91.391436222851169</v>
      </c>
      <c r="K139" s="53"/>
      <c r="L139" s="53">
        <v>91.391436222851169</v>
      </c>
      <c r="M139" s="53"/>
      <c r="N139" s="53"/>
      <c r="O139" s="53"/>
      <c r="P139" s="53"/>
      <c r="Q139" s="53"/>
      <c r="R139" s="53"/>
      <c r="S139" s="53"/>
      <c r="T139" s="53"/>
      <c r="U139" s="53"/>
    </row>
    <row r="140" spans="6:21" x14ac:dyDescent="0.55000000000000004">
      <c r="F140" s="49">
        <v>41275</v>
      </c>
      <c r="G140" s="52">
        <v>94.5</v>
      </c>
      <c r="J140" s="53">
        <v>91.394278503099088</v>
      </c>
      <c r="K140" s="53"/>
      <c r="L140" s="53">
        <v>91.394278503099088</v>
      </c>
      <c r="M140" s="53"/>
      <c r="N140" s="53"/>
      <c r="O140" s="53"/>
      <c r="P140" s="53"/>
      <c r="Q140" s="53"/>
      <c r="R140" s="53"/>
      <c r="S140" s="53"/>
      <c r="T140" s="53"/>
      <c r="U140" s="53"/>
    </row>
    <row r="141" spans="6:21" x14ac:dyDescent="0.55000000000000004">
      <c r="F141" s="49">
        <v>41306</v>
      </c>
      <c r="G141" s="52">
        <v>88.1</v>
      </c>
      <c r="J141" s="53">
        <v>91.397120783347006</v>
      </c>
      <c r="K141" s="53"/>
      <c r="L141" s="53">
        <v>91.397120783347006</v>
      </c>
      <c r="M141" s="53"/>
      <c r="N141" s="53"/>
      <c r="O141" s="53"/>
      <c r="P141" s="53"/>
      <c r="Q141" s="53"/>
      <c r="R141" s="53"/>
      <c r="S141" s="53"/>
      <c r="T141" s="53"/>
      <c r="U141" s="53"/>
    </row>
    <row r="142" spans="6:21" x14ac:dyDescent="0.55000000000000004">
      <c r="F142" s="49">
        <v>41334</v>
      </c>
      <c r="G142" s="52">
        <v>97.7</v>
      </c>
      <c r="J142" s="53">
        <v>91.399963063594925</v>
      </c>
      <c r="K142" s="53"/>
      <c r="L142" s="53">
        <v>91.399963063594925</v>
      </c>
      <c r="M142" s="53"/>
      <c r="N142" s="53"/>
      <c r="O142" s="53"/>
      <c r="P142" s="53"/>
      <c r="Q142" s="53"/>
      <c r="R142" s="53"/>
      <c r="S142" s="53"/>
      <c r="T142" s="53"/>
      <c r="U142" s="53"/>
    </row>
    <row r="143" spans="6:21" x14ac:dyDescent="0.55000000000000004">
      <c r="F143" s="49">
        <v>41365</v>
      </c>
      <c r="G143" s="52">
        <v>101.8</v>
      </c>
      <c r="J143" s="53">
        <v>91.402805343842843</v>
      </c>
      <c r="K143" s="53"/>
      <c r="L143" s="53">
        <v>91.402805343842843</v>
      </c>
      <c r="M143" s="53"/>
      <c r="N143" s="53"/>
      <c r="O143" s="53"/>
      <c r="P143" s="53"/>
      <c r="Q143" s="53"/>
      <c r="R143" s="53"/>
      <c r="S143" s="53"/>
      <c r="T143" s="53"/>
      <c r="U143" s="53"/>
    </row>
    <row r="144" spans="6:21" x14ac:dyDescent="0.55000000000000004">
      <c r="F144" s="49">
        <v>41395</v>
      </c>
      <c r="G144" s="52">
        <v>105</v>
      </c>
      <c r="J144" s="53">
        <v>91.405647624090761</v>
      </c>
      <c r="K144" s="53"/>
      <c r="L144" s="53">
        <v>91.405647624090761</v>
      </c>
      <c r="M144" s="53"/>
      <c r="N144" s="53"/>
      <c r="O144" s="53"/>
      <c r="P144" s="53"/>
      <c r="Q144" s="53"/>
      <c r="R144" s="53"/>
      <c r="S144" s="53"/>
      <c r="T144" s="53"/>
      <c r="U144" s="53"/>
    </row>
    <row r="145" spans="6:21" x14ac:dyDescent="0.55000000000000004">
      <c r="F145" s="49">
        <v>41426</v>
      </c>
      <c r="G145" s="52">
        <v>101.7</v>
      </c>
      <c r="J145" s="53">
        <v>91.408489904338694</v>
      </c>
      <c r="K145" s="53"/>
      <c r="L145" s="53">
        <v>91.408489904338694</v>
      </c>
      <c r="M145" s="53"/>
      <c r="N145" s="53"/>
      <c r="O145" s="53"/>
      <c r="P145" s="53"/>
      <c r="Q145" s="53"/>
      <c r="R145" s="53"/>
      <c r="S145" s="53"/>
      <c r="T145" s="53"/>
      <c r="U145" s="53"/>
    </row>
    <row r="146" spans="6:21" x14ac:dyDescent="0.55000000000000004">
      <c r="F146" s="49">
        <v>41456</v>
      </c>
      <c r="G146" s="52">
        <v>108</v>
      </c>
      <c r="J146" s="53">
        <v>91.411332184586612</v>
      </c>
      <c r="K146" s="53"/>
      <c r="L146" s="53">
        <v>91.411332184586612</v>
      </c>
      <c r="M146" s="53"/>
      <c r="N146" s="53"/>
      <c r="O146" s="53"/>
      <c r="P146" s="53"/>
      <c r="Q146" s="53"/>
      <c r="R146" s="53"/>
      <c r="S146" s="53"/>
      <c r="T146" s="53"/>
      <c r="U146" s="53"/>
    </row>
    <row r="147" spans="6:21" x14ac:dyDescent="0.55000000000000004">
      <c r="F147" s="49">
        <v>41487</v>
      </c>
      <c r="G147" s="52">
        <v>112</v>
      </c>
      <c r="J147" s="53">
        <v>91.414174464834531</v>
      </c>
      <c r="K147" s="53"/>
      <c r="L147" s="53">
        <v>91.414174464834531</v>
      </c>
      <c r="M147" s="53"/>
      <c r="N147" s="53"/>
      <c r="O147" s="53"/>
      <c r="P147" s="53"/>
      <c r="Q147" s="53"/>
      <c r="R147" s="53"/>
      <c r="S147" s="53"/>
      <c r="T147" s="53"/>
      <c r="U147" s="53"/>
    </row>
    <row r="148" spans="6:21" x14ac:dyDescent="0.55000000000000004">
      <c r="F148" s="49">
        <v>41518</v>
      </c>
      <c r="G148" s="52">
        <v>107.3</v>
      </c>
      <c r="J148" s="53">
        <v>91.417016745082449</v>
      </c>
      <c r="K148" s="53"/>
      <c r="L148" s="53">
        <v>91.417016745082449</v>
      </c>
      <c r="M148" s="53"/>
      <c r="N148" s="53"/>
      <c r="O148" s="53"/>
      <c r="P148" s="53"/>
      <c r="Q148" s="53"/>
      <c r="R148" s="53"/>
      <c r="S148" s="53"/>
      <c r="T148" s="53"/>
      <c r="U148" s="53"/>
    </row>
    <row r="149" spans="6:21" x14ac:dyDescent="0.55000000000000004">
      <c r="F149" s="49">
        <v>41548</v>
      </c>
      <c r="G149" s="52">
        <v>112.6</v>
      </c>
      <c r="J149" s="53">
        <v>91.419859025330368</v>
      </c>
      <c r="K149" s="53"/>
      <c r="L149" s="53">
        <v>91.419859025330368</v>
      </c>
      <c r="M149" s="53"/>
      <c r="N149" s="53"/>
      <c r="O149" s="53"/>
      <c r="P149" s="53"/>
      <c r="Q149" s="53"/>
      <c r="R149" s="53"/>
      <c r="S149" s="53"/>
      <c r="T149" s="53"/>
      <c r="U149" s="53"/>
    </row>
    <row r="150" spans="6:21" x14ac:dyDescent="0.55000000000000004">
      <c r="F150" s="49">
        <v>41579</v>
      </c>
      <c r="G150" s="52">
        <v>106.1</v>
      </c>
      <c r="J150" s="53">
        <v>91.422701305578286</v>
      </c>
      <c r="K150" s="53"/>
      <c r="L150" s="53">
        <v>91.422701305578286</v>
      </c>
      <c r="M150" s="53"/>
      <c r="N150" s="53"/>
      <c r="O150" s="53"/>
      <c r="P150" s="53"/>
      <c r="Q150" s="53"/>
      <c r="R150" s="53"/>
      <c r="S150" s="53"/>
      <c r="T150" s="53"/>
      <c r="U150" s="53"/>
    </row>
    <row r="151" spans="6:21" x14ac:dyDescent="0.55000000000000004">
      <c r="F151" s="49">
        <v>41609</v>
      </c>
      <c r="G151" s="52">
        <v>90.1</v>
      </c>
      <c r="J151" s="53">
        <v>91.425543585826205</v>
      </c>
      <c r="K151" s="53"/>
      <c r="L151" s="53">
        <v>91.425543585826205</v>
      </c>
      <c r="M151" s="53"/>
      <c r="N151" s="53"/>
      <c r="O151" s="53"/>
      <c r="P151" s="53"/>
      <c r="Q151" s="53"/>
      <c r="R151" s="53"/>
      <c r="S151" s="53"/>
      <c r="T151" s="53"/>
      <c r="U151" s="53"/>
    </row>
    <row r="152" spans="6:21" x14ac:dyDescent="0.55000000000000004">
      <c r="F152" s="49">
        <v>41640</v>
      </c>
      <c r="G152" s="52">
        <v>92.6</v>
      </c>
      <c r="J152" s="53">
        <v>91.428385866074137</v>
      </c>
      <c r="K152" s="53"/>
      <c r="L152" s="53">
        <v>91.428385866074137</v>
      </c>
      <c r="M152" s="53"/>
      <c r="N152" s="53"/>
      <c r="O152" s="53"/>
      <c r="P152" s="53"/>
      <c r="Q152" s="53"/>
      <c r="R152" s="53"/>
      <c r="S152" s="53"/>
      <c r="T152" s="53"/>
      <c r="U152" s="53"/>
    </row>
    <row r="153" spans="6:21" x14ac:dyDescent="0.55000000000000004">
      <c r="F153" s="49">
        <v>41671</v>
      </c>
      <c r="G153" s="52">
        <v>92.3</v>
      </c>
      <c r="J153" s="53">
        <v>91.431228146322056</v>
      </c>
      <c r="K153" s="53"/>
      <c r="L153" s="53">
        <v>91.431228146322056</v>
      </c>
      <c r="M153" s="53"/>
      <c r="N153" s="53"/>
      <c r="O153" s="53"/>
      <c r="P153" s="53"/>
      <c r="Q153" s="53"/>
      <c r="R153" s="53"/>
      <c r="S153" s="53"/>
      <c r="T153" s="53"/>
      <c r="U153" s="53"/>
    </row>
    <row r="154" spans="6:21" x14ac:dyDescent="0.55000000000000004">
      <c r="F154" s="49">
        <v>41699</v>
      </c>
      <c r="G154" s="52">
        <v>97.3</v>
      </c>
      <c r="J154" s="53">
        <v>91.434070426569974</v>
      </c>
      <c r="K154" s="53"/>
      <c r="L154" s="53">
        <v>91.434070426569974</v>
      </c>
      <c r="M154" s="53"/>
      <c r="N154" s="53"/>
      <c r="O154" s="53"/>
      <c r="P154" s="53"/>
      <c r="Q154" s="53"/>
      <c r="R154" s="53"/>
      <c r="S154" s="53"/>
      <c r="T154" s="53"/>
      <c r="U154" s="53"/>
    </row>
    <row r="155" spans="6:21" x14ac:dyDescent="0.55000000000000004">
      <c r="F155" s="49">
        <v>41730</v>
      </c>
      <c r="G155" s="52">
        <v>96</v>
      </c>
      <c r="J155" s="53">
        <v>91.436912706817893</v>
      </c>
      <c r="K155" s="53"/>
      <c r="L155" s="53">
        <v>91.436912706817893</v>
      </c>
      <c r="M155" s="53"/>
      <c r="N155" s="53"/>
      <c r="O155" s="53"/>
      <c r="P155" s="53"/>
      <c r="Q155" s="53"/>
      <c r="R155" s="53"/>
      <c r="S155" s="53"/>
      <c r="T155" s="53"/>
      <c r="U155" s="53"/>
    </row>
    <row r="156" spans="6:21" x14ac:dyDescent="0.55000000000000004">
      <c r="F156" s="49">
        <v>41760</v>
      </c>
      <c r="G156" s="52">
        <v>101.7</v>
      </c>
      <c r="J156" s="53">
        <v>91.439754987065811</v>
      </c>
      <c r="K156" s="53"/>
      <c r="L156" s="53">
        <v>91.439754987065811</v>
      </c>
      <c r="M156" s="53"/>
      <c r="N156" s="53"/>
      <c r="O156" s="53"/>
      <c r="P156" s="53"/>
      <c r="Q156" s="53"/>
      <c r="R156" s="53"/>
      <c r="S156" s="53"/>
      <c r="T156" s="53"/>
      <c r="U156" s="53"/>
    </row>
    <row r="157" spans="6:21" x14ac:dyDescent="0.55000000000000004">
      <c r="F157" s="49">
        <v>41791</v>
      </c>
      <c r="G157" s="52">
        <v>94.9</v>
      </c>
      <c r="J157" s="53">
        <v>91.44259726731373</v>
      </c>
      <c r="K157" s="53"/>
      <c r="L157" s="53">
        <v>91.44259726731373</v>
      </c>
      <c r="M157" s="53"/>
      <c r="N157" s="53"/>
      <c r="O157" s="53"/>
      <c r="P157" s="53"/>
      <c r="Q157" s="53"/>
      <c r="R157" s="53"/>
      <c r="S157" s="53"/>
      <c r="T157" s="53"/>
      <c r="U157" s="53"/>
    </row>
    <row r="158" spans="6:21" x14ac:dyDescent="0.55000000000000004">
      <c r="F158" s="49">
        <v>41821</v>
      </c>
      <c r="G158" s="52">
        <v>104.4</v>
      </c>
      <c r="J158" s="53">
        <v>91.445439547561662</v>
      </c>
      <c r="K158" s="53"/>
      <c r="L158" s="53">
        <v>91.445439547561662</v>
      </c>
      <c r="M158" s="53"/>
      <c r="N158" s="53"/>
      <c r="O158" s="53"/>
      <c r="P158" s="53"/>
      <c r="Q158" s="53"/>
      <c r="R158" s="53"/>
      <c r="S158" s="53"/>
      <c r="T158" s="53"/>
      <c r="U158" s="53"/>
    </row>
    <row r="159" spans="6:21" x14ac:dyDescent="0.55000000000000004">
      <c r="F159" s="49">
        <v>41852</v>
      </c>
      <c r="G159" s="52">
        <v>106.3</v>
      </c>
      <c r="J159" s="53">
        <v>91.448281827809581</v>
      </c>
      <c r="K159" s="53"/>
      <c r="L159" s="53">
        <v>91.448281827809581</v>
      </c>
      <c r="M159" s="53"/>
      <c r="N159" s="53"/>
      <c r="O159" s="53"/>
      <c r="P159" s="53"/>
      <c r="Q159" s="53"/>
      <c r="R159" s="53"/>
      <c r="S159" s="53"/>
      <c r="T159" s="53"/>
      <c r="U159" s="53"/>
    </row>
    <row r="160" spans="6:21" x14ac:dyDescent="0.55000000000000004">
      <c r="F160" s="49">
        <v>41883</v>
      </c>
      <c r="G160" s="52">
        <v>105.6</v>
      </c>
      <c r="J160" s="53">
        <v>91.451124108057499</v>
      </c>
      <c r="K160" s="53"/>
      <c r="L160" s="53">
        <v>91.451124108057499</v>
      </c>
      <c r="M160" s="53"/>
      <c r="N160" s="53"/>
      <c r="O160" s="53"/>
      <c r="P160" s="53"/>
      <c r="Q160" s="53"/>
      <c r="R160" s="53"/>
      <c r="S160" s="53"/>
      <c r="T160" s="53"/>
      <c r="U160" s="53"/>
    </row>
    <row r="161" spans="6:21" x14ac:dyDescent="0.55000000000000004">
      <c r="F161" s="49">
        <v>41913</v>
      </c>
      <c r="G161" s="52">
        <v>109.3</v>
      </c>
      <c r="J161" s="53">
        <v>91.453966388305417</v>
      </c>
      <c r="K161" s="53"/>
      <c r="L161" s="53">
        <v>91.453966388305417</v>
      </c>
      <c r="M161" s="53"/>
      <c r="N161" s="53"/>
      <c r="O161" s="53"/>
      <c r="P161" s="53"/>
      <c r="Q161" s="53"/>
      <c r="R161" s="53"/>
      <c r="S161" s="53"/>
      <c r="T161" s="53"/>
      <c r="U161" s="53"/>
    </row>
    <row r="162" spans="6:21" x14ac:dyDescent="0.55000000000000004">
      <c r="F162" s="49">
        <v>41944</v>
      </c>
      <c r="G162" s="52">
        <v>99.8</v>
      </c>
      <c r="J162" s="53">
        <v>91.456808668553336</v>
      </c>
      <c r="K162" s="53"/>
      <c r="L162" s="53">
        <v>91.456808668553336</v>
      </c>
      <c r="M162" s="53"/>
      <c r="N162" s="53"/>
      <c r="O162" s="53"/>
      <c r="P162" s="53"/>
      <c r="Q162" s="53"/>
      <c r="R162" s="53"/>
      <c r="S162" s="53"/>
      <c r="T162" s="53"/>
      <c r="U162" s="53"/>
    </row>
    <row r="163" spans="6:21" x14ac:dyDescent="0.55000000000000004">
      <c r="F163" s="49">
        <v>41974</v>
      </c>
      <c r="G163" s="52">
        <v>87.7</v>
      </c>
      <c r="J163" s="53">
        <v>91.459650948801254</v>
      </c>
      <c r="K163" s="53"/>
      <c r="L163" s="53">
        <v>91.459650948801254</v>
      </c>
      <c r="M163" s="53"/>
      <c r="N163" s="53"/>
      <c r="O163" s="53"/>
      <c r="P163" s="53"/>
      <c r="Q163" s="53"/>
      <c r="R163" s="53"/>
      <c r="S163" s="53"/>
      <c r="T163" s="53"/>
      <c r="U163" s="53"/>
    </row>
    <row r="164" spans="6:21" x14ac:dyDescent="0.55000000000000004">
      <c r="F164" s="49">
        <v>42005</v>
      </c>
      <c r="G164" s="52">
        <v>88.1</v>
      </c>
      <c r="J164" s="53">
        <v>91.462493229049187</v>
      </c>
      <c r="K164" s="53"/>
      <c r="L164" s="53">
        <v>91.462493229049187</v>
      </c>
      <c r="M164" s="53"/>
      <c r="N164" s="53"/>
      <c r="O164" s="53"/>
      <c r="P164" s="53"/>
      <c r="Q164" s="53"/>
      <c r="R164" s="53"/>
      <c r="S164" s="53"/>
      <c r="T164" s="53"/>
      <c r="U164" s="53"/>
    </row>
    <row r="165" spans="6:21" x14ac:dyDescent="0.55000000000000004">
      <c r="F165" s="49">
        <v>42036</v>
      </c>
      <c r="G165" s="52">
        <v>83.7</v>
      </c>
      <c r="J165" s="53">
        <v>91.465335509297105</v>
      </c>
      <c r="K165" s="53"/>
      <c r="L165" s="53">
        <v>91.465335509297105</v>
      </c>
      <c r="M165" s="53"/>
      <c r="N165" s="53"/>
      <c r="O165" s="53"/>
      <c r="P165" s="53"/>
      <c r="Q165" s="53"/>
      <c r="R165" s="53"/>
      <c r="S165" s="53"/>
      <c r="T165" s="53"/>
      <c r="U165" s="53"/>
    </row>
    <row r="166" spans="6:21" x14ac:dyDescent="0.55000000000000004">
      <c r="F166" s="49">
        <v>42064</v>
      </c>
      <c r="G166" s="52">
        <v>94.3</v>
      </c>
      <c r="J166" s="53">
        <v>91.468177789545024</v>
      </c>
      <c r="K166" s="53"/>
      <c r="L166" s="53">
        <v>91.468177789545024</v>
      </c>
      <c r="M166" s="53"/>
      <c r="N166" s="53"/>
      <c r="O166" s="53"/>
      <c r="P166" s="53"/>
      <c r="Q166" s="53"/>
      <c r="R166" s="53"/>
      <c r="S166" s="53"/>
      <c r="T166" s="53"/>
      <c r="U166" s="53"/>
    </row>
    <row r="167" spans="6:21" x14ac:dyDescent="0.55000000000000004">
      <c r="F167" s="49">
        <v>42095</v>
      </c>
      <c r="G167" s="52">
        <v>88.8</v>
      </c>
      <c r="J167" s="53">
        <v>91.471020069792942</v>
      </c>
      <c r="K167" s="53"/>
      <c r="L167" s="53">
        <v>91.471020069792942</v>
      </c>
      <c r="M167" s="53"/>
      <c r="N167" s="53"/>
      <c r="O167" s="53"/>
      <c r="P167" s="53"/>
      <c r="Q167" s="53"/>
      <c r="R167" s="53"/>
      <c r="S167" s="53"/>
      <c r="T167" s="53"/>
      <c r="U167" s="53"/>
    </row>
    <row r="168" spans="6:21" x14ac:dyDescent="0.55000000000000004">
      <c r="F168" s="49">
        <v>42125</v>
      </c>
      <c r="G168" s="52">
        <v>93.1</v>
      </c>
      <c r="J168" s="53">
        <v>91.473862350040861</v>
      </c>
      <c r="K168" s="53"/>
      <c r="L168" s="53">
        <v>91.473862350040861</v>
      </c>
      <c r="M168" s="53"/>
      <c r="N168" s="53"/>
      <c r="O168" s="53"/>
      <c r="P168" s="53"/>
      <c r="Q168" s="53"/>
      <c r="R168" s="53"/>
      <c r="S168" s="53"/>
      <c r="T168" s="53"/>
      <c r="U168" s="53"/>
    </row>
    <row r="169" spans="6:21" x14ac:dyDescent="0.55000000000000004">
      <c r="F169" s="49">
        <v>42156</v>
      </c>
      <c r="G169" s="52">
        <v>92.5</v>
      </c>
      <c r="J169" s="53">
        <v>91.476704630288779</v>
      </c>
      <c r="K169" s="53"/>
      <c r="L169" s="53">
        <v>91.476704630288779</v>
      </c>
      <c r="M169" s="53"/>
      <c r="N169" s="53"/>
      <c r="O169" s="53"/>
      <c r="P169" s="53"/>
      <c r="Q169" s="53"/>
      <c r="R169" s="53"/>
      <c r="S169" s="53"/>
      <c r="T169" s="53"/>
      <c r="U169" s="53"/>
    </row>
    <row r="170" spans="6:21" x14ac:dyDescent="0.55000000000000004">
      <c r="F170" s="49">
        <v>42186</v>
      </c>
      <c r="G170" s="52">
        <v>95.5</v>
      </c>
      <c r="J170" s="53">
        <v>91.479546910536698</v>
      </c>
      <c r="K170" s="53"/>
      <c r="L170" s="53">
        <v>91.479546910536698</v>
      </c>
      <c r="M170" s="53"/>
      <c r="N170" s="53"/>
      <c r="O170" s="53"/>
      <c r="P170" s="53"/>
      <c r="Q170" s="53"/>
      <c r="R170" s="53"/>
      <c r="S170" s="53"/>
      <c r="T170" s="53"/>
      <c r="U170" s="53"/>
    </row>
    <row r="171" spans="6:21" x14ac:dyDescent="0.55000000000000004">
      <c r="F171" s="49">
        <v>42217</v>
      </c>
      <c r="G171" s="52">
        <v>97.6</v>
      </c>
      <c r="J171" s="53">
        <v>91.48238919078463</v>
      </c>
      <c r="K171" s="53"/>
      <c r="L171" s="53">
        <v>91.48238919078463</v>
      </c>
      <c r="M171" s="53"/>
      <c r="N171" s="53"/>
      <c r="O171" s="53"/>
      <c r="P171" s="53"/>
      <c r="Q171" s="53"/>
      <c r="R171" s="53"/>
      <c r="S171" s="53"/>
      <c r="T171" s="53"/>
      <c r="U171" s="53"/>
    </row>
    <row r="172" spans="6:21" x14ac:dyDescent="0.55000000000000004">
      <c r="F172" s="49">
        <v>42248</v>
      </c>
      <c r="G172" s="52">
        <v>94.3</v>
      </c>
      <c r="J172" s="53">
        <v>91.485231471032549</v>
      </c>
      <c r="K172" s="53"/>
      <c r="L172" s="53">
        <v>91.485231471032549</v>
      </c>
      <c r="M172" s="53"/>
      <c r="N172" s="53"/>
      <c r="O172" s="53"/>
      <c r="P172" s="53"/>
      <c r="Q172" s="53"/>
      <c r="R172" s="53"/>
      <c r="S172" s="53"/>
      <c r="T172" s="53"/>
      <c r="U172" s="53"/>
    </row>
    <row r="173" spans="6:21" x14ac:dyDescent="0.55000000000000004">
      <c r="F173" s="49">
        <v>42278</v>
      </c>
      <c r="G173" s="52">
        <v>97.2</v>
      </c>
      <c r="J173" s="53">
        <v>91.488073751280467</v>
      </c>
      <c r="K173" s="53"/>
      <c r="L173" s="53">
        <v>91.488073751280467</v>
      </c>
      <c r="M173" s="53"/>
      <c r="N173" s="53"/>
      <c r="O173" s="53"/>
      <c r="P173" s="53"/>
      <c r="Q173" s="53"/>
      <c r="R173" s="53"/>
      <c r="S173" s="53"/>
      <c r="T173" s="53"/>
      <c r="U173" s="53"/>
    </row>
    <row r="174" spans="6:21" x14ac:dyDescent="0.55000000000000004">
      <c r="F174" s="49">
        <v>42309</v>
      </c>
      <c r="G174" s="52">
        <v>87.6</v>
      </c>
      <c r="J174" s="53">
        <v>91.490916031528386</v>
      </c>
      <c r="K174" s="53"/>
      <c r="L174" s="53">
        <v>91.490916031528386</v>
      </c>
      <c r="M174" s="53"/>
      <c r="N174" s="53"/>
      <c r="O174" s="53"/>
      <c r="P174" s="53"/>
      <c r="Q174" s="53"/>
      <c r="R174" s="53"/>
      <c r="S174" s="53"/>
      <c r="T174" s="53"/>
      <c r="U174" s="53"/>
    </row>
    <row r="175" spans="6:21" x14ac:dyDescent="0.55000000000000004">
      <c r="F175" s="49">
        <v>42339</v>
      </c>
      <c r="G175" s="52">
        <v>77.2</v>
      </c>
      <c r="J175" s="53">
        <v>91.493758311776304</v>
      </c>
      <c r="K175" s="53"/>
      <c r="L175" s="53">
        <v>91.493758311776304</v>
      </c>
      <c r="M175" s="53"/>
      <c r="N175" s="53"/>
      <c r="O175" s="53"/>
      <c r="P175" s="53"/>
      <c r="Q175" s="53"/>
      <c r="R175" s="53"/>
      <c r="S175" s="53"/>
      <c r="T175" s="53"/>
      <c r="U175" s="53"/>
    </row>
    <row r="176" spans="6:21" x14ac:dyDescent="0.55000000000000004">
      <c r="F176" s="49">
        <v>42370</v>
      </c>
      <c r="G176" s="52">
        <v>76.3</v>
      </c>
      <c r="J176" s="53">
        <v>91.496600592024222</v>
      </c>
      <c r="K176" s="53"/>
      <c r="L176" s="53">
        <v>91.496600592024222</v>
      </c>
      <c r="M176" s="53"/>
      <c r="N176" s="53"/>
      <c r="O176" s="53"/>
      <c r="P176" s="53"/>
      <c r="Q176" s="53"/>
      <c r="R176" s="53"/>
      <c r="S176" s="53"/>
      <c r="T176" s="53"/>
      <c r="U176" s="53"/>
    </row>
    <row r="177" spans="6:21" x14ac:dyDescent="0.55000000000000004">
      <c r="F177" s="49">
        <v>42401</v>
      </c>
      <c r="G177" s="52">
        <v>75.8</v>
      </c>
      <c r="J177" s="53">
        <v>91.499442872272155</v>
      </c>
      <c r="K177" s="53"/>
      <c r="L177" s="53">
        <v>91.499442872272155</v>
      </c>
      <c r="M177" s="53"/>
      <c r="N177" s="53"/>
      <c r="O177" s="53"/>
      <c r="P177" s="53"/>
      <c r="Q177" s="53"/>
      <c r="R177" s="53"/>
      <c r="S177" s="53"/>
      <c r="T177" s="53"/>
      <c r="U177" s="53"/>
    </row>
    <row r="178" spans="6:21" x14ac:dyDescent="0.55000000000000004">
      <c r="F178" s="49">
        <v>42430</v>
      </c>
      <c r="G178" s="52">
        <v>83.7</v>
      </c>
      <c r="J178" s="53">
        <v>91.502285152520074</v>
      </c>
      <c r="K178" s="53"/>
      <c r="L178" s="53">
        <v>91.502285152520074</v>
      </c>
      <c r="M178" s="53"/>
      <c r="N178" s="53"/>
      <c r="O178" s="53"/>
      <c r="P178" s="53"/>
      <c r="Q178" s="53"/>
      <c r="R178" s="53"/>
      <c r="S178" s="53"/>
      <c r="T178" s="53"/>
      <c r="U178" s="53"/>
    </row>
    <row r="179" spans="6:21" x14ac:dyDescent="0.55000000000000004">
      <c r="F179" s="49">
        <v>42461</v>
      </c>
      <c r="G179" s="52">
        <v>83</v>
      </c>
      <c r="J179" s="53">
        <v>91.505127432767992</v>
      </c>
      <c r="K179" s="53"/>
      <c r="L179" s="53">
        <v>91.505127432767992</v>
      </c>
      <c r="M179" s="53"/>
      <c r="N179" s="53"/>
      <c r="O179" s="53"/>
      <c r="P179" s="53"/>
      <c r="Q179" s="53"/>
      <c r="R179" s="53"/>
      <c r="S179" s="53"/>
      <c r="T179" s="53"/>
      <c r="U179" s="53"/>
    </row>
    <row r="180" spans="6:21" x14ac:dyDescent="0.55000000000000004">
      <c r="F180" s="49">
        <v>42491</v>
      </c>
      <c r="G180" s="52">
        <v>86.3</v>
      </c>
      <c r="J180" s="53">
        <v>91.50796971301591</v>
      </c>
      <c r="K180" s="53"/>
      <c r="L180" s="53">
        <v>91.50796971301591</v>
      </c>
      <c r="M180" s="53"/>
      <c r="N180" s="53"/>
      <c r="O180" s="53"/>
      <c r="P180" s="53"/>
      <c r="Q180" s="53"/>
      <c r="R180" s="53"/>
      <c r="S180" s="53"/>
      <c r="T180" s="53"/>
      <c r="U180" s="53"/>
    </row>
    <row r="181" spans="6:21" x14ac:dyDescent="0.55000000000000004">
      <c r="F181" s="49">
        <v>42522</v>
      </c>
      <c r="G181" s="52">
        <v>87.7</v>
      </c>
      <c r="J181" s="53">
        <v>91.510811993263829</v>
      </c>
      <c r="K181" s="53"/>
      <c r="L181" s="53">
        <v>91.510811993263829</v>
      </c>
      <c r="M181" s="53"/>
      <c r="N181" s="53"/>
      <c r="O181" s="53"/>
      <c r="P181" s="53"/>
      <c r="Q181" s="53"/>
      <c r="R181" s="53"/>
      <c r="S181" s="53"/>
      <c r="T181" s="53"/>
      <c r="U181" s="53"/>
    </row>
    <row r="182" spans="6:21" x14ac:dyDescent="0.55000000000000004">
      <c r="F182" s="49">
        <v>42552</v>
      </c>
      <c r="G182" s="52">
        <v>89.6</v>
      </c>
      <c r="J182" s="53">
        <v>91.513654273511747</v>
      </c>
      <c r="K182" s="53"/>
      <c r="L182" s="53">
        <v>91.513654273511747</v>
      </c>
      <c r="M182" s="53"/>
      <c r="N182" s="53"/>
      <c r="O182" s="53"/>
      <c r="P182" s="53"/>
      <c r="Q182" s="53"/>
      <c r="R182" s="53"/>
      <c r="S182" s="53"/>
      <c r="T182" s="53"/>
      <c r="U182" s="53"/>
    </row>
    <row r="183" spans="6:21" x14ac:dyDescent="0.55000000000000004">
      <c r="F183" s="49">
        <v>42583</v>
      </c>
      <c r="G183" s="52">
        <v>93</v>
      </c>
      <c r="J183" s="53">
        <v>91.51649655375968</v>
      </c>
      <c r="K183" s="53"/>
      <c r="L183" s="53">
        <v>91.51649655375968</v>
      </c>
      <c r="M183" s="53"/>
      <c r="N183" s="53"/>
      <c r="O183" s="53"/>
      <c r="P183" s="53"/>
      <c r="Q183" s="53"/>
      <c r="R183" s="53"/>
      <c r="S183" s="53"/>
      <c r="T183" s="53"/>
      <c r="U183" s="53"/>
    </row>
    <row r="184" spans="6:21" x14ac:dyDescent="0.55000000000000004">
      <c r="F184" s="49">
        <v>42614</v>
      </c>
      <c r="G184" s="52">
        <v>90.7</v>
      </c>
      <c r="J184" s="53">
        <v>91.519338834007598</v>
      </c>
      <c r="K184" s="53"/>
      <c r="L184" s="53">
        <v>91.519338834007598</v>
      </c>
      <c r="M184" s="53"/>
      <c r="N184" s="53"/>
      <c r="O184" s="53"/>
      <c r="P184" s="53"/>
      <c r="Q184" s="53"/>
      <c r="R184" s="53"/>
      <c r="S184" s="53"/>
      <c r="T184" s="53"/>
      <c r="U184" s="53"/>
    </row>
    <row r="185" spans="6:21" x14ac:dyDescent="0.55000000000000004">
      <c r="F185" s="49">
        <v>42644</v>
      </c>
      <c r="G185" s="52">
        <v>90.2</v>
      </c>
      <c r="J185" s="53">
        <v>91.522181114255517</v>
      </c>
      <c r="K185" s="53"/>
      <c r="L185" s="53">
        <v>91.522181114255517</v>
      </c>
      <c r="M185" s="53"/>
      <c r="N185" s="53"/>
      <c r="O185" s="53"/>
      <c r="P185" s="53"/>
      <c r="Q185" s="53"/>
      <c r="R185" s="53"/>
      <c r="S185" s="53"/>
      <c r="T185" s="53"/>
      <c r="U185" s="53"/>
    </row>
    <row r="186" spans="6:21" x14ac:dyDescent="0.55000000000000004">
      <c r="F186" s="49">
        <v>42675</v>
      </c>
      <c r="G186" s="52">
        <v>86.5</v>
      </c>
      <c r="J186" s="53">
        <v>91.525023394503435</v>
      </c>
      <c r="K186" s="53"/>
      <c r="L186" s="53">
        <v>91.525023394503435</v>
      </c>
      <c r="M186" s="53"/>
      <c r="N186" s="53"/>
      <c r="O186" s="53"/>
      <c r="P186" s="53"/>
      <c r="Q186" s="53"/>
      <c r="R186" s="53"/>
      <c r="S186" s="53"/>
      <c r="T186" s="53"/>
      <c r="U186" s="53"/>
    </row>
    <row r="187" spans="6:21" x14ac:dyDescent="0.55000000000000004">
      <c r="F187" s="49">
        <v>42705</v>
      </c>
      <c r="G187" s="52">
        <v>77.2</v>
      </c>
      <c r="J187" s="53">
        <v>91.527865674751354</v>
      </c>
      <c r="K187" s="53"/>
      <c r="L187" s="53">
        <v>91.527865674751354</v>
      </c>
      <c r="M187" s="53"/>
      <c r="N187" s="53"/>
      <c r="O187" s="53"/>
      <c r="P187" s="53"/>
      <c r="Q187" s="53"/>
      <c r="R187" s="53"/>
      <c r="S187" s="53"/>
      <c r="T187" s="53"/>
      <c r="U187" s="53"/>
    </row>
    <row r="188" spans="6:21" x14ac:dyDescent="0.55000000000000004">
      <c r="F188" s="49">
        <v>42736</v>
      </c>
      <c r="G188" s="52">
        <v>77.900000000000006</v>
      </c>
      <c r="J188" s="53">
        <v>91.530707954999272</v>
      </c>
      <c r="K188" s="53"/>
      <c r="L188" s="53">
        <v>91.530707954999272</v>
      </c>
      <c r="M188" s="53"/>
      <c r="N188" s="53"/>
      <c r="O188" s="53"/>
      <c r="P188" s="53"/>
      <c r="Q188" s="53"/>
      <c r="R188" s="53"/>
      <c r="S188" s="53"/>
      <c r="T188" s="53"/>
      <c r="U188" s="53"/>
    </row>
    <row r="189" spans="6:21" x14ac:dyDescent="0.55000000000000004">
      <c r="F189" s="49">
        <v>42767</v>
      </c>
      <c r="G189" s="52">
        <v>75.900000000000006</v>
      </c>
      <c r="J189" s="53">
        <v>91.533550235247191</v>
      </c>
      <c r="K189" s="53"/>
      <c r="L189" s="53">
        <v>91.533550235247191</v>
      </c>
      <c r="M189" s="53"/>
      <c r="N189" s="53"/>
      <c r="O189" s="53"/>
      <c r="P189" s="53"/>
      <c r="Q189" s="53"/>
      <c r="R189" s="53"/>
      <c r="S189" s="53"/>
      <c r="T189" s="53"/>
      <c r="U189" s="53"/>
    </row>
    <row r="190" spans="6:21" x14ac:dyDescent="0.55000000000000004">
      <c r="F190" s="49">
        <v>42795</v>
      </c>
      <c r="G190" s="52">
        <v>85.4</v>
      </c>
      <c r="J190" s="53">
        <v>91.536392515495123</v>
      </c>
      <c r="K190" s="53"/>
      <c r="L190" s="53">
        <v>91.536392515495123</v>
      </c>
      <c r="M190" s="53"/>
      <c r="N190" s="53"/>
      <c r="O190" s="53"/>
      <c r="P190" s="53"/>
      <c r="Q190" s="53"/>
      <c r="R190" s="53"/>
      <c r="S190" s="53"/>
      <c r="T190" s="53"/>
      <c r="U190" s="53"/>
    </row>
    <row r="191" spans="6:21" x14ac:dyDescent="0.55000000000000004">
      <c r="F191" s="49">
        <v>42826</v>
      </c>
      <c r="G191" s="52">
        <v>79.3</v>
      </c>
      <c r="J191" s="53">
        <v>91.539234795743042</v>
      </c>
      <c r="K191" s="53"/>
      <c r="L191" s="53">
        <v>91.539234795743042</v>
      </c>
      <c r="M191" s="53"/>
      <c r="N191" s="53"/>
      <c r="O191" s="53"/>
      <c r="P191" s="53"/>
      <c r="Q191" s="53"/>
      <c r="R191" s="53"/>
      <c r="S191" s="53"/>
      <c r="T191" s="53"/>
      <c r="U191" s="53"/>
    </row>
    <row r="192" spans="6:21" x14ac:dyDescent="0.55000000000000004">
      <c r="F192" s="49">
        <v>42856</v>
      </c>
      <c r="G192" s="52">
        <v>90.1</v>
      </c>
      <c r="J192" s="53">
        <v>91.54207707599096</v>
      </c>
      <c r="K192" s="53"/>
      <c r="L192" s="53">
        <v>91.54207707599096</v>
      </c>
      <c r="M192" s="53"/>
      <c r="N192" s="53"/>
      <c r="O192" s="53"/>
      <c r="P192" s="53"/>
      <c r="Q192" s="53"/>
      <c r="R192" s="53"/>
      <c r="S192" s="53"/>
      <c r="T192" s="53"/>
      <c r="U192" s="53"/>
    </row>
    <row r="193" spans="6:21" x14ac:dyDescent="0.55000000000000004">
      <c r="F193" s="49">
        <v>42887</v>
      </c>
      <c r="G193" s="52">
        <v>88.4</v>
      </c>
      <c r="J193" s="53">
        <v>91.544919356238879</v>
      </c>
      <c r="K193" s="53"/>
      <c r="L193" s="53">
        <v>91.544919356238879</v>
      </c>
      <c r="M193" s="53"/>
      <c r="N193" s="53"/>
      <c r="O193" s="53"/>
      <c r="P193" s="53"/>
      <c r="Q193" s="53"/>
      <c r="R193" s="53"/>
      <c r="S193" s="53"/>
      <c r="T193" s="53"/>
      <c r="U193" s="53"/>
    </row>
    <row r="194" spans="6:21" x14ac:dyDescent="0.55000000000000004">
      <c r="F194" s="49">
        <v>42917</v>
      </c>
      <c r="G194" s="52">
        <v>92.1</v>
      </c>
      <c r="J194" s="53">
        <v>91.547761636486797</v>
      </c>
      <c r="K194" s="53"/>
      <c r="L194" s="53">
        <v>91.547761636486797</v>
      </c>
      <c r="M194" s="53"/>
      <c r="N194" s="53"/>
      <c r="O194" s="53"/>
      <c r="P194" s="53"/>
      <c r="Q194" s="53"/>
      <c r="R194" s="53"/>
      <c r="S194" s="53"/>
      <c r="T194" s="53"/>
      <c r="U194" s="53"/>
    </row>
    <row r="195" spans="6:21" x14ac:dyDescent="0.55000000000000004">
      <c r="F195" s="49">
        <v>42948</v>
      </c>
      <c r="G195" s="52">
        <v>96.7</v>
      </c>
      <c r="J195" s="53">
        <v>91.550603916734715</v>
      </c>
      <c r="K195" s="53"/>
      <c r="L195" s="53">
        <v>91.550603916734715</v>
      </c>
      <c r="M195" s="53"/>
      <c r="N195" s="53"/>
      <c r="O195" s="53"/>
      <c r="P195" s="53"/>
      <c r="Q195" s="53"/>
      <c r="R195" s="53"/>
      <c r="S195" s="53"/>
      <c r="T195" s="53"/>
      <c r="U195" s="53"/>
    </row>
    <row r="196" spans="6:21" x14ac:dyDescent="0.55000000000000004">
      <c r="F196" s="49">
        <v>42979</v>
      </c>
      <c r="G196" s="52">
        <v>93</v>
      </c>
      <c r="J196" s="53">
        <v>91.553446196982648</v>
      </c>
      <c r="K196" s="53"/>
      <c r="L196" s="53">
        <v>91.553446196982648</v>
      </c>
      <c r="M196" s="53"/>
      <c r="N196" s="53"/>
      <c r="O196" s="53"/>
      <c r="P196" s="53"/>
      <c r="Q196" s="53"/>
      <c r="R196" s="53"/>
      <c r="S196" s="53"/>
      <c r="T196" s="53"/>
      <c r="U196" s="53"/>
    </row>
    <row r="197" spans="6:21" x14ac:dyDescent="0.55000000000000004">
      <c r="F197" s="49">
        <v>43009</v>
      </c>
      <c r="G197" s="52">
        <v>95.1</v>
      </c>
      <c r="J197" s="53">
        <v>91.556288477230567</v>
      </c>
      <c r="K197" s="53"/>
      <c r="L197" s="53">
        <v>91.556288477230567</v>
      </c>
      <c r="M197" s="53"/>
      <c r="N197" s="53"/>
      <c r="O197" s="53"/>
      <c r="P197" s="53"/>
      <c r="Q197" s="53"/>
      <c r="R197" s="53"/>
      <c r="S197" s="53"/>
      <c r="T197" s="53"/>
      <c r="U197" s="53"/>
    </row>
    <row r="198" spans="6:21" x14ac:dyDescent="0.55000000000000004">
      <c r="F198" s="49">
        <v>43040</v>
      </c>
      <c r="G198" s="52">
        <v>90.6</v>
      </c>
      <c r="J198" s="53">
        <v>91.559130757478485</v>
      </c>
      <c r="K198" s="53"/>
      <c r="L198" s="53">
        <v>91.559130757478485</v>
      </c>
      <c r="M198" s="53"/>
      <c r="N198" s="53"/>
      <c r="O198" s="53"/>
      <c r="P198" s="53"/>
      <c r="Q198" s="53"/>
      <c r="R198" s="53"/>
      <c r="S198" s="53"/>
      <c r="T198" s="53"/>
      <c r="U198" s="53"/>
    </row>
    <row r="199" spans="6:21" x14ac:dyDescent="0.55000000000000004">
      <c r="F199" s="49">
        <v>43070</v>
      </c>
      <c r="G199" s="52">
        <v>81</v>
      </c>
      <c r="J199" s="53">
        <v>91.561973037726403</v>
      </c>
      <c r="K199" s="53"/>
      <c r="L199" s="53">
        <v>91.561973037726403</v>
      </c>
      <c r="M199" s="53"/>
      <c r="N199" s="53"/>
      <c r="O199" s="53"/>
      <c r="P199" s="53"/>
      <c r="Q199" s="53"/>
      <c r="R199" s="53"/>
      <c r="S199" s="53"/>
      <c r="T199" s="53"/>
      <c r="U199" s="53"/>
    </row>
    <row r="200" spans="6:21" x14ac:dyDescent="0.55000000000000004">
      <c r="F200" s="49">
        <v>43101</v>
      </c>
      <c r="G200" s="52">
        <v>82.3</v>
      </c>
      <c r="J200" s="53">
        <v>91.564815317974322</v>
      </c>
      <c r="K200" s="53"/>
      <c r="L200" s="53">
        <v>91.564815317974322</v>
      </c>
      <c r="M200" s="53"/>
      <c r="N200" s="53"/>
      <c r="O200" s="53"/>
      <c r="P200" s="53"/>
      <c r="Q200" s="53"/>
      <c r="R200" s="53"/>
      <c r="S200" s="53"/>
      <c r="T200" s="53"/>
      <c r="U200" s="53"/>
    </row>
    <row r="201" spans="6:21" x14ac:dyDescent="0.55000000000000004">
      <c r="F201" s="49">
        <v>43132</v>
      </c>
      <c r="G201" s="52">
        <v>77.3</v>
      </c>
      <c r="J201" s="53">
        <v>91.56765759822224</v>
      </c>
      <c r="K201" s="53"/>
      <c r="L201" s="53">
        <v>91.56765759822224</v>
      </c>
      <c r="M201" s="53"/>
      <c r="N201" s="53"/>
      <c r="O201" s="53"/>
      <c r="P201" s="53"/>
      <c r="Q201" s="53"/>
      <c r="R201" s="53"/>
      <c r="S201" s="53"/>
      <c r="T201" s="53"/>
      <c r="U201" s="53"/>
    </row>
    <row r="202" spans="6:21" x14ac:dyDescent="0.55000000000000004">
      <c r="F202" s="49">
        <v>43160</v>
      </c>
      <c r="G202" s="52">
        <v>86.2</v>
      </c>
      <c r="J202" s="53">
        <v>91.570499878470159</v>
      </c>
      <c r="K202" s="53"/>
      <c r="L202" s="53">
        <v>91.570499878470159</v>
      </c>
      <c r="M202" s="53"/>
      <c r="N202" s="53"/>
      <c r="O202" s="53"/>
      <c r="P202" s="53"/>
      <c r="Q202" s="53"/>
      <c r="R202" s="53"/>
      <c r="S202" s="53"/>
      <c r="T202" s="53"/>
      <c r="U202" s="53"/>
    </row>
    <row r="203" spans="6:21" x14ac:dyDescent="0.55000000000000004">
      <c r="F203" s="49">
        <v>43191</v>
      </c>
      <c r="G203" s="52">
        <v>86.5</v>
      </c>
      <c r="J203" s="53">
        <v>91.573342158718091</v>
      </c>
      <c r="K203" s="53"/>
      <c r="L203" s="53">
        <v>91.573342158718091</v>
      </c>
      <c r="M203" s="53"/>
      <c r="N203" s="53"/>
      <c r="O203" s="53"/>
      <c r="P203" s="53"/>
      <c r="Q203" s="53"/>
      <c r="R203" s="53"/>
      <c r="S203" s="53"/>
      <c r="T203" s="53"/>
      <c r="U203" s="53"/>
    </row>
    <row r="204" spans="6:21" x14ac:dyDescent="0.55000000000000004">
      <c r="F204" s="49">
        <v>43221</v>
      </c>
      <c r="G204" s="52">
        <v>84.4</v>
      </c>
      <c r="J204" s="53">
        <v>91.57618443896601</v>
      </c>
      <c r="K204" s="53"/>
      <c r="L204" s="53">
        <v>91.57618443896601</v>
      </c>
      <c r="M204" s="53"/>
      <c r="N204" s="53"/>
      <c r="O204" s="53"/>
      <c r="P204" s="53"/>
      <c r="Q204" s="53"/>
      <c r="R204" s="53"/>
      <c r="S204" s="53"/>
      <c r="T204" s="53"/>
      <c r="U204" s="53"/>
    </row>
    <row r="205" spans="6:21" x14ac:dyDescent="0.55000000000000004">
      <c r="F205" s="49">
        <v>43252</v>
      </c>
      <c r="G205" s="52">
        <v>91.1</v>
      </c>
      <c r="J205" s="53">
        <v>91.579026719213928</v>
      </c>
      <c r="K205" s="53"/>
      <c r="L205" s="53">
        <v>91.579026719213928</v>
      </c>
      <c r="M205" s="53"/>
      <c r="N205" s="53"/>
      <c r="O205" s="53"/>
      <c r="P205" s="53"/>
      <c r="Q205" s="53"/>
      <c r="R205" s="53"/>
      <c r="S205" s="53"/>
      <c r="T205" s="53"/>
      <c r="U205" s="53"/>
    </row>
    <row r="206" spans="6:21" x14ac:dyDescent="0.55000000000000004">
      <c r="F206" s="49">
        <v>43282</v>
      </c>
      <c r="G206" s="52">
        <v>95.8</v>
      </c>
      <c r="J206" s="53">
        <v>91.581868999461847</v>
      </c>
      <c r="K206" s="53"/>
      <c r="L206" s="53">
        <v>91.581868999461847</v>
      </c>
      <c r="M206" s="53"/>
      <c r="N206" s="53"/>
      <c r="O206" s="53"/>
      <c r="P206" s="53"/>
      <c r="Q206" s="53"/>
      <c r="R206" s="53"/>
      <c r="S206" s="53"/>
      <c r="T206" s="53"/>
      <c r="U206" s="53"/>
    </row>
    <row r="207" spans="6:21" x14ac:dyDescent="0.55000000000000004">
      <c r="F207" s="49">
        <v>43313</v>
      </c>
      <c r="G207" s="52">
        <v>98.2</v>
      </c>
      <c r="J207" s="53">
        <v>91.584711279709765</v>
      </c>
      <c r="K207" s="53"/>
      <c r="L207" s="53">
        <v>91.584711279709765</v>
      </c>
      <c r="M207" s="53"/>
      <c r="N207" s="53"/>
      <c r="O207" s="53"/>
      <c r="P207" s="53"/>
      <c r="Q207" s="53"/>
      <c r="R207" s="53"/>
      <c r="S207" s="53"/>
      <c r="T207" s="53"/>
      <c r="U207" s="53"/>
    </row>
    <row r="208" spans="6:21" x14ac:dyDescent="0.55000000000000004">
      <c r="F208" s="49">
        <v>43344</v>
      </c>
      <c r="G208" s="52">
        <v>90.7</v>
      </c>
      <c r="J208" s="53">
        <v>91.587553559957684</v>
      </c>
      <c r="K208" s="53"/>
      <c r="L208" s="53">
        <v>91.587553559957684</v>
      </c>
      <c r="M208" s="53"/>
      <c r="N208" s="53"/>
      <c r="O208" s="53"/>
      <c r="P208" s="53"/>
      <c r="Q208" s="53"/>
      <c r="R208" s="53"/>
      <c r="S208" s="53"/>
      <c r="T208" s="53"/>
      <c r="U208" s="53"/>
    </row>
    <row r="209" spans="6:21" x14ac:dyDescent="0.55000000000000004">
      <c r="F209" s="49">
        <v>43374</v>
      </c>
      <c r="G209" s="52">
        <v>95.8</v>
      </c>
      <c r="J209" s="53">
        <v>91.590395840205616</v>
      </c>
      <c r="K209" s="53"/>
      <c r="L209" s="53">
        <v>91.590395840205616</v>
      </c>
      <c r="M209" s="53"/>
      <c r="N209" s="53"/>
      <c r="O209" s="53"/>
      <c r="P209" s="53"/>
      <c r="Q209" s="53"/>
      <c r="R209" s="53"/>
      <c r="S209" s="53"/>
      <c r="T209" s="53"/>
      <c r="U209" s="53"/>
    </row>
    <row r="210" spans="6:21" x14ac:dyDescent="0.55000000000000004">
      <c r="F210" s="49">
        <v>43405</v>
      </c>
      <c r="G210" s="52">
        <v>89.5</v>
      </c>
      <c r="J210" s="53">
        <v>91.593238120453535</v>
      </c>
      <c r="K210" s="53"/>
      <c r="L210" s="53">
        <v>91.593238120453535</v>
      </c>
      <c r="M210" s="53"/>
      <c r="N210" s="53"/>
      <c r="O210" s="53"/>
      <c r="P210" s="53"/>
      <c r="Q210" s="53"/>
      <c r="R210" s="53"/>
      <c r="S210" s="53"/>
      <c r="T210" s="53"/>
      <c r="U210" s="53"/>
    </row>
    <row r="211" spans="6:21" x14ac:dyDescent="0.55000000000000004">
      <c r="F211" s="49">
        <v>43435</v>
      </c>
      <c r="G211" s="52">
        <v>78</v>
      </c>
      <c r="J211" s="53">
        <v>91.596080400701453</v>
      </c>
      <c r="K211" s="53"/>
      <c r="L211" s="53">
        <v>91.596080400701453</v>
      </c>
      <c r="M211" s="53"/>
      <c r="N211" s="53"/>
      <c r="O211" s="53"/>
      <c r="P211" s="53"/>
      <c r="Q211" s="53"/>
      <c r="R211" s="53"/>
      <c r="S211" s="53"/>
      <c r="T211" s="53"/>
      <c r="U211" s="53"/>
    </row>
    <row r="212" spans="6:21" x14ac:dyDescent="0.55000000000000004">
      <c r="F212" s="49">
        <v>43466</v>
      </c>
      <c r="G212" s="52">
        <v>80.7</v>
      </c>
      <c r="J212" s="53">
        <v>91.598922680949372</v>
      </c>
      <c r="K212" s="53"/>
      <c r="L212" s="53">
        <v>91.598922680949372</v>
      </c>
      <c r="M212" s="53"/>
      <c r="N212" s="53"/>
      <c r="O212" s="53"/>
      <c r="P212" s="53"/>
      <c r="Q212" s="53"/>
      <c r="R212" s="53"/>
      <c r="S212" s="53"/>
      <c r="T212" s="53"/>
      <c r="U212" s="53"/>
    </row>
    <row r="213" spans="6:21" x14ac:dyDescent="0.55000000000000004">
      <c r="F213" s="49">
        <v>43497</v>
      </c>
      <c r="G213" s="52">
        <v>79.099999999999994</v>
      </c>
      <c r="J213" s="53">
        <v>91.60176496119729</v>
      </c>
      <c r="K213" s="53"/>
      <c r="L213" s="53">
        <v>91.60176496119729</v>
      </c>
      <c r="M213" s="53"/>
      <c r="N213" s="53"/>
      <c r="O213" s="53"/>
      <c r="P213" s="53"/>
      <c r="Q213" s="53"/>
      <c r="R213" s="53"/>
      <c r="S213" s="53"/>
      <c r="T213" s="53"/>
      <c r="U213" s="53"/>
    </row>
    <row r="214" spans="6:21" x14ac:dyDescent="0.55000000000000004">
      <c r="F214" s="49">
        <v>43525</v>
      </c>
      <c r="G214" s="52">
        <v>81</v>
      </c>
      <c r="J214" s="53">
        <v>91.604607241445208</v>
      </c>
      <c r="K214" s="53"/>
      <c r="L214" s="53">
        <v>91.604607241445208</v>
      </c>
      <c r="M214" s="53"/>
      <c r="N214" s="53"/>
      <c r="O214" s="53"/>
      <c r="P214" s="53"/>
      <c r="Q214" s="53"/>
      <c r="R214" s="53"/>
      <c r="S214" s="53"/>
      <c r="T214" s="53"/>
      <c r="U214" s="53"/>
    </row>
    <row r="215" spans="6:21" x14ac:dyDescent="0.55000000000000004">
      <c r="F215" s="49">
        <v>43556</v>
      </c>
      <c r="G215" s="52">
        <v>83.3</v>
      </c>
      <c r="J215" s="53">
        <v>91.607449521693127</v>
      </c>
      <c r="K215" s="53"/>
      <c r="L215" s="53">
        <v>91.607449521693127</v>
      </c>
      <c r="M215" s="53"/>
      <c r="N215" s="53"/>
      <c r="O215" s="53"/>
      <c r="P215" s="53"/>
      <c r="Q215" s="53"/>
      <c r="R215" s="53"/>
      <c r="S215" s="53"/>
      <c r="T215" s="53"/>
      <c r="U215" s="53"/>
    </row>
    <row r="216" spans="6:21" x14ac:dyDescent="0.55000000000000004">
      <c r="F216" s="49">
        <v>43586</v>
      </c>
      <c r="G216" s="52">
        <v>91</v>
      </c>
      <c r="J216" s="53">
        <v>91.610291801941059</v>
      </c>
      <c r="K216" s="53"/>
      <c r="L216" s="53">
        <v>91.610291801941059</v>
      </c>
      <c r="M216" s="53"/>
      <c r="N216" s="53"/>
      <c r="O216" s="53"/>
      <c r="P216" s="53"/>
      <c r="Q216" s="53"/>
      <c r="R216" s="53"/>
      <c r="S216" s="53"/>
      <c r="T216" s="53"/>
      <c r="U216" s="53"/>
    </row>
    <row r="217" spans="6:21" x14ac:dyDescent="0.55000000000000004">
      <c r="F217" s="49">
        <v>43617</v>
      </c>
      <c r="G217" s="52">
        <v>85.8</v>
      </c>
      <c r="J217" s="53">
        <v>91.613134082188978</v>
      </c>
      <c r="K217" s="53"/>
      <c r="L217" s="53">
        <v>91.613134082188978</v>
      </c>
      <c r="M217" s="53"/>
      <c r="N217" s="53"/>
      <c r="O217" s="53"/>
      <c r="P217" s="53"/>
      <c r="Q217" s="53"/>
      <c r="R217" s="53"/>
      <c r="S217" s="53"/>
      <c r="T217" s="53"/>
      <c r="U217" s="53"/>
    </row>
    <row r="218" spans="6:21" x14ac:dyDescent="0.55000000000000004">
      <c r="F218" s="49">
        <v>43647</v>
      </c>
      <c r="G218" s="52">
        <v>93.4</v>
      </c>
      <c r="J218" s="53">
        <v>91.615976362436896</v>
      </c>
      <c r="K218" s="53"/>
      <c r="L218" s="53">
        <v>91.615976362436896</v>
      </c>
      <c r="M218" s="53"/>
      <c r="N218" s="53"/>
      <c r="O218" s="53"/>
      <c r="P218" s="53"/>
      <c r="Q218" s="53"/>
      <c r="R218" s="53"/>
      <c r="S218" s="53"/>
      <c r="T218" s="53"/>
      <c r="U218" s="53"/>
    </row>
    <row r="219" spans="6:21" x14ac:dyDescent="0.55000000000000004">
      <c r="F219" s="49">
        <v>43678</v>
      </c>
      <c r="G219" s="52">
        <v>96.2</v>
      </c>
      <c r="J219" s="53">
        <v>91.618818642684815</v>
      </c>
      <c r="K219" s="53"/>
      <c r="L219" s="53">
        <v>91.618818642684815</v>
      </c>
      <c r="M219" s="53"/>
      <c r="N219" s="53"/>
      <c r="O219" s="53"/>
      <c r="P219" s="53"/>
      <c r="Q219" s="53"/>
      <c r="R219" s="53"/>
      <c r="S219" s="53"/>
      <c r="T219" s="53"/>
      <c r="U219" s="53"/>
    </row>
    <row r="220" spans="6:21" x14ac:dyDescent="0.55000000000000004">
      <c r="F220" s="49">
        <v>43709</v>
      </c>
      <c r="G220" s="52">
        <v>91.8</v>
      </c>
      <c r="J220" s="53">
        <v>91.621660922932733</v>
      </c>
      <c r="K220" s="53"/>
      <c r="L220" s="53">
        <v>91.621660922932733</v>
      </c>
      <c r="M220" s="53"/>
      <c r="N220" s="53"/>
      <c r="O220" s="53"/>
      <c r="P220" s="53"/>
      <c r="Q220" s="53"/>
      <c r="R220" s="53"/>
      <c r="S220" s="53"/>
      <c r="T220" s="53"/>
      <c r="U220" s="53"/>
    </row>
    <row r="221" spans="6:21" x14ac:dyDescent="0.55000000000000004">
      <c r="F221" s="49">
        <v>43739</v>
      </c>
      <c r="G221" s="52">
        <v>97</v>
      </c>
      <c r="J221" s="53">
        <v>91.624503203180652</v>
      </c>
      <c r="K221" s="53"/>
      <c r="L221" s="53">
        <v>91.624503203180652</v>
      </c>
      <c r="M221" s="53"/>
      <c r="N221" s="53"/>
      <c r="O221" s="53"/>
      <c r="P221" s="53"/>
      <c r="Q221" s="53"/>
      <c r="R221" s="53"/>
      <c r="S221" s="53"/>
      <c r="T221" s="53"/>
      <c r="U221" s="53"/>
    </row>
    <row r="222" spans="6:21" x14ac:dyDescent="0.55000000000000004">
      <c r="F222" s="49">
        <v>43770</v>
      </c>
      <c r="G222" s="52">
        <v>88</v>
      </c>
      <c r="J222" s="53">
        <v>91.627345483428584</v>
      </c>
      <c r="K222" s="53"/>
      <c r="L222" s="53">
        <v>91.627345483428584</v>
      </c>
      <c r="M222" s="53"/>
      <c r="N222" s="53"/>
      <c r="O222" s="53"/>
      <c r="P222" s="53"/>
      <c r="Q222" s="53"/>
      <c r="R222" s="53"/>
      <c r="S222" s="53"/>
      <c r="T222" s="53"/>
      <c r="U222" s="53"/>
    </row>
    <row r="223" spans="6:21" x14ac:dyDescent="0.55000000000000004">
      <c r="F223" s="49">
        <v>43800</v>
      </c>
      <c r="G223" s="52">
        <v>76.900000000000006</v>
      </c>
      <c r="J223" s="53">
        <v>91.630187763676503</v>
      </c>
      <c r="K223" s="53"/>
      <c r="L223" s="53">
        <v>91.630187763676503</v>
      </c>
      <c r="M223" s="53"/>
      <c r="N223" s="53"/>
      <c r="O223" s="53"/>
      <c r="P223" s="53"/>
      <c r="Q223" s="53"/>
      <c r="R223" s="53"/>
      <c r="S223" s="53"/>
      <c r="T223" s="53"/>
      <c r="U223" s="53"/>
    </row>
    <row r="224" spans="6:21" x14ac:dyDescent="0.55000000000000004">
      <c r="F224" s="49">
        <v>43831</v>
      </c>
      <c r="G224" s="52">
        <v>80</v>
      </c>
      <c r="J224" s="53">
        <v>91.633030043924421</v>
      </c>
      <c r="K224" s="53"/>
      <c r="L224" s="53">
        <v>91.633030043924421</v>
      </c>
      <c r="M224" s="53"/>
      <c r="N224" s="53"/>
      <c r="O224" s="53"/>
      <c r="P224" s="53"/>
      <c r="Q224" s="53"/>
      <c r="R224" s="53"/>
      <c r="S224" s="53"/>
      <c r="T224" s="53"/>
      <c r="U224" s="53"/>
    </row>
    <row r="225" spans="6:21" x14ac:dyDescent="0.55000000000000004">
      <c r="F225" s="49">
        <v>43862</v>
      </c>
      <c r="G225" s="52">
        <v>78.900000000000006</v>
      </c>
      <c r="J225" s="53">
        <v>91.63587232417234</v>
      </c>
      <c r="K225" s="53"/>
      <c r="L225" s="53">
        <v>91.63587232417234</v>
      </c>
      <c r="M225" s="53"/>
      <c r="N225" s="53"/>
      <c r="O225" s="53"/>
      <c r="P225" s="53"/>
      <c r="Q225" s="53"/>
      <c r="R225" s="53"/>
      <c r="S225" s="53"/>
      <c r="T225" s="53"/>
      <c r="U225" s="53"/>
    </row>
    <row r="226" spans="6:21" x14ac:dyDescent="0.55000000000000004">
      <c r="F226" s="49">
        <v>43891</v>
      </c>
      <c r="G226" s="52">
        <v>77.900000000000006</v>
      </c>
      <c r="J226" s="53">
        <v>91.638714604420258</v>
      </c>
      <c r="K226" s="53"/>
      <c r="L226" s="53">
        <v>91.638714604420258</v>
      </c>
      <c r="M226" s="53"/>
      <c r="N226" s="53"/>
      <c r="O226" s="53"/>
      <c r="P226" s="53"/>
      <c r="Q226" s="53"/>
      <c r="R226" s="53"/>
      <c r="S226" s="53"/>
      <c r="T226" s="53"/>
      <c r="U226" s="53"/>
    </row>
    <row r="227" spans="6:21" x14ac:dyDescent="0.55000000000000004">
      <c r="F227" s="49">
        <v>43922</v>
      </c>
      <c r="G227" s="52">
        <v>60.3</v>
      </c>
      <c r="J227" s="53">
        <v>91.641556884668177</v>
      </c>
      <c r="K227" s="53"/>
      <c r="L227" s="53">
        <v>91.641556884668177</v>
      </c>
      <c r="M227" s="53"/>
      <c r="N227" s="53"/>
      <c r="O227" s="53"/>
      <c r="P227" s="53"/>
      <c r="Q227" s="53"/>
      <c r="R227" s="53"/>
      <c r="S227" s="53"/>
      <c r="T227" s="53"/>
      <c r="U227" s="53"/>
    </row>
    <row r="228" spans="6:21" x14ac:dyDescent="0.55000000000000004">
      <c r="F228" s="49">
        <v>43952</v>
      </c>
      <c r="G228" s="52">
        <v>71.2</v>
      </c>
      <c r="J228" s="53">
        <v>91.644399164916109</v>
      </c>
      <c r="K228" s="53"/>
      <c r="L228" s="53">
        <v>91.644399164916109</v>
      </c>
      <c r="M228" s="53"/>
      <c r="N228" s="53"/>
      <c r="O228" s="53"/>
      <c r="P228" s="53"/>
      <c r="Q228" s="53"/>
      <c r="R228" s="53"/>
      <c r="S228" s="53"/>
      <c r="T228" s="53"/>
      <c r="U228" s="53"/>
    </row>
    <row r="229" spans="6:21" x14ac:dyDescent="0.55000000000000004">
      <c r="F229" s="49">
        <v>43983</v>
      </c>
      <c r="G229" s="52">
        <v>78.400000000000006</v>
      </c>
      <c r="J229" s="53">
        <v>91.647241445164028</v>
      </c>
      <c r="K229" s="53"/>
      <c r="L229" s="53">
        <v>91.647241445164028</v>
      </c>
      <c r="M229" s="53"/>
      <c r="N229" s="53"/>
      <c r="O229" s="53"/>
      <c r="P229" s="53"/>
      <c r="Q229" s="53"/>
      <c r="R229" s="53"/>
      <c r="S229" s="53"/>
      <c r="T229" s="53"/>
      <c r="U229" s="53"/>
    </row>
    <row r="230" spans="6:21" x14ac:dyDescent="0.55000000000000004">
      <c r="F230" s="49">
        <v>44013</v>
      </c>
      <c r="G230" s="52">
        <v>91</v>
      </c>
      <c r="J230" s="53">
        <v>91.650083725411946</v>
      </c>
      <c r="K230" s="53"/>
      <c r="L230" s="53">
        <v>91.650083725411946</v>
      </c>
      <c r="M230" s="53"/>
      <c r="N230" s="53"/>
      <c r="O230" s="53"/>
      <c r="P230" s="53"/>
      <c r="Q230" s="53"/>
      <c r="R230" s="53"/>
      <c r="S230" s="53"/>
      <c r="T230" s="53"/>
      <c r="U230" s="53"/>
    </row>
    <row r="231" spans="6:21" x14ac:dyDescent="0.55000000000000004">
      <c r="F231" s="49">
        <v>44044</v>
      </c>
      <c r="G231" s="52">
        <v>93.9</v>
      </c>
      <c r="J231" s="53">
        <v>91.652926005659864</v>
      </c>
      <c r="K231" s="53"/>
      <c r="L231" s="53">
        <v>91.652926005659864</v>
      </c>
      <c r="M231" s="53"/>
      <c r="N231" s="53"/>
      <c r="O231" s="53"/>
      <c r="P231" s="53"/>
      <c r="Q231" s="53"/>
      <c r="R231" s="53"/>
      <c r="S231" s="53"/>
      <c r="T231" s="53"/>
      <c r="U231" s="53"/>
    </row>
    <row r="232" spans="6:21" x14ac:dyDescent="0.55000000000000004">
      <c r="F232" s="49">
        <v>44075</v>
      </c>
      <c r="G232" s="52">
        <v>95.4</v>
      </c>
      <c r="J232" s="53">
        <v>91.655768285907783</v>
      </c>
      <c r="K232" s="53"/>
      <c r="L232" s="53">
        <v>91.655768285907783</v>
      </c>
      <c r="M232" s="53"/>
      <c r="N232" s="53"/>
      <c r="O232" s="53"/>
      <c r="P232" s="53"/>
      <c r="Q232" s="53"/>
      <c r="R232" s="53"/>
      <c r="S232" s="53"/>
      <c r="T232" s="53"/>
      <c r="U232" s="53"/>
    </row>
    <row r="233" spans="6:21" x14ac:dyDescent="0.55000000000000004">
      <c r="F233" s="49">
        <v>44105</v>
      </c>
      <c r="G233" s="52">
        <v>97.3</v>
      </c>
      <c r="J233" s="53">
        <v>91.658610566155701</v>
      </c>
      <c r="K233" s="53"/>
      <c r="L233" s="53">
        <v>91.658610566155701</v>
      </c>
      <c r="M233" s="53"/>
      <c r="N233" s="53"/>
      <c r="O233" s="53"/>
      <c r="P233" s="53"/>
      <c r="Q233" s="53"/>
      <c r="R233" s="53"/>
      <c r="S233" s="53"/>
      <c r="T233" s="53"/>
      <c r="U233" s="53"/>
    </row>
    <row r="234" spans="6:21" x14ac:dyDescent="0.55000000000000004">
      <c r="F234" s="49">
        <v>44136</v>
      </c>
      <c r="G234" s="52">
        <v>90.2</v>
      </c>
      <c r="J234" s="53">
        <v>91.66145284640362</v>
      </c>
      <c r="K234" s="53"/>
      <c r="L234" s="53">
        <v>91.66145284640362</v>
      </c>
      <c r="M234" s="53"/>
      <c r="N234" s="53"/>
      <c r="O234" s="53"/>
      <c r="P234" s="53"/>
      <c r="Q234" s="53"/>
      <c r="R234" s="53"/>
      <c r="S234" s="53"/>
      <c r="T234" s="53"/>
      <c r="U234" s="53"/>
    </row>
    <row r="235" spans="6:21" x14ac:dyDescent="0.55000000000000004">
      <c r="F235" s="49">
        <v>44166</v>
      </c>
      <c r="G235" s="52">
        <v>83.3</v>
      </c>
      <c r="J235" s="53">
        <v>91.664295126651552</v>
      </c>
      <c r="K235" s="53"/>
      <c r="L235" s="53">
        <v>91.664295126651552</v>
      </c>
      <c r="M235" s="53"/>
      <c r="N235" s="53"/>
      <c r="O235" s="53"/>
      <c r="P235" s="53"/>
      <c r="Q235" s="53"/>
      <c r="R235" s="53"/>
      <c r="S235" s="53"/>
      <c r="T235" s="53"/>
      <c r="U235" s="53"/>
    </row>
    <row r="236" spans="6:21" x14ac:dyDescent="0.55000000000000004">
      <c r="F236" s="49">
        <v>44197</v>
      </c>
      <c r="G236" s="52">
        <v>81.900000000000006</v>
      </c>
      <c r="J236" s="53">
        <v>91.667137406899471</v>
      </c>
      <c r="K236" s="53"/>
      <c r="L236" s="53">
        <v>91.667137406899471</v>
      </c>
      <c r="M236" s="53"/>
      <c r="N236" s="53"/>
      <c r="O236" s="53"/>
      <c r="P236" s="53"/>
      <c r="Q236" s="53"/>
      <c r="R236" s="53"/>
      <c r="S236" s="53"/>
      <c r="T236" s="53"/>
      <c r="U236" s="53"/>
    </row>
    <row r="237" spans="6:21" x14ac:dyDescent="0.55000000000000004">
      <c r="F237" s="49">
        <v>44228</v>
      </c>
      <c r="G237" s="52">
        <v>79.099999999999994</v>
      </c>
      <c r="J237" s="53">
        <v>91.669979687147389</v>
      </c>
      <c r="K237" s="53"/>
      <c r="L237" s="53">
        <v>91.669979687147389</v>
      </c>
      <c r="M237" s="53"/>
      <c r="N237" s="53"/>
      <c r="O237" s="53"/>
      <c r="P237" s="53"/>
      <c r="Q237" s="53"/>
      <c r="R237" s="53"/>
      <c r="S237" s="53"/>
      <c r="T237" s="53"/>
      <c r="U237" s="53"/>
    </row>
    <row r="238" spans="6:21" x14ac:dyDescent="0.55000000000000004">
      <c r="F238" s="49">
        <v>44256</v>
      </c>
      <c r="G238" s="52">
        <v>86.1</v>
      </c>
      <c r="J238" s="53">
        <v>91.672821967395308</v>
      </c>
      <c r="K238" s="53"/>
      <c r="L238" s="53">
        <v>91.672821967395308</v>
      </c>
      <c r="M238" s="53"/>
      <c r="N238" s="53"/>
      <c r="O238" s="53"/>
      <c r="P238" s="53"/>
      <c r="Q238" s="53"/>
      <c r="R238" s="53"/>
      <c r="S238" s="53"/>
      <c r="T238" s="53"/>
      <c r="U238" s="53"/>
    </row>
    <row r="239" spans="6:21" x14ac:dyDescent="0.55000000000000004">
      <c r="F239" s="49">
        <v>44287</v>
      </c>
      <c r="G239" s="52">
        <v>81.3</v>
      </c>
      <c r="J239" s="53">
        <v>91.675664247643226</v>
      </c>
      <c r="K239" s="53"/>
      <c r="L239" s="53">
        <v>91.675664247643226</v>
      </c>
      <c r="M239" s="53"/>
      <c r="N239" s="53"/>
      <c r="O239" s="53"/>
      <c r="P239" s="53"/>
      <c r="Q239" s="53"/>
      <c r="R239" s="53"/>
      <c r="S239" s="53"/>
      <c r="T239" s="53"/>
      <c r="U239" s="53"/>
    </row>
    <row r="240" spans="6:21" x14ac:dyDescent="0.55000000000000004">
      <c r="F240" s="49">
        <v>44317</v>
      </c>
      <c r="G240" s="52">
        <v>88.4</v>
      </c>
      <c r="J240" s="53">
        <v>91.678506527891145</v>
      </c>
      <c r="K240" s="53"/>
      <c r="L240" s="53">
        <v>91.678506527891145</v>
      </c>
      <c r="M240" s="53"/>
      <c r="N240" s="53"/>
      <c r="O240" s="53"/>
      <c r="P240" s="53"/>
      <c r="Q240" s="53"/>
      <c r="R240" s="53"/>
      <c r="S240" s="53"/>
      <c r="T240" s="53"/>
      <c r="U240" s="53"/>
    </row>
    <row r="241" spans="6:21" x14ac:dyDescent="0.55000000000000004">
      <c r="F241" s="49">
        <v>44348</v>
      </c>
      <c r="G241" s="52">
        <v>87.9</v>
      </c>
      <c r="J241" s="53">
        <v>91.681348808139077</v>
      </c>
      <c r="K241" s="53"/>
      <c r="L241" s="53">
        <v>91.681348808139077</v>
      </c>
      <c r="M241" s="53"/>
      <c r="N241" s="53"/>
      <c r="O241" s="53"/>
      <c r="P241" s="53"/>
      <c r="Q241" s="53"/>
      <c r="R241" s="53"/>
      <c r="S241" s="53"/>
      <c r="T241" s="53"/>
      <c r="U241" s="53"/>
    </row>
    <row r="242" spans="6:21" x14ac:dyDescent="0.55000000000000004">
      <c r="F242" s="49">
        <v>44378</v>
      </c>
      <c r="G242" s="52">
        <v>92.2</v>
      </c>
      <c r="J242" s="53">
        <v>91.684191088386996</v>
      </c>
      <c r="K242" s="53"/>
      <c r="L242" s="53">
        <v>91.684191088386996</v>
      </c>
      <c r="M242" s="53"/>
      <c r="N242" s="53"/>
      <c r="O242" s="53"/>
      <c r="P242" s="53"/>
      <c r="Q242" s="53"/>
      <c r="R242" s="53"/>
      <c r="S242" s="53"/>
      <c r="T242" s="53"/>
      <c r="U242" s="53"/>
    </row>
    <row r="243" spans="6:21" x14ac:dyDescent="0.55000000000000004">
      <c r="F243" s="49">
        <v>44409</v>
      </c>
      <c r="G243" s="52">
        <v>93.4</v>
      </c>
      <c r="J243" s="53">
        <v>91.687033368634914</v>
      </c>
      <c r="K243" s="53"/>
      <c r="L243" s="53">
        <v>91.687033368634914</v>
      </c>
      <c r="M243" s="53"/>
      <c r="N243" s="53"/>
      <c r="O243" s="53"/>
      <c r="P243" s="53"/>
      <c r="Q243" s="53"/>
      <c r="R243" s="53"/>
      <c r="S243" s="53"/>
      <c r="T243" s="53"/>
      <c r="U243" s="53"/>
    </row>
    <row r="244" spans="6:21" x14ac:dyDescent="0.55000000000000004">
      <c r="F244" s="49">
        <v>44440</v>
      </c>
      <c r="G244" s="52">
        <v>91.5</v>
      </c>
      <c r="J244" s="53">
        <v>91.689875648882833</v>
      </c>
      <c r="K244" s="53"/>
      <c r="L244" s="53">
        <v>91.689875648882833</v>
      </c>
      <c r="M244" s="53"/>
      <c r="N244" s="53"/>
      <c r="O244" s="53"/>
      <c r="P244" s="53"/>
      <c r="Q244" s="53"/>
      <c r="R244" s="53"/>
      <c r="S244" s="53"/>
      <c r="T244" s="53"/>
      <c r="U244" s="53"/>
    </row>
    <row r="245" spans="6:21" x14ac:dyDescent="0.55000000000000004">
      <c r="F245" s="49">
        <v>44470</v>
      </c>
      <c r="G245" s="52">
        <v>89.7</v>
      </c>
      <c r="J245" s="53">
        <v>91.692717929130751</v>
      </c>
      <c r="K245" s="53"/>
      <c r="L245" s="53">
        <v>91.692717929130751</v>
      </c>
      <c r="M245" s="53"/>
      <c r="N245" s="53"/>
      <c r="O245" s="53"/>
      <c r="P245" s="53"/>
      <c r="Q245" s="53"/>
      <c r="R245" s="53"/>
      <c r="S245" s="53"/>
      <c r="T245" s="53"/>
      <c r="U245" s="53"/>
    </row>
    <row r="246" spans="6:21" x14ac:dyDescent="0.55000000000000004">
      <c r="F246" s="49">
        <v>44501</v>
      </c>
      <c r="G246" s="52">
        <v>86.3</v>
      </c>
      <c r="J246" s="53">
        <v>91.695560209378669</v>
      </c>
      <c r="K246" s="53"/>
      <c r="L246" s="53">
        <v>91.695560209378669</v>
      </c>
      <c r="M246" s="53"/>
      <c r="N246" s="53"/>
      <c r="O246" s="53"/>
      <c r="P246" s="53"/>
      <c r="Q246" s="53"/>
      <c r="R246" s="53"/>
      <c r="S246" s="53"/>
      <c r="T246" s="53"/>
      <c r="U246" s="53"/>
    </row>
    <row r="247" spans="6:21" x14ac:dyDescent="0.55000000000000004">
      <c r="F247" s="49">
        <v>44531</v>
      </c>
      <c r="G247" s="52">
        <v>79.2</v>
      </c>
      <c r="J247" s="53">
        <v>91.698402489626602</v>
      </c>
      <c r="K247" s="53"/>
      <c r="L247" s="53">
        <v>91.698402489626602</v>
      </c>
      <c r="M247" s="53"/>
      <c r="N247" s="53"/>
      <c r="O247" s="53"/>
      <c r="P247" s="53"/>
      <c r="Q247" s="53"/>
      <c r="R247" s="53"/>
      <c r="S247" s="53"/>
      <c r="T247" s="53"/>
      <c r="U247" s="53"/>
    </row>
  </sheetData>
  <mergeCells count="1">
    <mergeCell ref="D11:D12"/>
  </mergeCells>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95E39-402B-4B04-88B6-894551AF152C}">
  <sheetPr codeName="Planilha12">
    <tabColor theme="9" tint="0.59999389629810485"/>
  </sheetPr>
  <dimension ref="A1:V247"/>
  <sheetViews>
    <sheetView showGridLines="0" workbookViewId="0">
      <selection activeCell="X5" sqref="X5"/>
    </sheetView>
  </sheetViews>
  <sheetFormatPr defaultColWidth="8.796875" defaultRowHeight="18" x14ac:dyDescent="0.55000000000000004"/>
  <cols>
    <col min="1" max="1" width="12.6640625" style="17" customWidth="1"/>
    <col min="2" max="2" width="34.33203125" customWidth="1"/>
    <col min="4" max="4" width="44.33203125" bestFit="1" customWidth="1"/>
    <col min="5" max="5" width="4.6640625" customWidth="1"/>
    <col min="6" max="7" width="7.1328125" bestFit="1" customWidth="1"/>
    <col min="8" max="8" width="9.33203125" bestFit="1" customWidth="1"/>
    <col min="11" max="12" width="8.796875" style="15"/>
    <col min="13" max="22" width="5.6640625" style="15" bestFit="1" customWidth="1"/>
  </cols>
  <sheetData>
    <row r="1" spans="1:22" x14ac:dyDescent="0.55000000000000004">
      <c r="A1" s="16" t="s">
        <v>153</v>
      </c>
      <c r="K1" s="14"/>
      <c r="L1" s="14"/>
      <c r="M1" s="14"/>
      <c r="N1" s="14"/>
      <c r="O1" s="14"/>
      <c r="P1" s="14"/>
      <c r="Q1" s="14"/>
      <c r="R1" s="14"/>
      <c r="S1" s="14"/>
      <c r="T1" s="14"/>
      <c r="U1" s="14"/>
      <c r="V1" s="14"/>
    </row>
    <row r="2" spans="1:22" x14ac:dyDescent="0.55000000000000004">
      <c r="A2" s="17" t="s">
        <v>168</v>
      </c>
      <c r="K2" s="14"/>
      <c r="L2" s="14"/>
      <c r="M2" s="14"/>
      <c r="N2" s="14"/>
      <c r="O2" s="14"/>
      <c r="P2" s="14"/>
      <c r="Q2" s="14"/>
      <c r="R2" s="14"/>
      <c r="S2" s="14"/>
      <c r="T2" s="14"/>
      <c r="U2" s="14"/>
      <c r="V2" s="14"/>
    </row>
    <row r="4" spans="1:22" ht="15.75" x14ac:dyDescent="0.5">
      <c r="A4" s="2" t="s">
        <v>15</v>
      </c>
      <c r="B4" s="2" t="s">
        <v>16</v>
      </c>
    </row>
    <row r="5" spans="1:22" ht="47.25" x14ac:dyDescent="0.5">
      <c r="A5" s="23" t="s">
        <v>156</v>
      </c>
      <c r="B5" s="24" t="s">
        <v>497</v>
      </c>
    </row>
    <row r="6" spans="1:22" ht="15.75" x14ac:dyDescent="0.5">
      <c r="A6" s="23" t="s">
        <v>165</v>
      </c>
      <c r="B6" s="24" t="s">
        <v>498</v>
      </c>
    </row>
    <row r="7" spans="1:22" x14ac:dyDescent="0.55000000000000004">
      <c r="D7" s="1" t="s">
        <v>17</v>
      </c>
      <c r="F7" s="13" t="s">
        <v>156</v>
      </c>
      <c r="G7" s="13" t="s">
        <v>165</v>
      </c>
      <c r="H7" s="13" t="s">
        <v>175</v>
      </c>
      <c r="I7" s="13" t="s">
        <v>154</v>
      </c>
    </row>
    <row r="8" spans="1:22" x14ac:dyDescent="0.55000000000000004">
      <c r="D8" t="s">
        <v>176</v>
      </c>
      <c r="F8" s="49">
        <v>37257</v>
      </c>
      <c r="G8" s="45"/>
      <c r="H8" s="45">
        <v>72.400000000000006</v>
      </c>
      <c r="I8" s="45">
        <v>77.7</v>
      </c>
      <c r="K8" s="27"/>
      <c r="M8" s="27"/>
      <c r="N8" s="27"/>
      <c r="O8" s="27"/>
      <c r="P8" s="27"/>
      <c r="Q8" s="27"/>
      <c r="R8" s="27"/>
      <c r="S8" s="27"/>
      <c r="T8" s="27"/>
      <c r="U8" s="27"/>
      <c r="V8" s="27"/>
    </row>
    <row r="9" spans="1:22" x14ac:dyDescent="0.55000000000000004">
      <c r="D9" t="s">
        <v>177</v>
      </c>
      <c r="F9" s="44">
        <v>37288</v>
      </c>
      <c r="G9" s="52">
        <f>LN(H9/H8)*100</f>
        <v>-3.8005981625192522</v>
      </c>
      <c r="H9" s="45">
        <v>69.7</v>
      </c>
      <c r="I9" s="45">
        <v>80.2</v>
      </c>
      <c r="K9" s="53" cm="1">
        <f t="array" ref="K9:K247">_xlfn.LAMBDA(_xlpm.dates,_xlpm.values, _xlfn.LET(_xlpm.dummies, DUMMYVAR( MONTH(_xlpm.dates), FALSE),  AVERAGE(_xlpm.values) + OLS_RESIDUALS(_xlpm.values, _xlpm.dummies  ) ) )($F$9:$F$247,$G$9:$G$247)</f>
        <v>-0.71753883388702944</v>
      </c>
      <c r="L9" s="53"/>
      <c r="M9" s="53" cm="1">
        <f t="array" ref="M9:M247">SEASADJ($F$9:$F$247,$G$9:$G$247)</f>
        <v>-0.71753883388702944</v>
      </c>
      <c r="N9" s="53"/>
      <c r="O9" s="53"/>
      <c r="P9" s="53"/>
      <c r="Q9" s="53"/>
      <c r="R9" s="53"/>
      <c r="S9" s="53"/>
      <c r="T9" s="53"/>
      <c r="U9" s="53"/>
      <c r="V9" s="53"/>
    </row>
    <row r="10" spans="1:22" x14ac:dyDescent="0.55000000000000004">
      <c r="D10" t="s">
        <v>155</v>
      </c>
      <c r="F10" s="44">
        <v>37316</v>
      </c>
      <c r="G10" s="52">
        <f t="shared" ref="G10:G73" si="0">LN(H10/H9)*100</f>
        <v>10.478646282920332</v>
      </c>
      <c r="H10" s="45">
        <v>77.400000000000006</v>
      </c>
      <c r="I10" s="45">
        <v>79.8</v>
      </c>
      <c r="K10" s="53">
        <v>0.22460287827182232</v>
      </c>
      <c r="L10" s="53"/>
      <c r="M10" s="53">
        <v>0.22460287827182232</v>
      </c>
      <c r="N10" s="53"/>
      <c r="O10" s="53"/>
      <c r="P10" s="53"/>
      <c r="Q10" s="53"/>
      <c r="R10" s="53"/>
      <c r="S10" s="53"/>
      <c r="T10" s="53"/>
      <c r="U10" s="53"/>
      <c r="V10" s="53"/>
    </row>
    <row r="11" spans="1:22" ht="18.75" customHeight="1" x14ac:dyDescent="0.55000000000000004">
      <c r="D11" s="173"/>
      <c r="F11" s="44">
        <v>37347</v>
      </c>
      <c r="G11" s="52">
        <f t="shared" si="0"/>
        <v>2.8027312254655659</v>
      </c>
      <c r="H11" s="45">
        <v>79.599999999999994</v>
      </c>
      <c r="I11" s="45">
        <v>79.599999999999994</v>
      </c>
      <c r="K11" s="53">
        <v>6.8688421574020353</v>
      </c>
      <c r="L11" s="53"/>
      <c r="M11" s="53">
        <v>6.8688421574020353</v>
      </c>
      <c r="N11" s="53"/>
      <c r="O11" s="53"/>
      <c r="P11" s="53"/>
      <c r="Q11" s="53"/>
      <c r="R11" s="53"/>
      <c r="S11" s="53"/>
      <c r="T11" s="53"/>
      <c r="U11" s="53"/>
      <c r="V11" s="53"/>
    </row>
    <row r="12" spans="1:22" x14ac:dyDescent="0.55000000000000004">
      <c r="D12" s="173"/>
      <c r="F12" s="44">
        <v>37377</v>
      </c>
      <c r="G12" s="52">
        <f t="shared" si="0"/>
        <v>1.0000083334583398</v>
      </c>
      <c r="H12" s="45">
        <v>80.400000000000006</v>
      </c>
      <c r="I12" s="45">
        <v>79.099999999999994</v>
      </c>
      <c r="K12" s="53">
        <v>-5.5188277653232447</v>
      </c>
      <c r="L12" s="53"/>
      <c r="M12" s="53">
        <v>-5.5188277653232447</v>
      </c>
      <c r="N12" s="53"/>
      <c r="O12" s="53"/>
      <c r="P12" s="53"/>
      <c r="Q12" s="53"/>
      <c r="R12" s="53"/>
      <c r="S12" s="53"/>
      <c r="T12" s="53"/>
      <c r="U12" s="53"/>
      <c r="V12" s="53"/>
    </row>
    <row r="13" spans="1:22" x14ac:dyDescent="0.55000000000000004">
      <c r="D13" s="46"/>
      <c r="F13" s="44">
        <v>37408</v>
      </c>
      <c r="G13" s="52">
        <f t="shared" si="0"/>
        <v>-3.6736239825619466</v>
      </c>
      <c r="H13" s="45">
        <v>77.5</v>
      </c>
      <c r="I13" s="45">
        <v>79.400000000000006</v>
      </c>
      <c r="K13" s="53">
        <v>-2.4312302589565311</v>
      </c>
      <c r="L13" s="53"/>
      <c r="M13" s="53">
        <v>-2.4312302589565311</v>
      </c>
      <c r="N13" s="53"/>
      <c r="O13" s="53"/>
      <c r="P13" s="53"/>
      <c r="Q13" s="53"/>
      <c r="R13" s="53"/>
      <c r="S13" s="53"/>
      <c r="T13" s="53"/>
      <c r="U13" s="53"/>
      <c r="V13" s="53"/>
    </row>
    <row r="14" spans="1:22" x14ac:dyDescent="0.55000000000000004">
      <c r="F14" s="44">
        <v>37438</v>
      </c>
      <c r="G14" s="52">
        <f t="shared" si="0"/>
        <v>7.2170612813495589</v>
      </c>
      <c r="H14" s="45">
        <v>83.3</v>
      </c>
      <c r="I14" s="45">
        <v>79.7</v>
      </c>
      <c r="K14" s="53">
        <v>1.9869393011204659</v>
      </c>
      <c r="L14" s="53"/>
      <c r="M14" s="53">
        <v>1.9869393011204659</v>
      </c>
      <c r="N14" s="53"/>
      <c r="O14" s="53"/>
      <c r="P14" s="53"/>
      <c r="Q14" s="53"/>
      <c r="R14" s="53"/>
      <c r="S14" s="53"/>
      <c r="T14" s="53"/>
      <c r="U14" s="53"/>
      <c r="V14" s="53"/>
    </row>
    <row r="15" spans="1:22" x14ac:dyDescent="0.55000000000000004">
      <c r="F15" s="44">
        <v>37469</v>
      </c>
      <c r="G15" s="52">
        <f t="shared" si="0"/>
        <v>0.3594970917858793</v>
      </c>
      <c r="H15" s="45">
        <v>83.6</v>
      </c>
      <c r="I15" s="45">
        <v>78.599999999999994</v>
      </c>
      <c r="K15" s="53">
        <v>-2.4443016238566138</v>
      </c>
      <c r="L15" s="53"/>
      <c r="M15" s="53">
        <v>-2.4443016238566138</v>
      </c>
      <c r="N15" s="53"/>
      <c r="O15" s="53"/>
      <c r="P15" s="53"/>
      <c r="Q15" s="53"/>
      <c r="R15" s="53"/>
      <c r="S15" s="53"/>
      <c r="T15" s="53"/>
      <c r="U15" s="53"/>
      <c r="V15" s="53"/>
    </row>
    <row r="16" spans="1:22" x14ac:dyDescent="0.55000000000000004">
      <c r="F16" s="44">
        <v>37500</v>
      </c>
      <c r="G16" s="52">
        <f t="shared" si="0"/>
        <v>-1.8105503632273354</v>
      </c>
      <c r="H16" s="45">
        <v>82.1</v>
      </c>
      <c r="I16" s="45">
        <v>79.7</v>
      </c>
      <c r="K16" s="53">
        <v>1.0146606755559135</v>
      </c>
      <c r="L16" s="53"/>
      <c r="M16" s="53">
        <v>1.0146606755559135</v>
      </c>
      <c r="N16" s="53"/>
      <c r="O16" s="53"/>
      <c r="P16" s="53"/>
      <c r="Q16" s="53"/>
      <c r="R16" s="53"/>
      <c r="S16" s="53"/>
      <c r="T16" s="53"/>
      <c r="U16" s="53"/>
      <c r="V16" s="53"/>
    </row>
    <row r="17" spans="6:22" x14ac:dyDescent="0.55000000000000004">
      <c r="F17" s="44">
        <v>37530</v>
      </c>
      <c r="G17" s="52">
        <f t="shared" si="0"/>
        <v>8.2943023127581306</v>
      </c>
      <c r="H17" s="45">
        <v>89.2</v>
      </c>
      <c r="I17" s="45">
        <v>80.2</v>
      </c>
      <c r="K17" s="53">
        <v>4.7225693217673861</v>
      </c>
      <c r="L17" s="53"/>
      <c r="M17" s="53">
        <v>4.7225693217673861</v>
      </c>
      <c r="N17" s="53"/>
      <c r="O17" s="53"/>
      <c r="P17" s="53"/>
      <c r="Q17" s="53"/>
      <c r="R17" s="53"/>
      <c r="S17" s="53"/>
      <c r="T17" s="53"/>
      <c r="U17" s="53"/>
      <c r="V17" s="53"/>
    </row>
    <row r="18" spans="6:22" x14ac:dyDescent="0.55000000000000004">
      <c r="F18" s="44">
        <v>37561</v>
      </c>
      <c r="G18" s="52">
        <f t="shared" si="0"/>
        <v>-6.1255426112803208</v>
      </c>
      <c r="H18" s="45">
        <v>83.9</v>
      </c>
      <c r="I18" s="45">
        <v>80.2</v>
      </c>
      <c r="K18" s="53">
        <v>-0.58337465728584181</v>
      </c>
      <c r="L18" s="53"/>
      <c r="M18" s="53">
        <v>-0.58337465728584181</v>
      </c>
      <c r="N18" s="53"/>
      <c r="O18" s="53"/>
      <c r="P18" s="53"/>
      <c r="Q18" s="53"/>
      <c r="R18" s="53"/>
      <c r="S18" s="53"/>
      <c r="T18" s="53"/>
      <c r="U18" s="53"/>
      <c r="V18" s="53"/>
    </row>
    <row r="19" spans="6:22" x14ac:dyDescent="0.55000000000000004">
      <c r="F19" s="44">
        <v>37591</v>
      </c>
      <c r="G19" s="52">
        <f t="shared" si="0"/>
        <v>-11.748510626344547</v>
      </c>
      <c r="H19" s="45">
        <v>74.599999999999994</v>
      </c>
      <c r="I19" s="45">
        <v>79.599999999999994</v>
      </c>
      <c r="K19" s="53">
        <v>-0.66122229185945081</v>
      </c>
      <c r="L19" s="53"/>
      <c r="M19" s="53">
        <v>-0.66122229185945081</v>
      </c>
      <c r="N19" s="53"/>
      <c r="O19" s="53"/>
      <c r="P19" s="53"/>
      <c r="Q19" s="53"/>
      <c r="R19" s="53"/>
      <c r="S19" s="53"/>
      <c r="T19" s="53"/>
      <c r="U19" s="53"/>
      <c r="V19" s="53"/>
    </row>
    <row r="20" spans="6:22" x14ac:dyDescent="0.55000000000000004">
      <c r="F20" s="44">
        <v>37622</v>
      </c>
      <c r="G20" s="52">
        <f t="shared" si="0"/>
        <v>-0.80754140055453072</v>
      </c>
      <c r="H20" s="45">
        <v>74</v>
      </c>
      <c r="I20" s="45">
        <v>79.7</v>
      </c>
      <c r="K20" s="53">
        <v>-0.24722363333822142</v>
      </c>
      <c r="L20" s="53"/>
      <c r="M20" s="53">
        <v>-0.24722363333822142</v>
      </c>
      <c r="N20" s="53"/>
      <c r="O20" s="53"/>
      <c r="P20" s="53"/>
      <c r="Q20" s="53"/>
      <c r="R20" s="53"/>
      <c r="S20" s="53"/>
      <c r="T20" s="53"/>
      <c r="U20" s="53"/>
      <c r="V20" s="53"/>
    </row>
    <row r="21" spans="6:22" x14ac:dyDescent="0.55000000000000004">
      <c r="F21" s="44">
        <v>37653</v>
      </c>
      <c r="G21" s="52">
        <f t="shared" si="0"/>
        <v>-3.0180617149991287</v>
      </c>
      <c r="H21" s="45">
        <v>71.8</v>
      </c>
      <c r="I21" s="45">
        <v>79.7</v>
      </c>
      <c r="K21" s="53">
        <v>6.4997613633094059E-2</v>
      </c>
      <c r="L21" s="53"/>
      <c r="M21" s="53">
        <v>6.4997613633094059E-2</v>
      </c>
      <c r="N21" s="53"/>
      <c r="O21" s="53"/>
      <c r="P21" s="53"/>
      <c r="Q21" s="53"/>
      <c r="R21" s="53"/>
      <c r="S21" s="53"/>
      <c r="T21" s="53"/>
      <c r="U21" s="53"/>
      <c r="V21" s="53"/>
    </row>
    <row r="22" spans="6:22" x14ac:dyDescent="0.55000000000000004">
      <c r="F22" s="44">
        <v>37681</v>
      </c>
      <c r="G22" s="52">
        <f t="shared" si="0"/>
        <v>7.5102304541503075</v>
      </c>
      <c r="H22" s="45">
        <v>77.400000000000006</v>
      </c>
      <c r="I22" s="45">
        <v>79.8</v>
      </c>
      <c r="K22" s="53">
        <v>-2.7438129504982021</v>
      </c>
      <c r="L22" s="53"/>
      <c r="M22" s="53">
        <v>-2.7438129504982021</v>
      </c>
      <c r="N22" s="53"/>
      <c r="O22" s="53"/>
      <c r="P22" s="53"/>
      <c r="Q22" s="53"/>
      <c r="R22" s="53"/>
      <c r="S22" s="53"/>
      <c r="T22" s="53"/>
      <c r="U22" s="53"/>
      <c r="V22" s="53"/>
    </row>
    <row r="23" spans="6:22" x14ac:dyDescent="0.55000000000000004">
      <c r="F23" s="44">
        <v>37712</v>
      </c>
      <c r="G23" s="52">
        <f t="shared" si="0"/>
        <v>-1.1696039763191299</v>
      </c>
      <c r="H23" s="45">
        <v>76.5</v>
      </c>
      <c r="I23" s="45">
        <v>79.400000000000006</v>
      </c>
      <c r="K23" s="53">
        <v>2.8965069556173395</v>
      </c>
      <c r="L23" s="53"/>
      <c r="M23" s="53">
        <v>2.8965069556173395</v>
      </c>
      <c r="N23" s="53"/>
      <c r="O23" s="53"/>
      <c r="P23" s="53"/>
      <c r="Q23" s="53"/>
      <c r="R23" s="53"/>
      <c r="S23" s="53"/>
      <c r="T23" s="53"/>
      <c r="U23" s="53"/>
      <c r="V23" s="53"/>
    </row>
    <row r="24" spans="6:22" x14ac:dyDescent="0.55000000000000004">
      <c r="F24" s="44">
        <v>37742</v>
      </c>
      <c r="G24" s="52">
        <f t="shared" si="0"/>
        <v>4.0978844963679268</v>
      </c>
      <c r="H24" s="45">
        <v>79.7</v>
      </c>
      <c r="I24" s="45">
        <v>77.8</v>
      </c>
      <c r="K24" s="53">
        <v>-2.4209516024136573</v>
      </c>
      <c r="L24" s="53"/>
      <c r="M24" s="53">
        <v>-2.4209516024136573</v>
      </c>
      <c r="N24" s="53"/>
      <c r="O24" s="53"/>
      <c r="P24" s="53"/>
      <c r="Q24" s="53"/>
      <c r="R24" s="53"/>
      <c r="S24" s="53"/>
      <c r="T24" s="53"/>
      <c r="U24" s="53"/>
      <c r="V24" s="53"/>
    </row>
    <row r="25" spans="6:22" x14ac:dyDescent="0.55000000000000004">
      <c r="F25" s="44">
        <v>37773</v>
      </c>
      <c r="G25" s="52">
        <f t="shared" si="0"/>
        <v>-4.3596647505758162</v>
      </c>
      <c r="H25" s="45">
        <v>76.3</v>
      </c>
      <c r="I25" s="45">
        <v>78.2</v>
      </c>
      <c r="K25" s="53">
        <v>-3.1172710269704007</v>
      </c>
      <c r="L25" s="53"/>
      <c r="M25" s="53">
        <v>-3.1172710269704007</v>
      </c>
      <c r="N25" s="53"/>
      <c r="O25" s="53"/>
      <c r="P25" s="53"/>
      <c r="Q25" s="53"/>
      <c r="R25" s="53"/>
      <c r="S25" s="53"/>
      <c r="T25" s="53"/>
      <c r="U25" s="53"/>
      <c r="V25" s="53"/>
    </row>
    <row r="26" spans="6:22" x14ac:dyDescent="0.55000000000000004">
      <c r="F26" s="44">
        <v>37803</v>
      </c>
      <c r="G26" s="52">
        <f t="shared" si="0"/>
        <v>6.3473078263353662</v>
      </c>
      <c r="H26" s="45">
        <v>81.3</v>
      </c>
      <c r="I26" s="45">
        <v>77.400000000000006</v>
      </c>
      <c r="K26" s="53">
        <v>1.1171858461062731</v>
      </c>
      <c r="L26" s="53"/>
      <c r="M26" s="53">
        <v>1.1171858461062731</v>
      </c>
      <c r="N26" s="53"/>
      <c r="O26" s="53"/>
      <c r="P26" s="53"/>
      <c r="Q26" s="53"/>
      <c r="R26" s="53"/>
      <c r="S26" s="53"/>
      <c r="T26" s="53"/>
      <c r="U26" s="53"/>
      <c r="V26" s="53"/>
    </row>
    <row r="27" spans="6:22" x14ac:dyDescent="0.55000000000000004">
      <c r="F27" s="44">
        <v>37834</v>
      </c>
      <c r="G27" s="52">
        <f t="shared" si="0"/>
        <v>0.36832454162963679</v>
      </c>
      <c r="H27" s="45">
        <v>81.599999999999994</v>
      </c>
      <c r="I27" s="45">
        <v>78.5</v>
      </c>
      <c r="K27" s="53">
        <v>-2.4354741740128558</v>
      </c>
      <c r="L27" s="53"/>
      <c r="M27" s="53">
        <v>-2.4354741740128558</v>
      </c>
      <c r="N27" s="53"/>
      <c r="O27" s="53"/>
      <c r="P27" s="53"/>
      <c r="Q27" s="53"/>
      <c r="R27" s="53"/>
      <c r="S27" s="53"/>
      <c r="T27" s="53"/>
      <c r="U27" s="53"/>
      <c r="V27" s="53"/>
    </row>
    <row r="28" spans="6:22" x14ac:dyDescent="0.55000000000000004">
      <c r="F28" s="44">
        <v>37865</v>
      </c>
      <c r="G28" s="52">
        <f t="shared" si="0"/>
        <v>4.9023563633672822</v>
      </c>
      <c r="H28" s="45">
        <v>85.7</v>
      </c>
      <c r="I28" s="45">
        <v>81.3</v>
      </c>
      <c r="K28" s="53">
        <v>7.7275674021505312</v>
      </c>
      <c r="L28" s="53"/>
      <c r="M28" s="53">
        <v>7.7275674021505312</v>
      </c>
      <c r="N28" s="53"/>
      <c r="O28" s="53"/>
      <c r="P28" s="53"/>
      <c r="Q28" s="53"/>
      <c r="R28" s="53"/>
      <c r="S28" s="53"/>
      <c r="T28" s="53"/>
      <c r="U28" s="53"/>
      <c r="V28" s="53"/>
    </row>
    <row r="29" spans="6:22" x14ac:dyDescent="0.55000000000000004">
      <c r="F29" s="44">
        <v>37895</v>
      </c>
      <c r="G29" s="52">
        <f t="shared" si="0"/>
        <v>4.8956844726530981</v>
      </c>
      <c r="H29" s="45">
        <v>90</v>
      </c>
      <c r="I29" s="45">
        <v>81.599999999999994</v>
      </c>
      <c r="K29" s="53">
        <v>1.3239514816623537</v>
      </c>
      <c r="L29" s="53"/>
      <c r="M29" s="53">
        <v>1.3239514816623537</v>
      </c>
      <c r="N29" s="53"/>
      <c r="O29" s="53"/>
      <c r="P29" s="53"/>
      <c r="Q29" s="53"/>
      <c r="R29" s="53"/>
      <c r="S29" s="53"/>
      <c r="T29" s="53"/>
      <c r="U29" s="53"/>
      <c r="V29" s="53"/>
    </row>
    <row r="30" spans="6:22" x14ac:dyDescent="0.55000000000000004">
      <c r="F30" s="44">
        <v>37926</v>
      </c>
      <c r="G30" s="52">
        <f t="shared" si="0"/>
        <v>-6.1875403718087529</v>
      </c>
      <c r="H30" s="45">
        <v>84.6</v>
      </c>
      <c r="I30" s="45">
        <v>82.6</v>
      </c>
      <c r="K30" s="53">
        <v>-0.6453724178142739</v>
      </c>
      <c r="L30" s="53"/>
      <c r="M30" s="53">
        <v>-0.6453724178142739</v>
      </c>
      <c r="N30" s="53"/>
      <c r="O30" s="53"/>
      <c r="P30" s="53"/>
      <c r="Q30" s="53"/>
      <c r="R30" s="53"/>
      <c r="S30" s="53"/>
      <c r="T30" s="53"/>
      <c r="U30" s="53"/>
      <c r="V30" s="53"/>
    </row>
    <row r="31" spans="6:22" x14ac:dyDescent="0.55000000000000004">
      <c r="F31" s="44">
        <v>37956</v>
      </c>
      <c r="G31" s="52">
        <f t="shared" si="0"/>
        <v>-8.2508313735474825</v>
      </c>
      <c r="H31" s="45">
        <v>77.900000000000006</v>
      </c>
      <c r="I31" s="45">
        <v>81.2</v>
      </c>
      <c r="K31" s="53">
        <v>2.836456960937614</v>
      </c>
      <c r="L31" s="53"/>
      <c r="M31" s="53">
        <v>2.836456960937614</v>
      </c>
      <c r="N31" s="53"/>
      <c r="O31" s="53"/>
      <c r="P31" s="53"/>
      <c r="Q31" s="53"/>
      <c r="R31" s="53"/>
      <c r="S31" s="53"/>
      <c r="T31" s="53"/>
      <c r="U31" s="53"/>
      <c r="V31" s="53"/>
    </row>
    <row r="32" spans="6:22" x14ac:dyDescent="0.55000000000000004">
      <c r="F32" s="44">
        <v>37987</v>
      </c>
      <c r="G32" s="52">
        <f t="shared" si="0"/>
        <v>-1.4221312723076169</v>
      </c>
      <c r="H32" s="45">
        <v>76.8</v>
      </c>
      <c r="I32" s="45">
        <v>82.7</v>
      </c>
      <c r="K32" s="53">
        <v>-0.86181350509130761</v>
      </c>
      <c r="L32" s="53"/>
      <c r="M32" s="53">
        <v>-0.86181350509130761</v>
      </c>
      <c r="N32" s="53"/>
      <c r="O32" s="53"/>
      <c r="P32" s="53"/>
      <c r="Q32" s="53"/>
      <c r="R32" s="53"/>
      <c r="S32" s="53"/>
      <c r="T32" s="53"/>
      <c r="U32" s="53"/>
      <c r="V32" s="53"/>
    </row>
    <row r="33" spans="6:22" x14ac:dyDescent="0.55000000000000004">
      <c r="F33" s="44">
        <v>38018</v>
      </c>
      <c r="G33" s="52">
        <f t="shared" si="0"/>
        <v>-3.7139546949456657</v>
      </c>
      <c r="H33" s="45">
        <v>74</v>
      </c>
      <c r="I33" s="45">
        <v>84</v>
      </c>
      <c r="K33" s="53">
        <v>-0.6308953663134429</v>
      </c>
      <c r="L33" s="53"/>
      <c r="M33" s="53">
        <v>-0.6308953663134429</v>
      </c>
      <c r="N33" s="53"/>
      <c r="O33" s="53"/>
      <c r="P33" s="53"/>
      <c r="Q33" s="53"/>
      <c r="R33" s="53"/>
      <c r="S33" s="53"/>
      <c r="T33" s="53"/>
      <c r="U33" s="53"/>
      <c r="V33" s="53"/>
    </row>
    <row r="34" spans="6:22" x14ac:dyDescent="0.55000000000000004">
      <c r="F34" s="44">
        <v>38047</v>
      </c>
      <c r="G34" s="52">
        <f t="shared" si="0"/>
        <v>16.069293906717668</v>
      </c>
      <c r="H34" s="45">
        <v>86.9</v>
      </c>
      <c r="I34" s="45">
        <v>84.5</v>
      </c>
      <c r="K34" s="53">
        <v>5.8152505020691585</v>
      </c>
      <c r="L34" s="53"/>
      <c r="M34" s="53">
        <v>5.8152505020691585</v>
      </c>
      <c r="N34" s="53"/>
      <c r="O34" s="53"/>
      <c r="P34" s="53"/>
      <c r="Q34" s="53"/>
      <c r="R34" s="53"/>
      <c r="S34" s="53"/>
      <c r="T34" s="53"/>
      <c r="U34" s="53"/>
      <c r="V34" s="53"/>
    </row>
    <row r="35" spans="6:22" x14ac:dyDescent="0.55000000000000004">
      <c r="F35" s="44">
        <v>38078</v>
      </c>
      <c r="G35" s="52">
        <f t="shared" si="0"/>
        <v>-5.5602730209212119</v>
      </c>
      <c r="H35" s="45">
        <v>82.2</v>
      </c>
      <c r="I35" s="45">
        <v>85.1</v>
      </c>
      <c r="K35" s="53">
        <v>-1.4941620889847425</v>
      </c>
      <c r="L35" s="53"/>
      <c r="M35" s="53">
        <v>-1.4941620889847425</v>
      </c>
      <c r="N35" s="53"/>
      <c r="O35" s="53"/>
      <c r="P35" s="53"/>
      <c r="Q35" s="53"/>
      <c r="R35" s="53"/>
      <c r="S35" s="53"/>
      <c r="T35" s="53"/>
      <c r="U35" s="53"/>
      <c r="V35" s="53"/>
    </row>
    <row r="36" spans="6:22" x14ac:dyDescent="0.55000000000000004">
      <c r="F36" s="44">
        <v>38108</v>
      </c>
      <c r="G36" s="52">
        <f t="shared" si="0"/>
        <v>4.8674296027248021</v>
      </c>
      <c r="H36" s="45">
        <v>86.3</v>
      </c>
      <c r="I36" s="45">
        <v>85.9</v>
      </c>
      <c r="K36" s="53">
        <v>-1.651406496056782</v>
      </c>
      <c r="L36" s="53"/>
      <c r="M36" s="53">
        <v>-1.651406496056782</v>
      </c>
      <c r="N36" s="53"/>
      <c r="O36" s="53"/>
      <c r="P36" s="53"/>
      <c r="Q36" s="53"/>
      <c r="R36" s="53"/>
      <c r="S36" s="53"/>
      <c r="T36" s="53"/>
      <c r="U36" s="53"/>
      <c r="V36" s="53"/>
    </row>
    <row r="37" spans="6:22" x14ac:dyDescent="0.55000000000000004">
      <c r="F37" s="44">
        <v>38139</v>
      </c>
      <c r="G37" s="52">
        <f t="shared" si="0"/>
        <v>-0.23201866556971981</v>
      </c>
      <c r="H37" s="45">
        <v>86.1</v>
      </c>
      <c r="I37" s="45">
        <v>86.1</v>
      </c>
      <c r="K37" s="53">
        <v>1.0103750580356954</v>
      </c>
      <c r="L37" s="53"/>
      <c r="M37" s="53">
        <v>1.0103750580356954</v>
      </c>
      <c r="N37" s="53"/>
      <c r="O37" s="53"/>
      <c r="P37" s="53"/>
      <c r="Q37" s="53"/>
      <c r="R37" s="53"/>
      <c r="S37" s="53"/>
      <c r="T37" s="53"/>
      <c r="U37" s="53"/>
      <c r="V37" s="53"/>
    </row>
    <row r="38" spans="6:22" x14ac:dyDescent="0.55000000000000004">
      <c r="F38" s="44">
        <v>38169</v>
      </c>
      <c r="G38" s="52">
        <f t="shared" si="0"/>
        <v>4.5410753180607175</v>
      </c>
      <c r="H38" s="45">
        <v>90.1</v>
      </c>
      <c r="I38" s="45">
        <v>86.7</v>
      </c>
      <c r="K38" s="53">
        <v>-0.68904666216837551</v>
      </c>
      <c r="L38" s="53"/>
      <c r="M38" s="53">
        <v>-0.68904666216837551</v>
      </c>
      <c r="N38" s="53"/>
      <c r="O38" s="53"/>
      <c r="P38" s="53"/>
      <c r="Q38" s="53"/>
      <c r="R38" s="53"/>
      <c r="S38" s="53"/>
      <c r="T38" s="53"/>
      <c r="U38" s="53"/>
      <c r="V38" s="53"/>
    </row>
    <row r="39" spans="6:22" x14ac:dyDescent="0.55000000000000004">
      <c r="F39" s="44">
        <v>38200</v>
      </c>
      <c r="G39" s="52">
        <f t="shared" si="0"/>
        <v>2.1954778646968967</v>
      </c>
      <c r="H39" s="45">
        <v>92.1</v>
      </c>
      <c r="I39" s="45">
        <v>87.6</v>
      </c>
      <c r="K39" s="53">
        <v>-0.60832085094559618</v>
      </c>
      <c r="L39" s="53"/>
      <c r="M39" s="53">
        <v>-0.60832085094559618</v>
      </c>
      <c r="N39" s="53"/>
      <c r="O39" s="53"/>
      <c r="P39" s="53"/>
      <c r="Q39" s="53"/>
      <c r="R39" s="53"/>
      <c r="S39" s="53"/>
      <c r="T39" s="53"/>
      <c r="U39" s="53"/>
      <c r="V39" s="53"/>
    </row>
    <row r="40" spans="6:22" x14ac:dyDescent="0.55000000000000004">
      <c r="F40" s="44">
        <v>38231</v>
      </c>
      <c r="G40" s="52">
        <f t="shared" si="0"/>
        <v>0</v>
      </c>
      <c r="H40" s="45">
        <v>92.1</v>
      </c>
      <c r="I40" s="45">
        <v>88.2</v>
      </c>
      <c r="K40" s="53">
        <v>2.825211038783249</v>
      </c>
      <c r="L40" s="53"/>
      <c r="M40" s="53">
        <v>2.825211038783249</v>
      </c>
      <c r="N40" s="53"/>
      <c r="O40" s="53"/>
      <c r="P40" s="53"/>
      <c r="Q40" s="53"/>
      <c r="R40" s="53"/>
      <c r="S40" s="53"/>
      <c r="T40" s="53"/>
      <c r="U40" s="53"/>
      <c r="V40" s="53"/>
    </row>
    <row r="41" spans="6:22" x14ac:dyDescent="0.55000000000000004">
      <c r="F41" s="44">
        <v>38261</v>
      </c>
      <c r="G41" s="52">
        <f t="shared" si="0"/>
        <v>1.5086493033380162</v>
      </c>
      <c r="H41" s="45">
        <v>93.5</v>
      </c>
      <c r="I41" s="45">
        <v>87.5</v>
      </c>
      <c r="K41" s="53">
        <v>-2.0630836876527283</v>
      </c>
      <c r="L41" s="53"/>
      <c r="M41" s="53">
        <v>-2.0630836876527283</v>
      </c>
      <c r="N41" s="53"/>
      <c r="O41" s="53"/>
      <c r="P41" s="53"/>
      <c r="Q41" s="53"/>
      <c r="R41" s="53"/>
      <c r="S41" s="53"/>
      <c r="T41" s="53"/>
      <c r="U41" s="53"/>
      <c r="V41" s="53"/>
    </row>
    <row r="42" spans="6:22" x14ac:dyDescent="0.55000000000000004">
      <c r="F42" s="44">
        <v>38292</v>
      </c>
      <c r="G42" s="52">
        <f t="shared" si="0"/>
        <v>-1.8349138668196541</v>
      </c>
      <c r="H42" s="45">
        <v>91.8</v>
      </c>
      <c r="I42" s="45">
        <v>87.5</v>
      </c>
      <c r="K42" s="53">
        <v>3.707254087174825</v>
      </c>
      <c r="L42" s="53"/>
      <c r="M42" s="53">
        <v>3.707254087174825</v>
      </c>
      <c r="N42" s="53"/>
      <c r="O42" s="53"/>
      <c r="P42" s="53"/>
      <c r="Q42" s="53"/>
      <c r="R42" s="53"/>
      <c r="S42" s="53"/>
      <c r="T42" s="53"/>
      <c r="U42" s="53"/>
      <c r="V42" s="53"/>
    </row>
    <row r="43" spans="6:22" x14ac:dyDescent="0.55000000000000004">
      <c r="F43" s="44">
        <v>38322</v>
      </c>
      <c r="G43" s="52">
        <f t="shared" si="0"/>
        <v>-8.0496695968436054</v>
      </c>
      <c r="H43" s="45">
        <v>84.7</v>
      </c>
      <c r="I43" s="45">
        <v>88.3</v>
      </c>
      <c r="K43" s="53">
        <v>3.0376187376414912</v>
      </c>
      <c r="L43" s="53"/>
      <c r="M43" s="53">
        <v>3.0376187376414912</v>
      </c>
      <c r="N43" s="53"/>
      <c r="O43" s="53"/>
      <c r="P43" s="53"/>
      <c r="Q43" s="53"/>
      <c r="R43" s="53"/>
      <c r="S43" s="53"/>
      <c r="T43" s="53"/>
      <c r="U43" s="53"/>
      <c r="V43" s="53"/>
    </row>
    <row r="44" spans="6:22" x14ac:dyDescent="0.55000000000000004">
      <c r="F44" s="44">
        <v>38353</v>
      </c>
      <c r="G44" s="52">
        <f t="shared" si="0"/>
        <v>-4.4666446985569994</v>
      </c>
      <c r="H44" s="45">
        <v>81</v>
      </c>
      <c r="I44" s="45">
        <v>88.7</v>
      </c>
      <c r="K44" s="53">
        <v>-3.9063269313406899</v>
      </c>
      <c r="L44" s="53"/>
      <c r="M44" s="53">
        <v>-3.9063269313406899</v>
      </c>
      <c r="N44" s="53"/>
      <c r="O44" s="53"/>
      <c r="P44" s="53"/>
      <c r="Q44" s="53"/>
      <c r="R44" s="53"/>
      <c r="S44" s="53"/>
      <c r="T44" s="53"/>
      <c r="U44" s="53"/>
      <c r="V44" s="53"/>
    </row>
    <row r="45" spans="6:22" x14ac:dyDescent="0.55000000000000004">
      <c r="F45" s="44">
        <v>38384</v>
      </c>
      <c r="G45" s="52">
        <f t="shared" si="0"/>
        <v>-5.8466458499963849</v>
      </c>
      <c r="H45" s="45">
        <v>76.400000000000006</v>
      </c>
      <c r="I45" s="45">
        <v>87.3</v>
      </c>
      <c r="K45" s="53">
        <v>-2.7635865213641622</v>
      </c>
      <c r="L45" s="53"/>
      <c r="M45" s="53">
        <v>-2.7635865213641622</v>
      </c>
      <c r="N45" s="53"/>
      <c r="O45" s="53"/>
      <c r="P45" s="53"/>
      <c r="Q45" s="53"/>
      <c r="R45" s="53"/>
      <c r="S45" s="53"/>
      <c r="T45" s="53"/>
      <c r="U45" s="53"/>
      <c r="V45" s="53"/>
    </row>
    <row r="46" spans="6:22" x14ac:dyDescent="0.55000000000000004">
      <c r="F46" s="44">
        <v>38412</v>
      </c>
      <c r="G46" s="52">
        <f t="shared" si="0"/>
        <v>14.135411830573155</v>
      </c>
      <c r="H46" s="45">
        <v>88</v>
      </c>
      <c r="I46" s="45">
        <v>88.2</v>
      </c>
      <c r="K46" s="53">
        <v>3.881368425924645</v>
      </c>
      <c r="L46" s="53"/>
      <c r="M46" s="53">
        <v>3.881368425924645</v>
      </c>
      <c r="N46" s="53"/>
      <c r="O46" s="53"/>
      <c r="P46" s="53"/>
      <c r="Q46" s="53"/>
      <c r="R46" s="53"/>
      <c r="S46" s="53"/>
      <c r="T46" s="53"/>
      <c r="U46" s="53"/>
      <c r="V46" s="53"/>
    </row>
    <row r="47" spans="6:22" x14ac:dyDescent="0.55000000000000004">
      <c r="F47" s="44">
        <v>38443</v>
      </c>
      <c r="G47" s="52">
        <f t="shared" si="0"/>
        <v>-1.1428695823622743</v>
      </c>
      <c r="H47" s="45">
        <v>87</v>
      </c>
      <c r="I47" s="45">
        <v>88.3</v>
      </c>
      <c r="K47" s="53">
        <v>2.9232413495741953</v>
      </c>
      <c r="L47" s="53"/>
      <c r="M47" s="53">
        <v>2.9232413495741953</v>
      </c>
      <c r="N47" s="53"/>
      <c r="O47" s="53"/>
      <c r="P47" s="53"/>
      <c r="Q47" s="53"/>
      <c r="R47" s="53"/>
      <c r="S47" s="53"/>
      <c r="T47" s="53"/>
      <c r="U47" s="53"/>
      <c r="V47" s="53"/>
    </row>
    <row r="48" spans="6:22" x14ac:dyDescent="0.55000000000000004">
      <c r="F48" s="44">
        <v>38473</v>
      </c>
      <c r="G48" s="52">
        <f t="shared" si="0"/>
        <v>4.6049685611328837</v>
      </c>
      <c r="H48" s="45">
        <v>91.1</v>
      </c>
      <c r="I48" s="45">
        <v>91.3</v>
      </c>
      <c r="K48" s="53">
        <v>-1.9138675376487004</v>
      </c>
      <c r="L48" s="53"/>
      <c r="M48" s="53">
        <v>-1.9138675376487004</v>
      </c>
      <c r="N48" s="53"/>
      <c r="O48" s="53"/>
      <c r="P48" s="53"/>
      <c r="Q48" s="53"/>
      <c r="R48" s="53"/>
      <c r="S48" s="53"/>
      <c r="T48" s="53"/>
      <c r="U48" s="53"/>
      <c r="V48" s="53"/>
    </row>
    <row r="49" spans="6:22" x14ac:dyDescent="0.55000000000000004">
      <c r="F49" s="44">
        <v>38504</v>
      </c>
      <c r="G49" s="52">
        <f t="shared" si="0"/>
        <v>0.32876741941917081</v>
      </c>
      <c r="H49" s="45">
        <v>91.4</v>
      </c>
      <c r="I49" s="45">
        <v>89.5</v>
      </c>
      <c r="K49" s="53">
        <v>1.571161143024586</v>
      </c>
      <c r="L49" s="53"/>
      <c r="M49" s="53">
        <v>1.571161143024586</v>
      </c>
      <c r="N49" s="53"/>
      <c r="O49" s="53"/>
      <c r="P49" s="53"/>
      <c r="Q49" s="53"/>
      <c r="R49" s="53"/>
      <c r="S49" s="53"/>
      <c r="T49" s="53"/>
      <c r="U49" s="53"/>
      <c r="V49" s="53"/>
    </row>
    <row r="50" spans="6:22" x14ac:dyDescent="0.55000000000000004">
      <c r="F50" s="44">
        <v>38534</v>
      </c>
      <c r="G50" s="52">
        <f t="shared" si="0"/>
        <v>-0.98956277542239612</v>
      </c>
      <c r="H50" s="45">
        <v>90.5</v>
      </c>
      <c r="I50" s="45">
        <v>88.9</v>
      </c>
      <c r="K50" s="53">
        <v>-6.2196847556514889</v>
      </c>
      <c r="L50" s="53"/>
      <c r="M50" s="53">
        <v>-6.2196847556514889</v>
      </c>
      <c r="N50" s="53"/>
      <c r="O50" s="53"/>
      <c r="P50" s="53"/>
      <c r="Q50" s="53"/>
      <c r="R50" s="53"/>
      <c r="S50" s="53"/>
      <c r="T50" s="53"/>
      <c r="U50" s="53"/>
      <c r="V50" s="53"/>
    </row>
    <row r="51" spans="6:22" x14ac:dyDescent="0.55000000000000004">
      <c r="F51" s="44">
        <v>38565</v>
      </c>
      <c r="G51" s="52">
        <f t="shared" si="0"/>
        <v>5.482296935147505</v>
      </c>
      <c r="H51" s="45">
        <v>95.6</v>
      </c>
      <c r="I51" s="45">
        <v>89.1</v>
      </c>
      <c r="K51" s="53">
        <v>2.6784982195050122</v>
      </c>
      <c r="L51" s="53"/>
      <c r="M51" s="53">
        <v>2.6784982195050122</v>
      </c>
      <c r="N51" s="53"/>
      <c r="O51" s="53"/>
      <c r="P51" s="53"/>
      <c r="Q51" s="53"/>
      <c r="R51" s="53"/>
      <c r="S51" s="53"/>
      <c r="T51" s="53"/>
      <c r="U51" s="53"/>
      <c r="V51" s="53"/>
    </row>
    <row r="52" spans="6:22" x14ac:dyDescent="0.55000000000000004">
      <c r="F52" s="44">
        <v>38596</v>
      </c>
      <c r="G52" s="52">
        <f t="shared" si="0"/>
        <v>-3.8384243008315222</v>
      </c>
      <c r="H52" s="45">
        <v>92</v>
      </c>
      <c r="I52" s="45">
        <v>88.3</v>
      </c>
      <c r="K52" s="53">
        <v>-1.0132132620482732</v>
      </c>
      <c r="L52" s="53"/>
      <c r="M52" s="53">
        <v>-1.0132132620482732</v>
      </c>
      <c r="N52" s="53"/>
      <c r="O52" s="53"/>
      <c r="P52" s="53"/>
      <c r="Q52" s="53"/>
      <c r="R52" s="53"/>
      <c r="S52" s="53"/>
      <c r="T52" s="53"/>
      <c r="U52" s="53"/>
      <c r="V52" s="53"/>
    </row>
    <row r="53" spans="6:22" x14ac:dyDescent="0.55000000000000004">
      <c r="F53" s="44">
        <v>38626</v>
      </c>
      <c r="G53" s="52">
        <f t="shared" si="0"/>
        <v>1.8309612195336253</v>
      </c>
      <c r="H53" s="45">
        <v>93.7</v>
      </c>
      <c r="I53" s="45">
        <v>87.6</v>
      </c>
      <c r="K53" s="53">
        <v>-1.7407717714571191</v>
      </c>
      <c r="L53" s="53"/>
      <c r="M53" s="53">
        <v>-1.7407717714571191</v>
      </c>
      <c r="N53" s="53"/>
      <c r="O53" s="53"/>
      <c r="P53" s="53"/>
      <c r="Q53" s="53"/>
      <c r="R53" s="53"/>
      <c r="S53" s="53"/>
      <c r="T53" s="53"/>
      <c r="U53" s="53"/>
      <c r="V53" s="53"/>
    </row>
    <row r="54" spans="6:22" x14ac:dyDescent="0.55000000000000004">
      <c r="F54" s="44">
        <v>38657</v>
      </c>
      <c r="G54" s="52">
        <f t="shared" si="0"/>
        <v>-1.3971210596737951</v>
      </c>
      <c r="H54" s="45">
        <v>92.4</v>
      </c>
      <c r="I54" s="45">
        <v>88.6</v>
      </c>
      <c r="K54" s="53">
        <v>4.145046894320684</v>
      </c>
      <c r="L54" s="53"/>
      <c r="M54" s="53">
        <v>4.145046894320684</v>
      </c>
      <c r="N54" s="53"/>
      <c r="O54" s="53"/>
      <c r="P54" s="53"/>
      <c r="Q54" s="53"/>
      <c r="R54" s="53"/>
      <c r="S54" s="53"/>
      <c r="T54" s="53"/>
      <c r="U54" s="53"/>
      <c r="V54" s="53"/>
    </row>
    <row r="55" spans="6:22" x14ac:dyDescent="0.55000000000000004">
      <c r="F55" s="44">
        <v>38687</v>
      </c>
      <c r="G55" s="52">
        <f t="shared" si="0"/>
        <v>-6.4827163079249166</v>
      </c>
      <c r="H55" s="45">
        <v>86.6</v>
      </c>
      <c r="I55" s="45">
        <v>90.5</v>
      </c>
      <c r="K55" s="53">
        <v>4.6045720265601799</v>
      </c>
      <c r="L55" s="53"/>
      <c r="M55" s="53">
        <v>4.6045720265601799</v>
      </c>
      <c r="N55" s="53"/>
      <c r="O55" s="53"/>
      <c r="P55" s="53"/>
      <c r="Q55" s="53"/>
      <c r="R55" s="53"/>
      <c r="S55" s="53"/>
      <c r="T55" s="53"/>
      <c r="U55" s="53"/>
      <c r="V55" s="53"/>
    </row>
    <row r="56" spans="6:22" x14ac:dyDescent="0.55000000000000004">
      <c r="F56" s="44">
        <v>38718</v>
      </c>
      <c r="G56" s="52">
        <f t="shared" si="0"/>
        <v>-3.4060838072959752</v>
      </c>
      <c r="H56" s="45">
        <v>83.7</v>
      </c>
      <c r="I56" s="45">
        <v>90.8</v>
      </c>
      <c r="K56" s="53">
        <v>-2.845766040079666</v>
      </c>
      <c r="L56" s="53"/>
      <c r="M56" s="53">
        <v>-2.845766040079666</v>
      </c>
      <c r="N56" s="53"/>
      <c r="O56" s="53"/>
      <c r="P56" s="53"/>
      <c r="Q56" s="53"/>
      <c r="R56" s="53"/>
      <c r="S56" s="53"/>
      <c r="T56" s="53"/>
      <c r="U56" s="53"/>
      <c r="V56" s="53"/>
    </row>
    <row r="57" spans="6:22" x14ac:dyDescent="0.55000000000000004">
      <c r="F57" s="44">
        <v>38749</v>
      </c>
      <c r="G57" s="52">
        <f t="shared" si="0"/>
        <v>-4.2715462622960851</v>
      </c>
      <c r="H57" s="45">
        <v>80.2</v>
      </c>
      <c r="I57" s="45">
        <v>91.4</v>
      </c>
      <c r="K57" s="53">
        <v>-1.1884869336638624</v>
      </c>
      <c r="L57" s="53"/>
      <c r="M57" s="53">
        <v>-1.1884869336638624</v>
      </c>
      <c r="N57" s="53"/>
      <c r="O57" s="53"/>
      <c r="P57" s="53"/>
      <c r="Q57" s="53"/>
      <c r="R57" s="53"/>
      <c r="S57" s="53"/>
      <c r="T57" s="53"/>
      <c r="U57" s="53"/>
      <c r="V57" s="53"/>
    </row>
    <row r="58" spans="6:22" x14ac:dyDescent="0.55000000000000004">
      <c r="F58" s="44">
        <v>38777</v>
      </c>
      <c r="G58" s="52">
        <f t="shared" si="0"/>
        <v>14.160346377516964</v>
      </c>
      <c r="H58" s="45">
        <v>92.4</v>
      </c>
      <c r="I58" s="45">
        <v>90.7</v>
      </c>
      <c r="K58" s="53">
        <v>3.9063029728684544</v>
      </c>
      <c r="L58" s="53"/>
      <c r="M58" s="53">
        <v>3.9063029728684544</v>
      </c>
      <c r="N58" s="53"/>
      <c r="O58" s="53"/>
      <c r="P58" s="53"/>
      <c r="Q58" s="53"/>
      <c r="R58" s="53"/>
      <c r="S58" s="53"/>
      <c r="T58" s="53"/>
      <c r="U58" s="53"/>
      <c r="V58" s="53"/>
    </row>
    <row r="59" spans="6:22" x14ac:dyDescent="0.55000000000000004">
      <c r="F59" s="44">
        <v>38808</v>
      </c>
      <c r="G59" s="52">
        <f t="shared" si="0"/>
        <v>-7.5274153043904395</v>
      </c>
      <c r="H59" s="45">
        <v>85.7</v>
      </c>
      <c r="I59" s="45">
        <v>91.4</v>
      </c>
      <c r="K59" s="53">
        <v>-3.46130437245397</v>
      </c>
      <c r="L59" s="53"/>
      <c r="M59" s="53">
        <v>-3.46130437245397</v>
      </c>
      <c r="N59" s="53"/>
      <c r="O59" s="53"/>
      <c r="P59" s="53"/>
      <c r="Q59" s="53"/>
      <c r="R59" s="53"/>
      <c r="S59" s="53"/>
      <c r="T59" s="53"/>
      <c r="U59" s="53"/>
      <c r="V59" s="53"/>
    </row>
    <row r="60" spans="6:22" x14ac:dyDescent="0.55000000000000004">
      <c r="F60" s="44">
        <v>38838</v>
      </c>
      <c r="G60" s="52">
        <f t="shared" si="0"/>
        <v>10.722575285050679</v>
      </c>
      <c r="H60" s="45">
        <v>95.4</v>
      </c>
      <c r="I60" s="45">
        <v>92.2</v>
      </c>
      <c r="K60" s="53">
        <v>4.2037391862690949</v>
      </c>
      <c r="L60" s="53"/>
      <c r="M60" s="53">
        <v>4.2037391862690949</v>
      </c>
      <c r="N60" s="53"/>
      <c r="O60" s="53"/>
      <c r="P60" s="53"/>
      <c r="Q60" s="53"/>
      <c r="R60" s="53"/>
      <c r="S60" s="53"/>
      <c r="T60" s="53"/>
      <c r="U60" s="53"/>
      <c r="V60" s="53"/>
    </row>
    <row r="61" spans="6:22" x14ac:dyDescent="0.55000000000000004">
      <c r="F61" s="44">
        <v>38869</v>
      </c>
      <c r="G61" s="52">
        <f t="shared" si="0"/>
        <v>-4.6120774188328273</v>
      </c>
      <c r="H61" s="45">
        <v>91.1</v>
      </c>
      <c r="I61" s="45">
        <v>90.6</v>
      </c>
      <c r="K61" s="53">
        <v>-3.3696836952274118</v>
      </c>
      <c r="L61" s="53"/>
      <c r="M61" s="53">
        <v>-3.3696836952274118</v>
      </c>
      <c r="N61" s="53"/>
      <c r="O61" s="53"/>
      <c r="P61" s="53"/>
      <c r="Q61" s="53"/>
      <c r="R61" s="53"/>
      <c r="S61" s="53"/>
      <c r="T61" s="53"/>
      <c r="U61" s="53"/>
      <c r="V61" s="53"/>
    </row>
    <row r="62" spans="6:22" x14ac:dyDescent="0.55000000000000004">
      <c r="F62" s="44">
        <v>38899</v>
      </c>
      <c r="G62" s="52">
        <f t="shared" si="0"/>
        <v>2.9207051746266317</v>
      </c>
      <c r="H62" s="45">
        <v>93.8</v>
      </c>
      <c r="I62" s="45">
        <v>91.6</v>
      </c>
      <c r="K62" s="53">
        <v>-2.3094168056024613</v>
      </c>
      <c r="L62" s="53"/>
      <c r="M62" s="53">
        <v>-2.3094168056024613</v>
      </c>
      <c r="N62" s="53"/>
      <c r="O62" s="53"/>
      <c r="P62" s="53"/>
      <c r="Q62" s="53"/>
      <c r="R62" s="53"/>
      <c r="S62" s="53"/>
      <c r="T62" s="53"/>
      <c r="U62" s="53"/>
      <c r="V62" s="53"/>
    </row>
    <row r="63" spans="6:22" x14ac:dyDescent="0.55000000000000004">
      <c r="F63" s="44">
        <v>38930</v>
      </c>
      <c r="G63" s="52">
        <f t="shared" si="0"/>
        <v>4.9906405596410703</v>
      </c>
      <c r="H63" s="45">
        <v>98.6</v>
      </c>
      <c r="I63" s="45">
        <v>91.4</v>
      </c>
      <c r="K63" s="53">
        <v>2.1868418439985775</v>
      </c>
      <c r="L63" s="53"/>
      <c r="M63" s="53">
        <v>2.1868418439985775</v>
      </c>
      <c r="N63" s="53"/>
      <c r="O63" s="53"/>
      <c r="P63" s="53"/>
      <c r="Q63" s="53"/>
      <c r="R63" s="53"/>
      <c r="S63" s="53"/>
      <c r="T63" s="53"/>
      <c r="U63" s="53"/>
      <c r="V63" s="53"/>
    </row>
    <row r="64" spans="6:22" x14ac:dyDescent="0.55000000000000004">
      <c r="F64" s="44">
        <v>38961</v>
      </c>
      <c r="G64" s="52">
        <f t="shared" si="0"/>
        <v>-5.6323539917044103</v>
      </c>
      <c r="H64" s="45">
        <v>93.2</v>
      </c>
      <c r="I64" s="45">
        <v>90.4</v>
      </c>
      <c r="K64" s="53">
        <v>-2.8071429529211613</v>
      </c>
      <c r="L64" s="53"/>
      <c r="M64" s="53">
        <v>-2.8071429529211613</v>
      </c>
      <c r="N64" s="53"/>
      <c r="O64" s="53"/>
      <c r="P64" s="53"/>
      <c r="Q64" s="53"/>
      <c r="R64" s="53"/>
      <c r="S64" s="53"/>
      <c r="T64" s="53"/>
      <c r="U64" s="53"/>
      <c r="V64" s="53"/>
    </row>
    <row r="65" spans="6:22" x14ac:dyDescent="0.55000000000000004">
      <c r="F65" s="44">
        <v>38991</v>
      </c>
      <c r="G65" s="52">
        <f t="shared" si="0"/>
        <v>4.5104656312255988</v>
      </c>
      <c r="H65" s="45">
        <v>97.5</v>
      </c>
      <c r="I65" s="45">
        <v>90.8</v>
      </c>
      <c r="K65" s="53">
        <v>0.93873264023485437</v>
      </c>
      <c r="L65" s="53"/>
      <c r="M65" s="53">
        <v>0.93873264023485437</v>
      </c>
      <c r="N65" s="53"/>
      <c r="O65" s="53"/>
      <c r="P65" s="53"/>
      <c r="Q65" s="53"/>
      <c r="R65" s="53"/>
      <c r="S65" s="53"/>
      <c r="T65" s="53"/>
      <c r="U65" s="53"/>
      <c r="V65" s="53"/>
    </row>
    <row r="66" spans="6:22" x14ac:dyDescent="0.55000000000000004">
      <c r="F66" s="44">
        <v>39022</v>
      </c>
      <c r="G66" s="52">
        <f t="shared" si="0"/>
        <v>-1.6546396114408941</v>
      </c>
      <c r="H66" s="45">
        <v>95.9</v>
      </c>
      <c r="I66" s="45">
        <v>92.1</v>
      </c>
      <c r="K66" s="53">
        <v>3.8875283425535851</v>
      </c>
      <c r="L66" s="53"/>
      <c r="M66" s="53">
        <v>3.8875283425535851</v>
      </c>
      <c r="N66" s="53"/>
      <c r="O66" s="53"/>
      <c r="P66" s="53"/>
      <c r="Q66" s="53"/>
      <c r="R66" s="53"/>
      <c r="S66" s="53"/>
      <c r="T66" s="53"/>
      <c r="U66" s="53"/>
      <c r="V66" s="53"/>
    </row>
    <row r="67" spans="6:22" x14ac:dyDescent="0.55000000000000004">
      <c r="F67" s="44">
        <v>39052</v>
      </c>
      <c r="G67" s="52">
        <f t="shared" si="0"/>
        <v>-9.7397863234808941</v>
      </c>
      <c r="H67" s="45">
        <v>87</v>
      </c>
      <c r="I67" s="45">
        <v>93.3</v>
      </c>
      <c r="K67" s="53">
        <v>1.3475020110042024</v>
      </c>
      <c r="L67" s="53"/>
      <c r="M67" s="53">
        <v>1.3475020110042024</v>
      </c>
      <c r="N67" s="53"/>
      <c r="O67" s="53"/>
      <c r="P67" s="53"/>
      <c r="Q67" s="53"/>
      <c r="R67" s="53"/>
      <c r="S67" s="53"/>
      <c r="T67" s="53"/>
      <c r="U67" s="53"/>
      <c r="V67" s="53"/>
    </row>
    <row r="68" spans="6:22" x14ac:dyDescent="0.55000000000000004">
      <c r="F68" s="44">
        <v>39083</v>
      </c>
      <c r="G68" s="52">
        <f t="shared" si="0"/>
        <v>0</v>
      </c>
      <c r="H68" s="45">
        <v>87</v>
      </c>
      <c r="I68" s="45">
        <v>92.7</v>
      </c>
      <c r="K68" s="53">
        <v>0.56031776721630933</v>
      </c>
      <c r="L68" s="53"/>
      <c r="M68" s="53">
        <v>0.56031776721630933</v>
      </c>
      <c r="N68" s="53"/>
      <c r="O68" s="53"/>
      <c r="P68" s="53"/>
      <c r="Q68" s="53"/>
      <c r="R68" s="53"/>
      <c r="S68" s="53"/>
      <c r="T68" s="53"/>
      <c r="U68" s="53"/>
      <c r="V68" s="53"/>
    </row>
    <row r="69" spans="6:22" x14ac:dyDescent="0.55000000000000004">
      <c r="F69" s="44">
        <v>39114</v>
      </c>
      <c r="G69" s="52">
        <f t="shared" si="0"/>
        <v>-5.1898438127651367</v>
      </c>
      <c r="H69" s="45">
        <v>82.6</v>
      </c>
      <c r="I69" s="45">
        <v>93.9</v>
      </c>
      <c r="K69" s="53">
        <v>-2.106784484132914</v>
      </c>
      <c r="L69" s="53"/>
      <c r="M69" s="53">
        <v>-2.106784484132914</v>
      </c>
      <c r="N69" s="53"/>
      <c r="O69" s="53"/>
      <c r="P69" s="53"/>
      <c r="Q69" s="53"/>
      <c r="R69" s="53"/>
      <c r="S69" s="53"/>
      <c r="T69" s="53"/>
      <c r="U69" s="53"/>
      <c r="V69" s="53"/>
    </row>
    <row r="70" spans="6:22" x14ac:dyDescent="0.55000000000000004">
      <c r="F70" s="44">
        <v>39142</v>
      </c>
      <c r="G70" s="52">
        <f t="shared" si="0"/>
        <v>15.449652108956771</v>
      </c>
      <c r="H70" s="45">
        <v>96.4</v>
      </c>
      <c r="I70" s="45">
        <v>94.9</v>
      </c>
      <c r="K70" s="53">
        <v>5.1956087043082615</v>
      </c>
      <c r="L70" s="53"/>
      <c r="M70" s="53">
        <v>5.1956087043082615</v>
      </c>
      <c r="N70" s="53"/>
      <c r="O70" s="53"/>
      <c r="P70" s="53"/>
      <c r="Q70" s="53"/>
      <c r="R70" s="53"/>
      <c r="S70" s="53"/>
      <c r="T70" s="53"/>
      <c r="U70" s="53"/>
      <c r="V70" s="53"/>
    </row>
    <row r="71" spans="6:22" x14ac:dyDescent="0.55000000000000004">
      <c r="F71" s="44">
        <v>39173</v>
      </c>
      <c r="G71" s="52">
        <f t="shared" si="0"/>
        <v>-6.205198856756641</v>
      </c>
      <c r="H71" s="45">
        <v>90.6</v>
      </c>
      <c r="I71" s="45">
        <v>96</v>
      </c>
      <c r="K71" s="53">
        <v>-2.1390879248201715</v>
      </c>
      <c r="L71" s="53"/>
      <c r="M71" s="53">
        <v>-2.1390879248201715</v>
      </c>
      <c r="N71" s="53"/>
      <c r="O71" s="53"/>
      <c r="P71" s="53"/>
      <c r="Q71" s="53"/>
      <c r="R71" s="53"/>
      <c r="S71" s="53"/>
      <c r="T71" s="53"/>
      <c r="U71" s="53"/>
      <c r="V71" s="53"/>
    </row>
    <row r="72" spans="6:22" x14ac:dyDescent="0.55000000000000004">
      <c r="F72" s="44">
        <v>39203</v>
      </c>
      <c r="G72" s="52">
        <f t="shared" si="0"/>
        <v>9.7715472605574369</v>
      </c>
      <c r="H72" s="45">
        <v>99.9</v>
      </c>
      <c r="I72" s="45">
        <v>96.3</v>
      </c>
      <c r="K72" s="53">
        <v>3.2527111617758528</v>
      </c>
      <c r="L72" s="53"/>
      <c r="M72" s="53">
        <v>3.2527111617758528</v>
      </c>
      <c r="N72" s="53"/>
      <c r="O72" s="53"/>
      <c r="P72" s="53"/>
      <c r="Q72" s="53"/>
      <c r="R72" s="53"/>
      <c r="S72" s="53"/>
      <c r="T72" s="53"/>
      <c r="U72" s="53"/>
      <c r="V72" s="53"/>
    </row>
    <row r="73" spans="6:22" x14ac:dyDescent="0.55000000000000004">
      <c r="F73" s="44">
        <v>39234</v>
      </c>
      <c r="G73" s="52">
        <f t="shared" si="0"/>
        <v>-3.0490166757787276</v>
      </c>
      <c r="H73" s="45">
        <v>96.9</v>
      </c>
      <c r="I73" s="45">
        <v>97</v>
      </c>
      <c r="K73" s="53">
        <v>-1.8066229521733124</v>
      </c>
      <c r="L73" s="53"/>
      <c r="M73" s="53">
        <v>-1.8066229521733124</v>
      </c>
      <c r="N73" s="53"/>
      <c r="O73" s="53"/>
      <c r="P73" s="53"/>
      <c r="Q73" s="53"/>
      <c r="R73" s="53"/>
      <c r="S73" s="53"/>
      <c r="T73" s="53"/>
      <c r="U73" s="53"/>
      <c r="V73" s="53"/>
    </row>
    <row r="74" spans="6:22" x14ac:dyDescent="0.55000000000000004">
      <c r="F74" s="44">
        <v>39264</v>
      </c>
      <c r="G74" s="52">
        <f t="shared" ref="G74:G137" si="1">LN(H74/H73)*100</f>
        <v>2.9488664420697721</v>
      </c>
      <c r="H74" s="45">
        <v>99.8</v>
      </c>
      <c r="I74" s="45">
        <v>96.5</v>
      </c>
      <c r="K74" s="53">
        <v>-2.2812555381593209</v>
      </c>
      <c r="L74" s="53"/>
      <c r="M74" s="53">
        <v>-2.2812555381593209</v>
      </c>
      <c r="N74" s="53"/>
      <c r="O74" s="53"/>
      <c r="P74" s="53"/>
      <c r="Q74" s="53"/>
      <c r="R74" s="53"/>
      <c r="S74" s="53"/>
      <c r="T74" s="53"/>
      <c r="U74" s="53"/>
      <c r="V74" s="53"/>
    </row>
    <row r="75" spans="6:22" x14ac:dyDescent="0.55000000000000004">
      <c r="F75" s="44">
        <v>39295</v>
      </c>
      <c r="G75" s="52">
        <f t="shared" si="1"/>
        <v>4.9839332084833199</v>
      </c>
      <c r="H75" s="45">
        <v>104.9</v>
      </c>
      <c r="I75" s="45">
        <v>97.9</v>
      </c>
      <c r="K75" s="53">
        <v>2.1801344928408271</v>
      </c>
      <c r="L75" s="53"/>
      <c r="M75" s="53">
        <v>2.1801344928408271</v>
      </c>
      <c r="N75" s="53"/>
      <c r="O75" s="53"/>
      <c r="P75" s="53"/>
      <c r="Q75" s="53"/>
      <c r="R75" s="53"/>
      <c r="S75" s="53"/>
      <c r="T75" s="53"/>
      <c r="U75" s="53"/>
      <c r="V75" s="53"/>
    </row>
    <row r="76" spans="6:22" x14ac:dyDescent="0.55000000000000004">
      <c r="F76" s="44">
        <v>39326</v>
      </c>
      <c r="G76" s="52">
        <f t="shared" si="1"/>
        <v>-6.3966711344043752</v>
      </c>
      <c r="H76" s="45">
        <v>98.4</v>
      </c>
      <c r="I76" s="45">
        <v>97.2</v>
      </c>
      <c r="K76" s="53">
        <v>-3.5714600956211262</v>
      </c>
      <c r="L76" s="53"/>
      <c r="M76" s="53">
        <v>-3.5714600956211262</v>
      </c>
      <c r="N76" s="53"/>
      <c r="O76" s="53"/>
      <c r="P76" s="53"/>
      <c r="Q76" s="53"/>
      <c r="R76" s="53"/>
      <c r="S76" s="53"/>
      <c r="T76" s="53"/>
      <c r="U76" s="53"/>
      <c r="V76" s="53"/>
    </row>
    <row r="77" spans="6:22" x14ac:dyDescent="0.55000000000000004">
      <c r="F77" s="44">
        <v>39356</v>
      </c>
      <c r="G77" s="52">
        <f t="shared" si="1"/>
        <v>9.1236854416688988</v>
      </c>
      <c r="H77" s="45">
        <v>107.8</v>
      </c>
      <c r="I77" s="45">
        <v>99.5</v>
      </c>
      <c r="K77" s="53">
        <v>5.5519524506781543</v>
      </c>
      <c r="L77" s="53"/>
      <c r="M77" s="53">
        <v>5.5519524506781543</v>
      </c>
      <c r="N77" s="53"/>
      <c r="O77" s="53"/>
      <c r="P77" s="53"/>
      <c r="Q77" s="53"/>
      <c r="R77" s="53"/>
      <c r="S77" s="53"/>
      <c r="T77" s="53"/>
      <c r="U77" s="53"/>
      <c r="V77" s="53"/>
    </row>
    <row r="78" spans="6:22" x14ac:dyDescent="0.55000000000000004">
      <c r="F78" s="44">
        <v>39387</v>
      </c>
      <c r="G78" s="52">
        <f t="shared" si="1"/>
        <v>-5.1390945869489242</v>
      </c>
      <c r="H78" s="45">
        <v>102.4</v>
      </c>
      <c r="I78" s="45">
        <v>98.5</v>
      </c>
      <c r="K78" s="53">
        <v>0.40307336704555485</v>
      </c>
      <c r="L78" s="53"/>
      <c r="M78" s="53">
        <v>0.40307336704555485</v>
      </c>
      <c r="N78" s="53"/>
      <c r="O78" s="53"/>
      <c r="P78" s="53"/>
      <c r="Q78" s="53"/>
      <c r="R78" s="53"/>
      <c r="S78" s="53"/>
      <c r="T78" s="53"/>
      <c r="U78" s="53"/>
      <c r="V78" s="53"/>
    </row>
    <row r="79" spans="6:22" x14ac:dyDescent="0.55000000000000004">
      <c r="F79" s="44">
        <v>39417</v>
      </c>
      <c r="G79" s="52">
        <f t="shared" si="1"/>
        <v>-10.059757095327383</v>
      </c>
      <c r="H79" s="45">
        <v>92.6</v>
      </c>
      <c r="I79" s="45">
        <v>98.9</v>
      </c>
      <c r="K79" s="53">
        <v>1.0275312391577138</v>
      </c>
      <c r="L79" s="53"/>
      <c r="M79" s="53">
        <v>1.0275312391577138</v>
      </c>
      <c r="N79" s="53"/>
      <c r="O79" s="53"/>
      <c r="P79" s="53"/>
      <c r="Q79" s="53"/>
      <c r="R79" s="53"/>
      <c r="S79" s="53"/>
      <c r="T79" s="53"/>
      <c r="U79" s="53"/>
      <c r="V79" s="53"/>
    </row>
    <row r="80" spans="6:22" x14ac:dyDescent="0.55000000000000004">
      <c r="F80" s="44">
        <v>39448</v>
      </c>
      <c r="G80" s="52">
        <f t="shared" si="1"/>
        <v>2.3480267608842449</v>
      </c>
      <c r="H80" s="45">
        <v>94.8</v>
      </c>
      <c r="I80" s="45">
        <v>100.6</v>
      </c>
      <c r="K80" s="53">
        <v>2.908344528100554</v>
      </c>
      <c r="L80" s="53"/>
      <c r="M80" s="53">
        <v>2.908344528100554</v>
      </c>
      <c r="N80" s="53"/>
      <c r="O80" s="53"/>
      <c r="P80" s="53"/>
      <c r="Q80" s="53"/>
      <c r="R80" s="53"/>
      <c r="S80" s="53"/>
      <c r="T80" s="53"/>
      <c r="U80" s="53"/>
      <c r="V80" s="53"/>
    </row>
    <row r="81" spans="6:22" x14ac:dyDescent="0.55000000000000004">
      <c r="F81" s="44">
        <v>39479</v>
      </c>
      <c r="G81" s="52">
        <f t="shared" si="1"/>
        <v>-3.9811604995063505</v>
      </c>
      <c r="H81" s="45">
        <v>91.1</v>
      </c>
      <c r="I81" s="45">
        <v>100.2</v>
      </c>
      <c r="K81" s="53">
        <v>-0.89810117087412777</v>
      </c>
      <c r="L81" s="53"/>
      <c r="M81" s="53">
        <v>-0.89810117087412777</v>
      </c>
      <c r="N81" s="53"/>
      <c r="O81" s="53"/>
      <c r="P81" s="53"/>
      <c r="Q81" s="53"/>
      <c r="R81" s="53"/>
      <c r="S81" s="53"/>
      <c r="T81" s="53"/>
      <c r="U81" s="53"/>
      <c r="V81" s="53"/>
    </row>
    <row r="82" spans="6:22" x14ac:dyDescent="0.55000000000000004">
      <c r="F82" s="44">
        <v>39508</v>
      </c>
      <c r="G82" s="52">
        <f t="shared" si="1"/>
        <v>6.9943754782824428</v>
      </c>
      <c r="H82" s="45">
        <v>97.7</v>
      </c>
      <c r="I82" s="45">
        <v>100.5</v>
      </c>
      <c r="K82" s="53">
        <v>-3.2596679263660668</v>
      </c>
      <c r="L82" s="53"/>
      <c r="M82" s="53">
        <v>-3.2596679263660668</v>
      </c>
      <c r="N82" s="53"/>
      <c r="O82" s="53"/>
      <c r="P82" s="53"/>
      <c r="Q82" s="53"/>
      <c r="R82" s="53"/>
      <c r="S82" s="53"/>
      <c r="T82" s="53"/>
      <c r="U82" s="53"/>
      <c r="V82" s="53"/>
    </row>
    <row r="83" spans="6:22" x14ac:dyDescent="0.55000000000000004">
      <c r="F83" s="44">
        <v>39539</v>
      </c>
      <c r="G83" s="52">
        <f t="shared" si="1"/>
        <v>1.5236455242089986</v>
      </c>
      <c r="H83" s="45">
        <v>99.2</v>
      </c>
      <c r="I83" s="45">
        <v>100.4</v>
      </c>
      <c r="K83" s="53">
        <v>5.5897564561454676</v>
      </c>
      <c r="L83" s="53"/>
      <c r="M83" s="53">
        <v>5.5897564561454676</v>
      </c>
      <c r="N83" s="53"/>
      <c r="O83" s="53"/>
      <c r="P83" s="53"/>
      <c r="Q83" s="53"/>
      <c r="R83" s="53"/>
      <c r="S83" s="53"/>
      <c r="T83" s="53"/>
      <c r="U83" s="53"/>
      <c r="V83" s="53"/>
    </row>
    <row r="84" spans="6:22" x14ac:dyDescent="0.55000000000000004">
      <c r="F84" s="44">
        <v>39569</v>
      </c>
      <c r="G84" s="52">
        <f t="shared" si="1"/>
        <v>3.2724784287635709</v>
      </c>
      <c r="H84" s="45">
        <v>102.5</v>
      </c>
      <c r="I84" s="45">
        <v>101.1</v>
      </c>
      <c r="K84" s="53">
        <v>-3.2463576700180132</v>
      </c>
      <c r="L84" s="53"/>
      <c r="M84" s="53">
        <v>-3.2463576700180132</v>
      </c>
      <c r="N84" s="53"/>
      <c r="O84" s="53"/>
      <c r="P84" s="53"/>
      <c r="Q84" s="53"/>
      <c r="R84" s="53"/>
      <c r="S84" s="53"/>
      <c r="T84" s="53"/>
      <c r="U84" s="53"/>
      <c r="V84" s="53"/>
    </row>
    <row r="85" spans="6:22" x14ac:dyDescent="0.55000000000000004">
      <c r="F85" s="44">
        <v>39600</v>
      </c>
      <c r="G85" s="52">
        <f t="shared" si="1"/>
        <v>0.77745775471300005</v>
      </c>
      <c r="H85" s="45">
        <v>103.3</v>
      </c>
      <c r="I85" s="45">
        <v>102.9</v>
      </c>
      <c r="K85" s="53">
        <v>2.0198514783184152</v>
      </c>
      <c r="L85" s="53"/>
      <c r="M85" s="53">
        <v>2.0198514783184152</v>
      </c>
      <c r="N85" s="53"/>
      <c r="O85" s="53"/>
      <c r="P85" s="53"/>
      <c r="Q85" s="53"/>
      <c r="R85" s="53"/>
      <c r="S85" s="53"/>
      <c r="T85" s="53"/>
      <c r="U85" s="53"/>
      <c r="V85" s="53"/>
    </row>
    <row r="86" spans="6:22" x14ac:dyDescent="0.55000000000000004">
      <c r="F86" s="44">
        <v>39630</v>
      </c>
      <c r="G86" s="52">
        <f t="shared" si="1"/>
        <v>4.9112796854921346</v>
      </c>
      <c r="H86" s="45">
        <v>108.5</v>
      </c>
      <c r="I86" s="45">
        <v>103.2</v>
      </c>
      <c r="K86" s="53">
        <v>-0.31884229473695846</v>
      </c>
      <c r="L86" s="53"/>
      <c r="M86" s="53">
        <v>-0.31884229473695846</v>
      </c>
      <c r="N86" s="53"/>
      <c r="O86" s="53"/>
      <c r="P86" s="53"/>
      <c r="Q86" s="53"/>
      <c r="R86" s="53"/>
      <c r="S86" s="53"/>
      <c r="T86" s="53"/>
      <c r="U86" s="53"/>
      <c r="V86" s="53"/>
    </row>
    <row r="87" spans="6:22" x14ac:dyDescent="0.55000000000000004">
      <c r="F87" s="44">
        <v>39661</v>
      </c>
      <c r="G87" s="52">
        <f t="shared" si="1"/>
        <v>-1.4856354949514659</v>
      </c>
      <c r="H87" s="45">
        <v>106.9</v>
      </c>
      <c r="I87" s="45">
        <v>101.9</v>
      </c>
      <c r="K87" s="53">
        <v>-4.2894342105939582</v>
      </c>
      <c r="L87" s="53"/>
      <c r="M87" s="53">
        <v>-4.2894342105939582</v>
      </c>
      <c r="N87" s="53"/>
      <c r="O87" s="53"/>
      <c r="P87" s="53"/>
      <c r="Q87" s="53"/>
      <c r="R87" s="53"/>
      <c r="S87" s="53"/>
      <c r="T87" s="53"/>
      <c r="U87" s="53"/>
      <c r="V87" s="53"/>
    </row>
    <row r="88" spans="6:22" x14ac:dyDescent="0.55000000000000004">
      <c r="F88" s="44">
        <v>39692</v>
      </c>
      <c r="G88" s="52">
        <f t="shared" si="1"/>
        <v>0.37348316056530828</v>
      </c>
      <c r="H88" s="45">
        <v>107.3</v>
      </c>
      <c r="I88" s="45">
        <v>103.4</v>
      </c>
      <c r="K88" s="53">
        <v>3.1986941993485574</v>
      </c>
      <c r="L88" s="53"/>
      <c r="M88" s="53">
        <v>3.1986941993485574</v>
      </c>
      <c r="N88" s="53"/>
      <c r="O88" s="53"/>
      <c r="P88" s="53"/>
      <c r="Q88" s="53"/>
      <c r="R88" s="53"/>
      <c r="S88" s="53"/>
      <c r="T88" s="53"/>
      <c r="U88" s="53"/>
      <c r="V88" s="53"/>
    </row>
    <row r="89" spans="6:22" x14ac:dyDescent="0.55000000000000004">
      <c r="F89" s="44">
        <v>39722</v>
      </c>
      <c r="G89" s="52">
        <f t="shared" si="1"/>
        <v>1.0199439368893048</v>
      </c>
      <c r="H89" s="45">
        <v>108.4</v>
      </c>
      <c r="I89" s="45">
        <v>100.1</v>
      </c>
      <c r="K89" s="53">
        <v>-2.5517890541014396</v>
      </c>
      <c r="L89" s="53"/>
      <c r="M89" s="53">
        <v>-2.5517890541014396</v>
      </c>
      <c r="N89" s="53"/>
      <c r="O89" s="53"/>
      <c r="P89" s="53"/>
      <c r="Q89" s="53"/>
      <c r="R89" s="53"/>
      <c r="S89" s="53"/>
      <c r="T89" s="53"/>
      <c r="U89" s="53"/>
      <c r="V89" s="53"/>
    </row>
    <row r="90" spans="6:22" x14ac:dyDescent="0.55000000000000004">
      <c r="F90" s="44">
        <v>39753</v>
      </c>
      <c r="G90" s="52">
        <f t="shared" si="1"/>
        <v>-11.939873133388506</v>
      </c>
      <c r="H90" s="45">
        <v>96.2</v>
      </c>
      <c r="I90" s="45">
        <v>94.4</v>
      </c>
      <c r="K90" s="53">
        <v>-6.3977051793940269</v>
      </c>
      <c r="L90" s="53"/>
      <c r="M90" s="53">
        <v>-6.3977051793940269</v>
      </c>
      <c r="N90" s="53"/>
      <c r="O90" s="53"/>
      <c r="P90" s="53"/>
      <c r="Q90" s="53"/>
      <c r="R90" s="53"/>
      <c r="S90" s="53"/>
      <c r="T90" s="53"/>
      <c r="U90" s="53"/>
      <c r="V90" s="53"/>
    </row>
    <row r="91" spans="6:22" x14ac:dyDescent="0.55000000000000004">
      <c r="F91" s="44">
        <v>39783</v>
      </c>
      <c r="G91" s="52">
        <f t="shared" si="1"/>
        <v>-19.571648289805267</v>
      </c>
      <c r="H91" s="45">
        <v>79.099999999999994</v>
      </c>
      <c r="I91" s="45">
        <v>83.8</v>
      </c>
      <c r="K91" s="53">
        <v>-8.484359955320171</v>
      </c>
      <c r="L91" s="53"/>
      <c r="M91" s="53">
        <v>-8.484359955320171</v>
      </c>
      <c r="N91" s="53"/>
      <c r="O91" s="53"/>
      <c r="P91" s="53"/>
      <c r="Q91" s="53"/>
      <c r="R91" s="53"/>
      <c r="S91" s="53"/>
      <c r="T91" s="53"/>
      <c r="U91" s="53"/>
      <c r="V91" s="53"/>
    </row>
    <row r="92" spans="6:22" x14ac:dyDescent="0.55000000000000004">
      <c r="F92" s="44">
        <v>39814</v>
      </c>
      <c r="G92" s="52">
        <f t="shared" si="1"/>
        <v>-0.50697193502505111</v>
      </c>
      <c r="H92" s="45">
        <v>78.7</v>
      </c>
      <c r="I92" s="45">
        <v>85.6</v>
      </c>
      <c r="K92" s="53">
        <v>5.3345832191258193E-2</v>
      </c>
      <c r="L92" s="53"/>
      <c r="M92" s="53">
        <v>5.3345832191258193E-2</v>
      </c>
      <c r="N92" s="53"/>
      <c r="O92" s="53"/>
      <c r="P92" s="53"/>
      <c r="Q92" s="53"/>
      <c r="R92" s="53"/>
      <c r="S92" s="53"/>
      <c r="T92" s="53"/>
      <c r="U92" s="53"/>
      <c r="V92" s="53"/>
    </row>
    <row r="93" spans="6:22" x14ac:dyDescent="0.55000000000000004">
      <c r="F93" s="44">
        <v>39845</v>
      </c>
      <c r="G93" s="52">
        <f t="shared" si="1"/>
        <v>-3.3594890555717507</v>
      </c>
      <c r="H93" s="45">
        <v>76.099999999999994</v>
      </c>
      <c r="I93" s="45">
        <v>87.6</v>
      </c>
      <c r="K93" s="53">
        <v>-0.27642972693952794</v>
      </c>
      <c r="L93" s="53"/>
      <c r="M93" s="53">
        <v>-0.27642972693952794</v>
      </c>
      <c r="N93" s="53"/>
      <c r="O93" s="53"/>
      <c r="P93" s="53"/>
      <c r="Q93" s="53"/>
      <c r="R93" s="53"/>
      <c r="S93" s="53"/>
      <c r="T93" s="53"/>
      <c r="U93" s="53"/>
      <c r="V93" s="53"/>
    </row>
    <row r="94" spans="6:22" x14ac:dyDescent="0.55000000000000004">
      <c r="F94" s="44">
        <v>39873</v>
      </c>
      <c r="G94" s="52">
        <f t="shared" si="1"/>
        <v>15.208359274339509</v>
      </c>
      <c r="H94" s="45">
        <v>88.6</v>
      </c>
      <c r="I94" s="45">
        <v>88</v>
      </c>
      <c r="K94" s="53">
        <v>4.9543158696909995</v>
      </c>
      <c r="L94" s="53"/>
      <c r="M94" s="53">
        <v>4.9543158696909995</v>
      </c>
      <c r="N94" s="53"/>
      <c r="O94" s="53"/>
      <c r="P94" s="53"/>
      <c r="Q94" s="53"/>
      <c r="R94" s="53"/>
      <c r="S94" s="53"/>
      <c r="T94" s="53"/>
      <c r="U94" s="53"/>
      <c r="V94" s="53"/>
    </row>
    <row r="95" spans="6:22" x14ac:dyDescent="0.55000000000000004">
      <c r="F95" s="44">
        <v>39904</v>
      </c>
      <c r="G95" s="52">
        <f t="shared" si="1"/>
        <v>-3.9130423775765082</v>
      </c>
      <c r="H95" s="45">
        <v>85.2</v>
      </c>
      <c r="I95" s="45">
        <v>89</v>
      </c>
      <c r="K95" s="53">
        <v>0.15306855435996122</v>
      </c>
      <c r="L95" s="53"/>
      <c r="M95" s="53">
        <v>0.15306855435996122</v>
      </c>
      <c r="N95" s="53"/>
      <c r="O95" s="53"/>
      <c r="P95" s="53"/>
      <c r="Q95" s="53"/>
      <c r="R95" s="53"/>
      <c r="S95" s="53"/>
      <c r="T95" s="53"/>
      <c r="U95" s="53"/>
      <c r="V95" s="53"/>
    </row>
    <row r="96" spans="6:22" x14ac:dyDescent="0.55000000000000004">
      <c r="F96" s="44">
        <v>39934</v>
      </c>
      <c r="G96" s="52">
        <f t="shared" si="1"/>
        <v>6.9149353765652606</v>
      </c>
      <c r="H96" s="45">
        <v>91.3</v>
      </c>
      <c r="I96" s="45">
        <v>90.3</v>
      </c>
      <c r="K96" s="53">
        <v>0.39609927778367648</v>
      </c>
      <c r="L96" s="53"/>
      <c r="M96" s="53">
        <v>0.39609927778367648</v>
      </c>
      <c r="N96" s="53"/>
      <c r="O96" s="53"/>
      <c r="P96" s="53"/>
      <c r="Q96" s="53"/>
      <c r="R96" s="53"/>
      <c r="S96" s="53"/>
      <c r="T96" s="53"/>
      <c r="U96" s="53"/>
      <c r="V96" s="53"/>
    </row>
    <row r="97" spans="6:22" x14ac:dyDescent="0.55000000000000004">
      <c r="F97" s="44">
        <v>39965</v>
      </c>
      <c r="G97" s="52">
        <f t="shared" si="1"/>
        <v>0.98093429616254413</v>
      </c>
      <c r="H97" s="45">
        <v>92.2</v>
      </c>
      <c r="I97" s="45">
        <v>91.6</v>
      </c>
      <c r="K97" s="53">
        <v>2.2233280197679592</v>
      </c>
      <c r="L97" s="53"/>
      <c r="M97" s="53">
        <v>2.2233280197679592</v>
      </c>
      <c r="N97" s="53"/>
      <c r="O97" s="53"/>
      <c r="P97" s="53"/>
      <c r="Q97" s="53"/>
      <c r="R97" s="53"/>
      <c r="S97" s="53"/>
      <c r="T97" s="53"/>
      <c r="U97" s="53"/>
      <c r="V97" s="53"/>
    </row>
    <row r="98" spans="6:22" x14ac:dyDescent="0.55000000000000004">
      <c r="F98" s="44">
        <v>39995</v>
      </c>
      <c r="G98" s="52">
        <f t="shared" si="1"/>
        <v>5.7941428486188959</v>
      </c>
      <c r="H98" s="45">
        <v>97.7</v>
      </c>
      <c r="I98" s="45">
        <v>92.6</v>
      </c>
      <c r="K98" s="53">
        <v>0.56402086838980292</v>
      </c>
      <c r="L98" s="53"/>
      <c r="M98" s="53">
        <v>0.56402086838980292</v>
      </c>
      <c r="N98" s="53"/>
      <c r="O98" s="53"/>
      <c r="P98" s="53"/>
      <c r="Q98" s="53"/>
      <c r="R98" s="53"/>
      <c r="S98" s="53"/>
      <c r="T98" s="53"/>
      <c r="U98" s="53"/>
      <c r="V98" s="53"/>
    </row>
    <row r="99" spans="6:22" x14ac:dyDescent="0.55000000000000004">
      <c r="F99" s="44">
        <v>40026</v>
      </c>
      <c r="G99" s="52">
        <f t="shared" si="1"/>
        <v>1.9260605541815436</v>
      </c>
      <c r="H99" s="45">
        <v>99.6</v>
      </c>
      <c r="I99" s="45">
        <v>94</v>
      </c>
      <c r="K99" s="53">
        <v>-0.87773816146094918</v>
      </c>
      <c r="L99" s="53"/>
      <c r="M99" s="53">
        <v>-0.87773816146094918</v>
      </c>
      <c r="N99" s="53"/>
      <c r="O99" s="53"/>
      <c r="P99" s="53"/>
      <c r="Q99" s="53"/>
      <c r="R99" s="53"/>
      <c r="S99" s="53"/>
      <c r="T99" s="53"/>
      <c r="U99" s="53"/>
      <c r="V99" s="53"/>
    </row>
    <row r="100" spans="6:22" x14ac:dyDescent="0.55000000000000004">
      <c r="F100" s="44">
        <v>40057</v>
      </c>
      <c r="G100" s="52">
        <f t="shared" si="1"/>
        <v>-0.20100509280241119</v>
      </c>
      <c r="H100" s="45">
        <v>99.4</v>
      </c>
      <c r="I100" s="45">
        <v>95.6</v>
      </c>
      <c r="K100" s="53">
        <v>2.6242059459808376</v>
      </c>
      <c r="L100" s="53"/>
      <c r="M100" s="53">
        <v>2.6242059459808376</v>
      </c>
      <c r="N100" s="53"/>
      <c r="O100" s="53"/>
      <c r="P100" s="53"/>
      <c r="Q100" s="53"/>
      <c r="R100" s="53"/>
      <c r="S100" s="53"/>
      <c r="T100" s="53"/>
      <c r="U100" s="53"/>
      <c r="V100" s="53"/>
    </row>
    <row r="101" spans="6:22" x14ac:dyDescent="0.55000000000000004">
      <c r="F101" s="44">
        <v>40087</v>
      </c>
      <c r="G101" s="52">
        <f t="shared" si="1"/>
        <v>6.0506257609632605</v>
      </c>
      <c r="H101" s="45">
        <v>105.6</v>
      </c>
      <c r="I101" s="45">
        <v>97.3</v>
      </c>
      <c r="K101" s="53">
        <v>2.4788927699725161</v>
      </c>
      <c r="L101" s="53"/>
      <c r="M101" s="53">
        <v>2.4788927699725161</v>
      </c>
      <c r="N101" s="53"/>
      <c r="O101" s="53"/>
      <c r="P101" s="53"/>
      <c r="Q101" s="53"/>
      <c r="R101" s="53"/>
      <c r="S101" s="53"/>
      <c r="T101" s="53"/>
      <c r="U101" s="53"/>
      <c r="V101" s="53"/>
    </row>
    <row r="102" spans="6:22" x14ac:dyDescent="0.55000000000000004">
      <c r="F102" s="44">
        <v>40118</v>
      </c>
      <c r="G102" s="52">
        <f t="shared" si="1"/>
        <v>-4.0585280115078213</v>
      </c>
      <c r="H102" s="45">
        <v>101.4</v>
      </c>
      <c r="I102" s="45">
        <v>98.9</v>
      </c>
      <c r="K102" s="53">
        <v>1.4836399424866578</v>
      </c>
      <c r="L102" s="53"/>
      <c r="M102" s="53">
        <v>1.4836399424866578</v>
      </c>
      <c r="N102" s="53"/>
      <c r="O102" s="53"/>
      <c r="P102" s="53"/>
      <c r="Q102" s="53"/>
      <c r="R102" s="53"/>
      <c r="S102" s="53"/>
      <c r="T102" s="53"/>
      <c r="U102" s="53"/>
      <c r="V102" s="53"/>
    </row>
    <row r="103" spans="6:22" x14ac:dyDescent="0.55000000000000004">
      <c r="F103" s="44">
        <v>40148</v>
      </c>
      <c r="G103" s="52">
        <f t="shared" si="1"/>
        <v>-7.4715044565749</v>
      </c>
      <c r="H103" s="45">
        <v>94.1</v>
      </c>
      <c r="I103" s="45">
        <v>99.1</v>
      </c>
      <c r="K103" s="53">
        <v>3.6157838779101965</v>
      </c>
      <c r="L103" s="53"/>
      <c r="M103" s="53">
        <v>3.6157838779101965</v>
      </c>
      <c r="N103" s="53"/>
      <c r="O103" s="53"/>
      <c r="P103" s="53"/>
      <c r="Q103" s="53"/>
      <c r="R103" s="53"/>
      <c r="S103" s="53"/>
      <c r="T103" s="53"/>
      <c r="U103" s="53"/>
      <c r="V103" s="53"/>
    </row>
    <row r="104" spans="6:22" x14ac:dyDescent="0.55000000000000004">
      <c r="F104" s="44">
        <v>40179</v>
      </c>
      <c r="G104" s="52">
        <f t="shared" si="1"/>
        <v>-3.1303149511048107</v>
      </c>
      <c r="H104" s="45">
        <v>91.2</v>
      </c>
      <c r="I104" s="45">
        <v>100.7</v>
      </c>
      <c r="K104" s="53">
        <v>-2.5699971838885016</v>
      </c>
      <c r="L104" s="53"/>
      <c r="M104" s="53">
        <v>-2.5699971838885016</v>
      </c>
      <c r="N104" s="53"/>
      <c r="O104" s="53"/>
      <c r="P104" s="53"/>
      <c r="Q104" s="53"/>
      <c r="R104" s="53"/>
      <c r="S104" s="53"/>
      <c r="T104" s="53"/>
      <c r="U104" s="53"/>
      <c r="V104" s="53"/>
    </row>
    <row r="105" spans="6:22" x14ac:dyDescent="0.55000000000000004">
      <c r="F105" s="44">
        <v>40210</v>
      </c>
      <c r="G105" s="52">
        <f t="shared" si="1"/>
        <v>-2.4418527348145886</v>
      </c>
      <c r="H105" s="45">
        <v>89</v>
      </c>
      <c r="I105" s="45">
        <v>100.5</v>
      </c>
      <c r="K105" s="53">
        <v>0.64120659381763412</v>
      </c>
      <c r="L105" s="53"/>
      <c r="M105" s="53">
        <v>0.64120659381763412</v>
      </c>
      <c r="N105" s="53"/>
      <c r="O105" s="53"/>
      <c r="P105" s="53"/>
      <c r="Q105" s="53"/>
      <c r="R105" s="53"/>
      <c r="S105" s="53"/>
      <c r="T105" s="53"/>
      <c r="U105" s="53"/>
      <c r="V105" s="53"/>
    </row>
    <row r="106" spans="6:22" x14ac:dyDescent="0.55000000000000004">
      <c r="F106" s="44">
        <v>40238</v>
      </c>
      <c r="G106" s="52">
        <f t="shared" si="1"/>
        <v>16.627590815076555</v>
      </c>
      <c r="H106" s="45">
        <v>105.1</v>
      </c>
      <c r="I106" s="45">
        <v>103</v>
      </c>
      <c r="K106" s="53">
        <v>6.3735474104280456</v>
      </c>
      <c r="L106" s="53"/>
      <c r="M106" s="53">
        <v>6.3735474104280456</v>
      </c>
      <c r="N106" s="53"/>
      <c r="O106" s="53"/>
      <c r="P106" s="53"/>
      <c r="Q106" s="53"/>
      <c r="R106" s="53"/>
      <c r="S106" s="53"/>
      <c r="T106" s="53"/>
      <c r="U106" s="53"/>
      <c r="V106" s="53"/>
    </row>
    <row r="107" spans="6:22" x14ac:dyDescent="0.55000000000000004">
      <c r="F107" s="44">
        <v>40269</v>
      </c>
      <c r="G107" s="52">
        <f t="shared" si="1"/>
        <v>-5.6766706831778553</v>
      </c>
      <c r="H107" s="45">
        <v>99.3</v>
      </c>
      <c r="I107" s="45">
        <v>103.2</v>
      </c>
      <c r="K107" s="53">
        <v>-1.6105597512413858</v>
      </c>
      <c r="L107" s="53"/>
      <c r="M107" s="53">
        <v>-1.6105597512413858</v>
      </c>
      <c r="N107" s="53"/>
      <c r="O107" s="53"/>
      <c r="P107" s="53"/>
      <c r="Q107" s="53"/>
      <c r="R107" s="53"/>
      <c r="S107" s="53"/>
      <c r="T107" s="53"/>
      <c r="U107" s="53"/>
      <c r="V107" s="53"/>
    </row>
    <row r="108" spans="6:22" x14ac:dyDescent="0.55000000000000004">
      <c r="F108" s="44">
        <v>40299</v>
      </c>
      <c r="G108" s="52">
        <f t="shared" si="1"/>
        <v>4.9125790955599946</v>
      </c>
      <c r="H108" s="45">
        <v>104.3</v>
      </c>
      <c r="I108" s="45">
        <v>103</v>
      </c>
      <c r="K108" s="53">
        <v>-1.6062570032215895</v>
      </c>
      <c r="L108" s="53"/>
      <c r="M108" s="53">
        <v>-1.6062570032215895</v>
      </c>
      <c r="N108" s="53"/>
      <c r="O108" s="53"/>
      <c r="P108" s="53"/>
      <c r="Q108" s="53"/>
      <c r="R108" s="53"/>
      <c r="S108" s="53"/>
      <c r="T108" s="53"/>
      <c r="U108" s="53"/>
      <c r="V108" s="53"/>
    </row>
    <row r="109" spans="6:22" x14ac:dyDescent="0.55000000000000004">
      <c r="F109" s="44">
        <v>40330</v>
      </c>
      <c r="G109" s="52">
        <f t="shared" si="1"/>
        <v>-1.7408563428263819</v>
      </c>
      <c r="H109" s="45">
        <v>102.5</v>
      </c>
      <c r="I109" s="45">
        <v>102.3</v>
      </c>
      <c r="K109" s="53">
        <v>-0.49846261922096669</v>
      </c>
      <c r="L109" s="53"/>
      <c r="M109" s="53">
        <v>-0.49846261922096669</v>
      </c>
      <c r="N109" s="53"/>
      <c r="O109" s="53"/>
      <c r="P109" s="53"/>
      <c r="Q109" s="53"/>
      <c r="R109" s="53"/>
      <c r="S109" s="53"/>
      <c r="T109" s="53"/>
      <c r="U109" s="53"/>
      <c r="V109" s="53"/>
    </row>
    <row r="110" spans="6:22" x14ac:dyDescent="0.55000000000000004">
      <c r="F110" s="44">
        <v>40360</v>
      </c>
      <c r="G110" s="52">
        <f t="shared" si="1"/>
        <v>4.2031019452536711</v>
      </c>
      <c r="H110" s="45">
        <v>106.9</v>
      </c>
      <c r="I110" s="45">
        <v>101.8</v>
      </c>
      <c r="K110" s="53">
        <v>-1.0270200349754219</v>
      </c>
      <c r="L110" s="53"/>
      <c r="M110" s="53">
        <v>-1.0270200349754219</v>
      </c>
      <c r="N110" s="53"/>
      <c r="O110" s="53"/>
      <c r="P110" s="53"/>
      <c r="Q110" s="53"/>
      <c r="R110" s="53"/>
      <c r="S110" s="53"/>
      <c r="T110" s="53"/>
      <c r="U110" s="53"/>
      <c r="V110" s="53"/>
    </row>
    <row r="111" spans="6:22" x14ac:dyDescent="0.55000000000000004">
      <c r="F111" s="44">
        <v>40391</v>
      </c>
      <c r="G111" s="52">
        <f t="shared" si="1"/>
        <v>1.1162906614163006</v>
      </c>
      <c r="H111" s="45">
        <v>108.1</v>
      </c>
      <c r="I111" s="45">
        <v>101.4</v>
      </c>
      <c r="K111" s="53">
        <v>-1.6875080542261922</v>
      </c>
      <c r="L111" s="53"/>
      <c r="M111" s="53">
        <v>-1.6875080542261922</v>
      </c>
      <c r="N111" s="53"/>
      <c r="O111" s="53"/>
      <c r="P111" s="53"/>
      <c r="Q111" s="53"/>
      <c r="R111" s="53"/>
      <c r="S111" s="53"/>
      <c r="T111" s="53"/>
      <c r="U111" s="53"/>
      <c r="V111" s="53"/>
    </row>
    <row r="112" spans="6:22" x14ac:dyDescent="0.55000000000000004">
      <c r="F112" s="44">
        <v>40422</v>
      </c>
      <c r="G112" s="52">
        <f t="shared" si="1"/>
        <v>-2.1506205220963506</v>
      </c>
      <c r="H112" s="45">
        <v>105.8</v>
      </c>
      <c r="I112" s="45">
        <v>101.6</v>
      </c>
      <c r="K112" s="53">
        <v>0.6745905166868984</v>
      </c>
      <c r="L112" s="53"/>
      <c r="M112" s="53">
        <v>0.6745905166868984</v>
      </c>
      <c r="N112" s="53"/>
      <c r="O112" s="53"/>
      <c r="P112" s="53"/>
      <c r="Q112" s="53"/>
      <c r="R112" s="53"/>
      <c r="S112" s="53"/>
      <c r="T112" s="53"/>
      <c r="U112" s="53"/>
      <c r="V112" s="53"/>
    </row>
    <row r="113" spans="6:22" x14ac:dyDescent="0.55000000000000004">
      <c r="F113" s="44">
        <v>40452</v>
      </c>
      <c r="G113" s="52">
        <f t="shared" si="1"/>
        <v>1.779906473814393</v>
      </c>
      <c r="H113" s="45">
        <v>107.7</v>
      </c>
      <c r="I113" s="45">
        <v>101.3</v>
      </c>
      <c r="K113" s="53">
        <v>-1.7918265171763514</v>
      </c>
      <c r="L113" s="53"/>
      <c r="M113" s="53">
        <v>-1.7918265171763514</v>
      </c>
      <c r="N113" s="53"/>
      <c r="O113" s="53"/>
      <c r="P113" s="53"/>
      <c r="Q113" s="53"/>
      <c r="R113" s="53"/>
      <c r="S113" s="53"/>
      <c r="T113" s="53"/>
      <c r="U113" s="53"/>
      <c r="V113" s="53"/>
    </row>
    <row r="114" spans="6:22" x14ac:dyDescent="0.55000000000000004">
      <c r="F114" s="44">
        <v>40483</v>
      </c>
      <c r="G114" s="52">
        <f t="shared" si="1"/>
        <v>-0.83916576362485129</v>
      </c>
      <c r="H114" s="45">
        <v>106.8</v>
      </c>
      <c r="I114" s="45">
        <v>102.2</v>
      </c>
      <c r="K114" s="53">
        <v>4.7030021903696273</v>
      </c>
      <c r="L114" s="53"/>
      <c r="M114" s="53">
        <v>4.7030021903696273</v>
      </c>
      <c r="N114" s="53"/>
      <c r="O114" s="53"/>
      <c r="P114" s="53"/>
      <c r="Q114" s="53"/>
      <c r="R114" s="53"/>
      <c r="S114" s="53"/>
      <c r="T114" s="53"/>
      <c r="U114" s="53"/>
      <c r="V114" s="53"/>
    </row>
    <row r="115" spans="6:22" x14ac:dyDescent="0.55000000000000004">
      <c r="F115" s="44">
        <v>40513</v>
      </c>
      <c r="G115" s="52">
        <f t="shared" si="1"/>
        <v>-10.037918530762216</v>
      </c>
      <c r="H115" s="45">
        <v>96.6</v>
      </c>
      <c r="I115" s="45">
        <v>102.6</v>
      </c>
      <c r="K115" s="53">
        <v>1.0493698037228807</v>
      </c>
      <c r="L115" s="53"/>
      <c r="M115" s="53">
        <v>1.0493698037228807</v>
      </c>
      <c r="N115" s="53"/>
      <c r="O115" s="53"/>
      <c r="P115" s="53"/>
      <c r="Q115" s="53"/>
      <c r="R115" s="53"/>
      <c r="S115" s="53"/>
      <c r="T115" s="53"/>
      <c r="U115" s="53"/>
      <c r="V115" s="53"/>
    </row>
    <row r="116" spans="6:22" x14ac:dyDescent="0.55000000000000004">
      <c r="F116" s="44">
        <v>40544</v>
      </c>
      <c r="G116" s="52">
        <f t="shared" si="1"/>
        <v>-3.5831019526926728</v>
      </c>
      <c r="H116" s="45">
        <v>93.2</v>
      </c>
      <c r="I116" s="45">
        <v>102.8</v>
      </c>
      <c r="K116" s="53">
        <v>-3.0227841854763637</v>
      </c>
      <c r="L116" s="53"/>
      <c r="M116" s="53">
        <v>-3.0227841854763637</v>
      </c>
      <c r="N116" s="53"/>
      <c r="O116" s="53"/>
      <c r="P116" s="53"/>
      <c r="Q116" s="53"/>
      <c r="R116" s="53"/>
      <c r="S116" s="53"/>
      <c r="T116" s="53"/>
      <c r="U116" s="53"/>
      <c r="V116" s="53"/>
    </row>
    <row r="117" spans="6:22" x14ac:dyDescent="0.55000000000000004">
      <c r="F117" s="44">
        <v>40575</v>
      </c>
      <c r="G117" s="52">
        <f t="shared" si="1"/>
        <v>2.3330856762695267</v>
      </c>
      <c r="H117" s="45">
        <v>95.4</v>
      </c>
      <c r="I117" s="45">
        <v>104.2</v>
      </c>
      <c r="K117" s="53">
        <v>5.4161450049017494</v>
      </c>
      <c r="L117" s="53"/>
      <c r="M117" s="53">
        <v>5.4161450049017494</v>
      </c>
      <c r="N117" s="53"/>
      <c r="O117" s="53"/>
      <c r="P117" s="53"/>
      <c r="Q117" s="53"/>
      <c r="R117" s="53"/>
      <c r="S117" s="53"/>
      <c r="T117" s="53"/>
      <c r="U117" s="53"/>
      <c r="V117" s="53"/>
    </row>
    <row r="118" spans="6:22" x14ac:dyDescent="0.55000000000000004">
      <c r="F118" s="44">
        <v>40603</v>
      </c>
      <c r="G118" s="52">
        <f t="shared" si="1"/>
        <v>9.0151096994297486</v>
      </c>
      <c r="H118" s="45">
        <v>104.4</v>
      </c>
      <c r="I118" s="45">
        <v>104.8</v>
      </c>
      <c r="K118" s="53">
        <v>-1.238933705218761</v>
      </c>
      <c r="L118" s="53"/>
      <c r="M118" s="53">
        <v>-1.238933705218761</v>
      </c>
      <c r="N118" s="53"/>
      <c r="O118" s="53"/>
      <c r="P118" s="53"/>
      <c r="Q118" s="53"/>
      <c r="R118" s="53"/>
      <c r="S118" s="53"/>
      <c r="T118" s="53"/>
      <c r="U118" s="53"/>
      <c r="V118" s="53"/>
    </row>
    <row r="119" spans="6:22" x14ac:dyDescent="0.55000000000000004">
      <c r="F119" s="44">
        <v>40634</v>
      </c>
      <c r="G119" s="52">
        <f t="shared" si="1"/>
        <v>-6.8377297444736849</v>
      </c>
      <c r="H119" s="45">
        <v>97.5</v>
      </c>
      <c r="I119" s="45">
        <v>102.1</v>
      </c>
      <c r="K119" s="53">
        <v>-2.7716188125372154</v>
      </c>
      <c r="L119" s="53"/>
      <c r="M119" s="53">
        <v>-2.7716188125372154</v>
      </c>
      <c r="N119" s="53"/>
      <c r="O119" s="53"/>
      <c r="P119" s="53"/>
      <c r="Q119" s="53"/>
      <c r="R119" s="53"/>
      <c r="S119" s="53"/>
      <c r="T119" s="53"/>
      <c r="U119" s="53"/>
      <c r="V119" s="53"/>
    </row>
    <row r="120" spans="6:22" x14ac:dyDescent="0.55000000000000004">
      <c r="F120" s="44">
        <v>40664</v>
      </c>
      <c r="G120" s="52">
        <f t="shared" si="1"/>
        <v>9.3910599449901522</v>
      </c>
      <c r="H120" s="45">
        <v>107.1</v>
      </c>
      <c r="I120" s="45">
        <v>105.2</v>
      </c>
      <c r="K120" s="53">
        <v>2.8722238462085681</v>
      </c>
      <c r="L120" s="53"/>
      <c r="M120" s="53">
        <v>2.8722238462085681</v>
      </c>
      <c r="N120" s="53"/>
      <c r="O120" s="53"/>
      <c r="P120" s="53"/>
      <c r="Q120" s="53"/>
      <c r="R120" s="53"/>
      <c r="S120" s="53"/>
      <c r="T120" s="53"/>
      <c r="U120" s="53"/>
      <c r="V120" s="53"/>
    </row>
    <row r="121" spans="6:22" x14ac:dyDescent="0.55000000000000004">
      <c r="F121" s="44">
        <v>40695</v>
      </c>
      <c r="G121" s="52">
        <f t="shared" si="1"/>
        <v>-4.0977624432638322</v>
      </c>
      <c r="H121" s="45">
        <v>102.8</v>
      </c>
      <c r="I121" s="45">
        <v>102.7</v>
      </c>
      <c r="K121" s="53">
        <v>-2.8553687196584168</v>
      </c>
      <c r="L121" s="53"/>
      <c r="M121" s="53">
        <v>-2.8553687196584168</v>
      </c>
      <c r="N121" s="53"/>
      <c r="O121" s="53"/>
      <c r="P121" s="53"/>
      <c r="Q121" s="53"/>
      <c r="R121" s="53"/>
      <c r="S121" s="53"/>
      <c r="T121" s="53"/>
      <c r="U121" s="53"/>
      <c r="V121" s="53"/>
    </row>
    <row r="122" spans="6:22" x14ac:dyDescent="0.55000000000000004">
      <c r="F122" s="44">
        <v>40725</v>
      </c>
      <c r="G122" s="52">
        <f t="shared" si="1"/>
        <v>3.1596692598872607</v>
      </c>
      <c r="H122" s="45">
        <v>106.1</v>
      </c>
      <c r="I122" s="45">
        <v>103.1</v>
      </c>
      <c r="K122" s="53">
        <v>-2.0704527203418324</v>
      </c>
      <c r="L122" s="53"/>
      <c r="M122" s="53">
        <v>-2.0704527203418324</v>
      </c>
      <c r="N122" s="53"/>
      <c r="O122" s="53"/>
      <c r="P122" s="53"/>
      <c r="Q122" s="53"/>
      <c r="R122" s="53"/>
      <c r="S122" s="53"/>
      <c r="T122" s="53"/>
      <c r="U122" s="53"/>
      <c r="V122" s="53"/>
    </row>
    <row r="123" spans="6:22" x14ac:dyDescent="0.55000000000000004">
      <c r="F123" s="44">
        <v>40756</v>
      </c>
      <c r="G123" s="52">
        <f t="shared" si="1"/>
        <v>4.3344728693245962</v>
      </c>
      <c r="H123" s="45">
        <v>110.8</v>
      </c>
      <c r="I123" s="45">
        <v>102.1</v>
      </c>
      <c r="K123" s="53">
        <v>1.5306741536821034</v>
      </c>
      <c r="L123" s="53"/>
      <c r="M123" s="53">
        <v>1.5306741536821034</v>
      </c>
      <c r="N123" s="53"/>
      <c r="O123" s="53"/>
      <c r="P123" s="53"/>
      <c r="Q123" s="53"/>
      <c r="R123" s="53"/>
      <c r="S123" s="53"/>
      <c r="T123" s="53"/>
      <c r="U123" s="53"/>
      <c r="V123" s="53"/>
    </row>
    <row r="124" spans="6:22" x14ac:dyDescent="0.55000000000000004">
      <c r="F124" s="44">
        <v>40787</v>
      </c>
      <c r="G124" s="52">
        <f t="shared" si="1"/>
        <v>-5.5673002426241638</v>
      </c>
      <c r="H124" s="45">
        <v>104.8</v>
      </c>
      <c r="I124" s="45">
        <v>100.2</v>
      </c>
      <c r="K124" s="53">
        <v>-2.7420892038409148</v>
      </c>
      <c r="L124" s="53"/>
      <c r="M124" s="53">
        <v>-2.7420892038409148</v>
      </c>
      <c r="N124" s="53"/>
      <c r="O124" s="53"/>
      <c r="P124" s="53"/>
      <c r="Q124" s="53"/>
      <c r="R124" s="53"/>
      <c r="S124" s="53"/>
      <c r="T124" s="53"/>
      <c r="U124" s="53"/>
      <c r="V124" s="53"/>
    </row>
    <row r="125" spans="6:22" x14ac:dyDescent="0.55000000000000004">
      <c r="F125" s="44">
        <v>40817</v>
      </c>
      <c r="G125" s="52">
        <f t="shared" si="1"/>
        <v>1.4211513460960548</v>
      </c>
      <c r="H125" s="45">
        <v>106.3</v>
      </c>
      <c r="I125" s="45">
        <v>99.2</v>
      </c>
      <c r="K125" s="53">
        <v>-2.1505816448946895</v>
      </c>
      <c r="L125" s="53"/>
      <c r="M125" s="53">
        <v>-2.1505816448946895</v>
      </c>
      <c r="N125" s="53"/>
      <c r="O125" s="53"/>
      <c r="P125" s="53"/>
      <c r="Q125" s="53"/>
      <c r="R125" s="53"/>
      <c r="S125" s="53"/>
      <c r="T125" s="53"/>
      <c r="U125" s="53"/>
      <c r="V125" s="53"/>
    </row>
    <row r="126" spans="6:22" x14ac:dyDescent="0.55000000000000004">
      <c r="F126" s="44">
        <v>40848</v>
      </c>
      <c r="G126" s="52">
        <f t="shared" si="1"/>
        <v>-1.9953156028635677</v>
      </c>
      <c r="H126" s="45">
        <v>104.2</v>
      </c>
      <c r="I126" s="45">
        <v>99.9</v>
      </c>
      <c r="K126" s="53">
        <v>3.5468523511309114</v>
      </c>
      <c r="L126" s="53"/>
      <c r="M126" s="53">
        <v>3.5468523511309114</v>
      </c>
      <c r="N126" s="53"/>
      <c r="O126" s="53"/>
      <c r="P126" s="53"/>
      <c r="Q126" s="53"/>
      <c r="R126" s="53"/>
      <c r="S126" s="53"/>
      <c r="T126" s="53"/>
      <c r="U126" s="53"/>
      <c r="V126" s="53"/>
    </row>
    <row r="127" spans="6:22" x14ac:dyDescent="0.55000000000000004">
      <c r="F127" s="44">
        <v>40878</v>
      </c>
      <c r="G127" s="52">
        <f t="shared" si="1"/>
        <v>-8.5093830860358022</v>
      </c>
      <c r="H127" s="45">
        <v>95.7</v>
      </c>
      <c r="I127" s="45">
        <v>102.5</v>
      </c>
      <c r="K127" s="53">
        <v>2.5779052484492944</v>
      </c>
      <c r="L127" s="53"/>
      <c r="M127" s="53">
        <v>2.5779052484492944</v>
      </c>
      <c r="N127" s="53"/>
      <c r="O127" s="53"/>
      <c r="P127" s="53"/>
      <c r="Q127" s="53"/>
      <c r="R127" s="53"/>
      <c r="S127" s="53"/>
      <c r="T127" s="53"/>
      <c r="U127" s="53"/>
      <c r="V127" s="53"/>
    </row>
    <row r="128" spans="6:22" x14ac:dyDescent="0.55000000000000004">
      <c r="F128" s="44">
        <v>40909</v>
      </c>
      <c r="G128" s="52">
        <f t="shared" si="1"/>
        <v>-7.5958409143374785</v>
      </c>
      <c r="H128" s="45">
        <v>88.7</v>
      </c>
      <c r="I128" s="45">
        <v>98</v>
      </c>
      <c r="K128" s="53">
        <v>-7.035523147121169</v>
      </c>
      <c r="L128" s="53"/>
      <c r="M128" s="53">
        <v>-7.035523147121169</v>
      </c>
      <c r="N128" s="53"/>
      <c r="O128" s="53"/>
      <c r="P128" s="53"/>
      <c r="Q128" s="53"/>
      <c r="R128" s="53"/>
      <c r="S128" s="53"/>
      <c r="T128" s="53"/>
      <c r="U128" s="53"/>
      <c r="V128" s="53"/>
    </row>
    <row r="129" spans="6:22" x14ac:dyDescent="0.55000000000000004">
      <c r="F129" s="44">
        <v>40940</v>
      </c>
      <c r="G129" s="52">
        <f t="shared" si="1"/>
        <v>1.2325085992620033</v>
      </c>
      <c r="H129" s="45">
        <v>89.8</v>
      </c>
      <c r="I129" s="45">
        <v>99</v>
      </c>
      <c r="K129" s="53">
        <v>4.3155679278942261</v>
      </c>
      <c r="L129" s="53"/>
      <c r="M129" s="53">
        <v>4.3155679278942261</v>
      </c>
      <c r="N129" s="53"/>
      <c r="O129" s="53"/>
      <c r="P129" s="53"/>
      <c r="Q129" s="53"/>
      <c r="R129" s="53"/>
      <c r="S129" s="53"/>
      <c r="T129" s="53"/>
      <c r="U129" s="53"/>
      <c r="V129" s="53"/>
    </row>
    <row r="130" spans="6:22" x14ac:dyDescent="0.55000000000000004">
      <c r="F130" s="44">
        <v>40969</v>
      </c>
      <c r="G130" s="52">
        <f t="shared" si="1"/>
        <v>10.458070165963877</v>
      </c>
      <c r="H130" s="45">
        <v>99.7</v>
      </c>
      <c r="I130" s="45">
        <v>98.3</v>
      </c>
      <c r="K130" s="53">
        <v>0.20402676131536698</v>
      </c>
      <c r="L130" s="53"/>
      <c r="M130" s="53">
        <v>0.20402676131536698</v>
      </c>
      <c r="N130" s="53"/>
      <c r="O130" s="53"/>
      <c r="P130" s="53"/>
      <c r="Q130" s="53"/>
      <c r="R130" s="53"/>
      <c r="S130" s="53"/>
      <c r="T130" s="53"/>
      <c r="U130" s="53"/>
      <c r="V130" s="53"/>
    </row>
    <row r="131" spans="6:22" x14ac:dyDescent="0.55000000000000004">
      <c r="F131" s="44">
        <v>41000</v>
      </c>
      <c r="G131" s="52">
        <f t="shared" si="1"/>
        <v>-7.1719037175637768</v>
      </c>
      <c r="H131" s="45">
        <v>92.8</v>
      </c>
      <c r="I131" s="45">
        <v>98.5</v>
      </c>
      <c r="K131" s="53">
        <v>-3.1057927856273073</v>
      </c>
      <c r="L131" s="53"/>
      <c r="M131" s="53">
        <v>-3.1057927856273073</v>
      </c>
      <c r="N131" s="53"/>
      <c r="O131" s="53"/>
      <c r="P131" s="53"/>
      <c r="Q131" s="53"/>
      <c r="R131" s="53"/>
      <c r="S131" s="53"/>
      <c r="T131" s="53"/>
      <c r="U131" s="53"/>
      <c r="V131" s="53"/>
    </row>
    <row r="132" spans="6:22" x14ac:dyDescent="0.55000000000000004">
      <c r="F132" s="44">
        <v>41030</v>
      </c>
      <c r="G132" s="52">
        <f t="shared" si="1"/>
        <v>9.9416158786307989</v>
      </c>
      <c r="H132" s="45">
        <v>102.5</v>
      </c>
      <c r="I132" s="45">
        <v>98.9</v>
      </c>
      <c r="K132" s="53">
        <v>3.4227797798492148</v>
      </c>
      <c r="L132" s="53"/>
      <c r="M132" s="53">
        <v>3.4227797798492148</v>
      </c>
      <c r="N132" s="53"/>
      <c r="O132" s="53"/>
      <c r="P132" s="53"/>
      <c r="Q132" s="53"/>
      <c r="R132" s="53"/>
      <c r="S132" s="53"/>
      <c r="T132" s="53"/>
      <c r="U132" s="53"/>
      <c r="V132" s="53"/>
    </row>
    <row r="133" spans="6:22" x14ac:dyDescent="0.55000000000000004">
      <c r="F133" s="44">
        <v>41061</v>
      </c>
      <c r="G133" s="52">
        <f t="shared" si="1"/>
        <v>-4.1838771425342038</v>
      </c>
      <c r="H133" s="45">
        <v>98.3</v>
      </c>
      <c r="I133" s="45">
        <v>99</v>
      </c>
      <c r="K133" s="53">
        <v>-2.9414834189287884</v>
      </c>
      <c r="L133" s="53"/>
      <c r="M133" s="53">
        <v>-2.9414834189287884</v>
      </c>
      <c r="N133" s="53"/>
      <c r="O133" s="53"/>
      <c r="P133" s="53"/>
      <c r="Q133" s="53"/>
      <c r="R133" s="53"/>
      <c r="S133" s="53"/>
      <c r="T133" s="53"/>
      <c r="U133" s="53"/>
      <c r="V133" s="53"/>
    </row>
    <row r="134" spans="6:22" x14ac:dyDescent="0.55000000000000004">
      <c r="F134" s="44">
        <v>41091</v>
      </c>
      <c r="G134" s="52">
        <f t="shared" si="1"/>
        <v>6.1163044251744862</v>
      </c>
      <c r="H134" s="45">
        <v>104.5</v>
      </c>
      <c r="I134" s="45">
        <v>100.5</v>
      </c>
      <c r="K134" s="53">
        <v>0.88618244494539322</v>
      </c>
      <c r="L134" s="53"/>
      <c r="M134" s="53">
        <v>0.88618244494539322</v>
      </c>
      <c r="N134" s="53"/>
      <c r="O134" s="53"/>
      <c r="P134" s="53"/>
      <c r="Q134" s="53"/>
      <c r="R134" s="53"/>
      <c r="S134" s="53"/>
      <c r="T134" s="53"/>
      <c r="U134" s="53"/>
      <c r="V134" s="53"/>
    </row>
    <row r="135" spans="6:22" x14ac:dyDescent="0.55000000000000004">
      <c r="F135" s="44">
        <v>41122</v>
      </c>
      <c r="G135" s="52">
        <f t="shared" si="1"/>
        <v>6.4837519495307667</v>
      </c>
      <c r="H135" s="45">
        <v>111.5</v>
      </c>
      <c r="I135" s="45">
        <v>102.5</v>
      </c>
      <c r="K135" s="53">
        <v>3.6799532338882739</v>
      </c>
      <c r="L135" s="53"/>
      <c r="M135" s="53">
        <v>3.6799532338882739</v>
      </c>
      <c r="N135" s="53"/>
      <c r="O135" s="53"/>
      <c r="P135" s="53"/>
      <c r="Q135" s="53"/>
      <c r="R135" s="53"/>
      <c r="S135" s="53"/>
      <c r="T135" s="53"/>
      <c r="U135" s="53"/>
      <c r="V135" s="53"/>
    </row>
    <row r="136" spans="6:22" x14ac:dyDescent="0.55000000000000004">
      <c r="F136" s="44">
        <v>41153</v>
      </c>
      <c r="G136" s="52">
        <f t="shared" si="1"/>
        <v>-7.5419628825844658</v>
      </c>
      <c r="H136" s="45">
        <v>103.4</v>
      </c>
      <c r="I136" s="45">
        <v>100.6</v>
      </c>
      <c r="K136" s="53">
        <v>-4.7167518438012168</v>
      </c>
      <c r="L136" s="53"/>
      <c r="M136" s="53">
        <v>-4.7167518438012168</v>
      </c>
      <c r="N136" s="53"/>
      <c r="O136" s="53"/>
      <c r="P136" s="53"/>
      <c r="Q136" s="53"/>
      <c r="R136" s="53"/>
      <c r="S136" s="53"/>
      <c r="T136" s="53"/>
      <c r="U136" s="53"/>
      <c r="V136" s="53"/>
    </row>
    <row r="137" spans="6:22" x14ac:dyDescent="0.55000000000000004">
      <c r="F137" s="44">
        <v>41183</v>
      </c>
      <c r="G137" s="52">
        <f t="shared" si="1"/>
        <v>7.8106598646669854</v>
      </c>
      <c r="H137" s="45">
        <v>111.8</v>
      </c>
      <c r="I137" s="45">
        <v>102.1</v>
      </c>
      <c r="K137" s="53">
        <v>4.2389268736762409</v>
      </c>
      <c r="L137" s="53"/>
      <c r="M137" s="53">
        <v>4.2389268736762409</v>
      </c>
      <c r="N137" s="53"/>
      <c r="O137" s="53"/>
      <c r="P137" s="53"/>
      <c r="Q137" s="53"/>
      <c r="R137" s="53"/>
      <c r="S137" s="53"/>
      <c r="T137" s="53"/>
      <c r="U137" s="53"/>
      <c r="V137" s="53"/>
    </row>
    <row r="138" spans="6:22" x14ac:dyDescent="0.55000000000000004">
      <c r="F138" s="44">
        <v>41214</v>
      </c>
      <c r="G138" s="52">
        <f t="shared" ref="G138:G201" si="2">LN(H138/H137)*100</f>
        <v>-6.4657788834056955</v>
      </c>
      <c r="H138" s="45">
        <v>104.8</v>
      </c>
      <c r="I138" s="45">
        <v>100.6</v>
      </c>
      <c r="K138" s="53">
        <v>-0.92361092941121647</v>
      </c>
      <c r="L138" s="53"/>
      <c r="M138" s="53">
        <v>-0.92361092941121647</v>
      </c>
      <c r="N138" s="53"/>
      <c r="O138" s="53"/>
      <c r="P138" s="53"/>
      <c r="Q138" s="53"/>
      <c r="R138" s="53"/>
      <c r="S138" s="53"/>
      <c r="T138" s="53"/>
      <c r="U138" s="53"/>
      <c r="V138" s="53"/>
    </row>
    <row r="139" spans="6:22" x14ac:dyDescent="0.55000000000000004">
      <c r="F139" s="44">
        <v>41244</v>
      </c>
      <c r="G139" s="52">
        <f t="shared" si="2"/>
        <v>-12.809364132439352</v>
      </c>
      <c r="H139" s="45">
        <v>92.2</v>
      </c>
      <c r="I139" s="45">
        <v>101.3</v>
      </c>
      <c r="K139" s="53">
        <v>-1.7220757979542558</v>
      </c>
      <c r="L139" s="53"/>
      <c r="M139" s="53">
        <v>-1.7220757979542558</v>
      </c>
      <c r="N139" s="53"/>
      <c r="O139" s="53"/>
      <c r="P139" s="53"/>
      <c r="Q139" s="53"/>
      <c r="R139" s="53"/>
      <c r="S139" s="53"/>
      <c r="T139" s="53"/>
      <c r="U139" s="53"/>
      <c r="V139" s="53"/>
    </row>
    <row r="140" spans="6:22" x14ac:dyDescent="0.55000000000000004">
      <c r="F140" s="44">
        <v>41275</v>
      </c>
      <c r="G140" s="52">
        <f t="shared" si="2"/>
        <v>2.4639703937148925</v>
      </c>
      <c r="H140" s="45">
        <v>94.5</v>
      </c>
      <c r="I140" s="45">
        <v>102.1</v>
      </c>
      <c r="K140" s="53">
        <v>3.024288160931202</v>
      </c>
      <c r="L140" s="53"/>
      <c r="M140" s="53">
        <v>3.024288160931202</v>
      </c>
      <c r="N140" s="53"/>
      <c r="O140" s="53"/>
      <c r="P140" s="53"/>
      <c r="Q140" s="53"/>
      <c r="R140" s="53"/>
      <c r="S140" s="53"/>
      <c r="T140" s="53"/>
      <c r="U140" s="53"/>
      <c r="V140" s="53"/>
    </row>
    <row r="141" spans="6:22" x14ac:dyDescent="0.55000000000000004">
      <c r="F141" s="44">
        <v>41306</v>
      </c>
      <c r="G141" s="52">
        <f t="shared" si="2"/>
        <v>-7.0127301557563264</v>
      </c>
      <c r="H141" s="45">
        <v>88.1</v>
      </c>
      <c r="I141" s="45">
        <v>99.7</v>
      </c>
      <c r="K141" s="53">
        <v>-3.9296708271241036</v>
      </c>
      <c r="L141" s="53"/>
      <c r="M141" s="53">
        <v>-3.9296708271241036</v>
      </c>
      <c r="N141" s="53"/>
      <c r="O141" s="53"/>
      <c r="P141" s="53"/>
      <c r="Q141" s="53"/>
      <c r="R141" s="53"/>
      <c r="S141" s="53"/>
      <c r="T141" s="53"/>
      <c r="U141" s="53"/>
      <c r="V141" s="53"/>
    </row>
    <row r="142" spans="6:22" x14ac:dyDescent="0.55000000000000004">
      <c r="F142" s="44">
        <v>41334</v>
      </c>
      <c r="G142" s="52">
        <f t="shared" si="2"/>
        <v>10.342902610660323</v>
      </c>
      <c r="H142" s="45">
        <v>97.7</v>
      </c>
      <c r="I142" s="45">
        <v>101.2</v>
      </c>
      <c r="K142" s="53">
        <v>8.8859206011813158E-2</v>
      </c>
      <c r="L142" s="53"/>
      <c r="M142" s="53">
        <v>8.8859206011813158E-2</v>
      </c>
      <c r="N142" s="53"/>
      <c r="O142" s="53"/>
      <c r="P142" s="53"/>
      <c r="Q142" s="53"/>
      <c r="R142" s="53"/>
      <c r="S142" s="53"/>
      <c r="T142" s="53"/>
      <c r="U142" s="53"/>
      <c r="V142" s="53"/>
    </row>
    <row r="143" spans="6:22" x14ac:dyDescent="0.55000000000000004">
      <c r="F143" s="44">
        <v>41365</v>
      </c>
      <c r="G143" s="52">
        <f t="shared" si="2"/>
        <v>4.1108545067685318</v>
      </c>
      <c r="H143" s="45">
        <v>101.8</v>
      </c>
      <c r="I143" s="45">
        <v>103</v>
      </c>
      <c r="K143" s="53">
        <v>8.1769654387050004</v>
      </c>
      <c r="L143" s="53"/>
      <c r="M143" s="53">
        <v>8.1769654387050004</v>
      </c>
      <c r="N143" s="53"/>
      <c r="O143" s="53"/>
      <c r="P143" s="53"/>
      <c r="Q143" s="53"/>
      <c r="R143" s="53"/>
      <c r="S143" s="53"/>
      <c r="T143" s="53"/>
      <c r="U143" s="53"/>
      <c r="V143" s="53"/>
    </row>
    <row r="144" spans="6:22" x14ac:dyDescent="0.55000000000000004">
      <c r="F144" s="44">
        <v>41395</v>
      </c>
      <c r="G144" s="52">
        <f t="shared" si="2"/>
        <v>3.0950246041101059</v>
      </c>
      <c r="H144" s="45">
        <v>105</v>
      </c>
      <c r="I144" s="45">
        <v>102.5</v>
      </c>
      <c r="K144" s="53">
        <v>-3.4238114946714782</v>
      </c>
      <c r="L144" s="53"/>
      <c r="M144" s="53">
        <v>-3.4238114946714782</v>
      </c>
      <c r="N144" s="53"/>
      <c r="O144" s="53"/>
      <c r="P144" s="53"/>
      <c r="Q144" s="53"/>
      <c r="R144" s="53"/>
      <c r="S144" s="53"/>
      <c r="T144" s="53"/>
      <c r="U144" s="53"/>
      <c r="V144" s="53"/>
    </row>
    <row r="145" spans="6:22" x14ac:dyDescent="0.55000000000000004">
      <c r="F145" s="44">
        <v>41426</v>
      </c>
      <c r="G145" s="52">
        <f t="shared" si="2"/>
        <v>-3.1933047103009029</v>
      </c>
      <c r="H145" s="45">
        <v>101.7</v>
      </c>
      <c r="I145" s="45">
        <v>103.2</v>
      </c>
      <c r="K145" s="53">
        <v>-1.9509109866954877</v>
      </c>
      <c r="L145" s="53"/>
      <c r="M145" s="53">
        <v>-1.9509109866954877</v>
      </c>
      <c r="N145" s="53"/>
      <c r="O145" s="53"/>
      <c r="P145" s="53"/>
      <c r="Q145" s="53"/>
      <c r="R145" s="53"/>
      <c r="S145" s="53"/>
      <c r="T145" s="53"/>
      <c r="U145" s="53"/>
      <c r="V145" s="53"/>
    </row>
    <row r="146" spans="6:22" x14ac:dyDescent="0.55000000000000004">
      <c r="F146" s="44">
        <v>41456</v>
      </c>
      <c r="G146" s="52">
        <f t="shared" si="2"/>
        <v>6.0103924069705306</v>
      </c>
      <c r="H146" s="45">
        <v>108</v>
      </c>
      <c r="I146" s="45">
        <v>102.4</v>
      </c>
      <c r="K146" s="53">
        <v>0.78027042674143754</v>
      </c>
      <c r="L146" s="53"/>
      <c r="M146" s="53">
        <v>0.78027042674143754</v>
      </c>
      <c r="N146" s="53"/>
      <c r="O146" s="53"/>
      <c r="P146" s="53"/>
      <c r="Q146" s="53"/>
      <c r="R146" s="53"/>
      <c r="S146" s="53"/>
      <c r="T146" s="53"/>
      <c r="U146" s="53"/>
      <c r="V146" s="53"/>
    </row>
    <row r="147" spans="6:22" x14ac:dyDescent="0.55000000000000004">
      <c r="F147" s="44">
        <v>41487</v>
      </c>
      <c r="G147" s="52">
        <f t="shared" si="2"/>
        <v>3.6367644170874791</v>
      </c>
      <c r="H147" s="45">
        <v>112</v>
      </c>
      <c r="I147" s="45">
        <v>102.9</v>
      </c>
      <c r="K147" s="53">
        <v>0.83296570144498627</v>
      </c>
      <c r="L147" s="53"/>
      <c r="M147" s="53">
        <v>0.83296570144498627</v>
      </c>
      <c r="N147" s="53"/>
      <c r="O147" s="53"/>
      <c r="P147" s="53"/>
      <c r="Q147" s="53"/>
      <c r="R147" s="53"/>
      <c r="S147" s="53"/>
      <c r="T147" s="53"/>
      <c r="U147" s="53"/>
      <c r="V147" s="53"/>
    </row>
    <row r="148" spans="6:22" x14ac:dyDescent="0.55000000000000004">
      <c r="F148" s="44">
        <v>41518</v>
      </c>
      <c r="G148" s="52">
        <f t="shared" si="2"/>
        <v>-4.2870221658441832</v>
      </c>
      <c r="H148" s="45">
        <v>107.3</v>
      </c>
      <c r="I148" s="45">
        <v>103.5</v>
      </c>
      <c r="K148" s="53">
        <v>-1.4618111270609342</v>
      </c>
      <c r="L148" s="53"/>
      <c r="M148" s="53">
        <v>-1.4618111270609342</v>
      </c>
      <c r="N148" s="53"/>
      <c r="O148" s="53"/>
      <c r="P148" s="53"/>
      <c r="Q148" s="53"/>
      <c r="R148" s="53"/>
      <c r="S148" s="53"/>
      <c r="T148" s="53"/>
      <c r="U148" s="53"/>
      <c r="V148" s="53"/>
    </row>
    <row r="149" spans="6:22" x14ac:dyDescent="0.55000000000000004">
      <c r="F149" s="44">
        <v>41548</v>
      </c>
      <c r="G149" s="52">
        <f t="shared" si="2"/>
        <v>4.8213066068937094</v>
      </c>
      <c r="H149" s="45">
        <v>112.6</v>
      </c>
      <c r="I149" s="45">
        <v>102.4</v>
      </c>
      <c r="K149" s="53">
        <v>1.2495736159029649</v>
      </c>
      <c r="L149" s="53"/>
      <c r="M149" s="53">
        <v>1.2495736159029649</v>
      </c>
      <c r="N149" s="53"/>
      <c r="O149" s="53"/>
      <c r="P149" s="53"/>
      <c r="Q149" s="53"/>
      <c r="R149" s="53"/>
      <c r="S149" s="53"/>
      <c r="T149" s="53"/>
      <c r="U149" s="53"/>
      <c r="V149" s="53"/>
    </row>
    <row r="150" spans="6:22" x14ac:dyDescent="0.55000000000000004">
      <c r="F150" s="44">
        <v>41579</v>
      </c>
      <c r="G150" s="52">
        <f t="shared" si="2"/>
        <v>-5.9459670085652512</v>
      </c>
      <c r="H150" s="45">
        <v>106.1</v>
      </c>
      <c r="I150" s="45">
        <v>103</v>
      </c>
      <c r="K150" s="53">
        <v>-0.40379905457077214</v>
      </c>
      <c r="L150" s="53"/>
      <c r="M150" s="53">
        <v>-0.40379905457077214</v>
      </c>
      <c r="N150" s="53"/>
      <c r="O150" s="53"/>
      <c r="P150" s="53"/>
      <c r="Q150" s="53"/>
      <c r="R150" s="53"/>
      <c r="S150" s="53"/>
      <c r="T150" s="53"/>
      <c r="U150" s="53"/>
      <c r="V150" s="53"/>
    </row>
    <row r="151" spans="6:22" x14ac:dyDescent="0.55000000000000004">
      <c r="F151" s="44">
        <v>41609</v>
      </c>
      <c r="G151" s="52">
        <f t="shared" si="2"/>
        <v>-16.346188100564525</v>
      </c>
      <c r="H151" s="45">
        <v>90.1</v>
      </c>
      <c r="I151" s="45">
        <v>99</v>
      </c>
      <c r="K151" s="53">
        <v>-5.2588997660794288</v>
      </c>
      <c r="L151" s="53"/>
      <c r="M151" s="53">
        <v>-5.2588997660794288</v>
      </c>
      <c r="N151" s="53"/>
      <c r="O151" s="53"/>
      <c r="P151" s="53"/>
      <c r="Q151" s="53"/>
      <c r="R151" s="53"/>
      <c r="S151" s="53"/>
      <c r="T151" s="53"/>
      <c r="U151" s="53"/>
      <c r="V151" s="53"/>
    </row>
    <row r="152" spans="6:22" x14ac:dyDescent="0.55000000000000004">
      <c r="F152" s="44">
        <v>41640</v>
      </c>
      <c r="G152" s="52">
        <f t="shared" si="2"/>
        <v>2.7368977037841566</v>
      </c>
      <c r="H152" s="45">
        <v>92.6</v>
      </c>
      <c r="I152" s="45">
        <v>100.6</v>
      </c>
      <c r="K152" s="53">
        <v>3.2972154710004657</v>
      </c>
      <c r="L152" s="53"/>
      <c r="M152" s="53">
        <v>3.2972154710004657</v>
      </c>
      <c r="N152" s="53"/>
      <c r="O152" s="53"/>
      <c r="P152" s="53"/>
      <c r="Q152" s="53"/>
      <c r="R152" s="53"/>
      <c r="S152" s="53"/>
      <c r="T152" s="53"/>
      <c r="U152" s="53"/>
      <c r="V152" s="53"/>
    </row>
    <row r="153" spans="6:22" x14ac:dyDescent="0.55000000000000004">
      <c r="F153" s="44">
        <v>41671</v>
      </c>
      <c r="G153" s="52">
        <f t="shared" si="2"/>
        <v>-0.32450001433271897</v>
      </c>
      <c r="H153" s="45">
        <v>92.3</v>
      </c>
      <c r="I153" s="45">
        <v>101.2</v>
      </c>
      <c r="K153" s="53">
        <v>2.7585593142995037</v>
      </c>
      <c r="L153" s="53"/>
      <c r="M153" s="53">
        <v>2.7585593142995037</v>
      </c>
      <c r="N153" s="53"/>
      <c r="O153" s="53"/>
      <c r="P153" s="53"/>
      <c r="Q153" s="53"/>
      <c r="R153" s="53"/>
      <c r="S153" s="53"/>
      <c r="T153" s="53"/>
      <c r="U153" s="53"/>
      <c r="V153" s="53"/>
    </row>
    <row r="154" spans="6:22" x14ac:dyDescent="0.55000000000000004">
      <c r="F154" s="44">
        <v>41699</v>
      </c>
      <c r="G154" s="52">
        <f t="shared" si="2"/>
        <v>5.2754847683152821</v>
      </c>
      <c r="H154" s="45">
        <v>97.3</v>
      </c>
      <c r="I154" s="45">
        <v>101</v>
      </c>
      <c r="K154" s="53">
        <v>-4.9785586363332275</v>
      </c>
      <c r="L154" s="53"/>
      <c r="M154" s="53">
        <v>-4.9785586363332275</v>
      </c>
      <c r="N154" s="53"/>
      <c r="O154" s="53"/>
      <c r="P154" s="53"/>
      <c r="Q154" s="53"/>
      <c r="R154" s="53"/>
      <c r="S154" s="53"/>
      <c r="T154" s="53"/>
      <c r="U154" s="53"/>
      <c r="V154" s="53"/>
    </row>
    <row r="155" spans="6:22" x14ac:dyDescent="0.55000000000000004">
      <c r="F155" s="44">
        <v>41730</v>
      </c>
      <c r="G155" s="52">
        <f t="shared" si="2"/>
        <v>-1.3450797724123105</v>
      </c>
      <c r="H155" s="45">
        <v>96</v>
      </c>
      <c r="I155" s="45">
        <v>100.2</v>
      </c>
      <c r="K155" s="53">
        <v>2.7210311595241592</v>
      </c>
      <c r="L155" s="53"/>
      <c r="M155" s="53">
        <v>2.7210311595241592</v>
      </c>
      <c r="N155" s="53"/>
      <c r="O155" s="53"/>
      <c r="P155" s="53"/>
      <c r="Q155" s="53"/>
      <c r="R155" s="53"/>
      <c r="S155" s="53"/>
      <c r="T155" s="53"/>
      <c r="U155" s="53"/>
      <c r="V155" s="53"/>
    </row>
    <row r="156" spans="6:22" x14ac:dyDescent="0.55000000000000004">
      <c r="F156" s="44">
        <v>41760</v>
      </c>
      <c r="G156" s="52">
        <f t="shared" si="2"/>
        <v>5.7679111586677987</v>
      </c>
      <c r="H156" s="45">
        <v>101.7</v>
      </c>
      <c r="I156" s="45">
        <v>98.8</v>
      </c>
      <c r="K156" s="53">
        <v>-0.75092494011378541</v>
      </c>
      <c r="L156" s="53"/>
      <c r="M156" s="53">
        <v>-0.75092494011378541</v>
      </c>
      <c r="N156" s="53"/>
      <c r="O156" s="53"/>
      <c r="P156" s="53"/>
      <c r="Q156" s="53"/>
      <c r="R156" s="53"/>
      <c r="S156" s="53"/>
      <c r="T156" s="53"/>
      <c r="U156" s="53"/>
      <c r="V156" s="53"/>
    </row>
    <row r="157" spans="6:22" x14ac:dyDescent="0.55000000000000004">
      <c r="F157" s="44">
        <v>41791</v>
      </c>
      <c r="G157" s="52">
        <f t="shared" si="2"/>
        <v>-6.920359743863207</v>
      </c>
      <c r="H157" s="45">
        <v>94.9</v>
      </c>
      <c r="I157" s="45">
        <v>96.1</v>
      </c>
      <c r="K157" s="53">
        <v>-5.6779660202577915</v>
      </c>
      <c r="L157" s="53"/>
      <c r="M157" s="53">
        <v>-5.6779660202577915</v>
      </c>
      <c r="N157" s="53"/>
      <c r="O157" s="53"/>
      <c r="P157" s="53"/>
      <c r="Q157" s="53"/>
      <c r="R157" s="53"/>
      <c r="S157" s="53"/>
      <c r="T157" s="53"/>
      <c r="U157" s="53"/>
      <c r="V157" s="53"/>
    </row>
    <row r="158" spans="6:22" x14ac:dyDescent="0.55000000000000004">
      <c r="F158" s="44">
        <v>41821</v>
      </c>
      <c r="G158" s="52">
        <f t="shared" si="2"/>
        <v>9.5405969832656066</v>
      </c>
      <c r="H158" s="45">
        <v>104.4</v>
      </c>
      <c r="I158" s="45">
        <v>98.3</v>
      </c>
      <c r="K158" s="53">
        <v>4.3104750030365135</v>
      </c>
      <c r="L158" s="53"/>
      <c r="M158" s="53">
        <v>4.3104750030365135</v>
      </c>
      <c r="N158" s="53"/>
      <c r="O158" s="53"/>
      <c r="P158" s="53"/>
      <c r="Q158" s="53"/>
      <c r="R158" s="53"/>
      <c r="S158" s="53"/>
      <c r="T158" s="53"/>
      <c r="U158" s="53"/>
      <c r="V158" s="53"/>
    </row>
    <row r="159" spans="6:22" x14ac:dyDescent="0.55000000000000004">
      <c r="F159" s="44">
        <v>41852</v>
      </c>
      <c r="G159" s="52">
        <f t="shared" si="2"/>
        <v>1.8035609899363723</v>
      </c>
      <c r="H159" s="45">
        <v>106.3</v>
      </c>
      <c r="I159" s="45">
        <v>99.2</v>
      </c>
      <c r="K159" s="53">
        <v>-1.0002377257061206</v>
      </c>
      <c r="L159" s="53"/>
      <c r="M159" s="53">
        <v>-1.0002377257061206</v>
      </c>
      <c r="N159" s="53"/>
      <c r="O159" s="53"/>
      <c r="P159" s="53"/>
      <c r="Q159" s="53"/>
      <c r="R159" s="53"/>
      <c r="S159" s="53"/>
      <c r="T159" s="53"/>
      <c r="U159" s="53"/>
      <c r="V159" s="53"/>
    </row>
    <row r="160" spans="6:22" x14ac:dyDescent="0.55000000000000004">
      <c r="F160" s="44">
        <v>41883</v>
      </c>
      <c r="G160" s="52">
        <f t="shared" si="2"/>
        <v>-0.66069140757411748</v>
      </c>
      <c r="H160" s="45">
        <v>105.6</v>
      </c>
      <c r="I160" s="45">
        <v>99.4</v>
      </c>
      <c r="K160" s="53">
        <v>2.1645196312091315</v>
      </c>
      <c r="L160" s="53"/>
      <c r="M160" s="53">
        <v>2.1645196312091315</v>
      </c>
      <c r="N160" s="53"/>
      <c r="O160" s="53"/>
      <c r="P160" s="53"/>
      <c r="Q160" s="53"/>
      <c r="R160" s="53"/>
      <c r="S160" s="53"/>
      <c r="T160" s="53"/>
      <c r="U160" s="53"/>
      <c r="V160" s="53"/>
    </row>
    <row r="161" spans="6:22" x14ac:dyDescent="0.55000000000000004">
      <c r="F161" s="44">
        <v>41913</v>
      </c>
      <c r="G161" s="52">
        <f t="shared" si="2"/>
        <v>3.4438023910331883</v>
      </c>
      <c r="H161" s="45">
        <v>109.3</v>
      </c>
      <c r="I161" s="45">
        <v>99.6</v>
      </c>
      <c r="K161" s="53">
        <v>-0.12793059995755621</v>
      </c>
      <c r="L161" s="53"/>
      <c r="M161" s="53">
        <v>-0.12793059995755621</v>
      </c>
      <c r="N161" s="53"/>
      <c r="O161" s="53"/>
      <c r="P161" s="53"/>
      <c r="Q161" s="53"/>
      <c r="R161" s="53"/>
      <c r="S161" s="53"/>
      <c r="T161" s="53"/>
      <c r="U161" s="53"/>
      <c r="V161" s="53"/>
    </row>
    <row r="162" spans="6:22" x14ac:dyDescent="0.55000000000000004">
      <c r="F162" s="44">
        <v>41944</v>
      </c>
      <c r="G162" s="52">
        <f t="shared" si="2"/>
        <v>-9.0928211865074626</v>
      </c>
      <c r="H162" s="45">
        <v>99.8</v>
      </c>
      <c r="I162" s="45">
        <v>98.6</v>
      </c>
      <c r="K162" s="53">
        <v>-3.5506532325129836</v>
      </c>
      <c r="L162" s="53"/>
      <c r="M162" s="53">
        <v>-3.5506532325129836</v>
      </c>
      <c r="N162" s="53"/>
      <c r="O162" s="53"/>
      <c r="P162" s="53"/>
      <c r="Q162" s="53"/>
      <c r="R162" s="53"/>
      <c r="S162" s="53"/>
      <c r="T162" s="53"/>
      <c r="U162" s="53"/>
      <c r="V162" s="53"/>
    </row>
    <row r="163" spans="6:22" x14ac:dyDescent="0.55000000000000004">
      <c r="F163" s="44">
        <v>41974</v>
      </c>
      <c r="G163" s="52">
        <f t="shared" si="2"/>
        <v>-12.924628393928089</v>
      </c>
      <c r="H163" s="45">
        <v>87.7</v>
      </c>
      <c r="I163" s="45">
        <v>95.4</v>
      </c>
      <c r="K163" s="53">
        <v>-1.8373400594429921</v>
      </c>
      <c r="L163" s="53"/>
      <c r="M163" s="53">
        <v>-1.8373400594429921</v>
      </c>
      <c r="N163" s="53"/>
      <c r="O163" s="53"/>
      <c r="P163" s="53"/>
      <c r="Q163" s="53"/>
      <c r="R163" s="53"/>
      <c r="S163" s="53"/>
      <c r="T163" s="53"/>
      <c r="U163" s="53"/>
      <c r="V163" s="53"/>
    </row>
    <row r="164" spans="6:22" x14ac:dyDescent="0.55000000000000004">
      <c r="F164" s="44">
        <v>42005</v>
      </c>
      <c r="G164" s="52">
        <f t="shared" si="2"/>
        <v>0.45506335639962892</v>
      </c>
      <c r="H164" s="45">
        <v>88.1</v>
      </c>
      <c r="I164" s="45">
        <v>96</v>
      </c>
      <c r="K164" s="53">
        <v>1.0153811236159382</v>
      </c>
      <c r="L164" s="53"/>
      <c r="M164" s="53">
        <v>1.0153811236159382</v>
      </c>
      <c r="N164" s="53"/>
      <c r="O164" s="53"/>
      <c r="P164" s="53"/>
      <c r="Q164" s="53"/>
      <c r="R164" s="53"/>
      <c r="S164" s="53"/>
      <c r="T164" s="53"/>
      <c r="U164" s="53"/>
      <c r="V164" s="53"/>
    </row>
    <row r="165" spans="6:22" x14ac:dyDescent="0.55000000000000004">
      <c r="F165" s="44">
        <v>42036</v>
      </c>
      <c r="G165" s="52">
        <f t="shared" si="2"/>
        <v>-5.1233555446704067</v>
      </c>
      <c r="H165" s="45">
        <v>83.7</v>
      </c>
      <c r="I165" s="45">
        <v>95.4</v>
      </c>
      <c r="K165" s="53">
        <v>-2.0402962160381839</v>
      </c>
      <c r="L165" s="53"/>
      <c r="M165" s="53">
        <v>-2.0402962160381839</v>
      </c>
      <c r="N165" s="53"/>
      <c r="O165" s="53"/>
      <c r="P165" s="53"/>
      <c r="Q165" s="53"/>
      <c r="R165" s="53"/>
      <c r="S165" s="53"/>
      <c r="T165" s="53"/>
      <c r="U165" s="53"/>
      <c r="V165" s="53"/>
    </row>
    <row r="166" spans="6:22" x14ac:dyDescent="0.55000000000000004">
      <c r="F166" s="44">
        <v>42064</v>
      </c>
      <c r="G166" s="52">
        <f t="shared" si="2"/>
        <v>11.924221214398219</v>
      </c>
      <c r="H166" s="45">
        <v>94.3</v>
      </c>
      <c r="I166" s="45">
        <v>95</v>
      </c>
      <c r="K166" s="53">
        <v>1.6701778097497098</v>
      </c>
      <c r="L166" s="53"/>
      <c r="M166" s="53">
        <v>1.6701778097497098</v>
      </c>
      <c r="N166" s="53"/>
      <c r="O166" s="53"/>
      <c r="P166" s="53"/>
      <c r="Q166" s="53"/>
      <c r="R166" s="53"/>
      <c r="S166" s="53"/>
      <c r="T166" s="53"/>
      <c r="U166" s="53"/>
      <c r="V166" s="53"/>
    </row>
    <row r="167" spans="6:22" x14ac:dyDescent="0.55000000000000004">
      <c r="F167" s="44">
        <v>42095</v>
      </c>
      <c r="G167" s="52">
        <f t="shared" si="2"/>
        <v>-6.0094539641287446</v>
      </c>
      <c r="H167" s="45">
        <v>88.8</v>
      </c>
      <c r="I167" s="45">
        <v>93</v>
      </c>
      <c r="K167" s="53">
        <v>-1.9433430321922751</v>
      </c>
      <c r="L167" s="53"/>
      <c r="M167" s="53">
        <v>-1.9433430321922751</v>
      </c>
      <c r="N167" s="53"/>
      <c r="O167" s="53"/>
      <c r="P167" s="53"/>
      <c r="Q167" s="53"/>
      <c r="R167" s="53"/>
      <c r="S167" s="53"/>
      <c r="T167" s="53"/>
      <c r="U167" s="53"/>
      <c r="V167" s="53"/>
    </row>
    <row r="168" spans="6:22" x14ac:dyDescent="0.55000000000000004">
      <c r="F168" s="44">
        <v>42125</v>
      </c>
      <c r="G168" s="52">
        <f t="shared" si="2"/>
        <v>4.7287534284896902</v>
      </c>
      <c r="H168" s="45">
        <v>93.1</v>
      </c>
      <c r="I168" s="45">
        <v>92.2</v>
      </c>
      <c r="K168" s="53">
        <v>-1.7900826702918939</v>
      </c>
      <c r="L168" s="53"/>
      <c r="M168" s="53">
        <v>-1.7900826702918939</v>
      </c>
      <c r="N168" s="53"/>
      <c r="O168" s="53"/>
      <c r="P168" s="53"/>
      <c r="Q168" s="53"/>
      <c r="R168" s="53"/>
      <c r="S168" s="53"/>
      <c r="T168" s="53"/>
      <c r="U168" s="53"/>
      <c r="V168" s="53"/>
    </row>
    <row r="169" spans="6:22" x14ac:dyDescent="0.55000000000000004">
      <c r="F169" s="44">
        <v>42156</v>
      </c>
      <c r="G169" s="52">
        <f t="shared" si="2"/>
        <v>-0.646553976464186</v>
      </c>
      <c r="H169" s="45">
        <v>92.5</v>
      </c>
      <c r="I169" s="45">
        <v>91.3</v>
      </c>
      <c r="K169" s="53">
        <v>0.59583974714122923</v>
      </c>
      <c r="L169" s="53"/>
      <c r="M169" s="53">
        <v>0.59583974714122923</v>
      </c>
      <c r="N169" s="53"/>
      <c r="O169" s="53"/>
      <c r="P169" s="53"/>
      <c r="Q169" s="53"/>
      <c r="R169" s="53"/>
      <c r="S169" s="53"/>
      <c r="T169" s="53"/>
      <c r="U169" s="53"/>
      <c r="V169" s="53"/>
    </row>
    <row r="170" spans="6:22" x14ac:dyDescent="0.55000000000000004">
      <c r="F170" s="44">
        <v>42186</v>
      </c>
      <c r="G170" s="52">
        <f t="shared" si="2"/>
        <v>3.1917602968304948</v>
      </c>
      <c r="H170" s="45">
        <v>95.5</v>
      </c>
      <c r="I170" s="45">
        <v>89.5</v>
      </c>
      <c r="K170" s="53">
        <v>-2.0383616833985982</v>
      </c>
      <c r="L170" s="53"/>
      <c r="M170" s="53">
        <v>-2.0383616833985982</v>
      </c>
      <c r="N170" s="53"/>
      <c r="O170" s="53"/>
      <c r="P170" s="53"/>
      <c r="Q170" s="53"/>
      <c r="R170" s="53"/>
      <c r="S170" s="53"/>
      <c r="T170" s="53"/>
      <c r="U170" s="53"/>
      <c r="V170" s="53"/>
    </row>
    <row r="171" spans="6:22" x14ac:dyDescent="0.55000000000000004">
      <c r="F171" s="44">
        <v>42217</v>
      </c>
      <c r="G171" s="52">
        <f t="shared" si="2"/>
        <v>2.175124593236212</v>
      </c>
      <c r="H171" s="45">
        <v>97.6</v>
      </c>
      <c r="I171" s="45">
        <v>90.3</v>
      </c>
      <c r="K171" s="53">
        <v>-0.62867412240628084</v>
      </c>
      <c r="L171" s="53"/>
      <c r="M171" s="53">
        <v>-0.62867412240628084</v>
      </c>
      <c r="N171" s="53"/>
      <c r="O171" s="53"/>
      <c r="P171" s="53"/>
      <c r="Q171" s="53"/>
      <c r="R171" s="53"/>
      <c r="S171" s="53"/>
      <c r="T171" s="53"/>
      <c r="U171" s="53"/>
      <c r="V171" s="53"/>
    </row>
    <row r="172" spans="6:22" x14ac:dyDescent="0.55000000000000004">
      <c r="F172" s="44">
        <v>42248</v>
      </c>
      <c r="G172" s="52">
        <f t="shared" si="2"/>
        <v>-3.439630377963502</v>
      </c>
      <c r="H172" s="45">
        <v>94.3</v>
      </c>
      <c r="I172" s="45">
        <v>88.2</v>
      </c>
      <c r="K172" s="53">
        <v>-0.61441933918025304</v>
      </c>
      <c r="L172" s="53"/>
      <c r="M172" s="53">
        <v>-0.61441933918025304</v>
      </c>
      <c r="N172" s="53"/>
      <c r="O172" s="53"/>
      <c r="P172" s="53"/>
      <c r="Q172" s="53"/>
      <c r="R172" s="53"/>
      <c r="S172" s="53"/>
      <c r="T172" s="53"/>
      <c r="U172" s="53"/>
      <c r="V172" s="53"/>
    </row>
    <row r="173" spans="6:22" x14ac:dyDescent="0.55000000000000004">
      <c r="F173" s="44">
        <v>42278</v>
      </c>
      <c r="G173" s="52">
        <f t="shared" si="2"/>
        <v>3.0289521826981729</v>
      </c>
      <c r="H173" s="45">
        <v>97.2</v>
      </c>
      <c r="I173" s="45">
        <v>88.1</v>
      </c>
      <c r="K173" s="53">
        <v>-0.54278080829257158</v>
      </c>
      <c r="L173" s="53"/>
      <c r="M173" s="53">
        <v>-0.54278080829257158</v>
      </c>
      <c r="N173" s="53"/>
      <c r="O173" s="53"/>
      <c r="P173" s="53"/>
      <c r="Q173" s="53"/>
      <c r="R173" s="53"/>
      <c r="S173" s="53"/>
      <c r="T173" s="53"/>
      <c r="U173" s="53"/>
      <c r="V173" s="53"/>
    </row>
    <row r="174" spans="6:22" x14ac:dyDescent="0.55000000000000004">
      <c r="F174" s="44">
        <v>42309</v>
      </c>
      <c r="G174" s="52">
        <f t="shared" si="2"/>
        <v>-10.398971352404775</v>
      </c>
      <c r="H174" s="45">
        <v>87.6</v>
      </c>
      <c r="I174" s="45">
        <v>86.4</v>
      </c>
      <c r="K174" s="53">
        <v>-4.8568033984102961</v>
      </c>
      <c r="L174" s="53"/>
      <c r="M174" s="53">
        <v>-4.8568033984102961</v>
      </c>
      <c r="N174" s="53"/>
      <c r="O174" s="53"/>
      <c r="P174" s="53"/>
      <c r="Q174" s="53"/>
      <c r="R174" s="53"/>
      <c r="S174" s="53"/>
      <c r="T174" s="53"/>
      <c r="U174" s="53"/>
      <c r="V174" s="53"/>
    </row>
    <row r="175" spans="6:22" x14ac:dyDescent="0.55000000000000004">
      <c r="F175" s="44">
        <v>42339</v>
      </c>
      <c r="G175" s="52">
        <f t="shared" si="2"/>
        <v>-12.638154091161514</v>
      </c>
      <c r="H175" s="45">
        <v>77.2</v>
      </c>
      <c r="I175" s="45">
        <v>84.8</v>
      </c>
      <c r="K175" s="53">
        <v>-1.5508657566764175</v>
      </c>
      <c r="L175" s="53"/>
      <c r="M175" s="53">
        <v>-1.5508657566764175</v>
      </c>
      <c r="N175" s="53"/>
      <c r="O175" s="53"/>
      <c r="P175" s="53"/>
      <c r="Q175" s="53"/>
      <c r="R175" s="53"/>
      <c r="S175" s="53"/>
      <c r="T175" s="53"/>
      <c r="U175" s="53"/>
      <c r="V175" s="53"/>
    </row>
    <row r="176" spans="6:22" x14ac:dyDescent="0.55000000000000004">
      <c r="F176" s="44">
        <v>42370</v>
      </c>
      <c r="G176" s="52">
        <f t="shared" si="2"/>
        <v>-1.1726518740319207</v>
      </c>
      <c r="H176" s="45">
        <v>76.3</v>
      </c>
      <c r="I176" s="45">
        <v>86.1</v>
      </c>
      <c r="K176" s="53">
        <v>-0.6123341068156114</v>
      </c>
      <c r="L176" s="53"/>
      <c r="M176" s="53">
        <v>-0.6123341068156114</v>
      </c>
      <c r="N176" s="53"/>
      <c r="O176" s="53"/>
      <c r="P176" s="53"/>
      <c r="Q176" s="53"/>
      <c r="R176" s="53"/>
      <c r="S176" s="53"/>
      <c r="T176" s="53"/>
      <c r="U176" s="53"/>
      <c r="V176" s="53"/>
    </row>
    <row r="177" spans="6:22" x14ac:dyDescent="0.55000000000000004">
      <c r="F177" s="44">
        <v>42401</v>
      </c>
      <c r="G177" s="52">
        <f t="shared" si="2"/>
        <v>-0.65746456420853572</v>
      </c>
      <c r="H177" s="45">
        <v>75.8</v>
      </c>
      <c r="I177" s="45">
        <v>84.8</v>
      </c>
      <c r="K177" s="53">
        <v>2.4255947644236873</v>
      </c>
      <c r="L177" s="53"/>
      <c r="M177" s="53">
        <v>2.4255947644236873</v>
      </c>
      <c r="N177" s="53"/>
      <c r="O177" s="53"/>
      <c r="P177" s="53"/>
      <c r="Q177" s="53"/>
      <c r="R177" s="53"/>
      <c r="S177" s="53"/>
      <c r="T177" s="53"/>
      <c r="U177" s="53"/>
      <c r="V177" s="53"/>
    </row>
    <row r="178" spans="6:22" x14ac:dyDescent="0.55000000000000004">
      <c r="F178" s="44">
        <v>42430</v>
      </c>
      <c r="G178" s="52">
        <f t="shared" si="2"/>
        <v>9.9140684847103628</v>
      </c>
      <c r="H178" s="45">
        <v>83.7</v>
      </c>
      <c r="I178" s="45">
        <v>85.6</v>
      </c>
      <c r="K178" s="53">
        <v>-0.33997491993814677</v>
      </c>
      <c r="L178" s="53"/>
      <c r="M178" s="53">
        <v>-0.33997491993814677</v>
      </c>
      <c r="N178" s="53"/>
      <c r="O178" s="53"/>
      <c r="P178" s="53"/>
      <c r="Q178" s="53"/>
      <c r="R178" s="53"/>
      <c r="S178" s="53"/>
      <c r="T178" s="53"/>
      <c r="U178" s="53"/>
      <c r="V178" s="53"/>
    </row>
    <row r="179" spans="6:22" x14ac:dyDescent="0.55000000000000004">
      <c r="F179" s="44">
        <v>42461</v>
      </c>
      <c r="G179" s="52">
        <f t="shared" si="2"/>
        <v>-0.8398369698831718</v>
      </c>
      <c r="H179" s="45">
        <v>83</v>
      </c>
      <c r="I179" s="45">
        <v>85.4</v>
      </c>
      <c r="K179" s="53">
        <v>3.2262739620532974</v>
      </c>
      <c r="L179" s="53"/>
      <c r="M179" s="53">
        <v>3.2262739620532974</v>
      </c>
      <c r="N179" s="53"/>
      <c r="O179" s="53"/>
      <c r="P179" s="53"/>
      <c r="Q179" s="53"/>
      <c r="R179" s="53"/>
      <c r="S179" s="53"/>
      <c r="T179" s="53"/>
      <c r="U179" s="53"/>
      <c r="V179" s="53"/>
    </row>
    <row r="180" spans="6:22" x14ac:dyDescent="0.55000000000000004">
      <c r="F180" s="44">
        <v>42491</v>
      </c>
      <c r="G180" s="52">
        <f t="shared" si="2"/>
        <v>3.8988990292784345</v>
      </c>
      <c r="H180" s="45">
        <v>86.3</v>
      </c>
      <c r="I180" s="45">
        <v>85.8</v>
      </c>
      <c r="K180" s="53">
        <v>-2.6199370695031496</v>
      </c>
      <c r="L180" s="53"/>
      <c r="M180" s="53">
        <v>-2.6199370695031496</v>
      </c>
      <c r="N180" s="53"/>
      <c r="O180" s="53"/>
      <c r="P180" s="53"/>
      <c r="Q180" s="53"/>
      <c r="R180" s="53"/>
      <c r="S180" s="53"/>
      <c r="T180" s="53"/>
      <c r="U180" s="53"/>
      <c r="V180" s="53"/>
    </row>
    <row r="181" spans="6:22" x14ac:dyDescent="0.55000000000000004">
      <c r="F181" s="44">
        <v>42522</v>
      </c>
      <c r="G181" s="52">
        <f t="shared" si="2"/>
        <v>1.6092301288755131</v>
      </c>
      <c r="H181" s="45">
        <v>87.7</v>
      </c>
      <c r="I181" s="45">
        <v>84.8</v>
      </c>
      <c r="K181" s="53">
        <v>2.8516238524809285</v>
      </c>
      <c r="L181" s="53"/>
      <c r="M181" s="53">
        <v>2.8516238524809285</v>
      </c>
      <c r="N181" s="53"/>
      <c r="O181" s="53"/>
      <c r="P181" s="53"/>
      <c r="Q181" s="53"/>
      <c r="R181" s="53"/>
      <c r="S181" s="53"/>
      <c r="T181" s="53"/>
      <c r="U181" s="53"/>
      <c r="V181" s="53"/>
    </row>
    <row r="182" spans="6:22" x14ac:dyDescent="0.55000000000000004">
      <c r="F182" s="44">
        <v>42552</v>
      </c>
      <c r="G182" s="52">
        <f t="shared" si="2"/>
        <v>2.1433420602747244</v>
      </c>
      <c r="H182" s="45">
        <v>89.6</v>
      </c>
      <c r="I182" s="45">
        <v>85.5</v>
      </c>
      <c r="K182" s="53">
        <v>-3.0867799199543686</v>
      </c>
      <c r="L182" s="53"/>
      <c r="M182" s="53">
        <v>-3.0867799199543686</v>
      </c>
      <c r="N182" s="53"/>
      <c r="O182" s="53"/>
      <c r="P182" s="53"/>
      <c r="Q182" s="53"/>
      <c r="R182" s="53"/>
      <c r="S182" s="53"/>
      <c r="T182" s="53"/>
      <c r="U182" s="53"/>
      <c r="V182" s="53"/>
    </row>
    <row r="183" spans="6:22" x14ac:dyDescent="0.55000000000000004">
      <c r="F183" s="44">
        <v>42583</v>
      </c>
      <c r="G183" s="52">
        <f t="shared" si="2"/>
        <v>3.7244173172371178</v>
      </c>
      <c r="H183" s="45">
        <v>93</v>
      </c>
      <c r="I183" s="45">
        <v>83.5</v>
      </c>
      <c r="K183" s="53">
        <v>0.92061860159462494</v>
      </c>
      <c r="L183" s="53"/>
      <c r="M183" s="53">
        <v>0.92061860159462494</v>
      </c>
      <c r="N183" s="53"/>
      <c r="O183" s="53"/>
      <c r="P183" s="53"/>
      <c r="Q183" s="53"/>
      <c r="R183" s="53"/>
      <c r="S183" s="53"/>
      <c r="T183" s="53"/>
      <c r="U183" s="53"/>
      <c r="V183" s="53"/>
    </row>
    <row r="184" spans="6:22" x14ac:dyDescent="0.55000000000000004">
      <c r="F184" s="44">
        <v>42614</v>
      </c>
      <c r="G184" s="52">
        <f t="shared" si="2"/>
        <v>-2.504213603216495</v>
      </c>
      <c r="H184" s="45">
        <v>90.7</v>
      </c>
      <c r="I184" s="45">
        <v>84.4</v>
      </c>
      <c r="K184" s="53">
        <v>0.32099743556675397</v>
      </c>
      <c r="L184" s="53"/>
      <c r="M184" s="53">
        <v>0.32099743556675397</v>
      </c>
      <c r="N184" s="53"/>
      <c r="O184" s="53"/>
      <c r="P184" s="53"/>
      <c r="Q184" s="53"/>
      <c r="R184" s="53"/>
      <c r="S184" s="53"/>
      <c r="T184" s="53"/>
      <c r="U184" s="53"/>
      <c r="V184" s="53"/>
    </row>
    <row r="185" spans="6:22" x14ac:dyDescent="0.55000000000000004">
      <c r="F185" s="44">
        <v>42644</v>
      </c>
      <c r="G185" s="52">
        <f t="shared" si="2"/>
        <v>-0.55279300525129427</v>
      </c>
      <c r="H185" s="45">
        <v>90.2</v>
      </c>
      <c r="I185" s="45">
        <v>83.3</v>
      </c>
      <c r="K185" s="53">
        <v>-4.1245259962420384</v>
      </c>
      <c r="L185" s="53"/>
      <c r="M185" s="53">
        <v>-4.1245259962420384</v>
      </c>
      <c r="N185" s="53"/>
      <c r="O185" s="53"/>
      <c r="P185" s="53"/>
      <c r="Q185" s="53"/>
      <c r="R185" s="53"/>
      <c r="S185" s="53"/>
      <c r="T185" s="53"/>
      <c r="U185" s="53"/>
      <c r="V185" s="53"/>
    </row>
    <row r="186" spans="6:22" x14ac:dyDescent="0.55000000000000004">
      <c r="F186" s="44">
        <v>42675</v>
      </c>
      <c r="G186" s="52">
        <f t="shared" si="2"/>
        <v>-4.1885013130744326</v>
      </c>
      <c r="H186" s="45">
        <v>86.5</v>
      </c>
      <c r="I186" s="45">
        <v>84</v>
      </c>
      <c r="K186" s="53">
        <v>1.3536666409200464</v>
      </c>
      <c r="L186" s="53"/>
      <c r="M186" s="53">
        <v>1.3536666409200464</v>
      </c>
      <c r="N186" s="53"/>
      <c r="O186" s="53"/>
      <c r="P186" s="53"/>
      <c r="Q186" s="53"/>
      <c r="R186" s="53"/>
      <c r="S186" s="53"/>
      <c r="T186" s="53"/>
      <c r="U186" s="53"/>
      <c r="V186" s="53"/>
    </row>
    <row r="187" spans="6:22" x14ac:dyDescent="0.55000000000000004">
      <c r="F187" s="44">
        <v>42705</v>
      </c>
      <c r="G187" s="52">
        <f t="shared" si="2"/>
        <v>-11.374495690710315</v>
      </c>
      <c r="H187" s="45">
        <v>77.2</v>
      </c>
      <c r="I187" s="45">
        <v>85.5</v>
      </c>
      <c r="K187" s="53">
        <v>-0.28720735622521865</v>
      </c>
      <c r="L187" s="53"/>
      <c r="M187" s="53">
        <v>-0.28720735622521865</v>
      </c>
      <c r="N187" s="53"/>
      <c r="O187" s="53"/>
      <c r="P187" s="53"/>
      <c r="Q187" s="53"/>
      <c r="R187" s="53"/>
      <c r="S187" s="53"/>
      <c r="T187" s="53"/>
      <c r="U187" s="53"/>
      <c r="V187" s="53"/>
    </row>
    <row r="188" spans="6:22" x14ac:dyDescent="0.55000000000000004">
      <c r="F188" s="44">
        <v>42736</v>
      </c>
      <c r="G188" s="52">
        <f t="shared" si="2"/>
        <v>0.90264958459721245</v>
      </c>
      <c r="H188" s="45">
        <v>77.900000000000006</v>
      </c>
      <c r="I188" s="45">
        <v>86.4</v>
      </c>
      <c r="K188" s="53">
        <v>1.4629673518135218</v>
      </c>
      <c r="L188" s="53"/>
      <c r="M188" s="53">
        <v>1.4629673518135218</v>
      </c>
      <c r="N188" s="53"/>
      <c r="O188" s="53"/>
      <c r="P188" s="53"/>
      <c r="Q188" s="53"/>
      <c r="R188" s="53"/>
      <c r="S188" s="53"/>
      <c r="T188" s="53"/>
      <c r="U188" s="53"/>
      <c r="V188" s="53"/>
    </row>
    <row r="189" spans="6:22" x14ac:dyDescent="0.55000000000000004">
      <c r="F189" s="44">
        <v>42767</v>
      </c>
      <c r="G189" s="52">
        <f t="shared" si="2"/>
        <v>-2.6009268475118326</v>
      </c>
      <c r="H189" s="45">
        <v>75.900000000000006</v>
      </c>
      <c r="I189" s="45">
        <v>87.4</v>
      </c>
      <c r="K189" s="53">
        <v>0.4821324811203902</v>
      </c>
      <c r="L189" s="53"/>
      <c r="M189" s="53">
        <v>0.4821324811203902</v>
      </c>
      <c r="N189" s="53"/>
      <c r="O189" s="53"/>
      <c r="P189" s="53"/>
      <c r="Q189" s="53"/>
      <c r="R189" s="53"/>
      <c r="S189" s="53"/>
      <c r="T189" s="53"/>
      <c r="U189" s="53"/>
      <c r="V189" s="53"/>
    </row>
    <row r="190" spans="6:22" x14ac:dyDescent="0.55000000000000004">
      <c r="F190" s="44">
        <v>42795</v>
      </c>
      <c r="G190" s="52">
        <f t="shared" si="2"/>
        <v>11.792941639294002</v>
      </c>
      <c r="H190" s="45">
        <v>85.4</v>
      </c>
      <c r="I190" s="45">
        <v>85.6</v>
      </c>
      <c r="K190" s="53">
        <v>1.538898234645492</v>
      </c>
      <c r="L190" s="53"/>
      <c r="M190" s="53">
        <v>1.538898234645492</v>
      </c>
      <c r="N190" s="53"/>
      <c r="O190" s="53"/>
      <c r="P190" s="53"/>
      <c r="Q190" s="53"/>
      <c r="R190" s="53"/>
      <c r="S190" s="53"/>
      <c r="T190" s="53"/>
      <c r="U190" s="53"/>
      <c r="V190" s="53"/>
    </row>
    <row r="191" spans="6:22" x14ac:dyDescent="0.55000000000000004">
      <c r="F191" s="44">
        <v>42826</v>
      </c>
      <c r="G191" s="52">
        <f t="shared" si="2"/>
        <v>-7.4107972153721962</v>
      </c>
      <c r="H191" s="45">
        <v>79.3</v>
      </c>
      <c r="I191" s="45">
        <v>85.9</v>
      </c>
      <c r="K191" s="53">
        <v>-3.3446862834357267</v>
      </c>
      <c r="L191" s="53"/>
      <c r="M191" s="53">
        <v>-3.3446862834357267</v>
      </c>
      <c r="N191" s="53"/>
      <c r="O191" s="53"/>
      <c r="P191" s="53"/>
      <c r="Q191" s="53"/>
      <c r="R191" s="53"/>
      <c r="S191" s="53"/>
      <c r="T191" s="53"/>
      <c r="U191" s="53"/>
      <c r="V191" s="53"/>
    </row>
    <row r="192" spans="6:22" x14ac:dyDescent="0.55000000000000004">
      <c r="F192" s="44">
        <v>42856</v>
      </c>
      <c r="G192" s="52">
        <f t="shared" si="2"/>
        <v>12.768203597348998</v>
      </c>
      <c r="H192" s="45">
        <v>90.1</v>
      </c>
      <c r="I192" s="45">
        <v>86.2</v>
      </c>
      <c r="K192" s="53">
        <v>6.2493674985674144</v>
      </c>
      <c r="L192" s="53"/>
      <c r="M192" s="53">
        <v>6.2493674985674144</v>
      </c>
      <c r="N192" s="53"/>
      <c r="O192" s="53"/>
      <c r="P192" s="53"/>
      <c r="Q192" s="53"/>
      <c r="R192" s="53"/>
      <c r="S192" s="53"/>
      <c r="T192" s="53"/>
      <c r="U192" s="53"/>
      <c r="V192" s="53"/>
    </row>
    <row r="193" spans="6:22" x14ac:dyDescent="0.55000000000000004">
      <c r="F193" s="44">
        <v>42887</v>
      </c>
      <c r="G193" s="52">
        <f t="shared" si="2"/>
        <v>-1.9048194970694363</v>
      </c>
      <c r="H193" s="45">
        <v>88.4</v>
      </c>
      <c r="I193" s="45">
        <v>87</v>
      </c>
      <c r="K193" s="53">
        <v>-0.66242577346402109</v>
      </c>
      <c r="L193" s="53"/>
      <c r="M193" s="53">
        <v>-0.66242577346402109</v>
      </c>
      <c r="N193" s="53"/>
      <c r="O193" s="53"/>
      <c r="P193" s="53"/>
      <c r="Q193" s="53"/>
      <c r="R193" s="53"/>
      <c r="S193" s="53"/>
      <c r="T193" s="53"/>
      <c r="U193" s="53"/>
      <c r="V193" s="53"/>
    </row>
    <row r="194" spans="6:22" x14ac:dyDescent="0.55000000000000004">
      <c r="F194" s="44">
        <v>42917</v>
      </c>
      <c r="G194" s="52">
        <f t="shared" si="2"/>
        <v>4.1002973617663265</v>
      </c>
      <c r="H194" s="45">
        <v>92.1</v>
      </c>
      <c r="I194" s="45">
        <v>87.3</v>
      </c>
      <c r="K194" s="53">
        <v>-1.1298246184627665</v>
      </c>
      <c r="L194" s="53"/>
      <c r="M194" s="53">
        <v>-1.1298246184627665</v>
      </c>
      <c r="N194" s="53"/>
      <c r="O194" s="53"/>
      <c r="P194" s="53"/>
      <c r="Q194" s="53"/>
      <c r="R194" s="53"/>
      <c r="S194" s="53"/>
      <c r="T194" s="53"/>
      <c r="U194" s="53"/>
      <c r="V194" s="53"/>
    </row>
    <row r="195" spans="6:22" x14ac:dyDescent="0.55000000000000004">
      <c r="F195" s="44">
        <v>42948</v>
      </c>
      <c r="G195" s="52">
        <f t="shared" si="2"/>
        <v>4.8738459197987503</v>
      </c>
      <c r="H195" s="45">
        <v>96.7</v>
      </c>
      <c r="I195" s="45">
        <v>87</v>
      </c>
      <c r="K195" s="53">
        <v>2.0700472041562574</v>
      </c>
      <c r="L195" s="53"/>
      <c r="M195" s="53">
        <v>2.0700472041562574</v>
      </c>
      <c r="N195" s="53"/>
      <c r="O195" s="53"/>
      <c r="P195" s="53"/>
      <c r="Q195" s="53"/>
      <c r="R195" s="53"/>
      <c r="S195" s="53"/>
      <c r="T195" s="53"/>
      <c r="U195" s="53"/>
      <c r="V195" s="53"/>
    </row>
    <row r="196" spans="6:22" x14ac:dyDescent="0.55000000000000004">
      <c r="F196" s="44">
        <v>42979</v>
      </c>
      <c r="G196" s="52">
        <f t="shared" si="2"/>
        <v>-3.901390930599276</v>
      </c>
      <c r="H196" s="45">
        <v>93</v>
      </c>
      <c r="I196" s="45">
        <v>87.4</v>
      </c>
      <c r="K196" s="53">
        <v>-1.076179891816027</v>
      </c>
      <c r="L196" s="53"/>
      <c r="M196" s="53">
        <v>-1.076179891816027</v>
      </c>
      <c r="N196" s="53"/>
      <c r="O196" s="53"/>
      <c r="P196" s="53"/>
      <c r="Q196" s="53"/>
      <c r="R196" s="53"/>
      <c r="S196" s="53"/>
      <c r="T196" s="53"/>
      <c r="U196" s="53"/>
      <c r="V196" s="53"/>
    </row>
    <row r="197" spans="6:22" x14ac:dyDescent="0.55000000000000004">
      <c r="F197" s="44">
        <v>43009</v>
      </c>
      <c r="G197" s="52">
        <f t="shared" si="2"/>
        <v>2.2329476398088577</v>
      </c>
      <c r="H197" s="45">
        <v>95.1</v>
      </c>
      <c r="I197" s="45">
        <v>88</v>
      </c>
      <c r="K197" s="53">
        <v>-1.3387853511818868</v>
      </c>
      <c r="L197" s="53"/>
      <c r="M197" s="53">
        <v>-1.3387853511818868</v>
      </c>
      <c r="N197" s="53"/>
      <c r="O197" s="53"/>
      <c r="P197" s="53"/>
      <c r="Q197" s="53"/>
      <c r="R197" s="53"/>
      <c r="S197" s="53"/>
      <c r="T197" s="53"/>
      <c r="U197" s="53"/>
      <c r="V197" s="53"/>
    </row>
    <row r="198" spans="6:22" x14ac:dyDescent="0.55000000000000004">
      <c r="F198" s="44">
        <v>43040</v>
      </c>
      <c r="G198" s="52">
        <f t="shared" si="2"/>
        <v>-4.8474756502411021</v>
      </c>
      <c r="H198" s="45">
        <v>90.6</v>
      </c>
      <c r="I198" s="45">
        <v>88.4</v>
      </c>
      <c r="K198" s="53">
        <v>0.69469230375337698</v>
      </c>
      <c r="L198" s="53"/>
      <c r="M198" s="53">
        <v>0.69469230375337698</v>
      </c>
      <c r="N198" s="53"/>
      <c r="O198" s="53"/>
      <c r="P198" s="53"/>
      <c r="Q198" s="53"/>
      <c r="R198" s="53"/>
      <c r="S198" s="53"/>
      <c r="T198" s="53"/>
      <c r="U198" s="53"/>
      <c r="V198" s="53"/>
    </row>
    <row r="199" spans="6:22" x14ac:dyDescent="0.55000000000000004">
      <c r="F199" s="44">
        <v>43070</v>
      </c>
      <c r="G199" s="52">
        <f t="shared" si="2"/>
        <v>-11.200505837649487</v>
      </c>
      <c r="H199" s="45">
        <v>81</v>
      </c>
      <c r="I199" s="45">
        <v>91.3</v>
      </c>
      <c r="K199" s="53">
        <v>-0.11321750316439075</v>
      </c>
      <c r="L199" s="53"/>
      <c r="M199" s="53">
        <v>-0.11321750316439075</v>
      </c>
      <c r="N199" s="53"/>
      <c r="O199" s="53"/>
      <c r="P199" s="53"/>
      <c r="Q199" s="53"/>
      <c r="R199" s="53"/>
      <c r="S199" s="53"/>
      <c r="T199" s="53"/>
      <c r="U199" s="53"/>
      <c r="V199" s="53"/>
    </row>
    <row r="200" spans="6:22" x14ac:dyDescent="0.55000000000000004">
      <c r="F200" s="44">
        <v>43101</v>
      </c>
      <c r="G200" s="52">
        <f t="shared" si="2"/>
        <v>1.5921953010585257</v>
      </c>
      <c r="H200" s="45">
        <v>82.3</v>
      </c>
      <c r="I200" s="45">
        <v>88.9</v>
      </c>
      <c r="K200" s="53">
        <v>2.152513068274835</v>
      </c>
      <c r="L200" s="53"/>
      <c r="M200" s="53">
        <v>2.152513068274835</v>
      </c>
      <c r="N200" s="53"/>
      <c r="O200" s="53"/>
      <c r="P200" s="53"/>
      <c r="Q200" s="53"/>
      <c r="R200" s="53"/>
      <c r="S200" s="53"/>
      <c r="T200" s="53"/>
      <c r="U200" s="53"/>
      <c r="V200" s="53"/>
    </row>
    <row r="201" spans="6:22" x14ac:dyDescent="0.55000000000000004">
      <c r="F201" s="44">
        <v>43132</v>
      </c>
      <c r="G201" s="52">
        <f t="shared" si="2"/>
        <v>-6.2677152089647858</v>
      </c>
      <c r="H201" s="45">
        <v>77.3</v>
      </c>
      <c r="I201" s="45">
        <v>88.6</v>
      </c>
      <c r="K201" s="53">
        <v>-3.1846558803325631</v>
      </c>
      <c r="L201" s="53"/>
      <c r="M201" s="53">
        <v>-3.1846558803325631</v>
      </c>
      <c r="N201" s="53"/>
      <c r="O201" s="53"/>
      <c r="P201" s="53"/>
      <c r="Q201" s="53"/>
      <c r="R201" s="53"/>
      <c r="S201" s="53"/>
      <c r="T201" s="53"/>
      <c r="U201" s="53"/>
      <c r="V201" s="53"/>
    </row>
    <row r="202" spans="6:22" x14ac:dyDescent="0.55000000000000004">
      <c r="F202" s="44">
        <v>43160</v>
      </c>
      <c r="G202" s="52">
        <f t="shared" ref="G202:G247" si="3">LN(H202/H201)*100</f>
        <v>10.897622207627112</v>
      </c>
      <c r="H202" s="45">
        <v>86.2</v>
      </c>
      <c r="I202" s="45">
        <v>89.7</v>
      </c>
      <c r="K202" s="53">
        <v>0.64357880297860248</v>
      </c>
      <c r="L202" s="53"/>
      <c r="M202" s="53">
        <v>0.64357880297860248</v>
      </c>
      <c r="N202" s="53"/>
      <c r="O202" s="53"/>
      <c r="P202" s="53"/>
      <c r="Q202" s="53"/>
      <c r="R202" s="53"/>
      <c r="S202" s="53"/>
      <c r="T202" s="53"/>
      <c r="U202" s="53"/>
      <c r="V202" s="53"/>
    </row>
    <row r="203" spans="6:22" x14ac:dyDescent="0.55000000000000004">
      <c r="F203" s="44">
        <v>43191</v>
      </c>
      <c r="G203" s="52">
        <f t="shared" si="3"/>
        <v>0.34742362681862726</v>
      </c>
      <c r="H203" s="45">
        <v>86.5</v>
      </c>
      <c r="I203" s="45">
        <v>90.1</v>
      </c>
      <c r="K203" s="53">
        <v>4.4135345587550967</v>
      </c>
      <c r="L203" s="53"/>
      <c r="M203" s="53">
        <v>4.4135345587550967</v>
      </c>
      <c r="N203" s="53"/>
      <c r="O203" s="53"/>
      <c r="P203" s="53"/>
      <c r="Q203" s="53"/>
      <c r="R203" s="53"/>
      <c r="S203" s="53"/>
      <c r="T203" s="53"/>
      <c r="U203" s="53"/>
      <c r="V203" s="53"/>
    </row>
    <row r="204" spans="6:22" x14ac:dyDescent="0.55000000000000004">
      <c r="F204" s="44">
        <v>43221</v>
      </c>
      <c r="G204" s="52">
        <f t="shared" si="3"/>
        <v>-2.4577012335922137</v>
      </c>
      <c r="H204" s="45">
        <v>84.4</v>
      </c>
      <c r="I204" s="45">
        <v>80.2</v>
      </c>
      <c r="K204" s="53">
        <v>-8.9765373323737983</v>
      </c>
      <c r="L204" s="53"/>
      <c r="M204" s="53">
        <v>-8.9765373323737983</v>
      </c>
      <c r="N204" s="53"/>
      <c r="O204" s="53"/>
      <c r="P204" s="53"/>
      <c r="Q204" s="53"/>
      <c r="R204" s="53"/>
      <c r="S204" s="53"/>
      <c r="T204" s="53"/>
      <c r="U204" s="53"/>
      <c r="V204" s="53"/>
    </row>
    <row r="205" spans="6:22" x14ac:dyDescent="0.55000000000000004">
      <c r="F205" s="44">
        <v>43252</v>
      </c>
      <c r="G205" s="52">
        <f t="shared" si="3"/>
        <v>7.6390402664001016</v>
      </c>
      <c r="H205" s="45">
        <v>91.1</v>
      </c>
      <c r="I205" s="45">
        <v>90.3</v>
      </c>
      <c r="K205" s="53">
        <v>8.881433990005517</v>
      </c>
      <c r="L205" s="53"/>
      <c r="M205" s="53">
        <v>8.881433990005517</v>
      </c>
      <c r="N205" s="53"/>
      <c r="O205" s="53"/>
      <c r="P205" s="53"/>
      <c r="Q205" s="53"/>
      <c r="R205" s="53"/>
      <c r="S205" s="53"/>
      <c r="T205" s="53"/>
      <c r="U205" s="53"/>
      <c r="V205" s="53"/>
    </row>
    <row r="206" spans="6:22" x14ac:dyDescent="0.55000000000000004">
      <c r="F206" s="44">
        <v>43282</v>
      </c>
      <c r="G206" s="52">
        <f t="shared" si="3"/>
        <v>5.0304880710902253</v>
      </c>
      <c r="H206" s="45">
        <v>95.8</v>
      </c>
      <c r="I206" s="45">
        <v>90.1</v>
      </c>
      <c r="K206" s="53">
        <v>-0.19963390913886772</v>
      </c>
      <c r="L206" s="53"/>
      <c r="M206" s="53">
        <v>-0.19963390913886772</v>
      </c>
      <c r="N206" s="53"/>
      <c r="O206" s="53"/>
      <c r="P206" s="53"/>
      <c r="Q206" s="53"/>
      <c r="R206" s="53"/>
      <c r="S206" s="53"/>
      <c r="T206" s="53"/>
      <c r="U206" s="53"/>
      <c r="V206" s="53"/>
    </row>
    <row r="207" spans="6:22" x14ac:dyDescent="0.55000000000000004">
      <c r="F207" s="44">
        <v>43313</v>
      </c>
      <c r="G207" s="52">
        <f t="shared" si="3"/>
        <v>2.4743530383605368</v>
      </c>
      <c r="H207" s="45">
        <v>98.2</v>
      </c>
      <c r="I207" s="45">
        <v>88.9</v>
      </c>
      <c r="K207" s="53">
        <v>-0.32944567728195606</v>
      </c>
      <c r="L207" s="53"/>
      <c r="M207" s="53">
        <v>-0.32944567728195606</v>
      </c>
      <c r="N207" s="53"/>
      <c r="O207" s="53"/>
      <c r="P207" s="53"/>
      <c r="Q207" s="53"/>
      <c r="R207" s="53"/>
      <c r="S207" s="53"/>
      <c r="T207" s="53"/>
      <c r="U207" s="53"/>
      <c r="V207" s="53"/>
    </row>
    <row r="208" spans="6:22" x14ac:dyDescent="0.55000000000000004">
      <c r="F208" s="44">
        <v>43344</v>
      </c>
      <c r="G208" s="52">
        <f t="shared" si="3"/>
        <v>-7.9448858239329327</v>
      </c>
      <c r="H208" s="45">
        <v>90.7</v>
      </c>
      <c r="I208" s="45">
        <v>86.5</v>
      </c>
      <c r="K208" s="53">
        <v>-5.1196747851496838</v>
      </c>
      <c r="L208" s="53"/>
      <c r="M208" s="53">
        <v>-5.1196747851496838</v>
      </c>
      <c r="N208" s="53"/>
      <c r="O208" s="53"/>
      <c r="P208" s="53"/>
      <c r="Q208" s="53"/>
      <c r="R208" s="53"/>
      <c r="S208" s="53"/>
      <c r="T208" s="53"/>
      <c r="U208" s="53"/>
      <c r="V208" s="53"/>
    </row>
    <row r="209" spans="6:22" x14ac:dyDescent="0.55000000000000004">
      <c r="F209" s="44">
        <v>43374</v>
      </c>
      <c r="G209" s="52">
        <f t="shared" si="3"/>
        <v>5.4705327855723951</v>
      </c>
      <c r="H209" s="45">
        <v>95.8</v>
      </c>
      <c r="I209" s="45">
        <v>87.5</v>
      </c>
      <c r="K209" s="53">
        <v>1.8987997945816506</v>
      </c>
      <c r="L209" s="53"/>
      <c r="M209" s="53">
        <v>1.8987997945816506</v>
      </c>
      <c r="N209" s="53"/>
      <c r="O209" s="53"/>
      <c r="P209" s="53"/>
      <c r="Q209" s="53"/>
      <c r="R209" s="53"/>
      <c r="S209" s="53"/>
      <c r="T209" s="53"/>
      <c r="U209" s="53"/>
      <c r="V209" s="53"/>
    </row>
    <row r="210" spans="6:22" x14ac:dyDescent="0.55000000000000004">
      <c r="F210" s="44">
        <v>43405</v>
      </c>
      <c r="G210" s="52">
        <f t="shared" si="3"/>
        <v>-6.8024059696005086</v>
      </c>
      <c r="H210" s="45">
        <v>89.5</v>
      </c>
      <c r="I210" s="45">
        <v>87.5</v>
      </c>
      <c r="K210" s="53">
        <v>-1.2602380156060295</v>
      </c>
      <c r="L210" s="53"/>
      <c r="M210" s="53">
        <v>-1.2602380156060295</v>
      </c>
      <c r="N210" s="53"/>
      <c r="O210" s="53"/>
      <c r="P210" s="53"/>
      <c r="Q210" s="53"/>
      <c r="R210" s="53"/>
      <c r="S210" s="53"/>
      <c r="T210" s="53"/>
      <c r="U210" s="53"/>
      <c r="V210" s="53"/>
    </row>
    <row r="211" spans="6:22" x14ac:dyDescent="0.55000000000000004">
      <c r="F211" s="44">
        <v>43435</v>
      </c>
      <c r="G211" s="52">
        <f t="shared" si="3"/>
        <v>-13.752979859121798</v>
      </c>
      <c r="H211" s="45">
        <v>78</v>
      </c>
      <c r="I211" s="45">
        <v>87.8</v>
      </c>
      <c r="K211" s="53">
        <v>-2.665691524636701</v>
      </c>
      <c r="L211" s="53"/>
      <c r="M211" s="53">
        <v>-2.665691524636701</v>
      </c>
      <c r="N211" s="53"/>
      <c r="O211" s="53"/>
      <c r="P211" s="53"/>
      <c r="Q211" s="53"/>
      <c r="R211" s="53"/>
      <c r="S211" s="53"/>
      <c r="T211" s="53"/>
      <c r="U211" s="53"/>
      <c r="V211" s="53"/>
    </row>
    <row r="212" spans="6:22" x14ac:dyDescent="0.55000000000000004">
      <c r="F212" s="44">
        <v>43466</v>
      </c>
      <c r="G212" s="52">
        <f t="shared" si="3"/>
        <v>3.402974858631147</v>
      </c>
      <c r="H212" s="45">
        <v>80.7</v>
      </c>
      <c r="I212" s="45">
        <v>86.9</v>
      </c>
      <c r="K212" s="53">
        <v>3.9632926258474566</v>
      </c>
      <c r="L212" s="53"/>
      <c r="M212" s="53">
        <v>3.9632926258474566</v>
      </c>
      <c r="N212" s="53"/>
      <c r="O212" s="53"/>
      <c r="P212" s="53"/>
      <c r="Q212" s="53"/>
      <c r="R212" s="53"/>
      <c r="S212" s="53"/>
      <c r="T212" s="53"/>
      <c r="U212" s="53"/>
      <c r="V212" s="53"/>
    </row>
    <row r="213" spans="6:22" x14ac:dyDescent="0.55000000000000004">
      <c r="F213" s="44">
        <v>43497</v>
      </c>
      <c r="G213" s="52">
        <f t="shared" si="3"/>
        <v>-2.0025700502295027</v>
      </c>
      <c r="H213" s="45">
        <v>79.099999999999994</v>
      </c>
      <c r="I213" s="45">
        <v>87.4</v>
      </c>
      <c r="K213" s="53">
        <v>1.08048927840272</v>
      </c>
      <c r="L213" s="53"/>
      <c r="M213" s="53">
        <v>1.08048927840272</v>
      </c>
      <c r="N213" s="53"/>
      <c r="O213" s="53"/>
      <c r="P213" s="53"/>
      <c r="Q213" s="53"/>
      <c r="R213" s="53"/>
      <c r="S213" s="53"/>
      <c r="T213" s="53"/>
      <c r="U213" s="53"/>
      <c r="V213" s="53"/>
    </row>
    <row r="214" spans="6:22" x14ac:dyDescent="0.55000000000000004">
      <c r="F214" s="44">
        <v>43525</v>
      </c>
      <c r="G214" s="52">
        <f t="shared" si="3"/>
        <v>2.3736279898830737</v>
      </c>
      <c r="H214" s="45">
        <v>81</v>
      </c>
      <c r="I214" s="45">
        <v>87.2</v>
      </c>
      <c r="K214" s="53">
        <v>-7.8804154147654355</v>
      </c>
      <c r="L214" s="53"/>
      <c r="M214" s="53">
        <v>-7.8804154147654355</v>
      </c>
      <c r="N214" s="53"/>
      <c r="O214" s="53"/>
      <c r="P214" s="53"/>
      <c r="Q214" s="53"/>
      <c r="R214" s="53"/>
      <c r="S214" s="53"/>
      <c r="T214" s="53"/>
      <c r="U214" s="53"/>
      <c r="V214" s="53"/>
    </row>
    <row r="215" spans="6:22" x14ac:dyDescent="0.55000000000000004">
      <c r="F215" s="44">
        <v>43556</v>
      </c>
      <c r="G215" s="52">
        <f t="shared" si="3"/>
        <v>2.799939450035819</v>
      </c>
      <c r="H215" s="45">
        <v>83.3</v>
      </c>
      <c r="I215" s="45">
        <v>87.5</v>
      </c>
      <c r="K215" s="53">
        <v>6.866050381972288</v>
      </c>
      <c r="L215" s="53"/>
      <c r="M215" s="53">
        <v>6.866050381972288</v>
      </c>
      <c r="N215" s="53"/>
      <c r="O215" s="53"/>
      <c r="P215" s="53"/>
      <c r="Q215" s="53"/>
      <c r="R215" s="53"/>
      <c r="S215" s="53"/>
      <c r="T215" s="53"/>
      <c r="U215" s="53"/>
      <c r="V215" s="53"/>
    </row>
    <row r="216" spans="6:22" x14ac:dyDescent="0.55000000000000004">
      <c r="F216" s="44">
        <v>43586</v>
      </c>
      <c r="G216" s="52">
        <f t="shared" si="3"/>
        <v>8.8410957344053145</v>
      </c>
      <c r="H216" s="45">
        <v>91</v>
      </c>
      <c r="I216" s="45">
        <v>87.4</v>
      </c>
      <c r="K216" s="53">
        <v>2.3222596356237304</v>
      </c>
      <c r="L216" s="53"/>
      <c r="M216" s="53">
        <v>2.3222596356237304</v>
      </c>
      <c r="N216" s="53"/>
      <c r="O216" s="53"/>
      <c r="P216" s="53"/>
      <c r="Q216" s="53"/>
      <c r="R216" s="53"/>
      <c r="S216" s="53"/>
      <c r="T216" s="53"/>
      <c r="U216" s="53"/>
      <c r="V216" s="53"/>
    </row>
    <row r="217" spans="6:22" x14ac:dyDescent="0.55000000000000004">
      <c r="F217" s="44">
        <v>43617</v>
      </c>
      <c r="G217" s="52">
        <f t="shared" si="3"/>
        <v>-5.8840500022933462</v>
      </c>
      <c r="H217" s="45">
        <v>85.8</v>
      </c>
      <c r="I217" s="45">
        <v>86.6</v>
      </c>
      <c r="K217" s="53">
        <v>-4.6416562786879307</v>
      </c>
      <c r="L217" s="53"/>
      <c r="M217" s="53">
        <v>-4.6416562786879307</v>
      </c>
      <c r="N217" s="53"/>
      <c r="O217" s="53"/>
      <c r="P217" s="53"/>
      <c r="Q217" s="53"/>
      <c r="R217" s="53"/>
      <c r="S217" s="53"/>
      <c r="T217" s="53"/>
      <c r="U217" s="53"/>
      <c r="V217" s="53"/>
    </row>
    <row r="218" spans="6:22" x14ac:dyDescent="0.55000000000000004">
      <c r="F218" s="44">
        <v>43647</v>
      </c>
      <c r="G218" s="52">
        <f t="shared" si="3"/>
        <v>8.4872338740880444</v>
      </c>
      <c r="H218" s="45">
        <v>93.4</v>
      </c>
      <c r="I218" s="45">
        <v>86</v>
      </c>
      <c r="K218" s="53">
        <v>3.2571118938589514</v>
      </c>
      <c r="L218" s="53"/>
      <c r="M218" s="53">
        <v>3.2571118938589514</v>
      </c>
      <c r="N218" s="53"/>
      <c r="O218" s="53"/>
      <c r="P218" s="53"/>
      <c r="Q218" s="53"/>
      <c r="R218" s="53"/>
      <c r="S218" s="53"/>
      <c r="T218" s="53"/>
      <c r="U218" s="53"/>
      <c r="V218" s="53"/>
    </row>
    <row r="219" spans="6:22" x14ac:dyDescent="0.55000000000000004">
      <c r="F219" s="44">
        <v>43678</v>
      </c>
      <c r="G219" s="52">
        <f t="shared" si="3"/>
        <v>2.9538012436863874</v>
      </c>
      <c r="H219" s="45">
        <v>96.2</v>
      </c>
      <c r="I219" s="45">
        <v>87</v>
      </c>
      <c r="K219" s="53">
        <v>0.15000252804389455</v>
      </c>
      <c r="L219" s="53"/>
      <c r="M219" s="53">
        <v>0.15000252804389455</v>
      </c>
      <c r="N219" s="53"/>
      <c r="O219" s="53"/>
      <c r="P219" s="53"/>
      <c r="Q219" s="53"/>
      <c r="R219" s="53"/>
      <c r="S219" s="53"/>
      <c r="T219" s="53"/>
      <c r="U219" s="53"/>
      <c r="V219" s="53"/>
    </row>
    <row r="220" spans="6:22" x14ac:dyDescent="0.55000000000000004">
      <c r="F220" s="44">
        <v>43709</v>
      </c>
      <c r="G220" s="52">
        <f t="shared" si="3"/>
        <v>-4.6817060045216028</v>
      </c>
      <c r="H220" s="45">
        <v>91.8</v>
      </c>
      <c r="I220" s="45">
        <v>86.9</v>
      </c>
      <c r="K220" s="53">
        <v>-1.8564949657383538</v>
      </c>
      <c r="L220" s="53"/>
      <c r="M220" s="53">
        <v>-1.8564949657383538</v>
      </c>
      <c r="N220" s="53"/>
      <c r="O220" s="53"/>
      <c r="P220" s="53"/>
      <c r="Q220" s="53"/>
      <c r="R220" s="53"/>
      <c r="S220" s="53"/>
      <c r="T220" s="53"/>
      <c r="U220" s="53"/>
      <c r="V220" s="53"/>
    </row>
    <row r="221" spans="6:22" x14ac:dyDescent="0.55000000000000004">
      <c r="F221" s="44">
        <v>43739</v>
      </c>
      <c r="G221" s="52">
        <f t="shared" si="3"/>
        <v>5.5098680876938131</v>
      </c>
      <c r="H221" s="45">
        <v>97</v>
      </c>
      <c r="I221" s="45">
        <v>88.6</v>
      </c>
      <c r="K221" s="53">
        <v>1.9381350967030686</v>
      </c>
      <c r="L221" s="53"/>
      <c r="M221" s="53">
        <v>1.9381350967030686</v>
      </c>
      <c r="N221" s="53"/>
      <c r="O221" s="53"/>
      <c r="P221" s="53"/>
      <c r="Q221" s="53"/>
      <c r="R221" s="53"/>
      <c r="S221" s="53"/>
      <c r="T221" s="53"/>
      <c r="U221" s="53"/>
      <c r="V221" s="53"/>
    </row>
    <row r="222" spans="6:22" x14ac:dyDescent="0.55000000000000004">
      <c r="F222" s="44">
        <v>43770</v>
      </c>
      <c r="G222" s="52">
        <f t="shared" si="3"/>
        <v>-9.7374164025176366</v>
      </c>
      <c r="H222" s="45">
        <v>88</v>
      </c>
      <c r="I222" s="45">
        <v>86.8</v>
      </c>
      <c r="K222" s="53">
        <v>-4.1952484485231576</v>
      </c>
      <c r="L222" s="53"/>
      <c r="M222" s="53">
        <v>-4.1952484485231576</v>
      </c>
      <c r="N222" s="53"/>
      <c r="O222" s="53"/>
      <c r="P222" s="53"/>
      <c r="Q222" s="53"/>
      <c r="R222" s="53"/>
      <c r="S222" s="53"/>
      <c r="T222" s="53"/>
      <c r="U222" s="53"/>
      <c r="V222" s="53"/>
    </row>
    <row r="223" spans="6:22" x14ac:dyDescent="0.55000000000000004">
      <c r="F223" s="44">
        <v>43800</v>
      </c>
      <c r="G223" s="52">
        <f t="shared" si="3"/>
        <v>-13.483093796660814</v>
      </c>
      <c r="H223" s="45">
        <v>76.900000000000006</v>
      </c>
      <c r="I223" s="45">
        <v>85.8</v>
      </c>
      <c r="K223" s="53">
        <v>-2.3958054621757174</v>
      </c>
      <c r="L223" s="53"/>
      <c r="M223" s="53">
        <v>-2.3958054621757174</v>
      </c>
      <c r="N223" s="53"/>
      <c r="O223" s="53"/>
      <c r="P223" s="53"/>
      <c r="Q223" s="53"/>
      <c r="R223" s="53"/>
      <c r="S223" s="53"/>
      <c r="T223" s="53"/>
      <c r="U223" s="53"/>
      <c r="V223" s="53"/>
    </row>
    <row r="224" spans="6:22" x14ac:dyDescent="0.55000000000000004">
      <c r="F224" s="44">
        <v>43831</v>
      </c>
      <c r="G224" s="52">
        <f t="shared" si="3"/>
        <v>3.9520758162283198</v>
      </c>
      <c r="H224" s="45">
        <v>80</v>
      </c>
      <c r="I224" s="45">
        <v>86.6</v>
      </c>
      <c r="K224" s="53">
        <v>4.5123935834446289</v>
      </c>
      <c r="L224" s="53"/>
      <c r="M224" s="53">
        <v>4.5123935834446289</v>
      </c>
      <c r="N224" s="53"/>
      <c r="O224" s="53"/>
      <c r="P224" s="53"/>
      <c r="Q224" s="53"/>
      <c r="R224" s="53"/>
      <c r="S224" s="53"/>
      <c r="T224" s="53"/>
      <c r="U224" s="53"/>
      <c r="V224" s="53"/>
    </row>
    <row r="225" spans="6:22" x14ac:dyDescent="0.55000000000000004">
      <c r="F225" s="44">
        <v>43862</v>
      </c>
      <c r="G225" s="52">
        <f t="shared" si="3"/>
        <v>-1.3845406822052981</v>
      </c>
      <c r="H225" s="45">
        <v>78.900000000000006</v>
      </c>
      <c r="I225" s="45">
        <v>87.5</v>
      </c>
      <c r="K225" s="53">
        <v>1.6985186464269246</v>
      </c>
      <c r="L225" s="53"/>
      <c r="M225" s="53">
        <v>1.6985186464269246</v>
      </c>
      <c r="N225" s="53"/>
      <c r="O225" s="53"/>
      <c r="P225" s="53"/>
      <c r="Q225" s="53"/>
      <c r="R225" s="53"/>
      <c r="S225" s="53"/>
      <c r="T225" s="53"/>
      <c r="U225" s="53"/>
      <c r="V225" s="53"/>
    </row>
    <row r="226" spans="6:22" x14ac:dyDescent="0.55000000000000004">
      <c r="F226" s="44">
        <v>43891</v>
      </c>
      <c r="G226" s="52">
        <f t="shared" si="3"/>
        <v>-1.2755274975126014</v>
      </c>
      <c r="H226" s="45">
        <v>77.900000000000006</v>
      </c>
      <c r="I226" s="45">
        <v>80.7</v>
      </c>
      <c r="K226" s="53">
        <v>-11.529570902161112</v>
      </c>
      <c r="L226" s="53"/>
      <c r="M226" s="53">
        <v>-11.529570902161112</v>
      </c>
      <c r="N226" s="53"/>
      <c r="O226" s="53"/>
      <c r="P226" s="53"/>
      <c r="Q226" s="53"/>
      <c r="R226" s="53"/>
      <c r="S226" s="53"/>
      <c r="T226" s="53"/>
      <c r="U226" s="53"/>
      <c r="V226" s="53"/>
    </row>
    <row r="227" spans="6:22" x14ac:dyDescent="0.55000000000000004">
      <c r="F227" s="44">
        <v>43922</v>
      </c>
      <c r="G227" s="52">
        <f t="shared" si="3"/>
        <v>-25.609384914356298</v>
      </c>
      <c r="H227" s="45">
        <v>60.3</v>
      </c>
      <c r="I227" s="45">
        <v>64.900000000000006</v>
      </c>
      <c r="K227" s="53">
        <v>-21.54327398241983</v>
      </c>
      <c r="L227" s="53"/>
      <c r="M227" s="53">
        <v>-21.54327398241983</v>
      </c>
      <c r="N227" s="53"/>
      <c r="O227" s="53"/>
      <c r="P227" s="53"/>
      <c r="Q227" s="53"/>
      <c r="R227" s="53"/>
      <c r="S227" s="53"/>
      <c r="T227" s="53"/>
      <c r="U227" s="53"/>
      <c r="V227" s="53"/>
    </row>
    <row r="228" spans="6:22" x14ac:dyDescent="0.55000000000000004">
      <c r="F228" s="44">
        <v>43952</v>
      </c>
      <c r="G228" s="52">
        <f t="shared" si="3"/>
        <v>16.616071468479046</v>
      </c>
      <c r="H228" s="45">
        <v>71.2</v>
      </c>
      <c r="I228" s="45">
        <v>70.099999999999994</v>
      </c>
      <c r="K228" s="53">
        <v>10.097235369697461</v>
      </c>
      <c r="L228" s="53"/>
      <c r="M228" s="53">
        <v>10.097235369697461</v>
      </c>
      <c r="N228" s="53"/>
      <c r="O228" s="53"/>
      <c r="P228" s="53"/>
      <c r="Q228" s="53"/>
      <c r="R228" s="53"/>
      <c r="S228" s="53"/>
      <c r="T228" s="53"/>
      <c r="U228" s="53"/>
      <c r="V228" s="53"/>
    </row>
    <row r="229" spans="6:22" x14ac:dyDescent="0.55000000000000004">
      <c r="F229" s="44">
        <v>43983</v>
      </c>
      <c r="G229" s="52">
        <f t="shared" si="3"/>
        <v>9.6331108938432113</v>
      </c>
      <c r="H229" s="45">
        <v>78.400000000000006</v>
      </c>
      <c r="I229" s="45">
        <v>76.8</v>
      </c>
      <c r="K229" s="53">
        <v>10.875504617448627</v>
      </c>
      <c r="L229" s="53"/>
      <c r="M229" s="53">
        <v>10.875504617448627</v>
      </c>
      <c r="N229" s="53"/>
      <c r="O229" s="53"/>
      <c r="P229" s="53"/>
      <c r="Q229" s="53"/>
      <c r="R229" s="53"/>
      <c r="S229" s="53"/>
      <c r="T229" s="53"/>
      <c r="U229" s="53"/>
      <c r="V229" s="53"/>
    </row>
    <row r="230" spans="6:22" x14ac:dyDescent="0.55000000000000004">
      <c r="F230" s="44">
        <v>44013</v>
      </c>
      <c r="G230" s="52">
        <f t="shared" si="3"/>
        <v>14.903557916048776</v>
      </c>
      <c r="H230" s="45">
        <v>91</v>
      </c>
      <c r="I230" s="45">
        <v>83.9</v>
      </c>
      <c r="K230" s="53">
        <v>9.6734359358196826</v>
      </c>
      <c r="L230" s="53"/>
      <c r="M230" s="53">
        <v>9.6734359358196826</v>
      </c>
      <c r="N230" s="53"/>
      <c r="O230" s="53"/>
      <c r="P230" s="53"/>
      <c r="Q230" s="53"/>
      <c r="R230" s="53"/>
      <c r="S230" s="53"/>
      <c r="T230" s="53"/>
      <c r="U230" s="53"/>
      <c r="V230" s="53"/>
    </row>
    <row r="231" spans="6:22" x14ac:dyDescent="0.55000000000000004">
      <c r="F231" s="44">
        <v>44044</v>
      </c>
      <c r="G231" s="52">
        <f t="shared" si="3"/>
        <v>3.1370879697367284</v>
      </c>
      <c r="H231" s="45">
        <v>93.9</v>
      </c>
      <c r="I231" s="45">
        <v>86.3</v>
      </c>
      <c r="K231" s="53">
        <v>0.3332892540942356</v>
      </c>
      <c r="L231" s="53"/>
      <c r="M231" s="53">
        <v>0.3332892540942356</v>
      </c>
      <c r="N231" s="53"/>
      <c r="O231" s="53"/>
      <c r="P231" s="53"/>
      <c r="Q231" s="53"/>
      <c r="R231" s="53"/>
      <c r="S231" s="53"/>
      <c r="T231" s="53"/>
      <c r="U231" s="53"/>
      <c r="V231" s="53"/>
    </row>
    <row r="232" spans="6:22" x14ac:dyDescent="0.55000000000000004">
      <c r="F232" s="44">
        <v>44075</v>
      </c>
      <c r="G232" s="52">
        <f t="shared" si="3"/>
        <v>1.5848192240023713</v>
      </c>
      <c r="H232" s="45">
        <v>95.4</v>
      </c>
      <c r="I232" s="45">
        <v>88.6</v>
      </c>
      <c r="K232" s="53">
        <v>4.4100302627856198</v>
      </c>
      <c r="L232" s="53"/>
      <c r="M232" s="53">
        <v>4.4100302627856198</v>
      </c>
      <c r="N232" s="53"/>
      <c r="O232" s="53"/>
      <c r="P232" s="53"/>
      <c r="Q232" s="53"/>
      <c r="R232" s="53"/>
      <c r="S232" s="53"/>
      <c r="T232" s="53"/>
      <c r="U232" s="53"/>
      <c r="V232" s="53"/>
    </row>
    <row r="233" spans="6:22" x14ac:dyDescent="0.55000000000000004">
      <c r="F233" s="44">
        <v>44105</v>
      </c>
      <c r="G233" s="52">
        <f t="shared" si="3"/>
        <v>1.9720410737718495</v>
      </c>
      <c r="H233" s="45">
        <v>97.3</v>
      </c>
      <c r="I233" s="45">
        <v>89.6</v>
      </c>
      <c r="K233" s="53">
        <v>-1.599691917218895</v>
      </c>
      <c r="L233" s="53"/>
      <c r="M233" s="53">
        <v>-1.599691917218895</v>
      </c>
      <c r="N233" s="53"/>
      <c r="O233" s="53"/>
      <c r="P233" s="53"/>
      <c r="Q233" s="53"/>
      <c r="R233" s="53"/>
      <c r="S233" s="53"/>
      <c r="T233" s="53"/>
      <c r="U233" s="53"/>
      <c r="V233" s="53"/>
    </row>
    <row r="234" spans="6:22" x14ac:dyDescent="0.55000000000000004">
      <c r="F234" s="44">
        <v>44136</v>
      </c>
      <c r="G234" s="52">
        <f t="shared" si="3"/>
        <v>-7.5769562123381347</v>
      </c>
      <c r="H234" s="45">
        <v>90.2</v>
      </c>
      <c r="I234" s="45">
        <v>90</v>
      </c>
      <c r="K234" s="53">
        <v>-2.0347882583436556</v>
      </c>
      <c r="L234" s="53"/>
      <c r="M234" s="53">
        <v>-2.0347882583436556</v>
      </c>
      <c r="N234" s="53"/>
      <c r="O234" s="53"/>
      <c r="P234" s="53"/>
      <c r="Q234" s="53"/>
      <c r="R234" s="53"/>
      <c r="S234" s="53"/>
      <c r="T234" s="53"/>
      <c r="U234" s="53"/>
      <c r="V234" s="53"/>
    </row>
    <row r="235" spans="6:22" x14ac:dyDescent="0.55000000000000004">
      <c r="F235" s="44">
        <v>44166</v>
      </c>
      <c r="G235" s="52">
        <f t="shared" si="3"/>
        <v>-7.9580877895781015</v>
      </c>
      <c r="H235" s="45">
        <v>83.3</v>
      </c>
      <c r="I235" s="45">
        <v>90.3</v>
      </c>
      <c r="K235" s="53">
        <v>3.1292005449069951</v>
      </c>
      <c r="L235" s="53"/>
      <c r="M235" s="53">
        <v>3.1292005449069951</v>
      </c>
      <c r="N235" s="53"/>
      <c r="O235" s="53"/>
      <c r="P235" s="53"/>
      <c r="Q235" s="53"/>
      <c r="R235" s="53"/>
      <c r="S235" s="53"/>
      <c r="T235" s="53"/>
      <c r="U235" s="53"/>
      <c r="V235" s="53"/>
    </row>
    <row r="236" spans="6:22" x14ac:dyDescent="0.55000000000000004">
      <c r="F236" s="44">
        <v>44197</v>
      </c>
      <c r="G236" s="52">
        <f t="shared" si="3"/>
        <v>-1.6949558313773205</v>
      </c>
      <c r="H236" s="45">
        <v>81.900000000000006</v>
      </c>
      <c r="I236" s="45">
        <v>90.7</v>
      </c>
      <c r="K236" s="53">
        <v>-1.1346380641610112</v>
      </c>
      <c r="L236" s="53"/>
      <c r="M236" s="53">
        <v>-1.1346380641610112</v>
      </c>
      <c r="N236" s="53"/>
      <c r="O236" s="53"/>
      <c r="P236" s="53"/>
      <c r="Q236" s="53"/>
      <c r="R236" s="53"/>
      <c r="S236" s="53"/>
      <c r="T236" s="53"/>
      <c r="U236" s="53"/>
      <c r="V236" s="53"/>
    </row>
    <row r="237" spans="6:22" x14ac:dyDescent="0.55000000000000004">
      <c r="F237" s="44">
        <v>44228</v>
      </c>
      <c r="G237" s="52">
        <f t="shared" si="3"/>
        <v>-3.4786116085415655</v>
      </c>
      <c r="H237" s="45">
        <v>79.099999999999994</v>
      </c>
      <c r="I237" s="45">
        <v>89.7</v>
      </c>
      <c r="K237" s="53">
        <v>-0.39555227990934272</v>
      </c>
      <c r="L237" s="53"/>
      <c r="M237" s="53">
        <v>-0.39555227990934272</v>
      </c>
      <c r="N237" s="53"/>
      <c r="O237" s="53"/>
      <c r="P237" s="53"/>
      <c r="Q237" s="53"/>
      <c r="R237" s="53"/>
      <c r="S237" s="53"/>
      <c r="T237" s="53"/>
      <c r="U237" s="53"/>
      <c r="V237" s="53"/>
    </row>
    <row r="238" spans="6:22" x14ac:dyDescent="0.55000000000000004">
      <c r="F238" s="44">
        <v>44256</v>
      </c>
      <c r="G238" s="52">
        <f t="shared" si="3"/>
        <v>8.4796536660076853</v>
      </c>
      <c r="H238" s="45">
        <v>86.1</v>
      </c>
      <c r="I238" s="45">
        <v>87.5</v>
      </c>
      <c r="K238" s="53">
        <v>-1.7743897386408243</v>
      </c>
      <c r="L238" s="53"/>
      <c r="M238" s="53">
        <v>-1.7743897386408243</v>
      </c>
      <c r="N238" s="53"/>
      <c r="O238" s="53"/>
      <c r="P238" s="53"/>
      <c r="Q238" s="53"/>
      <c r="R238" s="53"/>
      <c r="S238" s="53"/>
      <c r="T238" s="53"/>
      <c r="U238" s="53"/>
      <c r="V238" s="53"/>
    </row>
    <row r="239" spans="6:22" x14ac:dyDescent="0.55000000000000004">
      <c r="F239" s="44">
        <v>44287</v>
      </c>
      <c r="G239" s="52">
        <f t="shared" si="3"/>
        <v>-5.7363394879920193</v>
      </c>
      <c r="H239" s="45">
        <v>81.3</v>
      </c>
      <c r="I239" s="45">
        <v>86.1</v>
      </c>
      <c r="K239" s="53">
        <v>-1.6702285560555499</v>
      </c>
      <c r="L239" s="53"/>
      <c r="M239" s="53">
        <v>-1.6702285560555499</v>
      </c>
      <c r="N239" s="53"/>
      <c r="O239" s="53"/>
      <c r="P239" s="53"/>
      <c r="Q239" s="53"/>
      <c r="R239" s="53"/>
      <c r="S239" s="53"/>
      <c r="T239" s="53"/>
      <c r="U239" s="53"/>
      <c r="V239" s="53"/>
    </row>
    <row r="240" spans="6:22" x14ac:dyDescent="0.55000000000000004">
      <c r="F240" s="44">
        <v>44317</v>
      </c>
      <c r="G240" s="52">
        <f t="shared" si="3"/>
        <v>8.3725953089832981</v>
      </c>
      <c r="H240" s="45">
        <v>88.4</v>
      </c>
      <c r="I240" s="45">
        <v>87.1</v>
      </c>
      <c r="K240" s="53">
        <v>1.853759210201714</v>
      </c>
      <c r="L240" s="53"/>
      <c r="M240" s="53">
        <v>1.853759210201714</v>
      </c>
      <c r="N240" s="53"/>
      <c r="O240" s="53"/>
      <c r="P240" s="53"/>
      <c r="Q240" s="53"/>
      <c r="R240" s="53"/>
      <c r="S240" s="53"/>
      <c r="T240" s="53"/>
      <c r="U240" s="53"/>
      <c r="V240" s="53"/>
    </row>
    <row r="241" spans="6:22" x14ac:dyDescent="0.55000000000000004">
      <c r="F241" s="44">
        <v>44348</v>
      </c>
      <c r="G241" s="52">
        <f t="shared" si="3"/>
        <v>-0.56721649524664175</v>
      </c>
      <c r="H241" s="45">
        <v>87.9</v>
      </c>
      <c r="I241" s="45">
        <v>86.7</v>
      </c>
      <c r="K241" s="53">
        <v>0.67517722835877347</v>
      </c>
      <c r="L241" s="53"/>
      <c r="M241" s="53">
        <v>0.67517722835877347</v>
      </c>
      <c r="N241" s="53"/>
      <c r="O241" s="53"/>
      <c r="P241" s="53"/>
      <c r="Q241" s="53"/>
      <c r="R241" s="53"/>
      <c r="S241" s="53"/>
      <c r="T241" s="53"/>
      <c r="U241" s="53"/>
      <c r="V241" s="53"/>
    </row>
    <row r="242" spans="6:22" x14ac:dyDescent="0.55000000000000004">
      <c r="F242" s="44">
        <v>44378</v>
      </c>
      <c r="G242" s="52">
        <f t="shared" si="3"/>
        <v>4.7760325871416818</v>
      </c>
      <c r="H242" s="45">
        <v>92.2</v>
      </c>
      <c r="I242" s="45">
        <v>85.4</v>
      </c>
      <c r="K242" s="53">
        <v>-0.45408939308741125</v>
      </c>
      <c r="L242" s="53"/>
      <c r="M242" s="53">
        <v>-0.45408939308741125</v>
      </c>
      <c r="N242" s="53"/>
      <c r="O242" s="53"/>
      <c r="P242" s="53"/>
      <c r="Q242" s="53"/>
      <c r="R242" s="53"/>
      <c r="S242" s="53"/>
      <c r="T242" s="53"/>
      <c r="U242" s="53"/>
      <c r="V242" s="53"/>
    </row>
    <row r="243" spans="6:22" x14ac:dyDescent="0.55000000000000004">
      <c r="F243" s="44">
        <v>44409</v>
      </c>
      <c r="G243" s="52">
        <f t="shared" si="3"/>
        <v>1.2931214672248785</v>
      </c>
      <c r="H243" s="45">
        <v>93.4</v>
      </c>
      <c r="I243" s="45">
        <v>85</v>
      </c>
      <c r="K243" s="53">
        <v>-1.5106772484176143</v>
      </c>
      <c r="L243" s="53"/>
      <c r="M243" s="53">
        <v>-1.5106772484176143</v>
      </c>
      <c r="N243" s="53"/>
      <c r="O243" s="53"/>
      <c r="P243" s="53"/>
      <c r="Q243" s="53"/>
      <c r="R243" s="53"/>
      <c r="S243" s="53"/>
      <c r="T243" s="53"/>
      <c r="U243" s="53"/>
      <c r="V243" s="53"/>
    </row>
    <row r="244" spans="6:22" x14ac:dyDescent="0.55000000000000004">
      <c r="F244" s="44">
        <v>44440</v>
      </c>
      <c r="G244" s="52">
        <f t="shared" si="3"/>
        <v>-2.0552372953321347</v>
      </c>
      <c r="H244" s="45">
        <v>91.5</v>
      </c>
      <c r="I244" s="45">
        <v>84.6</v>
      </c>
      <c r="K244" s="53">
        <v>0.76997374345111425</v>
      </c>
      <c r="L244" s="53"/>
      <c r="M244" s="53">
        <v>0.76997374345111425</v>
      </c>
      <c r="N244" s="53"/>
      <c r="O244" s="53"/>
      <c r="P244" s="53"/>
      <c r="Q244" s="53"/>
      <c r="R244" s="53"/>
      <c r="S244" s="53"/>
      <c r="T244" s="53"/>
      <c r="U244" s="53"/>
      <c r="V244" s="53"/>
    </row>
    <row r="245" spans="6:22" x14ac:dyDescent="0.55000000000000004">
      <c r="F245" s="44">
        <v>44470</v>
      </c>
      <c r="G245" s="52">
        <f t="shared" si="3"/>
        <v>-1.9868203216725173</v>
      </c>
      <c r="H245" s="45">
        <v>89.7</v>
      </c>
      <c r="I245" s="45">
        <v>84.1</v>
      </c>
      <c r="K245" s="53">
        <v>-5.5585533126632622</v>
      </c>
      <c r="L245" s="53"/>
      <c r="M245" s="53">
        <v>-5.5585533126632622</v>
      </c>
      <c r="N245" s="53"/>
      <c r="O245" s="53"/>
      <c r="P245" s="53"/>
      <c r="Q245" s="53"/>
      <c r="R245" s="53"/>
      <c r="S245" s="53"/>
      <c r="T245" s="53"/>
      <c r="U245" s="53"/>
      <c r="V245" s="53"/>
    </row>
    <row r="246" spans="6:22" x14ac:dyDescent="0.55000000000000004">
      <c r="F246" s="44">
        <v>44501</v>
      </c>
      <c r="G246" s="52">
        <f t="shared" si="3"/>
        <v>-3.8641170975368224</v>
      </c>
      <c r="H246" s="45">
        <v>86.3</v>
      </c>
      <c r="I246" s="45">
        <v>84.1</v>
      </c>
      <c r="K246" s="53">
        <v>1.6780508564576566</v>
      </c>
      <c r="L246" s="53"/>
      <c r="M246" s="53">
        <v>1.6780508564576566</v>
      </c>
      <c r="N246" s="53"/>
      <c r="O246" s="53"/>
      <c r="P246" s="53"/>
      <c r="Q246" s="53"/>
      <c r="R246" s="53"/>
      <c r="S246" s="53"/>
      <c r="T246" s="53"/>
      <c r="U246" s="53"/>
      <c r="V246" s="53"/>
    </row>
    <row r="247" spans="6:22" x14ac:dyDescent="0.55000000000000004">
      <c r="F247" s="44">
        <v>44531</v>
      </c>
      <c r="G247" s="52">
        <f t="shared" si="3"/>
        <v>-8.5853299269002026</v>
      </c>
      <c r="H247" s="45">
        <v>79.2</v>
      </c>
      <c r="I247" s="45">
        <v>86.5</v>
      </c>
      <c r="K247" s="53">
        <v>2.501958407584894</v>
      </c>
      <c r="L247" s="53"/>
      <c r="M247" s="53">
        <v>2.501958407584894</v>
      </c>
      <c r="N247" s="53"/>
      <c r="O247" s="53"/>
      <c r="P247" s="53"/>
      <c r="Q247" s="53"/>
      <c r="R247" s="53"/>
      <c r="S247" s="53"/>
      <c r="T247" s="53"/>
      <c r="U247" s="53"/>
      <c r="V247" s="53"/>
    </row>
  </sheetData>
  <mergeCells count="1">
    <mergeCell ref="D11:D12"/>
  </mergeCells>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D1C1E-5084-4CB6-BAB3-9CDF352DCAC9}">
  <sheetPr codeName="Planilha45">
    <tabColor theme="9" tint="0.59999389629810485"/>
  </sheetPr>
  <dimension ref="A1:V247"/>
  <sheetViews>
    <sheetView showGridLines="0" workbookViewId="0">
      <selection activeCell="F4" sqref="F4"/>
    </sheetView>
  </sheetViews>
  <sheetFormatPr defaultColWidth="8.796875" defaultRowHeight="18" x14ac:dyDescent="0.55000000000000004"/>
  <cols>
    <col min="1" max="1" width="12.6640625" style="17" customWidth="1"/>
    <col min="2" max="2" width="34.33203125" customWidth="1"/>
    <col min="4" max="4" width="44.33203125" bestFit="1" customWidth="1"/>
    <col min="5" max="5" width="4.6640625" customWidth="1"/>
    <col min="6" max="7" width="7.1328125" bestFit="1" customWidth="1"/>
    <col min="8" max="8" width="9.33203125" bestFit="1" customWidth="1"/>
    <col min="11" max="12" width="8.796875" style="15"/>
    <col min="13" max="22" width="8.33203125" style="15" bestFit="1" customWidth="1"/>
  </cols>
  <sheetData>
    <row r="1" spans="1:22" x14ac:dyDescent="0.55000000000000004">
      <c r="A1" s="16" t="s">
        <v>508</v>
      </c>
      <c r="K1" s="14"/>
      <c r="L1" s="14"/>
      <c r="M1" s="14"/>
      <c r="N1" s="14"/>
      <c r="O1" s="14"/>
      <c r="P1" s="14"/>
      <c r="Q1" s="14"/>
      <c r="R1" s="14"/>
      <c r="S1" s="14"/>
      <c r="T1" s="14"/>
      <c r="U1" s="14"/>
      <c r="V1" s="14"/>
    </row>
    <row r="2" spans="1:22" x14ac:dyDescent="0.55000000000000004">
      <c r="A2" s="17" t="s">
        <v>511</v>
      </c>
      <c r="K2" s="14"/>
      <c r="L2" s="14"/>
      <c r="M2" s="14"/>
      <c r="N2" s="14"/>
      <c r="O2" s="14"/>
      <c r="P2" s="14"/>
      <c r="Q2" s="14"/>
      <c r="R2" s="14"/>
      <c r="S2" s="14"/>
      <c r="T2" s="14"/>
      <c r="U2" s="14"/>
      <c r="V2" s="14"/>
    </row>
    <row r="4" spans="1:22" ht="15.75" x14ac:dyDescent="0.5">
      <c r="A4" s="2" t="s">
        <v>15</v>
      </c>
      <c r="B4" s="2" t="s">
        <v>16</v>
      </c>
    </row>
    <row r="5" spans="1:22" ht="47.25" x14ac:dyDescent="0.5">
      <c r="A5" s="23" t="s">
        <v>156</v>
      </c>
      <c r="B5" s="24" t="s">
        <v>497</v>
      </c>
    </row>
    <row r="6" spans="1:22" ht="15.75" x14ac:dyDescent="0.5">
      <c r="A6" s="23" t="s">
        <v>165</v>
      </c>
      <c r="B6" s="24" t="s">
        <v>498</v>
      </c>
    </row>
    <row r="7" spans="1:22" x14ac:dyDescent="0.55000000000000004">
      <c r="D7" s="1" t="s">
        <v>17</v>
      </c>
      <c r="F7" s="13" t="s">
        <v>156</v>
      </c>
      <c r="G7" s="13" t="s">
        <v>165</v>
      </c>
      <c r="H7" s="13" t="s">
        <v>175</v>
      </c>
      <c r="I7" s="13" t="s">
        <v>154</v>
      </c>
    </row>
    <row r="8" spans="1:22" x14ac:dyDescent="0.55000000000000004">
      <c r="D8" t="s">
        <v>176</v>
      </c>
      <c r="F8" s="49">
        <v>37257</v>
      </c>
      <c r="G8" s="45"/>
      <c r="H8" s="45">
        <v>72.400000000000006</v>
      </c>
      <c r="I8" s="45">
        <v>77.7</v>
      </c>
      <c r="K8" s="27"/>
      <c r="M8" s="27"/>
      <c r="N8" s="27"/>
      <c r="O8" s="27"/>
      <c r="P8" s="27"/>
      <c r="Q8" s="27"/>
      <c r="R8" s="27"/>
      <c r="S8" s="27"/>
      <c r="T8" s="27"/>
      <c r="U8" s="27"/>
      <c r="V8" s="27"/>
    </row>
    <row r="9" spans="1:22" x14ac:dyDescent="0.55000000000000004">
      <c r="D9" t="s">
        <v>177</v>
      </c>
      <c r="F9" s="44">
        <v>37288</v>
      </c>
      <c r="G9" s="52">
        <f>LN(H9/H8)*100</f>
        <v>-3.8005981625192522</v>
      </c>
      <c r="H9" s="45">
        <v>69.7</v>
      </c>
      <c r="I9" s="45">
        <v>80.2</v>
      </c>
      <c r="K9" s="53" cm="1">
        <f t="array" ref="K9:K247">_xlfn.LAMBDA(_xlpm.dates,_xlpm.values, _xlfn.LET(_xlpm.dummies, DUMMYVAR( MONTH(_xlpm.dates), FALSE),  SEASADJ(_xlpm.dates, _xlpm.values) - _xlpm.values ) )($F$9:$F$247,$G$9:$G$247)</f>
        <v>3.0830593286322228</v>
      </c>
      <c r="L9" s="53"/>
      <c r="M9" s="53" cm="1">
        <f t="array" ref="M9:M247">SEASFACTOR($F$9:$F$247,$G$9:$G$247)</f>
        <v>3.0830593286322228</v>
      </c>
      <c r="N9" s="53"/>
      <c r="O9" s="53"/>
      <c r="P9" s="53"/>
      <c r="Q9" s="53"/>
      <c r="R9" s="53"/>
      <c r="S9" s="53"/>
      <c r="T9" s="53"/>
      <c r="U9" s="53"/>
      <c r="V9" s="53"/>
    </row>
    <row r="10" spans="1:22" x14ac:dyDescent="0.55000000000000004">
      <c r="D10" t="s">
        <v>155</v>
      </c>
      <c r="F10" s="44">
        <v>37316</v>
      </c>
      <c r="G10" s="52">
        <f t="shared" ref="G10:G73" si="0">LN(H10/H9)*100</f>
        <v>10.478646282920332</v>
      </c>
      <c r="H10" s="45">
        <v>77.400000000000006</v>
      </c>
      <c r="I10" s="45">
        <v>79.8</v>
      </c>
      <c r="K10" s="53">
        <v>-10.25404340464851</v>
      </c>
      <c r="L10" s="53"/>
      <c r="M10" s="53">
        <v>-10.25404340464851</v>
      </c>
      <c r="N10" s="53"/>
      <c r="O10" s="53"/>
      <c r="P10" s="53"/>
      <c r="Q10" s="53"/>
      <c r="R10" s="53"/>
      <c r="S10" s="53"/>
      <c r="T10" s="53"/>
      <c r="U10" s="53"/>
      <c r="V10" s="53"/>
    </row>
    <row r="11" spans="1:22" ht="18.75" customHeight="1" x14ac:dyDescent="0.55000000000000004">
      <c r="D11" s="173"/>
      <c r="F11" s="44">
        <v>37347</v>
      </c>
      <c r="G11" s="52">
        <f t="shared" si="0"/>
        <v>2.8027312254655659</v>
      </c>
      <c r="H11" s="45">
        <v>79.599999999999994</v>
      </c>
      <c r="I11" s="45">
        <v>79.599999999999994</v>
      </c>
      <c r="K11" s="53">
        <v>4.0661109319364694</v>
      </c>
      <c r="L11" s="53"/>
      <c r="M11" s="53">
        <v>4.0661109319364694</v>
      </c>
      <c r="N11" s="53"/>
      <c r="O11" s="53"/>
      <c r="P11" s="53"/>
      <c r="Q11" s="53"/>
      <c r="R11" s="53"/>
      <c r="S11" s="53"/>
      <c r="T11" s="53"/>
      <c r="U11" s="53"/>
      <c r="V11" s="53"/>
    </row>
    <row r="12" spans="1:22" x14ac:dyDescent="0.55000000000000004">
      <c r="D12" s="173"/>
      <c r="F12" s="44">
        <v>37377</v>
      </c>
      <c r="G12" s="52">
        <f t="shared" si="0"/>
        <v>1.0000083334583398</v>
      </c>
      <c r="H12" s="45">
        <v>80.400000000000006</v>
      </c>
      <c r="I12" s="45">
        <v>79.099999999999994</v>
      </c>
      <c r="K12" s="53">
        <v>-6.5188360987815841</v>
      </c>
      <c r="L12" s="53"/>
      <c r="M12" s="53">
        <v>-6.5188360987815841</v>
      </c>
      <c r="N12" s="53"/>
      <c r="O12" s="53"/>
      <c r="P12" s="53"/>
      <c r="Q12" s="53"/>
      <c r="R12" s="53"/>
      <c r="S12" s="53"/>
      <c r="T12" s="53"/>
      <c r="U12" s="53"/>
      <c r="V12" s="53"/>
    </row>
    <row r="13" spans="1:22" x14ac:dyDescent="0.55000000000000004">
      <c r="D13" s="46"/>
      <c r="F13" s="44">
        <v>37408</v>
      </c>
      <c r="G13" s="52">
        <f t="shared" si="0"/>
        <v>-3.6736239825619466</v>
      </c>
      <c r="H13" s="45">
        <v>77.5</v>
      </c>
      <c r="I13" s="45">
        <v>79.400000000000006</v>
      </c>
      <c r="K13" s="53">
        <v>1.2423937236054154</v>
      </c>
      <c r="L13" s="53"/>
      <c r="M13" s="53">
        <v>1.2423937236054154</v>
      </c>
      <c r="N13" s="53"/>
      <c r="O13" s="53"/>
      <c r="P13" s="53"/>
      <c r="Q13" s="53"/>
      <c r="R13" s="53"/>
      <c r="S13" s="53"/>
      <c r="T13" s="53"/>
      <c r="U13" s="53"/>
      <c r="V13" s="53"/>
    </row>
    <row r="14" spans="1:22" x14ac:dyDescent="0.55000000000000004">
      <c r="F14" s="44">
        <v>37438</v>
      </c>
      <c r="G14" s="52">
        <f t="shared" si="0"/>
        <v>7.2170612813495589</v>
      </c>
      <c r="H14" s="45">
        <v>83.3</v>
      </c>
      <c r="I14" s="45">
        <v>79.7</v>
      </c>
      <c r="K14" s="53">
        <v>-5.230121980229093</v>
      </c>
      <c r="L14" s="53"/>
      <c r="M14" s="53">
        <v>-5.230121980229093</v>
      </c>
      <c r="N14" s="53"/>
      <c r="O14" s="53"/>
      <c r="P14" s="53"/>
      <c r="Q14" s="53"/>
      <c r="R14" s="53"/>
      <c r="S14" s="53"/>
      <c r="T14" s="53"/>
      <c r="U14" s="53"/>
      <c r="V14" s="53"/>
    </row>
    <row r="15" spans="1:22" x14ac:dyDescent="0.55000000000000004">
      <c r="F15" s="44">
        <v>37469</v>
      </c>
      <c r="G15" s="52">
        <f t="shared" si="0"/>
        <v>0.3594970917858793</v>
      </c>
      <c r="H15" s="45">
        <v>83.6</v>
      </c>
      <c r="I15" s="45">
        <v>78.599999999999994</v>
      </c>
      <c r="K15" s="53">
        <v>-2.8037987156424933</v>
      </c>
      <c r="L15" s="53"/>
      <c r="M15" s="53">
        <v>-2.8037987156424933</v>
      </c>
      <c r="N15" s="53"/>
      <c r="O15" s="53"/>
      <c r="P15" s="53"/>
      <c r="Q15" s="53"/>
      <c r="R15" s="53"/>
      <c r="S15" s="53"/>
      <c r="T15" s="53"/>
      <c r="U15" s="53"/>
      <c r="V15" s="53"/>
    </row>
    <row r="16" spans="1:22" x14ac:dyDescent="0.55000000000000004">
      <c r="F16" s="44">
        <v>37500</v>
      </c>
      <c r="G16" s="52">
        <f t="shared" si="0"/>
        <v>-1.8105503632273354</v>
      </c>
      <c r="H16" s="45">
        <v>82.1</v>
      </c>
      <c r="I16" s="45">
        <v>79.7</v>
      </c>
      <c r="K16" s="53">
        <v>2.825211038783249</v>
      </c>
      <c r="L16" s="53"/>
      <c r="M16" s="53">
        <v>2.825211038783249</v>
      </c>
      <c r="N16" s="53"/>
      <c r="O16" s="53"/>
      <c r="P16" s="53"/>
      <c r="Q16" s="53"/>
      <c r="R16" s="53"/>
      <c r="S16" s="53"/>
      <c r="T16" s="53"/>
      <c r="U16" s="53"/>
      <c r="V16" s="53"/>
    </row>
    <row r="17" spans="6:22" x14ac:dyDescent="0.55000000000000004">
      <c r="F17" s="44">
        <v>37530</v>
      </c>
      <c r="G17" s="52">
        <f t="shared" si="0"/>
        <v>8.2943023127581306</v>
      </c>
      <c r="H17" s="45">
        <v>89.2</v>
      </c>
      <c r="I17" s="45">
        <v>80.2</v>
      </c>
      <c r="K17" s="53">
        <v>-3.5717329909907445</v>
      </c>
      <c r="L17" s="53"/>
      <c r="M17" s="53">
        <v>-3.5717329909907445</v>
      </c>
      <c r="N17" s="53"/>
      <c r="O17" s="53"/>
      <c r="P17" s="53"/>
      <c r="Q17" s="53"/>
      <c r="R17" s="53"/>
      <c r="S17" s="53"/>
      <c r="T17" s="53"/>
      <c r="U17" s="53"/>
      <c r="V17" s="53"/>
    </row>
    <row r="18" spans="6:22" x14ac:dyDescent="0.55000000000000004">
      <c r="F18" s="44">
        <v>37561</v>
      </c>
      <c r="G18" s="52">
        <f t="shared" si="0"/>
        <v>-6.1255426112803208</v>
      </c>
      <c r="H18" s="45">
        <v>83.9</v>
      </c>
      <c r="I18" s="45">
        <v>80.2</v>
      </c>
      <c r="K18" s="53">
        <v>5.542167953994479</v>
      </c>
      <c r="L18" s="53"/>
      <c r="M18" s="53">
        <v>5.542167953994479</v>
      </c>
      <c r="N18" s="53"/>
      <c r="O18" s="53"/>
      <c r="P18" s="53"/>
      <c r="Q18" s="53"/>
      <c r="R18" s="53"/>
      <c r="S18" s="53"/>
      <c r="T18" s="53"/>
      <c r="U18" s="53"/>
      <c r="V18" s="53"/>
    </row>
    <row r="19" spans="6:22" x14ac:dyDescent="0.55000000000000004">
      <c r="F19" s="44">
        <v>37591</v>
      </c>
      <c r="G19" s="52">
        <f t="shared" si="0"/>
        <v>-11.748510626344547</v>
      </c>
      <c r="H19" s="45">
        <v>74.599999999999994</v>
      </c>
      <c r="I19" s="45">
        <v>79.599999999999994</v>
      </c>
      <c r="K19" s="53">
        <v>11.087288334485097</v>
      </c>
      <c r="L19" s="53"/>
      <c r="M19" s="53">
        <v>11.087288334485097</v>
      </c>
      <c r="N19" s="53"/>
      <c r="O19" s="53"/>
      <c r="P19" s="53"/>
      <c r="Q19" s="53"/>
      <c r="R19" s="53"/>
      <c r="S19" s="53"/>
      <c r="T19" s="53"/>
      <c r="U19" s="53"/>
      <c r="V19" s="53"/>
    </row>
    <row r="20" spans="6:22" x14ac:dyDescent="0.55000000000000004">
      <c r="F20" s="44">
        <v>37622</v>
      </c>
      <c r="G20" s="52">
        <f t="shared" si="0"/>
        <v>-0.80754140055453072</v>
      </c>
      <c r="H20" s="45">
        <v>74</v>
      </c>
      <c r="I20" s="45">
        <v>79.7</v>
      </c>
      <c r="K20" s="53">
        <v>0.56031776721630933</v>
      </c>
      <c r="L20" s="53"/>
      <c r="M20" s="53">
        <v>0.56031776721630933</v>
      </c>
      <c r="N20" s="53"/>
      <c r="O20" s="53"/>
      <c r="P20" s="53"/>
      <c r="Q20" s="53"/>
      <c r="R20" s="53"/>
      <c r="S20" s="53"/>
      <c r="T20" s="53"/>
      <c r="U20" s="53"/>
      <c r="V20" s="53"/>
    </row>
    <row r="21" spans="6:22" x14ac:dyDescent="0.55000000000000004">
      <c r="F21" s="44">
        <v>37653</v>
      </c>
      <c r="G21" s="52">
        <f t="shared" si="0"/>
        <v>-3.0180617149991287</v>
      </c>
      <c r="H21" s="45">
        <v>71.8</v>
      </c>
      <c r="I21" s="45">
        <v>79.7</v>
      </c>
      <c r="K21" s="53">
        <v>3.0830593286322228</v>
      </c>
      <c r="L21" s="53"/>
      <c r="M21" s="53">
        <v>3.0830593286322228</v>
      </c>
      <c r="N21" s="53"/>
      <c r="O21" s="53"/>
      <c r="P21" s="53"/>
      <c r="Q21" s="53"/>
      <c r="R21" s="53"/>
      <c r="S21" s="53"/>
      <c r="T21" s="53"/>
      <c r="U21" s="53"/>
      <c r="V21" s="53"/>
    </row>
    <row r="22" spans="6:22" x14ac:dyDescent="0.55000000000000004">
      <c r="F22" s="44">
        <v>37681</v>
      </c>
      <c r="G22" s="52">
        <f t="shared" si="0"/>
        <v>7.5102304541503075</v>
      </c>
      <c r="H22" s="45">
        <v>77.400000000000006</v>
      </c>
      <c r="I22" s="45">
        <v>79.8</v>
      </c>
      <c r="K22" s="53">
        <v>-10.25404340464851</v>
      </c>
      <c r="L22" s="53"/>
      <c r="M22" s="53">
        <v>-10.25404340464851</v>
      </c>
      <c r="N22" s="53"/>
      <c r="O22" s="53"/>
      <c r="P22" s="53"/>
      <c r="Q22" s="53"/>
      <c r="R22" s="53"/>
      <c r="S22" s="53"/>
      <c r="T22" s="53"/>
      <c r="U22" s="53"/>
      <c r="V22" s="53"/>
    </row>
    <row r="23" spans="6:22" x14ac:dyDescent="0.55000000000000004">
      <c r="F23" s="44">
        <v>37712</v>
      </c>
      <c r="G23" s="52">
        <f t="shared" si="0"/>
        <v>-1.1696039763191299</v>
      </c>
      <c r="H23" s="45">
        <v>76.5</v>
      </c>
      <c r="I23" s="45">
        <v>79.400000000000006</v>
      </c>
      <c r="K23" s="53">
        <v>4.0661109319364694</v>
      </c>
      <c r="L23" s="53"/>
      <c r="M23" s="53">
        <v>4.0661109319364694</v>
      </c>
      <c r="N23" s="53"/>
      <c r="O23" s="53"/>
      <c r="P23" s="53"/>
      <c r="Q23" s="53"/>
      <c r="R23" s="53"/>
      <c r="S23" s="53"/>
      <c r="T23" s="53"/>
      <c r="U23" s="53"/>
      <c r="V23" s="53"/>
    </row>
    <row r="24" spans="6:22" x14ac:dyDescent="0.55000000000000004">
      <c r="F24" s="44">
        <v>37742</v>
      </c>
      <c r="G24" s="52">
        <f t="shared" si="0"/>
        <v>4.0978844963679268</v>
      </c>
      <c r="H24" s="45">
        <v>79.7</v>
      </c>
      <c r="I24" s="45">
        <v>77.8</v>
      </c>
      <c r="K24" s="53">
        <v>-6.5188360987815841</v>
      </c>
      <c r="L24" s="53"/>
      <c r="M24" s="53">
        <v>-6.5188360987815841</v>
      </c>
      <c r="N24" s="53"/>
      <c r="O24" s="53"/>
      <c r="P24" s="53"/>
      <c r="Q24" s="53"/>
      <c r="R24" s="53"/>
      <c r="S24" s="53"/>
      <c r="T24" s="53"/>
      <c r="U24" s="53"/>
      <c r="V24" s="53"/>
    </row>
    <row r="25" spans="6:22" x14ac:dyDescent="0.55000000000000004">
      <c r="F25" s="44">
        <v>37773</v>
      </c>
      <c r="G25" s="52">
        <f t="shared" si="0"/>
        <v>-4.3596647505758162</v>
      </c>
      <c r="H25" s="45">
        <v>76.3</v>
      </c>
      <c r="I25" s="45">
        <v>78.2</v>
      </c>
      <c r="K25" s="53">
        <v>1.2423937236054154</v>
      </c>
      <c r="L25" s="53"/>
      <c r="M25" s="53">
        <v>1.2423937236054154</v>
      </c>
      <c r="N25" s="53"/>
      <c r="O25" s="53"/>
      <c r="P25" s="53"/>
      <c r="Q25" s="53"/>
      <c r="R25" s="53"/>
      <c r="S25" s="53"/>
      <c r="T25" s="53"/>
      <c r="U25" s="53"/>
      <c r="V25" s="53"/>
    </row>
    <row r="26" spans="6:22" x14ac:dyDescent="0.55000000000000004">
      <c r="F26" s="44">
        <v>37803</v>
      </c>
      <c r="G26" s="52">
        <f t="shared" si="0"/>
        <v>6.3473078263353662</v>
      </c>
      <c r="H26" s="45">
        <v>81.3</v>
      </c>
      <c r="I26" s="45">
        <v>77.400000000000006</v>
      </c>
      <c r="K26" s="53">
        <v>-5.230121980229093</v>
      </c>
      <c r="L26" s="53"/>
      <c r="M26" s="53">
        <v>-5.230121980229093</v>
      </c>
      <c r="N26" s="53"/>
      <c r="O26" s="53"/>
      <c r="P26" s="53"/>
      <c r="Q26" s="53"/>
      <c r="R26" s="53"/>
      <c r="S26" s="53"/>
      <c r="T26" s="53"/>
      <c r="U26" s="53"/>
      <c r="V26" s="53"/>
    </row>
    <row r="27" spans="6:22" x14ac:dyDescent="0.55000000000000004">
      <c r="F27" s="44">
        <v>37834</v>
      </c>
      <c r="G27" s="52">
        <f t="shared" si="0"/>
        <v>0.36832454162963679</v>
      </c>
      <c r="H27" s="45">
        <v>81.599999999999994</v>
      </c>
      <c r="I27" s="45">
        <v>78.5</v>
      </c>
      <c r="K27" s="53">
        <v>-2.8037987156424924</v>
      </c>
      <c r="L27" s="53"/>
      <c r="M27" s="53">
        <v>-2.8037987156424924</v>
      </c>
      <c r="N27" s="53"/>
      <c r="O27" s="53"/>
      <c r="P27" s="53"/>
      <c r="Q27" s="53"/>
      <c r="R27" s="53"/>
      <c r="S27" s="53"/>
      <c r="T27" s="53"/>
      <c r="U27" s="53"/>
      <c r="V27" s="53"/>
    </row>
    <row r="28" spans="6:22" x14ac:dyDescent="0.55000000000000004">
      <c r="F28" s="44">
        <v>37865</v>
      </c>
      <c r="G28" s="52">
        <f t="shared" si="0"/>
        <v>4.9023563633672822</v>
      </c>
      <c r="H28" s="45">
        <v>85.7</v>
      </c>
      <c r="I28" s="45">
        <v>81.3</v>
      </c>
      <c r="K28" s="53">
        <v>2.825211038783249</v>
      </c>
      <c r="L28" s="53"/>
      <c r="M28" s="53">
        <v>2.825211038783249</v>
      </c>
      <c r="N28" s="53"/>
      <c r="O28" s="53"/>
      <c r="P28" s="53"/>
      <c r="Q28" s="53"/>
      <c r="R28" s="53"/>
      <c r="S28" s="53"/>
      <c r="T28" s="53"/>
      <c r="U28" s="53"/>
      <c r="V28" s="53"/>
    </row>
    <row r="29" spans="6:22" x14ac:dyDescent="0.55000000000000004">
      <c r="F29" s="44">
        <v>37895</v>
      </c>
      <c r="G29" s="52">
        <f t="shared" si="0"/>
        <v>4.8956844726530981</v>
      </c>
      <c r="H29" s="45">
        <v>90</v>
      </c>
      <c r="I29" s="45">
        <v>81.599999999999994</v>
      </c>
      <c r="K29" s="53">
        <v>-3.5717329909907445</v>
      </c>
      <c r="L29" s="53"/>
      <c r="M29" s="53">
        <v>-3.5717329909907445</v>
      </c>
      <c r="N29" s="53"/>
      <c r="O29" s="53"/>
      <c r="P29" s="53"/>
      <c r="Q29" s="53"/>
      <c r="R29" s="53"/>
      <c r="S29" s="53"/>
      <c r="T29" s="53"/>
      <c r="U29" s="53"/>
      <c r="V29" s="53"/>
    </row>
    <row r="30" spans="6:22" x14ac:dyDescent="0.55000000000000004">
      <c r="F30" s="44">
        <v>37926</v>
      </c>
      <c r="G30" s="52">
        <f t="shared" si="0"/>
        <v>-6.1875403718087529</v>
      </c>
      <c r="H30" s="45">
        <v>84.6</v>
      </c>
      <c r="I30" s="45">
        <v>82.6</v>
      </c>
      <c r="K30" s="53">
        <v>5.542167953994479</v>
      </c>
      <c r="L30" s="53"/>
      <c r="M30" s="53">
        <v>5.542167953994479</v>
      </c>
      <c r="N30" s="53"/>
      <c r="O30" s="53"/>
      <c r="P30" s="53"/>
      <c r="Q30" s="53"/>
      <c r="R30" s="53"/>
      <c r="S30" s="53"/>
      <c r="T30" s="53"/>
      <c r="U30" s="53"/>
      <c r="V30" s="53"/>
    </row>
    <row r="31" spans="6:22" x14ac:dyDescent="0.55000000000000004">
      <c r="F31" s="44">
        <v>37956</v>
      </c>
      <c r="G31" s="52">
        <f t="shared" si="0"/>
        <v>-8.2508313735474825</v>
      </c>
      <c r="H31" s="45">
        <v>77.900000000000006</v>
      </c>
      <c r="I31" s="45">
        <v>81.2</v>
      </c>
      <c r="K31" s="53">
        <v>11.087288334485097</v>
      </c>
      <c r="L31" s="53"/>
      <c r="M31" s="53">
        <v>11.087288334485097</v>
      </c>
      <c r="N31" s="53"/>
      <c r="O31" s="53"/>
      <c r="P31" s="53"/>
      <c r="Q31" s="53"/>
      <c r="R31" s="53"/>
      <c r="S31" s="53"/>
      <c r="T31" s="53"/>
      <c r="U31" s="53"/>
      <c r="V31" s="53"/>
    </row>
    <row r="32" spans="6:22" x14ac:dyDescent="0.55000000000000004">
      <c r="F32" s="44">
        <v>37987</v>
      </c>
      <c r="G32" s="52">
        <f t="shared" si="0"/>
        <v>-1.4221312723076169</v>
      </c>
      <c r="H32" s="45">
        <v>76.8</v>
      </c>
      <c r="I32" s="45">
        <v>82.7</v>
      </c>
      <c r="K32" s="53">
        <v>0.56031776721630933</v>
      </c>
      <c r="L32" s="53"/>
      <c r="M32" s="53">
        <v>0.56031776721630933</v>
      </c>
      <c r="N32" s="53"/>
      <c r="O32" s="53"/>
      <c r="P32" s="53"/>
      <c r="Q32" s="53"/>
      <c r="R32" s="53"/>
      <c r="S32" s="53"/>
      <c r="T32" s="53"/>
      <c r="U32" s="53"/>
      <c r="V32" s="53"/>
    </row>
    <row r="33" spans="6:22" x14ac:dyDescent="0.55000000000000004">
      <c r="F33" s="44">
        <v>38018</v>
      </c>
      <c r="G33" s="52">
        <f t="shared" si="0"/>
        <v>-3.7139546949456657</v>
      </c>
      <c r="H33" s="45">
        <v>74</v>
      </c>
      <c r="I33" s="45">
        <v>84</v>
      </c>
      <c r="K33" s="53">
        <v>3.0830593286322228</v>
      </c>
      <c r="L33" s="53"/>
      <c r="M33" s="53">
        <v>3.0830593286322228</v>
      </c>
      <c r="N33" s="53"/>
      <c r="O33" s="53"/>
      <c r="P33" s="53"/>
      <c r="Q33" s="53"/>
      <c r="R33" s="53"/>
      <c r="S33" s="53"/>
      <c r="T33" s="53"/>
      <c r="U33" s="53"/>
      <c r="V33" s="53"/>
    </row>
    <row r="34" spans="6:22" x14ac:dyDescent="0.55000000000000004">
      <c r="F34" s="44">
        <v>38047</v>
      </c>
      <c r="G34" s="52">
        <f t="shared" si="0"/>
        <v>16.069293906717668</v>
      </c>
      <c r="H34" s="45">
        <v>86.9</v>
      </c>
      <c r="I34" s="45">
        <v>84.5</v>
      </c>
      <c r="K34" s="53">
        <v>-10.25404340464851</v>
      </c>
      <c r="L34" s="53"/>
      <c r="M34" s="53">
        <v>-10.25404340464851</v>
      </c>
      <c r="N34" s="53"/>
      <c r="O34" s="53"/>
      <c r="P34" s="53"/>
      <c r="Q34" s="53"/>
      <c r="R34" s="53"/>
      <c r="S34" s="53"/>
      <c r="T34" s="53"/>
      <c r="U34" s="53"/>
      <c r="V34" s="53"/>
    </row>
    <row r="35" spans="6:22" x14ac:dyDescent="0.55000000000000004">
      <c r="F35" s="44">
        <v>38078</v>
      </c>
      <c r="G35" s="52">
        <f t="shared" si="0"/>
        <v>-5.5602730209212119</v>
      </c>
      <c r="H35" s="45">
        <v>82.2</v>
      </c>
      <c r="I35" s="45">
        <v>85.1</v>
      </c>
      <c r="K35" s="53">
        <v>4.0661109319364694</v>
      </c>
      <c r="L35" s="53"/>
      <c r="M35" s="53">
        <v>4.0661109319364694</v>
      </c>
      <c r="N35" s="53"/>
      <c r="O35" s="53"/>
      <c r="P35" s="53"/>
      <c r="Q35" s="53"/>
      <c r="R35" s="53"/>
      <c r="S35" s="53"/>
      <c r="T35" s="53"/>
      <c r="U35" s="53"/>
      <c r="V35" s="53"/>
    </row>
    <row r="36" spans="6:22" x14ac:dyDescent="0.55000000000000004">
      <c r="F36" s="44">
        <v>38108</v>
      </c>
      <c r="G36" s="52">
        <f t="shared" si="0"/>
        <v>4.8674296027248021</v>
      </c>
      <c r="H36" s="45">
        <v>86.3</v>
      </c>
      <c r="I36" s="45">
        <v>85.9</v>
      </c>
      <c r="K36" s="53">
        <v>-6.5188360987815841</v>
      </c>
      <c r="L36" s="53"/>
      <c r="M36" s="53">
        <v>-6.5188360987815841</v>
      </c>
      <c r="N36" s="53"/>
      <c r="O36" s="53"/>
      <c r="P36" s="53"/>
      <c r="Q36" s="53"/>
      <c r="R36" s="53"/>
      <c r="S36" s="53"/>
      <c r="T36" s="53"/>
      <c r="U36" s="53"/>
      <c r="V36" s="53"/>
    </row>
    <row r="37" spans="6:22" x14ac:dyDescent="0.55000000000000004">
      <c r="F37" s="44">
        <v>38139</v>
      </c>
      <c r="G37" s="52">
        <f t="shared" si="0"/>
        <v>-0.23201866556971981</v>
      </c>
      <c r="H37" s="45">
        <v>86.1</v>
      </c>
      <c r="I37" s="45">
        <v>86.1</v>
      </c>
      <c r="K37" s="53">
        <v>1.2423937236054152</v>
      </c>
      <c r="L37" s="53"/>
      <c r="M37" s="53">
        <v>1.2423937236054152</v>
      </c>
      <c r="N37" s="53"/>
      <c r="O37" s="53"/>
      <c r="P37" s="53"/>
      <c r="Q37" s="53"/>
      <c r="R37" s="53"/>
      <c r="S37" s="53"/>
      <c r="T37" s="53"/>
      <c r="U37" s="53"/>
      <c r="V37" s="53"/>
    </row>
    <row r="38" spans="6:22" x14ac:dyDescent="0.55000000000000004">
      <c r="F38" s="44">
        <v>38169</v>
      </c>
      <c r="G38" s="52">
        <f t="shared" si="0"/>
        <v>4.5410753180607175</v>
      </c>
      <c r="H38" s="45">
        <v>90.1</v>
      </c>
      <c r="I38" s="45">
        <v>86.7</v>
      </c>
      <c r="K38" s="53">
        <v>-5.230121980229093</v>
      </c>
      <c r="L38" s="53"/>
      <c r="M38" s="53">
        <v>-5.230121980229093</v>
      </c>
      <c r="N38" s="53"/>
      <c r="O38" s="53"/>
      <c r="P38" s="53"/>
      <c r="Q38" s="53"/>
      <c r="R38" s="53"/>
      <c r="S38" s="53"/>
      <c r="T38" s="53"/>
      <c r="U38" s="53"/>
      <c r="V38" s="53"/>
    </row>
    <row r="39" spans="6:22" x14ac:dyDescent="0.55000000000000004">
      <c r="F39" s="44">
        <v>38200</v>
      </c>
      <c r="G39" s="52">
        <f t="shared" si="0"/>
        <v>2.1954778646968967</v>
      </c>
      <c r="H39" s="45">
        <v>92.1</v>
      </c>
      <c r="I39" s="45">
        <v>87.6</v>
      </c>
      <c r="K39" s="53">
        <v>-2.8037987156424928</v>
      </c>
      <c r="L39" s="53"/>
      <c r="M39" s="53">
        <v>-2.8037987156424928</v>
      </c>
      <c r="N39" s="53"/>
      <c r="O39" s="53"/>
      <c r="P39" s="53"/>
      <c r="Q39" s="53"/>
      <c r="R39" s="53"/>
      <c r="S39" s="53"/>
      <c r="T39" s="53"/>
      <c r="U39" s="53"/>
      <c r="V39" s="53"/>
    </row>
    <row r="40" spans="6:22" x14ac:dyDescent="0.55000000000000004">
      <c r="F40" s="44">
        <v>38231</v>
      </c>
      <c r="G40" s="52">
        <f t="shared" si="0"/>
        <v>0</v>
      </c>
      <c r="H40" s="45">
        <v>92.1</v>
      </c>
      <c r="I40" s="45">
        <v>88.2</v>
      </c>
      <c r="K40" s="53">
        <v>2.825211038783249</v>
      </c>
      <c r="L40" s="53"/>
      <c r="M40" s="53">
        <v>2.825211038783249</v>
      </c>
      <c r="N40" s="53"/>
      <c r="O40" s="53"/>
      <c r="P40" s="53"/>
      <c r="Q40" s="53"/>
      <c r="R40" s="53"/>
      <c r="S40" s="53"/>
      <c r="T40" s="53"/>
      <c r="U40" s="53"/>
      <c r="V40" s="53"/>
    </row>
    <row r="41" spans="6:22" x14ac:dyDescent="0.55000000000000004">
      <c r="F41" s="44">
        <v>38261</v>
      </c>
      <c r="G41" s="52">
        <f t="shared" si="0"/>
        <v>1.5086493033380162</v>
      </c>
      <c r="H41" s="45">
        <v>93.5</v>
      </c>
      <c r="I41" s="45">
        <v>87.5</v>
      </c>
      <c r="K41" s="53">
        <v>-3.5717329909907445</v>
      </c>
      <c r="L41" s="53"/>
      <c r="M41" s="53">
        <v>-3.5717329909907445</v>
      </c>
      <c r="N41" s="53"/>
      <c r="O41" s="53"/>
      <c r="P41" s="53"/>
      <c r="Q41" s="53"/>
      <c r="R41" s="53"/>
      <c r="S41" s="53"/>
      <c r="T41" s="53"/>
      <c r="U41" s="53"/>
      <c r="V41" s="53"/>
    </row>
    <row r="42" spans="6:22" x14ac:dyDescent="0.55000000000000004">
      <c r="F42" s="44">
        <v>38292</v>
      </c>
      <c r="G42" s="52">
        <f t="shared" si="0"/>
        <v>-1.8349138668196541</v>
      </c>
      <c r="H42" s="45">
        <v>91.8</v>
      </c>
      <c r="I42" s="45">
        <v>87.5</v>
      </c>
      <c r="K42" s="53">
        <v>5.542167953994479</v>
      </c>
      <c r="L42" s="53"/>
      <c r="M42" s="53">
        <v>5.542167953994479</v>
      </c>
      <c r="N42" s="53"/>
      <c r="O42" s="53"/>
      <c r="P42" s="53"/>
      <c r="Q42" s="53"/>
      <c r="R42" s="53"/>
      <c r="S42" s="53"/>
      <c r="T42" s="53"/>
      <c r="U42" s="53"/>
      <c r="V42" s="53"/>
    </row>
    <row r="43" spans="6:22" x14ac:dyDescent="0.55000000000000004">
      <c r="F43" s="44">
        <v>38322</v>
      </c>
      <c r="G43" s="52">
        <f t="shared" si="0"/>
        <v>-8.0496695968436054</v>
      </c>
      <c r="H43" s="45">
        <v>84.7</v>
      </c>
      <c r="I43" s="45">
        <v>88.3</v>
      </c>
      <c r="K43" s="53">
        <v>11.087288334485097</v>
      </c>
      <c r="L43" s="53"/>
      <c r="M43" s="53">
        <v>11.087288334485097</v>
      </c>
      <c r="N43" s="53"/>
      <c r="O43" s="53"/>
      <c r="P43" s="53"/>
      <c r="Q43" s="53"/>
      <c r="R43" s="53"/>
      <c r="S43" s="53"/>
      <c r="T43" s="53"/>
      <c r="U43" s="53"/>
      <c r="V43" s="53"/>
    </row>
    <row r="44" spans="6:22" x14ac:dyDescent="0.55000000000000004">
      <c r="F44" s="44">
        <v>38353</v>
      </c>
      <c r="G44" s="52">
        <f t="shared" si="0"/>
        <v>-4.4666446985569994</v>
      </c>
      <c r="H44" s="45">
        <v>81</v>
      </c>
      <c r="I44" s="45">
        <v>88.7</v>
      </c>
      <c r="K44" s="53">
        <v>0.56031776721630955</v>
      </c>
      <c r="L44" s="53"/>
      <c r="M44" s="53">
        <v>0.56031776721630955</v>
      </c>
      <c r="N44" s="53"/>
      <c r="O44" s="53"/>
      <c r="P44" s="53"/>
      <c r="Q44" s="53"/>
      <c r="R44" s="53"/>
      <c r="S44" s="53"/>
      <c r="T44" s="53"/>
      <c r="U44" s="53"/>
      <c r="V44" s="53"/>
    </row>
    <row r="45" spans="6:22" x14ac:dyDescent="0.55000000000000004">
      <c r="F45" s="44">
        <v>38384</v>
      </c>
      <c r="G45" s="52">
        <f t="shared" si="0"/>
        <v>-5.8466458499963849</v>
      </c>
      <c r="H45" s="45">
        <v>76.400000000000006</v>
      </c>
      <c r="I45" s="45">
        <v>87.3</v>
      </c>
      <c r="K45" s="53">
        <v>3.0830593286322228</v>
      </c>
      <c r="L45" s="53"/>
      <c r="M45" s="53">
        <v>3.0830593286322228</v>
      </c>
      <c r="N45" s="53"/>
      <c r="O45" s="53"/>
      <c r="P45" s="53"/>
      <c r="Q45" s="53"/>
      <c r="R45" s="53"/>
      <c r="S45" s="53"/>
      <c r="T45" s="53"/>
      <c r="U45" s="53"/>
      <c r="V45" s="53"/>
    </row>
    <row r="46" spans="6:22" x14ac:dyDescent="0.55000000000000004">
      <c r="F46" s="44">
        <v>38412</v>
      </c>
      <c r="G46" s="52">
        <f t="shared" si="0"/>
        <v>14.135411830573155</v>
      </c>
      <c r="H46" s="45">
        <v>88</v>
      </c>
      <c r="I46" s="45">
        <v>88.2</v>
      </c>
      <c r="K46" s="53">
        <v>-10.25404340464851</v>
      </c>
      <c r="L46" s="53"/>
      <c r="M46" s="53">
        <v>-10.25404340464851</v>
      </c>
      <c r="N46" s="53"/>
      <c r="O46" s="53"/>
      <c r="P46" s="53"/>
      <c r="Q46" s="53"/>
      <c r="R46" s="53"/>
      <c r="S46" s="53"/>
      <c r="T46" s="53"/>
      <c r="U46" s="53"/>
      <c r="V46" s="53"/>
    </row>
    <row r="47" spans="6:22" x14ac:dyDescent="0.55000000000000004">
      <c r="F47" s="44">
        <v>38443</v>
      </c>
      <c r="G47" s="52">
        <f t="shared" si="0"/>
        <v>-1.1428695823622743</v>
      </c>
      <c r="H47" s="45">
        <v>87</v>
      </c>
      <c r="I47" s="45">
        <v>88.3</v>
      </c>
      <c r="K47" s="53">
        <v>4.0661109319364694</v>
      </c>
      <c r="L47" s="53"/>
      <c r="M47" s="53">
        <v>4.0661109319364694</v>
      </c>
      <c r="N47" s="53"/>
      <c r="O47" s="53"/>
      <c r="P47" s="53"/>
      <c r="Q47" s="53"/>
      <c r="R47" s="53"/>
      <c r="S47" s="53"/>
      <c r="T47" s="53"/>
      <c r="U47" s="53"/>
      <c r="V47" s="53"/>
    </row>
    <row r="48" spans="6:22" x14ac:dyDescent="0.55000000000000004">
      <c r="F48" s="44">
        <v>38473</v>
      </c>
      <c r="G48" s="52">
        <f t="shared" si="0"/>
        <v>4.6049685611328837</v>
      </c>
      <c r="H48" s="45">
        <v>91.1</v>
      </c>
      <c r="I48" s="45">
        <v>91.3</v>
      </c>
      <c r="K48" s="53">
        <v>-6.5188360987815841</v>
      </c>
      <c r="L48" s="53"/>
      <c r="M48" s="53">
        <v>-6.5188360987815841</v>
      </c>
      <c r="N48" s="53"/>
      <c r="O48" s="53"/>
      <c r="P48" s="53"/>
      <c r="Q48" s="53"/>
      <c r="R48" s="53"/>
      <c r="S48" s="53"/>
      <c r="T48" s="53"/>
      <c r="U48" s="53"/>
      <c r="V48" s="53"/>
    </row>
    <row r="49" spans="6:22" x14ac:dyDescent="0.55000000000000004">
      <c r="F49" s="44">
        <v>38504</v>
      </c>
      <c r="G49" s="52">
        <f t="shared" si="0"/>
        <v>0.32876741941917081</v>
      </c>
      <c r="H49" s="45">
        <v>91.4</v>
      </c>
      <c r="I49" s="45">
        <v>89.5</v>
      </c>
      <c r="K49" s="53">
        <v>1.2423937236054152</v>
      </c>
      <c r="L49" s="53"/>
      <c r="M49" s="53">
        <v>1.2423937236054152</v>
      </c>
      <c r="N49" s="53"/>
      <c r="O49" s="53"/>
      <c r="P49" s="53"/>
      <c r="Q49" s="53"/>
      <c r="R49" s="53"/>
      <c r="S49" s="53"/>
      <c r="T49" s="53"/>
      <c r="U49" s="53"/>
      <c r="V49" s="53"/>
    </row>
    <row r="50" spans="6:22" x14ac:dyDescent="0.55000000000000004">
      <c r="F50" s="44">
        <v>38534</v>
      </c>
      <c r="G50" s="52">
        <f t="shared" si="0"/>
        <v>-0.98956277542239612</v>
      </c>
      <c r="H50" s="45">
        <v>90.5</v>
      </c>
      <c r="I50" s="45">
        <v>88.9</v>
      </c>
      <c r="K50" s="53">
        <v>-5.230121980229093</v>
      </c>
      <c r="L50" s="53"/>
      <c r="M50" s="53">
        <v>-5.230121980229093</v>
      </c>
      <c r="N50" s="53"/>
      <c r="O50" s="53"/>
      <c r="P50" s="53"/>
      <c r="Q50" s="53"/>
      <c r="R50" s="53"/>
      <c r="S50" s="53"/>
      <c r="T50" s="53"/>
      <c r="U50" s="53"/>
      <c r="V50" s="53"/>
    </row>
    <row r="51" spans="6:22" x14ac:dyDescent="0.55000000000000004">
      <c r="F51" s="44">
        <v>38565</v>
      </c>
      <c r="G51" s="52">
        <f t="shared" si="0"/>
        <v>5.482296935147505</v>
      </c>
      <c r="H51" s="45">
        <v>95.6</v>
      </c>
      <c r="I51" s="45">
        <v>89.1</v>
      </c>
      <c r="K51" s="53">
        <v>-2.8037987156424928</v>
      </c>
      <c r="L51" s="53"/>
      <c r="M51" s="53">
        <v>-2.8037987156424928</v>
      </c>
      <c r="N51" s="53"/>
      <c r="O51" s="53"/>
      <c r="P51" s="53"/>
      <c r="Q51" s="53"/>
      <c r="R51" s="53"/>
      <c r="S51" s="53"/>
      <c r="T51" s="53"/>
      <c r="U51" s="53"/>
      <c r="V51" s="53"/>
    </row>
    <row r="52" spans="6:22" x14ac:dyDescent="0.55000000000000004">
      <c r="F52" s="44">
        <v>38596</v>
      </c>
      <c r="G52" s="52">
        <f t="shared" si="0"/>
        <v>-3.8384243008315222</v>
      </c>
      <c r="H52" s="45">
        <v>92</v>
      </c>
      <c r="I52" s="45">
        <v>88.3</v>
      </c>
      <c r="K52" s="53">
        <v>2.825211038783249</v>
      </c>
      <c r="L52" s="53"/>
      <c r="M52" s="53">
        <v>2.825211038783249</v>
      </c>
      <c r="N52" s="53"/>
      <c r="O52" s="53"/>
      <c r="P52" s="53"/>
      <c r="Q52" s="53"/>
      <c r="R52" s="53"/>
      <c r="S52" s="53"/>
      <c r="T52" s="53"/>
      <c r="U52" s="53"/>
      <c r="V52" s="53"/>
    </row>
    <row r="53" spans="6:22" x14ac:dyDescent="0.55000000000000004">
      <c r="F53" s="44">
        <v>38626</v>
      </c>
      <c r="G53" s="52">
        <f t="shared" si="0"/>
        <v>1.8309612195336253</v>
      </c>
      <c r="H53" s="45">
        <v>93.7</v>
      </c>
      <c r="I53" s="45">
        <v>87.6</v>
      </c>
      <c r="K53" s="53">
        <v>-3.5717329909907445</v>
      </c>
      <c r="L53" s="53"/>
      <c r="M53" s="53">
        <v>-3.5717329909907445</v>
      </c>
      <c r="N53" s="53"/>
      <c r="O53" s="53"/>
      <c r="P53" s="53"/>
      <c r="Q53" s="53"/>
      <c r="R53" s="53"/>
      <c r="S53" s="53"/>
      <c r="T53" s="53"/>
      <c r="U53" s="53"/>
      <c r="V53" s="53"/>
    </row>
    <row r="54" spans="6:22" x14ac:dyDescent="0.55000000000000004">
      <c r="F54" s="44">
        <v>38657</v>
      </c>
      <c r="G54" s="52">
        <f t="shared" si="0"/>
        <v>-1.3971210596737951</v>
      </c>
      <c r="H54" s="45">
        <v>92.4</v>
      </c>
      <c r="I54" s="45">
        <v>88.6</v>
      </c>
      <c r="K54" s="53">
        <v>5.542167953994479</v>
      </c>
      <c r="L54" s="53"/>
      <c r="M54" s="53">
        <v>5.542167953994479</v>
      </c>
      <c r="N54" s="53"/>
      <c r="O54" s="53"/>
      <c r="P54" s="53"/>
      <c r="Q54" s="53"/>
      <c r="R54" s="53"/>
      <c r="S54" s="53"/>
      <c r="T54" s="53"/>
      <c r="U54" s="53"/>
      <c r="V54" s="53"/>
    </row>
    <row r="55" spans="6:22" x14ac:dyDescent="0.55000000000000004">
      <c r="F55" s="44">
        <v>38687</v>
      </c>
      <c r="G55" s="52">
        <f t="shared" si="0"/>
        <v>-6.4827163079249166</v>
      </c>
      <c r="H55" s="45">
        <v>86.6</v>
      </c>
      <c r="I55" s="45">
        <v>90.5</v>
      </c>
      <c r="K55" s="53">
        <v>11.087288334485097</v>
      </c>
      <c r="L55" s="53"/>
      <c r="M55" s="53">
        <v>11.087288334485097</v>
      </c>
      <c r="N55" s="53"/>
      <c r="O55" s="53"/>
      <c r="P55" s="53"/>
      <c r="Q55" s="53"/>
      <c r="R55" s="53"/>
      <c r="S55" s="53"/>
      <c r="T55" s="53"/>
      <c r="U55" s="53"/>
      <c r="V55" s="53"/>
    </row>
    <row r="56" spans="6:22" x14ac:dyDescent="0.55000000000000004">
      <c r="F56" s="44">
        <v>38718</v>
      </c>
      <c r="G56" s="52">
        <f t="shared" si="0"/>
        <v>-3.4060838072959752</v>
      </c>
      <c r="H56" s="45">
        <v>83.7</v>
      </c>
      <c r="I56" s="45">
        <v>90.8</v>
      </c>
      <c r="K56" s="53">
        <v>0.5603177672163091</v>
      </c>
      <c r="L56" s="53"/>
      <c r="M56" s="53">
        <v>0.5603177672163091</v>
      </c>
      <c r="N56" s="53"/>
      <c r="O56" s="53"/>
      <c r="P56" s="53"/>
      <c r="Q56" s="53"/>
      <c r="R56" s="53"/>
      <c r="S56" s="53"/>
      <c r="T56" s="53"/>
      <c r="U56" s="53"/>
      <c r="V56" s="53"/>
    </row>
    <row r="57" spans="6:22" x14ac:dyDescent="0.55000000000000004">
      <c r="F57" s="44">
        <v>38749</v>
      </c>
      <c r="G57" s="52">
        <f t="shared" si="0"/>
        <v>-4.2715462622960851</v>
      </c>
      <c r="H57" s="45">
        <v>80.2</v>
      </c>
      <c r="I57" s="45">
        <v>91.4</v>
      </c>
      <c r="K57" s="53">
        <v>3.0830593286322228</v>
      </c>
      <c r="L57" s="53"/>
      <c r="M57" s="53">
        <v>3.0830593286322228</v>
      </c>
      <c r="N57" s="53"/>
      <c r="O57" s="53"/>
      <c r="P57" s="53"/>
      <c r="Q57" s="53"/>
      <c r="R57" s="53"/>
      <c r="S57" s="53"/>
      <c r="T57" s="53"/>
      <c r="U57" s="53"/>
      <c r="V57" s="53"/>
    </row>
    <row r="58" spans="6:22" x14ac:dyDescent="0.55000000000000004">
      <c r="F58" s="44">
        <v>38777</v>
      </c>
      <c r="G58" s="52">
        <f t="shared" si="0"/>
        <v>14.160346377516964</v>
      </c>
      <c r="H58" s="45">
        <v>92.4</v>
      </c>
      <c r="I58" s="45">
        <v>90.7</v>
      </c>
      <c r="K58" s="53">
        <v>-10.25404340464851</v>
      </c>
      <c r="L58" s="53"/>
      <c r="M58" s="53">
        <v>-10.25404340464851</v>
      </c>
      <c r="N58" s="53"/>
      <c r="O58" s="53"/>
      <c r="P58" s="53"/>
      <c r="Q58" s="53"/>
      <c r="R58" s="53"/>
      <c r="S58" s="53"/>
      <c r="T58" s="53"/>
      <c r="U58" s="53"/>
      <c r="V58" s="53"/>
    </row>
    <row r="59" spans="6:22" x14ac:dyDescent="0.55000000000000004">
      <c r="F59" s="44">
        <v>38808</v>
      </c>
      <c r="G59" s="52">
        <f t="shared" si="0"/>
        <v>-7.5274153043904395</v>
      </c>
      <c r="H59" s="45">
        <v>85.7</v>
      </c>
      <c r="I59" s="45">
        <v>91.4</v>
      </c>
      <c r="K59" s="53">
        <v>4.0661109319364694</v>
      </c>
      <c r="L59" s="53"/>
      <c r="M59" s="53">
        <v>4.0661109319364694</v>
      </c>
      <c r="N59" s="53"/>
      <c r="O59" s="53"/>
      <c r="P59" s="53"/>
      <c r="Q59" s="53"/>
      <c r="R59" s="53"/>
      <c r="S59" s="53"/>
      <c r="T59" s="53"/>
      <c r="U59" s="53"/>
      <c r="V59" s="53"/>
    </row>
    <row r="60" spans="6:22" x14ac:dyDescent="0.55000000000000004">
      <c r="F60" s="44">
        <v>38838</v>
      </c>
      <c r="G60" s="52">
        <f t="shared" si="0"/>
        <v>10.722575285050679</v>
      </c>
      <c r="H60" s="45">
        <v>95.4</v>
      </c>
      <c r="I60" s="45">
        <v>92.2</v>
      </c>
      <c r="K60" s="53">
        <v>-6.5188360987815841</v>
      </c>
      <c r="L60" s="53"/>
      <c r="M60" s="53">
        <v>-6.5188360987815841</v>
      </c>
      <c r="N60" s="53"/>
      <c r="O60" s="53"/>
      <c r="P60" s="53"/>
      <c r="Q60" s="53"/>
      <c r="R60" s="53"/>
      <c r="S60" s="53"/>
      <c r="T60" s="53"/>
      <c r="U60" s="53"/>
      <c r="V60" s="53"/>
    </row>
    <row r="61" spans="6:22" x14ac:dyDescent="0.55000000000000004">
      <c r="F61" s="44">
        <v>38869</v>
      </c>
      <c r="G61" s="52">
        <f t="shared" si="0"/>
        <v>-4.6120774188328273</v>
      </c>
      <c r="H61" s="45">
        <v>91.1</v>
      </c>
      <c r="I61" s="45">
        <v>90.6</v>
      </c>
      <c r="K61" s="53">
        <v>1.2423937236054154</v>
      </c>
      <c r="L61" s="53"/>
      <c r="M61" s="53">
        <v>1.2423937236054154</v>
      </c>
      <c r="N61" s="53"/>
      <c r="O61" s="53"/>
      <c r="P61" s="53"/>
      <c r="Q61" s="53"/>
      <c r="R61" s="53"/>
      <c r="S61" s="53"/>
      <c r="T61" s="53"/>
      <c r="U61" s="53"/>
      <c r="V61" s="53"/>
    </row>
    <row r="62" spans="6:22" x14ac:dyDescent="0.55000000000000004">
      <c r="F62" s="44">
        <v>38899</v>
      </c>
      <c r="G62" s="52">
        <f t="shared" si="0"/>
        <v>2.9207051746266317</v>
      </c>
      <c r="H62" s="45">
        <v>93.8</v>
      </c>
      <c r="I62" s="45">
        <v>91.6</v>
      </c>
      <c r="K62" s="53">
        <v>-5.230121980229093</v>
      </c>
      <c r="L62" s="53"/>
      <c r="M62" s="53">
        <v>-5.230121980229093</v>
      </c>
      <c r="N62" s="53"/>
      <c r="O62" s="53"/>
      <c r="P62" s="53"/>
      <c r="Q62" s="53"/>
      <c r="R62" s="53"/>
      <c r="S62" s="53"/>
      <c r="T62" s="53"/>
      <c r="U62" s="53"/>
      <c r="V62" s="53"/>
    </row>
    <row r="63" spans="6:22" x14ac:dyDescent="0.55000000000000004">
      <c r="F63" s="44">
        <v>38930</v>
      </c>
      <c r="G63" s="52">
        <f t="shared" si="0"/>
        <v>4.9906405596410703</v>
      </c>
      <c r="H63" s="45">
        <v>98.6</v>
      </c>
      <c r="I63" s="45">
        <v>91.4</v>
      </c>
      <c r="K63" s="53">
        <v>-2.8037987156424928</v>
      </c>
      <c r="L63" s="53"/>
      <c r="M63" s="53">
        <v>-2.8037987156424928</v>
      </c>
      <c r="N63" s="53"/>
      <c r="O63" s="53"/>
      <c r="P63" s="53"/>
      <c r="Q63" s="53"/>
      <c r="R63" s="53"/>
      <c r="S63" s="53"/>
      <c r="T63" s="53"/>
      <c r="U63" s="53"/>
      <c r="V63" s="53"/>
    </row>
    <row r="64" spans="6:22" x14ac:dyDescent="0.55000000000000004">
      <c r="F64" s="44">
        <v>38961</v>
      </c>
      <c r="G64" s="52">
        <f t="shared" si="0"/>
        <v>-5.6323539917044103</v>
      </c>
      <c r="H64" s="45">
        <v>93.2</v>
      </c>
      <c r="I64" s="45">
        <v>90.4</v>
      </c>
      <c r="K64" s="53">
        <v>2.825211038783249</v>
      </c>
      <c r="L64" s="53"/>
      <c r="M64" s="53">
        <v>2.825211038783249</v>
      </c>
      <c r="N64" s="53"/>
      <c r="O64" s="53"/>
      <c r="P64" s="53"/>
      <c r="Q64" s="53"/>
      <c r="R64" s="53"/>
      <c r="S64" s="53"/>
      <c r="T64" s="53"/>
      <c r="U64" s="53"/>
      <c r="V64" s="53"/>
    </row>
    <row r="65" spans="6:22" x14ac:dyDescent="0.55000000000000004">
      <c r="F65" s="44">
        <v>38991</v>
      </c>
      <c r="G65" s="52">
        <f t="shared" si="0"/>
        <v>4.5104656312255988</v>
      </c>
      <c r="H65" s="45">
        <v>97.5</v>
      </c>
      <c r="I65" s="45">
        <v>90.8</v>
      </c>
      <c r="K65" s="53">
        <v>-3.5717329909907445</v>
      </c>
      <c r="L65" s="53"/>
      <c r="M65" s="53">
        <v>-3.5717329909907445</v>
      </c>
      <c r="N65" s="53"/>
      <c r="O65" s="53"/>
      <c r="P65" s="53"/>
      <c r="Q65" s="53"/>
      <c r="R65" s="53"/>
      <c r="S65" s="53"/>
      <c r="T65" s="53"/>
      <c r="U65" s="53"/>
      <c r="V65" s="53"/>
    </row>
    <row r="66" spans="6:22" x14ac:dyDescent="0.55000000000000004">
      <c r="F66" s="44">
        <v>39022</v>
      </c>
      <c r="G66" s="52">
        <f t="shared" si="0"/>
        <v>-1.6546396114408941</v>
      </c>
      <c r="H66" s="45">
        <v>95.9</v>
      </c>
      <c r="I66" s="45">
        <v>92.1</v>
      </c>
      <c r="K66" s="53">
        <v>5.542167953994479</v>
      </c>
      <c r="L66" s="53"/>
      <c r="M66" s="53">
        <v>5.542167953994479</v>
      </c>
      <c r="N66" s="53"/>
      <c r="O66" s="53"/>
      <c r="P66" s="53"/>
      <c r="Q66" s="53"/>
      <c r="R66" s="53"/>
      <c r="S66" s="53"/>
      <c r="T66" s="53"/>
      <c r="U66" s="53"/>
      <c r="V66" s="53"/>
    </row>
    <row r="67" spans="6:22" x14ac:dyDescent="0.55000000000000004">
      <c r="F67" s="44">
        <v>39052</v>
      </c>
      <c r="G67" s="52">
        <f t="shared" si="0"/>
        <v>-9.7397863234808941</v>
      </c>
      <c r="H67" s="45">
        <v>87</v>
      </c>
      <c r="I67" s="45">
        <v>93.3</v>
      </c>
      <c r="K67" s="53">
        <v>11.087288334485097</v>
      </c>
      <c r="L67" s="53"/>
      <c r="M67" s="53">
        <v>11.087288334485097</v>
      </c>
      <c r="N67" s="53"/>
      <c r="O67" s="53"/>
      <c r="P67" s="53"/>
      <c r="Q67" s="53"/>
      <c r="R67" s="53"/>
      <c r="S67" s="53"/>
      <c r="T67" s="53"/>
      <c r="U67" s="53"/>
      <c r="V67" s="53"/>
    </row>
    <row r="68" spans="6:22" x14ac:dyDescent="0.55000000000000004">
      <c r="F68" s="44">
        <v>39083</v>
      </c>
      <c r="G68" s="52">
        <f t="shared" si="0"/>
        <v>0</v>
      </c>
      <c r="H68" s="45">
        <v>87</v>
      </c>
      <c r="I68" s="45">
        <v>92.7</v>
      </c>
      <c r="K68" s="53">
        <v>0.56031776721630933</v>
      </c>
      <c r="L68" s="53"/>
      <c r="M68" s="53">
        <v>0.56031776721630933</v>
      </c>
      <c r="N68" s="53"/>
      <c r="O68" s="53"/>
      <c r="P68" s="53"/>
      <c r="Q68" s="53"/>
      <c r="R68" s="53"/>
      <c r="S68" s="53"/>
      <c r="T68" s="53"/>
      <c r="U68" s="53"/>
      <c r="V68" s="53"/>
    </row>
    <row r="69" spans="6:22" x14ac:dyDescent="0.55000000000000004">
      <c r="F69" s="44">
        <v>39114</v>
      </c>
      <c r="G69" s="52">
        <f t="shared" si="0"/>
        <v>-5.1898438127651367</v>
      </c>
      <c r="H69" s="45">
        <v>82.6</v>
      </c>
      <c r="I69" s="45">
        <v>93.9</v>
      </c>
      <c r="K69" s="53">
        <v>3.0830593286322228</v>
      </c>
      <c r="L69" s="53"/>
      <c r="M69" s="53">
        <v>3.0830593286322228</v>
      </c>
      <c r="N69" s="53"/>
      <c r="O69" s="53"/>
      <c r="P69" s="53"/>
      <c r="Q69" s="53"/>
      <c r="R69" s="53"/>
      <c r="S69" s="53"/>
      <c r="T69" s="53"/>
      <c r="U69" s="53"/>
      <c r="V69" s="53"/>
    </row>
    <row r="70" spans="6:22" x14ac:dyDescent="0.55000000000000004">
      <c r="F70" s="44">
        <v>39142</v>
      </c>
      <c r="G70" s="52">
        <f t="shared" si="0"/>
        <v>15.449652108956771</v>
      </c>
      <c r="H70" s="45">
        <v>96.4</v>
      </c>
      <c r="I70" s="45">
        <v>94.9</v>
      </c>
      <c r="K70" s="53">
        <v>-10.25404340464851</v>
      </c>
      <c r="L70" s="53"/>
      <c r="M70" s="53">
        <v>-10.25404340464851</v>
      </c>
      <c r="N70" s="53"/>
      <c r="O70" s="53"/>
      <c r="P70" s="53"/>
      <c r="Q70" s="53"/>
      <c r="R70" s="53"/>
      <c r="S70" s="53"/>
      <c r="T70" s="53"/>
      <c r="U70" s="53"/>
      <c r="V70" s="53"/>
    </row>
    <row r="71" spans="6:22" x14ac:dyDescent="0.55000000000000004">
      <c r="F71" s="44">
        <v>39173</v>
      </c>
      <c r="G71" s="52">
        <f t="shared" si="0"/>
        <v>-6.205198856756641</v>
      </c>
      <c r="H71" s="45">
        <v>90.6</v>
      </c>
      <c r="I71" s="45">
        <v>96</v>
      </c>
      <c r="K71" s="53">
        <v>4.0661109319364694</v>
      </c>
      <c r="L71" s="53"/>
      <c r="M71" s="53">
        <v>4.0661109319364694</v>
      </c>
      <c r="N71" s="53"/>
      <c r="O71" s="53"/>
      <c r="P71" s="53"/>
      <c r="Q71" s="53"/>
      <c r="R71" s="53"/>
      <c r="S71" s="53"/>
      <c r="T71" s="53"/>
      <c r="U71" s="53"/>
      <c r="V71" s="53"/>
    </row>
    <row r="72" spans="6:22" x14ac:dyDescent="0.55000000000000004">
      <c r="F72" s="44">
        <v>39203</v>
      </c>
      <c r="G72" s="52">
        <f t="shared" si="0"/>
        <v>9.7715472605574369</v>
      </c>
      <c r="H72" s="45">
        <v>99.9</v>
      </c>
      <c r="I72" s="45">
        <v>96.3</v>
      </c>
      <c r="K72" s="53">
        <v>-6.5188360987815841</v>
      </c>
      <c r="L72" s="53"/>
      <c r="M72" s="53">
        <v>-6.5188360987815841</v>
      </c>
      <c r="N72" s="53"/>
      <c r="O72" s="53"/>
      <c r="P72" s="53"/>
      <c r="Q72" s="53"/>
      <c r="R72" s="53"/>
      <c r="S72" s="53"/>
      <c r="T72" s="53"/>
      <c r="U72" s="53"/>
      <c r="V72" s="53"/>
    </row>
    <row r="73" spans="6:22" x14ac:dyDescent="0.55000000000000004">
      <c r="F73" s="44">
        <v>39234</v>
      </c>
      <c r="G73" s="52">
        <f t="shared" si="0"/>
        <v>-3.0490166757787276</v>
      </c>
      <c r="H73" s="45">
        <v>96.9</v>
      </c>
      <c r="I73" s="45">
        <v>97</v>
      </c>
      <c r="K73" s="53">
        <v>1.2423937236054152</v>
      </c>
      <c r="L73" s="53"/>
      <c r="M73" s="53">
        <v>1.2423937236054152</v>
      </c>
      <c r="N73" s="53"/>
      <c r="O73" s="53"/>
      <c r="P73" s="53"/>
      <c r="Q73" s="53"/>
      <c r="R73" s="53"/>
      <c r="S73" s="53"/>
      <c r="T73" s="53"/>
      <c r="U73" s="53"/>
      <c r="V73" s="53"/>
    </row>
    <row r="74" spans="6:22" x14ac:dyDescent="0.55000000000000004">
      <c r="F74" s="44">
        <v>39264</v>
      </c>
      <c r="G74" s="52">
        <f t="shared" ref="G74:G137" si="1">LN(H74/H73)*100</f>
        <v>2.9488664420697721</v>
      </c>
      <c r="H74" s="45">
        <v>99.8</v>
      </c>
      <c r="I74" s="45">
        <v>96.5</v>
      </c>
      <c r="K74" s="53">
        <v>-5.230121980229093</v>
      </c>
      <c r="L74" s="53"/>
      <c r="M74" s="53">
        <v>-5.230121980229093</v>
      </c>
      <c r="N74" s="53"/>
      <c r="O74" s="53"/>
      <c r="P74" s="53"/>
      <c r="Q74" s="53"/>
      <c r="R74" s="53"/>
      <c r="S74" s="53"/>
      <c r="T74" s="53"/>
      <c r="U74" s="53"/>
      <c r="V74" s="53"/>
    </row>
    <row r="75" spans="6:22" x14ac:dyDescent="0.55000000000000004">
      <c r="F75" s="44">
        <v>39295</v>
      </c>
      <c r="G75" s="52">
        <f t="shared" si="1"/>
        <v>4.9839332084833199</v>
      </c>
      <c r="H75" s="45">
        <v>104.9</v>
      </c>
      <c r="I75" s="45">
        <v>97.9</v>
      </c>
      <c r="K75" s="53">
        <v>-2.8037987156424928</v>
      </c>
      <c r="L75" s="53"/>
      <c r="M75" s="53">
        <v>-2.8037987156424928</v>
      </c>
      <c r="N75" s="53"/>
      <c r="O75" s="53"/>
      <c r="P75" s="53"/>
      <c r="Q75" s="53"/>
      <c r="R75" s="53"/>
      <c r="S75" s="53"/>
      <c r="T75" s="53"/>
      <c r="U75" s="53"/>
      <c r="V75" s="53"/>
    </row>
    <row r="76" spans="6:22" x14ac:dyDescent="0.55000000000000004">
      <c r="F76" s="44">
        <v>39326</v>
      </c>
      <c r="G76" s="52">
        <f t="shared" si="1"/>
        <v>-6.3966711344043752</v>
      </c>
      <c r="H76" s="45">
        <v>98.4</v>
      </c>
      <c r="I76" s="45">
        <v>97.2</v>
      </c>
      <c r="K76" s="53">
        <v>2.825211038783249</v>
      </c>
      <c r="L76" s="53"/>
      <c r="M76" s="53">
        <v>2.825211038783249</v>
      </c>
      <c r="N76" s="53"/>
      <c r="O76" s="53"/>
      <c r="P76" s="53"/>
      <c r="Q76" s="53"/>
      <c r="R76" s="53"/>
      <c r="S76" s="53"/>
      <c r="T76" s="53"/>
      <c r="U76" s="53"/>
      <c r="V76" s="53"/>
    </row>
    <row r="77" spans="6:22" x14ac:dyDescent="0.55000000000000004">
      <c r="F77" s="44">
        <v>39356</v>
      </c>
      <c r="G77" s="52">
        <f t="shared" si="1"/>
        <v>9.1236854416688988</v>
      </c>
      <c r="H77" s="45">
        <v>107.8</v>
      </c>
      <c r="I77" s="45">
        <v>99.5</v>
      </c>
      <c r="K77" s="53">
        <v>-3.5717329909907445</v>
      </c>
      <c r="L77" s="53"/>
      <c r="M77" s="53">
        <v>-3.5717329909907445</v>
      </c>
      <c r="N77" s="53"/>
      <c r="O77" s="53"/>
      <c r="P77" s="53"/>
      <c r="Q77" s="53"/>
      <c r="R77" s="53"/>
      <c r="S77" s="53"/>
      <c r="T77" s="53"/>
      <c r="U77" s="53"/>
      <c r="V77" s="53"/>
    </row>
    <row r="78" spans="6:22" x14ac:dyDescent="0.55000000000000004">
      <c r="F78" s="44">
        <v>39387</v>
      </c>
      <c r="G78" s="52">
        <f t="shared" si="1"/>
        <v>-5.1390945869489242</v>
      </c>
      <c r="H78" s="45">
        <v>102.4</v>
      </c>
      <c r="I78" s="45">
        <v>98.5</v>
      </c>
      <c r="K78" s="53">
        <v>5.542167953994479</v>
      </c>
      <c r="L78" s="53"/>
      <c r="M78" s="53">
        <v>5.542167953994479</v>
      </c>
      <c r="N78" s="53"/>
      <c r="O78" s="53"/>
      <c r="P78" s="53"/>
      <c r="Q78" s="53"/>
      <c r="R78" s="53"/>
      <c r="S78" s="53"/>
      <c r="T78" s="53"/>
      <c r="U78" s="53"/>
      <c r="V78" s="53"/>
    </row>
    <row r="79" spans="6:22" x14ac:dyDescent="0.55000000000000004">
      <c r="F79" s="44">
        <v>39417</v>
      </c>
      <c r="G79" s="52">
        <f t="shared" si="1"/>
        <v>-10.059757095327383</v>
      </c>
      <c r="H79" s="45">
        <v>92.6</v>
      </c>
      <c r="I79" s="45">
        <v>98.9</v>
      </c>
      <c r="K79" s="53">
        <v>11.087288334485097</v>
      </c>
      <c r="L79" s="53"/>
      <c r="M79" s="53">
        <v>11.087288334485097</v>
      </c>
      <c r="N79" s="53"/>
      <c r="O79" s="53"/>
      <c r="P79" s="53"/>
      <c r="Q79" s="53"/>
      <c r="R79" s="53"/>
      <c r="S79" s="53"/>
      <c r="T79" s="53"/>
      <c r="U79" s="53"/>
      <c r="V79" s="53"/>
    </row>
    <row r="80" spans="6:22" x14ac:dyDescent="0.55000000000000004">
      <c r="F80" s="44">
        <v>39448</v>
      </c>
      <c r="G80" s="52">
        <f t="shared" si="1"/>
        <v>2.3480267608842449</v>
      </c>
      <c r="H80" s="45">
        <v>94.8</v>
      </c>
      <c r="I80" s="45">
        <v>100.6</v>
      </c>
      <c r="K80" s="53">
        <v>0.5603177672163091</v>
      </c>
      <c r="L80" s="53"/>
      <c r="M80" s="53">
        <v>0.5603177672163091</v>
      </c>
      <c r="N80" s="53"/>
      <c r="O80" s="53"/>
      <c r="P80" s="53"/>
      <c r="Q80" s="53"/>
      <c r="R80" s="53"/>
      <c r="S80" s="53"/>
      <c r="T80" s="53"/>
      <c r="U80" s="53"/>
      <c r="V80" s="53"/>
    </row>
    <row r="81" spans="6:22" x14ac:dyDescent="0.55000000000000004">
      <c r="F81" s="44">
        <v>39479</v>
      </c>
      <c r="G81" s="52">
        <f t="shared" si="1"/>
        <v>-3.9811604995063505</v>
      </c>
      <c r="H81" s="45">
        <v>91.1</v>
      </c>
      <c r="I81" s="45">
        <v>100.2</v>
      </c>
      <c r="K81" s="53">
        <v>3.0830593286322228</v>
      </c>
      <c r="L81" s="53"/>
      <c r="M81" s="53">
        <v>3.0830593286322228</v>
      </c>
      <c r="N81" s="53"/>
      <c r="O81" s="53"/>
      <c r="P81" s="53"/>
      <c r="Q81" s="53"/>
      <c r="R81" s="53"/>
      <c r="S81" s="53"/>
      <c r="T81" s="53"/>
      <c r="U81" s="53"/>
      <c r="V81" s="53"/>
    </row>
    <row r="82" spans="6:22" x14ac:dyDescent="0.55000000000000004">
      <c r="F82" s="44">
        <v>39508</v>
      </c>
      <c r="G82" s="52">
        <f t="shared" si="1"/>
        <v>6.9943754782824428</v>
      </c>
      <c r="H82" s="45">
        <v>97.7</v>
      </c>
      <c r="I82" s="45">
        <v>100.5</v>
      </c>
      <c r="K82" s="53">
        <v>-10.25404340464851</v>
      </c>
      <c r="L82" s="53"/>
      <c r="M82" s="53">
        <v>-10.25404340464851</v>
      </c>
      <c r="N82" s="53"/>
      <c r="O82" s="53"/>
      <c r="P82" s="53"/>
      <c r="Q82" s="53"/>
      <c r="R82" s="53"/>
      <c r="S82" s="53"/>
      <c r="T82" s="53"/>
      <c r="U82" s="53"/>
      <c r="V82" s="53"/>
    </row>
    <row r="83" spans="6:22" x14ac:dyDescent="0.55000000000000004">
      <c r="F83" s="44">
        <v>39539</v>
      </c>
      <c r="G83" s="52">
        <f t="shared" si="1"/>
        <v>1.5236455242089986</v>
      </c>
      <c r="H83" s="45">
        <v>99.2</v>
      </c>
      <c r="I83" s="45">
        <v>100.4</v>
      </c>
      <c r="K83" s="53">
        <v>4.0661109319364694</v>
      </c>
      <c r="L83" s="53"/>
      <c r="M83" s="53">
        <v>4.0661109319364694</v>
      </c>
      <c r="N83" s="53"/>
      <c r="O83" s="53"/>
      <c r="P83" s="53"/>
      <c r="Q83" s="53"/>
      <c r="R83" s="53"/>
      <c r="S83" s="53"/>
      <c r="T83" s="53"/>
      <c r="U83" s="53"/>
      <c r="V83" s="53"/>
    </row>
    <row r="84" spans="6:22" x14ac:dyDescent="0.55000000000000004">
      <c r="F84" s="44">
        <v>39569</v>
      </c>
      <c r="G84" s="52">
        <f t="shared" si="1"/>
        <v>3.2724784287635709</v>
      </c>
      <c r="H84" s="45">
        <v>102.5</v>
      </c>
      <c r="I84" s="45">
        <v>101.1</v>
      </c>
      <c r="K84" s="53">
        <v>-6.5188360987815841</v>
      </c>
      <c r="L84" s="53"/>
      <c r="M84" s="53">
        <v>-6.5188360987815841</v>
      </c>
      <c r="N84" s="53"/>
      <c r="O84" s="53"/>
      <c r="P84" s="53"/>
      <c r="Q84" s="53"/>
      <c r="R84" s="53"/>
      <c r="S84" s="53"/>
      <c r="T84" s="53"/>
      <c r="U84" s="53"/>
      <c r="V84" s="53"/>
    </row>
    <row r="85" spans="6:22" x14ac:dyDescent="0.55000000000000004">
      <c r="F85" s="44">
        <v>39600</v>
      </c>
      <c r="G85" s="52">
        <f t="shared" si="1"/>
        <v>0.77745775471300005</v>
      </c>
      <c r="H85" s="45">
        <v>103.3</v>
      </c>
      <c r="I85" s="45">
        <v>102.9</v>
      </c>
      <c r="K85" s="53">
        <v>1.242393723605415</v>
      </c>
      <c r="L85" s="53"/>
      <c r="M85" s="53">
        <v>1.242393723605415</v>
      </c>
      <c r="N85" s="53"/>
      <c r="O85" s="53"/>
      <c r="P85" s="53"/>
      <c r="Q85" s="53"/>
      <c r="R85" s="53"/>
      <c r="S85" s="53"/>
      <c r="T85" s="53"/>
      <c r="U85" s="53"/>
      <c r="V85" s="53"/>
    </row>
    <row r="86" spans="6:22" x14ac:dyDescent="0.55000000000000004">
      <c r="F86" s="44">
        <v>39630</v>
      </c>
      <c r="G86" s="52">
        <f t="shared" si="1"/>
        <v>4.9112796854921346</v>
      </c>
      <c r="H86" s="45">
        <v>108.5</v>
      </c>
      <c r="I86" s="45">
        <v>103.2</v>
      </c>
      <c r="K86" s="53">
        <v>-5.230121980229093</v>
      </c>
      <c r="L86" s="53"/>
      <c r="M86" s="53">
        <v>-5.230121980229093</v>
      </c>
      <c r="N86" s="53"/>
      <c r="O86" s="53"/>
      <c r="P86" s="53"/>
      <c r="Q86" s="53"/>
      <c r="R86" s="53"/>
      <c r="S86" s="53"/>
      <c r="T86" s="53"/>
      <c r="U86" s="53"/>
      <c r="V86" s="53"/>
    </row>
    <row r="87" spans="6:22" x14ac:dyDescent="0.55000000000000004">
      <c r="F87" s="44">
        <v>39661</v>
      </c>
      <c r="G87" s="52">
        <f t="shared" si="1"/>
        <v>-1.4856354949514659</v>
      </c>
      <c r="H87" s="45">
        <v>106.9</v>
      </c>
      <c r="I87" s="45">
        <v>101.9</v>
      </c>
      <c r="K87" s="53">
        <v>-2.8037987156424924</v>
      </c>
      <c r="L87" s="53"/>
      <c r="M87" s="53">
        <v>-2.8037987156424924</v>
      </c>
      <c r="N87" s="53"/>
      <c r="O87" s="53"/>
      <c r="P87" s="53"/>
      <c r="Q87" s="53"/>
      <c r="R87" s="53"/>
      <c r="S87" s="53"/>
      <c r="T87" s="53"/>
      <c r="U87" s="53"/>
      <c r="V87" s="53"/>
    </row>
    <row r="88" spans="6:22" x14ac:dyDescent="0.55000000000000004">
      <c r="F88" s="44">
        <v>39692</v>
      </c>
      <c r="G88" s="52">
        <f t="shared" si="1"/>
        <v>0.37348316056530828</v>
      </c>
      <c r="H88" s="45">
        <v>107.3</v>
      </c>
      <c r="I88" s="45">
        <v>103.4</v>
      </c>
      <c r="K88" s="53">
        <v>2.825211038783249</v>
      </c>
      <c r="L88" s="53"/>
      <c r="M88" s="53">
        <v>2.825211038783249</v>
      </c>
      <c r="N88" s="53"/>
      <c r="O88" s="53"/>
      <c r="P88" s="53"/>
      <c r="Q88" s="53"/>
      <c r="R88" s="53"/>
      <c r="S88" s="53"/>
      <c r="T88" s="53"/>
      <c r="U88" s="53"/>
      <c r="V88" s="53"/>
    </row>
    <row r="89" spans="6:22" x14ac:dyDescent="0.55000000000000004">
      <c r="F89" s="44">
        <v>39722</v>
      </c>
      <c r="G89" s="52">
        <f t="shared" si="1"/>
        <v>1.0199439368893048</v>
      </c>
      <c r="H89" s="45">
        <v>108.4</v>
      </c>
      <c r="I89" s="45">
        <v>100.1</v>
      </c>
      <c r="K89" s="53">
        <v>-3.5717329909907445</v>
      </c>
      <c r="L89" s="53"/>
      <c r="M89" s="53">
        <v>-3.5717329909907445</v>
      </c>
      <c r="N89" s="53"/>
      <c r="O89" s="53"/>
      <c r="P89" s="53"/>
      <c r="Q89" s="53"/>
      <c r="R89" s="53"/>
      <c r="S89" s="53"/>
      <c r="T89" s="53"/>
      <c r="U89" s="53"/>
      <c r="V89" s="53"/>
    </row>
    <row r="90" spans="6:22" x14ac:dyDescent="0.55000000000000004">
      <c r="F90" s="44">
        <v>39753</v>
      </c>
      <c r="G90" s="52">
        <f t="shared" si="1"/>
        <v>-11.939873133388506</v>
      </c>
      <c r="H90" s="45">
        <v>96.2</v>
      </c>
      <c r="I90" s="45">
        <v>94.4</v>
      </c>
      <c r="K90" s="53">
        <v>5.542167953994479</v>
      </c>
      <c r="L90" s="53"/>
      <c r="M90" s="53">
        <v>5.542167953994479</v>
      </c>
      <c r="N90" s="53"/>
      <c r="O90" s="53"/>
      <c r="P90" s="53"/>
      <c r="Q90" s="53"/>
      <c r="R90" s="53"/>
      <c r="S90" s="53"/>
      <c r="T90" s="53"/>
      <c r="U90" s="53"/>
      <c r="V90" s="53"/>
    </row>
    <row r="91" spans="6:22" x14ac:dyDescent="0.55000000000000004">
      <c r="F91" s="44">
        <v>39783</v>
      </c>
      <c r="G91" s="52">
        <f t="shared" si="1"/>
        <v>-19.571648289805267</v>
      </c>
      <c r="H91" s="45">
        <v>79.099999999999994</v>
      </c>
      <c r="I91" s="45">
        <v>83.8</v>
      </c>
      <c r="K91" s="53">
        <v>11.087288334485097</v>
      </c>
      <c r="L91" s="53"/>
      <c r="M91" s="53">
        <v>11.087288334485097</v>
      </c>
      <c r="N91" s="53"/>
      <c r="O91" s="53"/>
      <c r="P91" s="53"/>
      <c r="Q91" s="53"/>
      <c r="R91" s="53"/>
      <c r="S91" s="53"/>
      <c r="T91" s="53"/>
      <c r="U91" s="53"/>
      <c r="V91" s="53"/>
    </row>
    <row r="92" spans="6:22" x14ac:dyDescent="0.55000000000000004">
      <c r="F92" s="44">
        <v>39814</v>
      </c>
      <c r="G92" s="52">
        <f t="shared" si="1"/>
        <v>-0.50697193502505111</v>
      </c>
      <c r="H92" s="45">
        <v>78.7</v>
      </c>
      <c r="I92" s="45">
        <v>85.6</v>
      </c>
      <c r="K92" s="53">
        <v>0.56031776721630933</v>
      </c>
      <c r="L92" s="53"/>
      <c r="M92" s="53">
        <v>0.56031776721630933</v>
      </c>
      <c r="N92" s="53"/>
      <c r="O92" s="53"/>
      <c r="P92" s="53"/>
      <c r="Q92" s="53"/>
      <c r="R92" s="53"/>
      <c r="S92" s="53"/>
      <c r="T92" s="53"/>
      <c r="U92" s="53"/>
      <c r="V92" s="53"/>
    </row>
    <row r="93" spans="6:22" x14ac:dyDescent="0.55000000000000004">
      <c r="F93" s="44">
        <v>39845</v>
      </c>
      <c r="G93" s="52">
        <f t="shared" si="1"/>
        <v>-3.3594890555717507</v>
      </c>
      <c r="H93" s="45">
        <v>76.099999999999994</v>
      </c>
      <c r="I93" s="45">
        <v>87.6</v>
      </c>
      <c r="K93" s="53">
        <v>3.0830593286322228</v>
      </c>
      <c r="L93" s="53"/>
      <c r="M93" s="53">
        <v>3.0830593286322228</v>
      </c>
      <c r="N93" s="53"/>
      <c r="O93" s="53"/>
      <c r="P93" s="53"/>
      <c r="Q93" s="53"/>
      <c r="R93" s="53"/>
      <c r="S93" s="53"/>
      <c r="T93" s="53"/>
      <c r="U93" s="53"/>
      <c r="V93" s="53"/>
    </row>
    <row r="94" spans="6:22" x14ac:dyDescent="0.55000000000000004">
      <c r="F94" s="44">
        <v>39873</v>
      </c>
      <c r="G94" s="52">
        <f t="shared" si="1"/>
        <v>15.208359274339509</v>
      </c>
      <c r="H94" s="45">
        <v>88.6</v>
      </c>
      <c r="I94" s="45">
        <v>88</v>
      </c>
      <c r="K94" s="53">
        <v>-10.25404340464851</v>
      </c>
      <c r="L94" s="53"/>
      <c r="M94" s="53">
        <v>-10.25404340464851</v>
      </c>
      <c r="N94" s="53"/>
      <c r="O94" s="53"/>
      <c r="P94" s="53"/>
      <c r="Q94" s="53"/>
      <c r="R94" s="53"/>
      <c r="S94" s="53"/>
      <c r="T94" s="53"/>
      <c r="U94" s="53"/>
      <c r="V94" s="53"/>
    </row>
    <row r="95" spans="6:22" x14ac:dyDescent="0.55000000000000004">
      <c r="F95" s="44">
        <v>39904</v>
      </c>
      <c r="G95" s="52">
        <f t="shared" si="1"/>
        <v>-3.9130423775765082</v>
      </c>
      <c r="H95" s="45">
        <v>85.2</v>
      </c>
      <c r="I95" s="45">
        <v>89</v>
      </c>
      <c r="K95" s="53">
        <v>4.0661109319364694</v>
      </c>
      <c r="L95" s="53"/>
      <c r="M95" s="53">
        <v>4.0661109319364694</v>
      </c>
      <c r="N95" s="53"/>
      <c r="O95" s="53"/>
      <c r="P95" s="53"/>
      <c r="Q95" s="53"/>
      <c r="R95" s="53"/>
      <c r="S95" s="53"/>
      <c r="T95" s="53"/>
      <c r="U95" s="53"/>
      <c r="V95" s="53"/>
    </row>
    <row r="96" spans="6:22" x14ac:dyDescent="0.55000000000000004">
      <c r="F96" s="44">
        <v>39934</v>
      </c>
      <c r="G96" s="52">
        <f t="shared" si="1"/>
        <v>6.9149353765652606</v>
      </c>
      <c r="H96" s="45">
        <v>91.3</v>
      </c>
      <c r="I96" s="45">
        <v>90.3</v>
      </c>
      <c r="K96" s="53">
        <v>-6.5188360987815841</v>
      </c>
      <c r="L96" s="53"/>
      <c r="M96" s="53">
        <v>-6.5188360987815841</v>
      </c>
      <c r="N96" s="53"/>
      <c r="O96" s="53"/>
      <c r="P96" s="53"/>
      <c r="Q96" s="53"/>
      <c r="R96" s="53"/>
      <c r="S96" s="53"/>
      <c r="T96" s="53"/>
      <c r="U96" s="53"/>
      <c r="V96" s="53"/>
    </row>
    <row r="97" spans="6:22" x14ac:dyDescent="0.55000000000000004">
      <c r="F97" s="44">
        <v>39965</v>
      </c>
      <c r="G97" s="52">
        <f t="shared" si="1"/>
        <v>0.98093429616254413</v>
      </c>
      <c r="H97" s="45">
        <v>92.2</v>
      </c>
      <c r="I97" s="45">
        <v>91.6</v>
      </c>
      <c r="K97" s="53">
        <v>1.242393723605415</v>
      </c>
      <c r="L97" s="53"/>
      <c r="M97" s="53">
        <v>1.242393723605415</v>
      </c>
      <c r="N97" s="53"/>
      <c r="O97" s="53"/>
      <c r="P97" s="53"/>
      <c r="Q97" s="53"/>
      <c r="R97" s="53"/>
      <c r="S97" s="53"/>
      <c r="T97" s="53"/>
      <c r="U97" s="53"/>
      <c r="V97" s="53"/>
    </row>
    <row r="98" spans="6:22" x14ac:dyDescent="0.55000000000000004">
      <c r="F98" s="44">
        <v>39995</v>
      </c>
      <c r="G98" s="52">
        <f t="shared" si="1"/>
        <v>5.7941428486188959</v>
      </c>
      <c r="H98" s="45">
        <v>97.7</v>
      </c>
      <c r="I98" s="45">
        <v>92.6</v>
      </c>
      <c r="K98" s="53">
        <v>-5.230121980229093</v>
      </c>
      <c r="L98" s="53"/>
      <c r="M98" s="53">
        <v>-5.230121980229093</v>
      </c>
      <c r="N98" s="53"/>
      <c r="O98" s="53"/>
      <c r="P98" s="53"/>
      <c r="Q98" s="53"/>
      <c r="R98" s="53"/>
      <c r="S98" s="53"/>
      <c r="T98" s="53"/>
      <c r="U98" s="53"/>
      <c r="V98" s="53"/>
    </row>
    <row r="99" spans="6:22" x14ac:dyDescent="0.55000000000000004">
      <c r="F99" s="44">
        <v>40026</v>
      </c>
      <c r="G99" s="52">
        <f t="shared" si="1"/>
        <v>1.9260605541815436</v>
      </c>
      <c r="H99" s="45">
        <v>99.6</v>
      </c>
      <c r="I99" s="45">
        <v>94</v>
      </c>
      <c r="K99" s="53">
        <v>-2.8037987156424928</v>
      </c>
      <c r="L99" s="53"/>
      <c r="M99" s="53">
        <v>-2.8037987156424928</v>
      </c>
      <c r="N99" s="53"/>
      <c r="O99" s="53"/>
      <c r="P99" s="53"/>
      <c r="Q99" s="53"/>
      <c r="R99" s="53"/>
      <c r="S99" s="53"/>
      <c r="T99" s="53"/>
      <c r="U99" s="53"/>
      <c r="V99" s="53"/>
    </row>
    <row r="100" spans="6:22" x14ac:dyDescent="0.55000000000000004">
      <c r="F100" s="44">
        <v>40057</v>
      </c>
      <c r="G100" s="52">
        <f t="shared" si="1"/>
        <v>-0.20100509280241119</v>
      </c>
      <c r="H100" s="45">
        <v>99.4</v>
      </c>
      <c r="I100" s="45">
        <v>95.6</v>
      </c>
      <c r="K100" s="53">
        <v>2.825211038783249</v>
      </c>
      <c r="L100" s="53"/>
      <c r="M100" s="53">
        <v>2.825211038783249</v>
      </c>
      <c r="N100" s="53"/>
      <c r="O100" s="53"/>
      <c r="P100" s="53"/>
      <c r="Q100" s="53"/>
      <c r="R100" s="53"/>
      <c r="S100" s="53"/>
      <c r="T100" s="53"/>
      <c r="U100" s="53"/>
      <c r="V100" s="53"/>
    </row>
    <row r="101" spans="6:22" x14ac:dyDescent="0.55000000000000004">
      <c r="F101" s="44">
        <v>40087</v>
      </c>
      <c r="G101" s="52">
        <f t="shared" si="1"/>
        <v>6.0506257609632605</v>
      </c>
      <c r="H101" s="45">
        <v>105.6</v>
      </c>
      <c r="I101" s="45">
        <v>97.3</v>
      </c>
      <c r="K101" s="53">
        <v>-3.5717329909907445</v>
      </c>
      <c r="L101" s="53"/>
      <c r="M101" s="53">
        <v>-3.5717329909907445</v>
      </c>
      <c r="N101" s="53"/>
      <c r="O101" s="53"/>
      <c r="P101" s="53"/>
      <c r="Q101" s="53"/>
      <c r="R101" s="53"/>
      <c r="S101" s="53"/>
      <c r="T101" s="53"/>
      <c r="U101" s="53"/>
      <c r="V101" s="53"/>
    </row>
    <row r="102" spans="6:22" x14ac:dyDescent="0.55000000000000004">
      <c r="F102" s="44">
        <v>40118</v>
      </c>
      <c r="G102" s="52">
        <f t="shared" si="1"/>
        <v>-4.0585280115078213</v>
      </c>
      <c r="H102" s="45">
        <v>101.4</v>
      </c>
      <c r="I102" s="45">
        <v>98.9</v>
      </c>
      <c r="K102" s="53">
        <v>5.542167953994479</v>
      </c>
      <c r="L102" s="53"/>
      <c r="M102" s="53">
        <v>5.542167953994479</v>
      </c>
      <c r="N102" s="53"/>
      <c r="O102" s="53"/>
      <c r="P102" s="53"/>
      <c r="Q102" s="53"/>
      <c r="R102" s="53"/>
      <c r="S102" s="53"/>
      <c r="T102" s="53"/>
      <c r="U102" s="53"/>
      <c r="V102" s="53"/>
    </row>
    <row r="103" spans="6:22" x14ac:dyDescent="0.55000000000000004">
      <c r="F103" s="44">
        <v>40148</v>
      </c>
      <c r="G103" s="52">
        <f t="shared" si="1"/>
        <v>-7.4715044565749</v>
      </c>
      <c r="H103" s="45">
        <v>94.1</v>
      </c>
      <c r="I103" s="45">
        <v>99.1</v>
      </c>
      <c r="K103" s="53">
        <v>11.087288334485097</v>
      </c>
      <c r="L103" s="53"/>
      <c r="M103" s="53">
        <v>11.087288334485097</v>
      </c>
      <c r="N103" s="53"/>
      <c r="O103" s="53"/>
      <c r="P103" s="53"/>
      <c r="Q103" s="53"/>
      <c r="R103" s="53"/>
      <c r="S103" s="53"/>
      <c r="T103" s="53"/>
      <c r="U103" s="53"/>
      <c r="V103" s="53"/>
    </row>
    <row r="104" spans="6:22" x14ac:dyDescent="0.55000000000000004">
      <c r="F104" s="44">
        <v>40179</v>
      </c>
      <c r="G104" s="52">
        <f t="shared" si="1"/>
        <v>-3.1303149511048107</v>
      </c>
      <c r="H104" s="45">
        <v>91.2</v>
      </c>
      <c r="I104" s="45">
        <v>100.7</v>
      </c>
      <c r="K104" s="53">
        <v>0.5603177672163091</v>
      </c>
      <c r="L104" s="53"/>
      <c r="M104" s="53">
        <v>0.5603177672163091</v>
      </c>
      <c r="N104" s="53"/>
      <c r="O104" s="53"/>
      <c r="P104" s="53"/>
      <c r="Q104" s="53"/>
      <c r="R104" s="53"/>
      <c r="S104" s="53"/>
      <c r="T104" s="53"/>
      <c r="U104" s="53"/>
      <c r="V104" s="53"/>
    </row>
    <row r="105" spans="6:22" x14ac:dyDescent="0.55000000000000004">
      <c r="F105" s="44">
        <v>40210</v>
      </c>
      <c r="G105" s="52">
        <f t="shared" si="1"/>
        <v>-2.4418527348145886</v>
      </c>
      <c r="H105" s="45">
        <v>89</v>
      </c>
      <c r="I105" s="45">
        <v>100.5</v>
      </c>
      <c r="K105" s="53">
        <v>3.0830593286322228</v>
      </c>
      <c r="L105" s="53"/>
      <c r="M105" s="53">
        <v>3.0830593286322228</v>
      </c>
      <c r="N105" s="53"/>
      <c r="O105" s="53"/>
      <c r="P105" s="53"/>
      <c r="Q105" s="53"/>
      <c r="R105" s="53"/>
      <c r="S105" s="53"/>
      <c r="T105" s="53"/>
      <c r="U105" s="53"/>
      <c r="V105" s="53"/>
    </row>
    <row r="106" spans="6:22" x14ac:dyDescent="0.55000000000000004">
      <c r="F106" s="44">
        <v>40238</v>
      </c>
      <c r="G106" s="52">
        <f t="shared" si="1"/>
        <v>16.627590815076555</v>
      </c>
      <c r="H106" s="45">
        <v>105.1</v>
      </c>
      <c r="I106" s="45">
        <v>103</v>
      </c>
      <c r="K106" s="53">
        <v>-10.25404340464851</v>
      </c>
      <c r="L106" s="53"/>
      <c r="M106" s="53">
        <v>-10.25404340464851</v>
      </c>
      <c r="N106" s="53"/>
      <c r="O106" s="53"/>
      <c r="P106" s="53"/>
      <c r="Q106" s="53"/>
      <c r="R106" s="53"/>
      <c r="S106" s="53"/>
      <c r="T106" s="53"/>
      <c r="U106" s="53"/>
      <c r="V106" s="53"/>
    </row>
    <row r="107" spans="6:22" x14ac:dyDescent="0.55000000000000004">
      <c r="F107" s="44">
        <v>40269</v>
      </c>
      <c r="G107" s="52">
        <f t="shared" si="1"/>
        <v>-5.6766706831778553</v>
      </c>
      <c r="H107" s="45">
        <v>99.3</v>
      </c>
      <c r="I107" s="45">
        <v>103.2</v>
      </c>
      <c r="K107" s="53">
        <v>4.0661109319364694</v>
      </c>
      <c r="L107" s="53"/>
      <c r="M107" s="53">
        <v>4.0661109319364694</v>
      </c>
      <c r="N107" s="53"/>
      <c r="O107" s="53"/>
      <c r="P107" s="53"/>
      <c r="Q107" s="53"/>
      <c r="R107" s="53"/>
      <c r="S107" s="53"/>
      <c r="T107" s="53"/>
      <c r="U107" s="53"/>
      <c r="V107" s="53"/>
    </row>
    <row r="108" spans="6:22" x14ac:dyDescent="0.55000000000000004">
      <c r="F108" s="44">
        <v>40299</v>
      </c>
      <c r="G108" s="52">
        <f t="shared" si="1"/>
        <v>4.9125790955599946</v>
      </c>
      <c r="H108" s="45">
        <v>104.3</v>
      </c>
      <c r="I108" s="45">
        <v>103</v>
      </c>
      <c r="K108" s="53">
        <v>-6.5188360987815841</v>
      </c>
      <c r="L108" s="53"/>
      <c r="M108" s="53">
        <v>-6.5188360987815841</v>
      </c>
      <c r="N108" s="53"/>
      <c r="O108" s="53"/>
      <c r="P108" s="53"/>
      <c r="Q108" s="53"/>
      <c r="R108" s="53"/>
      <c r="S108" s="53"/>
      <c r="T108" s="53"/>
      <c r="U108" s="53"/>
      <c r="V108" s="53"/>
    </row>
    <row r="109" spans="6:22" x14ac:dyDescent="0.55000000000000004">
      <c r="F109" s="44">
        <v>40330</v>
      </c>
      <c r="G109" s="52">
        <f t="shared" si="1"/>
        <v>-1.7408563428263819</v>
      </c>
      <c r="H109" s="45">
        <v>102.5</v>
      </c>
      <c r="I109" s="45">
        <v>102.3</v>
      </c>
      <c r="K109" s="53">
        <v>1.2423937236054152</v>
      </c>
      <c r="L109" s="53"/>
      <c r="M109" s="53">
        <v>1.2423937236054152</v>
      </c>
      <c r="N109" s="53"/>
      <c r="O109" s="53"/>
      <c r="P109" s="53"/>
      <c r="Q109" s="53"/>
      <c r="R109" s="53"/>
      <c r="S109" s="53"/>
      <c r="T109" s="53"/>
      <c r="U109" s="53"/>
      <c r="V109" s="53"/>
    </row>
    <row r="110" spans="6:22" x14ac:dyDescent="0.55000000000000004">
      <c r="F110" s="44">
        <v>40360</v>
      </c>
      <c r="G110" s="52">
        <f t="shared" si="1"/>
        <v>4.2031019452536711</v>
      </c>
      <c r="H110" s="45">
        <v>106.9</v>
      </c>
      <c r="I110" s="45">
        <v>101.8</v>
      </c>
      <c r="K110" s="53">
        <v>-5.230121980229093</v>
      </c>
      <c r="L110" s="53"/>
      <c r="M110" s="53">
        <v>-5.230121980229093</v>
      </c>
      <c r="N110" s="53"/>
      <c r="O110" s="53"/>
      <c r="P110" s="53"/>
      <c r="Q110" s="53"/>
      <c r="R110" s="53"/>
      <c r="S110" s="53"/>
      <c r="T110" s="53"/>
      <c r="U110" s="53"/>
      <c r="V110" s="53"/>
    </row>
    <row r="111" spans="6:22" x14ac:dyDescent="0.55000000000000004">
      <c r="F111" s="44">
        <v>40391</v>
      </c>
      <c r="G111" s="52">
        <f t="shared" si="1"/>
        <v>1.1162906614163006</v>
      </c>
      <c r="H111" s="45">
        <v>108.1</v>
      </c>
      <c r="I111" s="45">
        <v>101.4</v>
      </c>
      <c r="K111" s="53">
        <v>-2.8037987156424928</v>
      </c>
      <c r="L111" s="53"/>
      <c r="M111" s="53">
        <v>-2.8037987156424928</v>
      </c>
      <c r="N111" s="53"/>
      <c r="O111" s="53"/>
      <c r="P111" s="53"/>
      <c r="Q111" s="53"/>
      <c r="R111" s="53"/>
      <c r="S111" s="53"/>
      <c r="T111" s="53"/>
      <c r="U111" s="53"/>
      <c r="V111" s="53"/>
    </row>
    <row r="112" spans="6:22" x14ac:dyDescent="0.55000000000000004">
      <c r="F112" s="44">
        <v>40422</v>
      </c>
      <c r="G112" s="52">
        <f t="shared" si="1"/>
        <v>-2.1506205220963506</v>
      </c>
      <c r="H112" s="45">
        <v>105.8</v>
      </c>
      <c r="I112" s="45">
        <v>101.6</v>
      </c>
      <c r="K112" s="53">
        <v>2.825211038783249</v>
      </c>
      <c r="L112" s="53"/>
      <c r="M112" s="53">
        <v>2.825211038783249</v>
      </c>
      <c r="N112" s="53"/>
      <c r="O112" s="53"/>
      <c r="P112" s="53"/>
      <c r="Q112" s="53"/>
      <c r="R112" s="53"/>
      <c r="S112" s="53"/>
      <c r="T112" s="53"/>
      <c r="U112" s="53"/>
      <c r="V112" s="53"/>
    </row>
    <row r="113" spans="6:22" x14ac:dyDescent="0.55000000000000004">
      <c r="F113" s="44">
        <v>40452</v>
      </c>
      <c r="G113" s="52">
        <f t="shared" si="1"/>
        <v>1.779906473814393</v>
      </c>
      <c r="H113" s="45">
        <v>107.7</v>
      </c>
      <c r="I113" s="45">
        <v>101.3</v>
      </c>
      <c r="K113" s="53">
        <v>-3.5717329909907445</v>
      </c>
      <c r="L113" s="53"/>
      <c r="M113" s="53">
        <v>-3.5717329909907445</v>
      </c>
      <c r="N113" s="53"/>
      <c r="O113" s="53"/>
      <c r="P113" s="53"/>
      <c r="Q113" s="53"/>
      <c r="R113" s="53"/>
      <c r="S113" s="53"/>
      <c r="T113" s="53"/>
      <c r="U113" s="53"/>
      <c r="V113" s="53"/>
    </row>
    <row r="114" spans="6:22" x14ac:dyDescent="0.55000000000000004">
      <c r="F114" s="44">
        <v>40483</v>
      </c>
      <c r="G114" s="52">
        <f t="shared" si="1"/>
        <v>-0.83916576362485129</v>
      </c>
      <c r="H114" s="45">
        <v>106.8</v>
      </c>
      <c r="I114" s="45">
        <v>102.2</v>
      </c>
      <c r="K114" s="53">
        <v>5.542167953994479</v>
      </c>
      <c r="L114" s="53"/>
      <c r="M114" s="53">
        <v>5.542167953994479</v>
      </c>
      <c r="N114" s="53"/>
      <c r="O114" s="53"/>
      <c r="P114" s="53"/>
      <c r="Q114" s="53"/>
      <c r="R114" s="53"/>
      <c r="S114" s="53"/>
      <c r="T114" s="53"/>
      <c r="U114" s="53"/>
      <c r="V114" s="53"/>
    </row>
    <row r="115" spans="6:22" x14ac:dyDescent="0.55000000000000004">
      <c r="F115" s="44">
        <v>40513</v>
      </c>
      <c r="G115" s="52">
        <f t="shared" si="1"/>
        <v>-10.037918530762216</v>
      </c>
      <c r="H115" s="45">
        <v>96.6</v>
      </c>
      <c r="I115" s="45">
        <v>102.6</v>
      </c>
      <c r="K115" s="53">
        <v>11.087288334485097</v>
      </c>
      <c r="L115" s="53"/>
      <c r="M115" s="53">
        <v>11.087288334485097</v>
      </c>
      <c r="N115" s="53"/>
      <c r="O115" s="53"/>
      <c r="P115" s="53"/>
      <c r="Q115" s="53"/>
      <c r="R115" s="53"/>
      <c r="S115" s="53"/>
      <c r="T115" s="53"/>
      <c r="U115" s="53"/>
      <c r="V115" s="53"/>
    </row>
    <row r="116" spans="6:22" x14ac:dyDescent="0.55000000000000004">
      <c r="F116" s="44">
        <v>40544</v>
      </c>
      <c r="G116" s="52">
        <f t="shared" si="1"/>
        <v>-3.5831019526926728</v>
      </c>
      <c r="H116" s="45">
        <v>93.2</v>
      </c>
      <c r="I116" s="45">
        <v>102.8</v>
      </c>
      <c r="K116" s="53">
        <v>0.5603177672163091</v>
      </c>
      <c r="L116" s="53"/>
      <c r="M116" s="53">
        <v>0.5603177672163091</v>
      </c>
      <c r="N116" s="53"/>
      <c r="O116" s="53"/>
      <c r="P116" s="53"/>
      <c r="Q116" s="53"/>
      <c r="R116" s="53"/>
      <c r="S116" s="53"/>
      <c r="T116" s="53"/>
      <c r="U116" s="53"/>
      <c r="V116" s="53"/>
    </row>
    <row r="117" spans="6:22" x14ac:dyDescent="0.55000000000000004">
      <c r="F117" s="44">
        <v>40575</v>
      </c>
      <c r="G117" s="52">
        <f t="shared" si="1"/>
        <v>2.3330856762695267</v>
      </c>
      <c r="H117" s="45">
        <v>95.4</v>
      </c>
      <c r="I117" s="45">
        <v>104.2</v>
      </c>
      <c r="K117" s="53">
        <v>3.0830593286322228</v>
      </c>
      <c r="L117" s="53"/>
      <c r="M117" s="53">
        <v>3.0830593286322228</v>
      </c>
      <c r="N117" s="53"/>
      <c r="O117" s="53"/>
      <c r="P117" s="53"/>
      <c r="Q117" s="53"/>
      <c r="R117" s="53"/>
      <c r="S117" s="53"/>
      <c r="T117" s="53"/>
      <c r="U117" s="53"/>
      <c r="V117" s="53"/>
    </row>
    <row r="118" spans="6:22" x14ac:dyDescent="0.55000000000000004">
      <c r="F118" s="44">
        <v>40603</v>
      </c>
      <c r="G118" s="52">
        <f t="shared" si="1"/>
        <v>9.0151096994297486</v>
      </c>
      <c r="H118" s="45">
        <v>104.4</v>
      </c>
      <c r="I118" s="45">
        <v>104.8</v>
      </c>
      <c r="K118" s="53">
        <v>-10.25404340464851</v>
      </c>
      <c r="L118" s="53"/>
      <c r="M118" s="53">
        <v>-10.25404340464851</v>
      </c>
      <c r="N118" s="53"/>
      <c r="O118" s="53"/>
      <c r="P118" s="53"/>
      <c r="Q118" s="53"/>
      <c r="R118" s="53"/>
      <c r="S118" s="53"/>
      <c r="T118" s="53"/>
      <c r="U118" s="53"/>
      <c r="V118" s="53"/>
    </row>
    <row r="119" spans="6:22" x14ac:dyDescent="0.55000000000000004">
      <c r="F119" s="44">
        <v>40634</v>
      </c>
      <c r="G119" s="52">
        <f t="shared" si="1"/>
        <v>-6.8377297444736849</v>
      </c>
      <c r="H119" s="45">
        <v>97.5</v>
      </c>
      <c r="I119" s="45">
        <v>102.1</v>
      </c>
      <c r="K119" s="53">
        <v>4.0661109319364694</v>
      </c>
      <c r="L119" s="53"/>
      <c r="M119" s="53">
        <v>4.0661109319364694</v>
      </c>
      <c r="N119" s="53"/>
      <c r="O119" s="53"/>
      <c r="P119" s="53"/>
      <c r="Q119" s="53"/>
      <c r="R119" s="53"/>
      <c r="S119" s="53"/>
      <c r="T119" s="53"/>
      <c r="U119" s="53"/>
      <c r="V119" s="53"/>
    </row>
    <row r="120" spans="6:22" x14ac:dyDescent="0.55000000000000004">
      <c r="F120" s="44">
        <v>40664</v>
      </c>
      <c r="G120" s="52">
        <f t="shared" si="1"/>
        <v>9.3910599449901522</v>
      </c>
      <c r="H120" s="45">
        <v>107.1</v>
      </c>
      <c r="I120" s="45">
        <v>105.2</v>
      </c>
      <c r="K120" s="53">
        <v>-6.5188360987815841</v>
      </c>
      <c r="L120" s="53"/>
      <c r="M120" s="53">
        <v>-6.5188360987815841</v>
      </c>
      <c r="N120" s="53"/>
      <c r="O120" s="53"/>
      <c r="P120" s="53"/>
      <c r="Q120" s="53"/>
      <c r="R120" s="53"/>
      <c r="S120" s="53"/>
      <c r="T120" s="53"/>
      <c r="U120" s="53"/>
      <c r="V120" s="53"/>
    </row>
    <row r="121" spans="6:22" x14ac:dyDescent="0.55000000000000004">
      <c r="F121" s="44">
        <v>40695</v>
      </c>
      <c r="G121" s="52">
        <f t="shared" si="1"/>
        <v>-4.0977624432638322</v>
      </c>
      <c r="H121" s="45">
        <v>102.8</v>
      </c>
      <c r="I121" s="45">
        <v>102.7</v>
      </c>
      <c r="K121" s="53">
        <v>1.2423937236054154</v>
      </c>
      <c r="L121" s="53"/>
      <c r="M121" s="53">
        <v>1.2423937236054154</v>
      </c>
      <c r="N121" s="53"/>
      <c r="O121" s="53"/>
      <c r="P121" s="53"/>
      <c r="Q121" s="53"/>
      <c r="R121" s="53"/>
      <c r="S121" s="53"/>
      <c r="T121" s="53"/>
      <c r="U121" s="53"/>
      <c r="V121" s="53"/>
    </row>
    <row r="122" spans="6:22" x14ac:dyDescent="0.55000000000000004">
      <c r="F122" s="44">
        <v>40725</v>
      </c>
      <c r="G122" s="52">
        <f t="shared" si="1"/>
        <v>3.1596692598872607</v>
      </c>
      <c r="H122" s="45">
        <v>106.1</v>
      </c>
      <c r="I122" s="45">
        <v>103.1</v>
      </c>
      <c r="K122" s="53">
        <v>-5.230121980229093</v>
      </c>
      <c r="L122" s="53"/>
      <c r="M122" s="53">
        <v>-5.230121980229093</v>
      </c>
      <c r="N122" s="53"/>
      <c r="O122" s="53"/>
      <c r="P122" s="53"/>
      <c r="Q122" s="53"/>
      <c r="R122" s="53"/>
      <c r="S122" s="53"/>
      <c r="T122" s="53"/>
      <c r="U122" s="53"/>
      <c r="V122" s="53"/>
    </row>
    <row r="123" spans="6:22" x14ac:dyDescent="0.55000000000000004">
      <c r="F123" s="44">
        <v>40756</v>
      </c>
      <c r="G123" s="52">
        <f t="shared" si="1"/>
        <v>4.3344728693245962</v>
      </c>
      <c r="H123" s="45">
        <v>110.8</v>
      </c>
      <c r="I123" s="45">
        <v>102.1</v>
      </c>
      <c r="K123" s="53">
        <v>-2.8037987156424928</v>
      </c>
      <c r="L123" s="53"/>
      <c r="M123" s="53">
        <v>-2.8037987156424928</v>
      </c>
      <c r="N123" s="53"/>
      <c r="O123" s="53"/>
      <c r="P123" s="53"/>
      <c r="Q123" s="53"/>
      <c r="R123" s="53"/>
      <c r="S123" s="53"/>
      <c r="T123" s="53"/>
      <c r="U123" s="53"/>
      <c r="V123" s="53"/>
    </row>
    <row r="124" spans="6:22" x14ac:dyDescent="0.55000000000000004">
      <c r="F124" s="44">
        <v>40787</v>
      </c>
      <c r="G124" s="52">
        <f t="shared" si="1"/>
        <v>-5.5673002426241638</v>
      </c>
      <c r="H124" s="45">
        <v>104.8</v>
      </c>
      <c r="I124" s="45">
        <v>100.2</v>
      </c>
      <c r="K124" s="53">
        <v>2.825211038783249</v>
      </c>
      <c r="L124" s="53"/>
      <c r="M124" s="53">
        <v>2.825211038783249</v>
      </c>
      <c r="N124" s="53"/>
      <c r="O124" s="53"/>
      <c r="P124" s="53"/>
      <c r="Q124" s="53"/>
      <c r="R124" s="53"/>
      <c r="S124" s="53"/>
      <c r="T124" s="53"/>
      <c r="U124" s="53"/>
      <c r="V124" s="53"/>
    </row>
    <row r="125" spans="6:22" x14ac:dyDescent="0.55000000000000004">
      <c r="F125" s="44">
        <v>40817</v>
      </c>
      <c r="G125" s="52">
        <f t="shared" si="1"/>
        <v>1.4211513460960548</v>
      </c>
      <c r="H125" s="45">
        <v>106.3</v>
      </c>
      <c r="I125" s="45">
        <v>99.2</v>
      </c>
      <c r="K125" s="53">
        <v>-3.5717329909907445</v>
      </c>
      <c r="L125" s="53"/>
      <c r="M125" s="53">
        <v>-3.5717329909907445</v>
      </c>
      <c r="N125" s="53"/>
      <c r="O125" s="53"/>
      <c r="P125" s="53"/>
      <c r="Q125" s="53"/>
      <c r="R125" s="53"/>
      <c r="S125" s="53"/>
      <c r="T125" s="53"/>
      <c r="U125" s="53"/>
      <c r="V125" s="53"/>
    </row>
    <row r="126" spans="6:22" x14ac:dyDescent="0.55000000000000004">
      <c r="F126" s="44">
        <v>40848</v>
      </c>
      <c r="G126" s="52">
        <f t="shared" si="1"/>
        <v>-1.9953156028635677</v>
      </c>
      <c r="H126" s="45">
        <v>104.2</v>
      </c>
      <c r="I126" s="45">
        <v>99.9</v>
      </c>
      <c r="K126" s="53">
        <v>5.542167953994479</v>
      </c>
      <c r="L126" s="53"/>
      <c r="M126" s="53">
        <v>5.542167953994479</v>
      </c>
      <c r="N126" s="53"/>
      <c r="O126" s="53"/>
      <c r="P126" s="53"/>
      <c r="Q126" s="53"/>
      <c r="R126" s="53"/>
      <c r="S126" s="53"/>
      <c r="T126" s="53"/>
      <c r="U126" s="53"/>
      <c r="V126" s="53"/>
    </row>
    <row r="127" spans="6:22" x14ac:dyDescent="0.55000000000000004">
      <c r="F127" s="44">
        <v>40878</v>
      </c>
      <c r="G127" s="52">
        <f t="shared" si="1"/>
        <v>-8.5093830860358022</v>
      </c>
      <c r="H127" s="45">
        <v>95.7</v>
      </c>
      <c r="I127" s="45">
        <v>102.5</v>
      </c>
      <c r="K127" s="53">
        <v>11.087288334485097</v>
      </c>
      <c r="L127" s="53"/>
      <c r="M127" s="53">
        <v>11.087288334485097</v>
      </c>
      <c r="N127" s="53"/>
      <c r="O127" s="53"/>
      <c r="P127" s="53"/>
      <c r="Q127" s="53"/>
      <c r="R127" s="53"/>
      <c r="S127" s="53"/>
      <c r="T127" s="53"/>
      <c r="U127" s="53"/>
      <c r="V127" s="53"/>
    </row>
    <row r="128" spans="6:22" x14ac:dyDescent="0.55000000000000004">
      <c r="F128" s="44">
        <v>40909</v>
      </c>
      <c r="G128" s="52">
        <f t="shared" si="1"/>
        <v>-7.5958409143374785</v>
      </c>
      <c r="H128" s="45">
        <v>88.7</v>
      </c>
      <c r="I128" s="45">
        <v>98</v>
      </c>
      <c r="K128" s="53">
        <v>0.56031776721630955</v>
      </c>
      <c r="L128" s="53"/>
      <c r="M128" s="53">
        <v>0.56031776721630955</v>
      </c>
      <c r="N128" s="53"/>
      <c r="O128" s="53"/>
      <c r="P128" s="53"/>
      <c r="Q128" s="53"/>
      <c r="R128" s="53"/>
      <c r="S128" s="53"/>
      <c r="T128" s="53"/>
      <c r="U128" s="53"/>
      <c r="V128" s="53"/>
    </row>
    <row r="129" spans="6:22" x14ac:dyDescent="0.55000000000000004">
      <c r="F129" s="44">
        <v>40940</v>
      </c>
      <c r="G129" s="52">
        <f t="shared" si="1"/>
        <v>1.2325085992620033</v>
      </c>
      <c r="H129" s="45">
        <v>89.8</v>
      </c>
      <c r="I129" s="45">
        <v>99</v>
      </c>
      <c r="K129" s="53">
        <v>3.0830593286322228</v>
      </c>
      <c r="L129" s="53"/>
      <c r="M129" s="53">
        <v>3.0830593286322228</v>
      </c>
      <c r="N129" s="53"/>
      <c r="O129" s="53"/>
      <c r="P129" s="53"/>
      <c r="Q129" s="53"/>
      <c r="R129" s="53"/>
      <c r="S129" s="53"/>
      <c r="T129" s="53"/>
      <c r="U129" s="53"/>
      <c r="V129" s="53"/>
    </row>
    <row r="130" spans="6:22" x14ac:dyDescent="0.55000000000000004">
      <c r="F130" s="44">
        <v>40969</v>
      </c>
      <c r="G130" s="52">
        <f t="shared" si="1"/>
        <v>10.458070165963877</v>
      </c>
      <c r="H130" s="45">
        <v>99.7</v>
      </c>
      <c r="I130" s="45">
        <v>98.3</v>
      </c>
      <c r="K130" s="53">
        <v>-10.25404340464851</v>
      </c>
      <c r="L130" s="53"/>
      <c r="M130" s="53">
        <v>-10.25404340464851</v>
      </c>
      <c r="N130" s="53"/>
      <c r="O130" s="53"/>
      <c r="P130" s="53"/>
      <c r="Q130" s="53"/>
      <c r="R130" s="53"/>
      <c r="S130" s="53"/>
      <c r="T130" s="53"/>
      <c r="U130" s="53"/>
      <c r="V130" s="53"/>
    </row>
    <row r="131" spans="6:22" x14ac:dyDescent="0.55000000000000004">
      <c r="F131" s="44">
        <v>41000</v>
      </c>
      <c r="G131" s="52">
        <f t="shared" si="1"/>
        <v>-7.1719037175637768</v>
      </c>
      <c r="H131" s="45">
        <v>92.8</v>
      </c>
      <c r="I131" s="45">
        <v>98.5</v>
      </c>
      <c r="K131" s="53">
        <v>4.0661109319364694</v>
      </c>
      <c r="L131" s="53"/>
      <c r="M131" s="53">
        <v>4.0661109319364694</v>
      </c>
      <c r="N131" s="53"/>
      <c r="O131" s="53"/>
      <c r="P131" s="53"/>
      <c r="Q131" s="53"/>
      <c r="R131" s="53"/>
      <c r="S131" s="53"/>
      <c r="T131" s="53"/>
      <c r="U131" s="53"/>
      <c r="V131" s="53"/>
    </row>
    <row r="132" spans="6:22" x14ac:dyDescent="0.55000000000000004">
      <c r="F132" s="44">
        <v>41030</v>
      </c>
      <c r="G132" s="52">
        <f t="shared" si="1"/>
        <v>9.9416158786307989</v>
      </c>
      <c r="H132" s="45">
        <v>102.5</v>
      </c>
      <c r="I132" s="45">
        <v>98.9</v>
      </c>
      <c r="K132" s="53">
        <v>-6.5188360987815841</v>
      </c>
      <c r="L132" s="53"/>
      <c r="M132" s="53">
        <v>-6.5188360987815841</v>
      </c>
      <c r="N132" s="53"/>
      <c r="O132" s="53"/>
      <c r="P132" s="53"/>
      <c r="Q132" s="53"/>
      <c r="R132" s="53"/>
      <c r="S132" s="53"/>
      <c r="T132" s="53"/>
      <c r="U132" s="53"/>
      <c r="V132" s="53"/>
    </row>
    <row r="133" spans="6:22" x14ac:dyDescent="0.55000000000000004">
      <c r="F133" s="44">
        <v>41061</v>
      </c>
      <c r="G133" s="52">
        <f t="shared" si="1"/>
        <v>-4.1838771425342038</v>
      </c>
      <c r="H133" s="45">
        <v>98.3</v>
      </c>
      <c r="I133" s="45">
        <v>99</v>
      </c>
      <c r="K133" s="53">
        <v>1.2423937236054154</v>
      </c>
      <c r="L133" s="53"/>
      <c r="M133" s="53">
        <v>1.2423937236054154</v>
      </c>
      <c r="N133" s="53"/>
      <c r="O133" s="53"/>
      <c r="P133" s="53"/>
      <c r="Q133" s="53"/>
      <c r="R133" s="53"/>
      <c r="S133" s="53"/>
      <c r="T133" s="53"/>
      <c r="U133" s="53"/>
      <c r="V133" s="53"/>
    </row>
    <row r="134" spans="6:22" x14ac:dyDescent="0.55000000000000004">
      <c r="F134" s="44">
        <v>41091</v>
      </c>
      <c r="G134" s="52">
        <f t="shared" si="1"/>
        <v>6.1163044251744862</v>
      </c>
      <c r="H134" s="45">
        <v>104.5</v>
      </c>
      <c r="I134" s="45">
        <v>100.5</v>
      </c>
      <c r="K134" s="53">
        <v>-5.230121980229093</v>
      </c>
      <c r="L134" s="53"/>
      <c r="M134" s="53">
        <v>-5.230121980229093</v>
      </c>
      <c r="N134" s="53"/>
      <c r="O134" s="53"/>
      <c r="P134" s="53"/>
      <c r="Q134" s="53"/>
      <c r="R134" s="53"/>
      <c r="S134" s="53"/>
      <c r="T134" s="53"/>
      <c r="U134" s="53"/>
      <c r="V134" s="53"/>
    </row>
    <row r="135" spans="6:22" x14ac:dyDescent="0.55000000000000004">
      <c r="F135" s="44">
        <v>41122</v>
      </c>
      <c r="G135" s="52">
        <f t="shared" si="1"/>
        <v>6.4837519495307667</v>
      </c>
      <c r="H135" s="45">
        <v>111.5</v>
      </c>
      <c r="I135" s="45">
        <v>102.5</v>
      </c>
      <c r="K135" s="53">
        <v>-2.8037987156424928</v>
      </c>
      <c r="L135" s="53"/>
      <c r="M135" s="53">
        <v>-2.8037987156424928</v>
      </c>
      <c r="N135" s="53"/>
      <c r="O135" s="53"/>
      <c r="P135" s="53"/>
      <c r="Q135" s="53"/>
      <c r="R135" s="53"/>
      <c r="S135" s="53"/>
      <c r="T135" s="53"/>
      <c r="U135" s="53"/>
      <c r="V135" s="53"/>
    </row>
    <row r="136" spans="6:22" x14ac:dyDescent="0.55000000000000004">
      <c r="F136" s="44">
        <v>41153</v>
      </c>
      <c r="G136" s="52">
        <f t="shared" si="1"/>
        <v>-7.5419628825844658</v>
      </c>
      <c r="H136" s="45">
        <v>103.4</v>
      </c>
      <c r="I136" s="45">
        <v>100.6</v>
      </c>
      <c r="K136" s="53">
        <v>2.825211038783249</v>
      </c>
      <c r="L136" s="53"/>
      <c r="M136" s="53">
        <v>2.825211038783249</v>
      </c>
      <c r="N136" s="53"/>
      <c r="O136" s="53"/>
      <c r="P136" s="53"/>
      <c r="Q136" s="53"/>
      <c r="R136" s="53"/>
      <c r="S136" s="53"/>
      <c r="T136" s="53"/>
      <c r="U136" s="53"/>
      <c r="V136" s="53"/>
    </row>
    <row r="137" spans="6:22" x14ac:dyDescent="0.55000000000000004">
      <c r="F137" s="44">
        <v>41183</v>
      </c>
      <c r="G137" s="52">
        <f t="shared" si="1"/>
        <v>7.8106598646669854</v>
      </c>
      <c r="H137" s="45">
        <v>111.8</v>
      </c>
      <c r="I137" s="45">
        <v>102.1</v>
      </c>
      <c r="K137" s="53">
        <v>-3.5717329909907445</v>
      </c>
      <c r="L137" s="53"/>
      <c r="M137" s="53">
        <v>-3.5717329909907445</v>
      </c>
      <c r="N137" s="53"/>
      <c r="O137" s="53"/>
      <c r="P137" s="53"/>
      <c r="Q137" s="53"/>
      <c r="R137" s="53"/>
      <c r="S137" s="53"/>
      <c r="T137" s="53"/>
      <c r="U137" s="53"/>
      <c r="V137" s="53"/>
    </row>
    <row r="138" spans="6:22" x14ac:dyDescent="0.55000000000000004">
      <c r="F138" s="44">
        <v>41214</v>
      </c>
      <c r="G138" s="52">
        <f t="shared" ref="G138:G201" si="2">LN(H138/H137)*100</f>
        <v>-6.4657788834056955</v>
      </c>
      <c r="H138" s="45">
        <v>104.8</v>
      </c>
      <c r="I138" s="45">
        <v>100.6</v>
      </c>
      <c r="K138" s="53">
        <v>5.542167953994479</v>
      </c>
      <c r="L138" s="53"/>
      <c r="M138" s="53">
        <v>5.542167953994479</v>
      </c>
      <c r="N138" s="53"/>
      <c r="O138" s="53"/>
      <c r="P138" s="53"/>
      <c r="Q138" s="53"/>
      <c r="R138" s="53"/>
      <c r="S138" s="53"/>
      <c r="T138" s="53"/>
      <c r="U138" s="53"/>
      <c r="V138" s="53"/>
    </row>
    <row r="139" spans="6:22" x14ac:dyDescent="0.55000000000000004">
      <c r="F139" s="44">
        <v>41244</v>
      </c>
      <c r="G139" s="52">
        <f t="shared" si="2"/>
        <v>-12.809364132439352</v>
      </c>
      <c r="H139" s="45">
        <v>92.2</v>
      </c>
      <c r="I139" s="45">
        <v>101.3</v>
      </c>
      <c r="K139" s="53">
        <v>11.087288334485097</v>
      </c>
      <c r="L139" s="53"/>
      <c r="M139" s="53">
        <v>11.087288334485097</v>
      </c>
      <c r="N139" s="53"/>
      <c r="O139" s="53"/>
      <c r="P139" s="53"/>
      <c r="Q139" s="53"/>
      <c r="R139" s="53"/>
      <c r="S139" s="53"/>
      <c r="T139" s="53"/>
      <c r="U139" s="53"/>
      <c r="V139" s="53"/>
    </row>
    <row r="140" spans="6:22" x14ac:dyDescent="0.55000000000000004">
      <c r="F140" s="44">
        <v>41275</v>
      </c>
      <c r="G140" s="52">
        <f t="shared" si="2"/>
        <v>2.4639703937148925</v>
      </c>
      <c r="H140" s="45">
        <v>94.5</v>
      </c>
      <c r="I140" s="45">
        <v>102.1</v>
      </c>
      <c r="K140" s="53">
        <v>0.56031776721630955</v>
      </c>
      <c r="L140" s="53"/>
      <c r="M140" s="53">
        <v>0.56031776721630955</v>
      </c>
      <c r="N140" s="53"/>
      <c r="O140" s="53"/>
      <c r="P140" s="53"/>
      <c r="Q140" s="53"/>
      <c r="R140" s="53"/>
      <c r="S140" s="53"/>
      <c r="T140" s="53"/>
      <c r="U140" s="53"/>
      <c r="V140" s="53"/>
    </row>
    <row r="141" spans="6:22" x14ac:dyDescent="0.55000000000000004">
      <c r="F141" s="44">
        <v>41306</v>
      </c>
      <c r="G141" s="52">
        <f t="shared" si="2"/>
        <v>-7.0127301557563264</v>
      </c>
      <c r="H141" s="45">
        <v>88.1</v>
      </c>
      <c r="I141" s="45">
        <v>99.7</v>
      </c>
      <c r="K141" s="53">
        <v>3.0830593286322228</v>
      </c>
      <c r="L141" s="53"/>
      <c r="M141" s="53">
        <v>3.0830593286322228</v>
      </c>
      <c r="N141" s="53"/>
      <c r="O141" s="53"/>
      <c r="P141" s="53"/>
      <c r="Q141" s="53"/>
      <c r="R141" s="53"/>
      <c r="S141" s="53"/>
      <c r="T141" s="53"/>
      <c r="U141" s="53"/>
      <c r="V141" s="53"/>
    </row>
    <row r="142" spans="6:22" x14ac:dyDescent="0.55000000000000004">
      <c r="F142" s="44">
        <v>41334</v>
      </c>
      <c r="G142" s="52">
        <f t="shared" si="2"/>
        <v>10.342902610660323</v>
      </c>
      <c r="H142" s="45">
        <v>97.7</v>
      </c>
      <c r="I142" s="45">
        <v>101.2</v>
      </c>
      <c r="K142" s="53">
        <v>-10.25404340464851</v>
      </c>
      <c r="L142" s="53"/>
      <c r="M142" s="53">
        <v>-10.25404340464851</v>
      </c>
      <c r="N142" s="53"/>
      <c r="O142" s="53"/>
      <c r="P142" s="53"/>
      <c r="Q142" s="53"/>
      <c r="R142" s="53"/>
      <c r="S142" s="53"/>
      <c r="T142" s="53"/>
      <c r="U142" s="53"/>
      <c r="V142" s="53"/>
    </row>
    <row r="143" spans="6:22" x14ac:dyDescent="0.55000000000000004">
      <c r="F143" s="44">
        <v>41365</v>
      </c>
      <c r="G143" s="52">
        <f t="shared" si="2"/>
        <v>4.1108545067685318</v>
      </c>
      <c r="H143" s="45">
        <v>101.8</v>
      </c>
      <c r="I143" s="45">
        <v>103</v>
      </c>
      <c r="K143" s="53">
        <v>4.0661109319364686</v>
      </c>
      <c r="L143" s="53"/>
      <c r="M143" s="53">
        <v>4.0661109319364686</v>
      </c>
      <c r="N143" s="53"/>
      <c r="O143" s="53"/>
      <c r="P143" s="53"/>
      <c r="Q143" s="53"/>
      <c r="R143" s="53"/>
      <c r="S143" s="53"/>
      <c r="T143" s="53"/>
      <c r="U143" s="53"/>
      <c r="V143" s="53"/>
    </row>
    <row r="144" spans="6:22" x14ac:dyDescent="0.55000000000000004">
      <c r="F144" s="44">
        <v>41395</v>
      </c>
      <c r="G144" s="52">
        <f t="shared" si="2"/>
        <v>3.0950246041101059</v>
      </c>
      <c r="H144" s="45">
        <v>105</v>
      </c>
      <c r="I144" s="45">
        <v>102.5</v>
      </c>
      <c r="K144" s="53">
        <v>-6.5188360987815841</v>
      </c>
      <c r="L144" s="53"/>
      <c r="M144" s="53">
        <v>-6.5188360987815841</v>
      </c>
      <c r="N144" s="53"/>
      <c r="O144" s="53"/>
      <c r="P144" s="53"/>
      <c r="Q144" s="53"/>
      <c r="R144" s="53"/>
      <c r="S144" s="53"/>
      <c r="T144" s="53"/>
      <c r="U144" s="53"/>
      <c r="V144" s="53"/>
    </row>
    <row r="145" spans="6:22" x14ac:dyDescent="0.55000000000000004">
      <c r="F145" s="44">
        <v>41426</v>
      </c>
      <c r="G145" s="52">
        <f t="shared" si="2"/>
        <v>-3.1933047103009029</v>
      </c>
      <c r="H145" s="45">
        <v>101.7</v>
      </c>
      <c r="I145" s="45">
        <v>103.2</v>
      </c>
      <c r="K145" s="53">
        <v>1.2423937236054152</v>
      </c>
      <c r="L145" s="53"/>
      <c r="M145" s="53">
        <v>1.2423937236054152</v>
      </c>
      <c r="N145" s="53"/>
      <c r="O145" s="53"/>
      <c r="P145" s="53"/>
      <c r="Q145" s="53"/>
      <c r="R145" s="53"/>
      <c r="S145" s="53"/>
      <c r="T145" s="53"/>
      <c r="U145" s="53"/>
      <c r="V145" s="53"/>
    </row>
    <row r="146" spans="6:22" x14ac:dyDescent="0.55000000000000004">
      <c r="F146" s="44">
        <v>41456</v>
      </c>
      <c r="G146" s="52">
        <f t="shared" si="2"/>
        <v>6.0103924069705306</v>
      </c>
      <c r="H146" s="45">
        <v>108</v>
      </c>
      <c r="I146" s="45">
        <v>102.4</v>
      </c>
      <c r="K146" s="53">
        <v>-5.230121980229093</v>
      </c>
      <c r="L146" s="53"/>
      <c r="M146" s="53">
        <v>-5.230121980229093</v>
      </c>
      <c r="N146" s="53"/>
      <c r="O146" s="53"/>
      <c r="P146" s="53"/>
      <c r="Q146" s="53"/>
      <c r="R146" s="53"/>
      <c r="S146" s="53"/>
      <c r="T146" s="53"/>
      <c r="U146" s="53"/>
      <c r="V146" s="53"/>
    </row>
    <row r="147" spans="6:22" x14ac:dyDescent="0.55000000000000004">
      <c r="F147" s="44">
        <v>41487</v>
      </c>
      <c r="G147" s="52">
        <f t="shared" si="2"/>
        <v>3.6367644170874791</v>
      </c>
      <c r="H147" s="45">
        <v>112</v>
      </c>
      <c r="I147" s="45">
        <v>102.9</v>
      </c>
      <c r="K147" s="53">
        <v>-2.8037987156424928</v>
      </c>
      <c r="L147" s="53"/>
      <c r="M147" s="53">
        <v>-2.8037987156424928</v>
      </c>
      <c r="N147" s="53"/>
      <c r="O147" s="53"/>
      <c r="P147" s="53"/>
      <c r="Q147" s="53"/>
      <c r="R147" s="53"/>
      <c r="S147" s="53"/>
      <c r="T147" s="53"/>
      <c r="U147" s="53"/>
      <c r="V147" s="53"/>
    </row>
    <row r="148" spans="6:22" x14ac:dyDescent="0.55000000000000004">
      <c r="F148" s="44">
        <v>41518</v>
      </c>
      <c r="G148" s="52">
        <f t="shared" si="2"/>
        <v>-4.2870221658441832</v>
      </c>
      <c r="H148" s="45">
        <v>107.3</v>
      </c>
      <c r="I148" s="45">
        <v>103.5</v>
      </c>
      <c r="K148" s="53">
        <v>2.825211038783249</v>
      </c>
      <c r="L148" s="53"/>
      <c r="M148" s="53">
        <v>2.825211038783249</v>
      </c>
      <c r="N148" s="53"/>
      <c r="O148" s="53"/>
      <c r="P148" s="53"/>
      <c r="Q148" s="53"/>
      <c r="R148" s="53"/>
      <c r="S148" s="53"/>
      <c r="T148" s="53"/>
      <c r="U148" s="53"/>
      <c r="V148" s="53"/>
    </row>
    <row r="149" spans="6:22" x14ac:dyDescent="0.55000000000000004">
      <c r="F149" s="44">
        <v>41548</v>
      </c>
      <c r="G149" s="52">
        <f t="shared" si="2"/>
        <v>4.8213066068937094</v>
      </c>
      <c r="H149" s="45">
        <v>112.6</v>
      </c>
      <c r="I149" s="45">
        <v>102.4</v>
      </c>
      <c r="K149" s="53">
        <v>-3.5717329909907445</v>
      </c>
      <c r="L149" s="53"/>
      <c r="M149" s="53">
        <v>-3.5717329909907445</v>
      </c>
      <c r="N149" s="53"/>
      <c r="O149" s="53"/>
      <c r="P149" s="53"/>
      <c r="Q149" s="53"/>
      <c r="R149" s="53"/>
      <c r="S149" s="53"/>
      <c r="T149" s="53"/>
      <c r="U149" s="53"/>
      <c r="V149" s="53"/>
    </row>
    <row r="150" spans="6:22" x14ac:dyDescent="0.55000000000000004">
      <c r="F150" s="44">
        <v>41579</v>
      </c>
      <c r="G150" s="52">
        <f t="shared" si="2"/>
        <v>-5.9459670085652512</v>
      </c>
      <c r="H150" s="45">
        <v>106.1</v>
      </c>
      <c r="I150" s="45">
        <v>103</v>
      </c>
      <c r="K150" s="53">
        <v>5.542167953994479</v>
      </c>
      <c r="L150" s="53"/>
      <c r="M150" s="53">
        <v>5.542167953994479</v>
      </c>
      <c r="N150" s="53"/>
      <c r="O150" s="53"/>
      <c r="P150" s="53"/>
      <c r="Q150" s="53"/>
      <c r="R150" s="53"/>
      <c r="S150" s="53"/>
      <c r="T150" s="53"/>
      <c r="U150" s="53"/>
      <c r="V150" s="53"/>
    </row>
    <row r="151" spans="6:22" x14ac:dyDescent="0.55000000000000004">
      <c r="F151" s="44">
        <v>41609</v>
      </c>
      <c r="G151" s="52">
        <f t="shared" si="2"/>
        <v>-16.346188100564525</v>
      </c>
      <c r="H151" s="45">
        <v>90.1</v>
      </c>
      <c r="I151" s="45">
        <v>99</v>
      </c>
      <c r="K151" s="53">
        <v>11.087288334485097</v>
      </c>
      <c r="L151" s="53"/>
      <c r="M151" s="53">
        <v>11.087288334485097</v>
      </c>
      <c r="N151" s="53"/>
      <c r="O151" s="53"/>
      <c r="P151" s="53"/>
      <c r="Q151" s="53"/>
      <c r="R151" s="53"/>
      <c r="S151" s="53"/>
      <c r="T151" s="53"/>
      <c r="U151" s="53"/>
      <c r="V151" s="53"/>
    </row>
    <row r="152" spans="6:22" x14ac:dyDescent="0.55000000000000004">
      <c r="F152" s="44">
        <v>41640</v>
      </c>
      <c r="G152" s="52">
        <f t="shared" si="2"/>
        <v>2.7368977037841566</v>
      </c>
      <c r="H152" s="45">
        <v>92.6</v>
      </c>
      <c r="I152" s="45">
        <v>100.6</v>
      </c>
      <c r="K152" s="53">
        <v>0.5603177672163091</v>
      </c>
      <c r="L152" s="53"/>
      <c r="M152" s="53">
        <v>0.5603177672163091</v>
      </c>
      <c r="N152" s="53"/>
      <c r="O152" s="53"/>
      <c r="P152" s="53"/>
      <c r="Q152" s="53"/>
      <c r="R152" s="53"/>
      <c r="S152" s="53"/>
      <c r="T152" s="53"/>
      <c r="U152" s="53"/>
      <c r="V152" s="53"/>
    </row>
    <row r="153" spans="6:22" x14ac:dyDescent="0.55000000000000004">
      <c r="F153" s="44">
        <v>41671</v>
      </c>
      <c r="G153" s="52">
        <f t="shared" si="2"/>
        <v>-0.32450001433271897</v>
      </c>
      <c r="H153" s="45">
        <v>92.3</v>
      </c>
      <c r="I153" s="45">
        <v>101.2</v>
      </c>
      <c r="K153" s="53">
        <v>3.0830593286322228</v>
      </c>
      <c r="L153" s="53"/>
      <c r="M153" s="53">
        <v>3.0830593286322228</v>
      </c>
      <c r="N153" s="53"/>
      <c r="O153" s="53"/>
      <c r="P153" s="53"/>
      <c r="Q153" s="53"/>
      <c r="R153" s="53"/>
      <c r="S153" s="53"/>
      <c r="T153" s="53"/>
      <c r="U153" s="53"/>
      <c r="V153" s="53"/>
    </row>
    <row r="154" spans="6:22" x14ac:dyDescent="0.55000000000000004">
      <c r="F154" s="44">
        <v>41699</v>
      </c>
      <c r="G154" s="52">
        <f t="shared" si="2"/>
        <v>5.2754847683152821</v>
      </c>
      <c r="H154" s="45">
        <v>97.3</v>
      </c>
      <c r="I154" s="45">
        <v>101</v>
      </c>
      <c r="K154" s="53">
        <v>-10.25404340464851</v>
      </c>
      <c r="L154" s="53"/>
      <c r="M154" s="53">
        <v>-10.25404340464851</v>
      </c>
      <c r="N154" s="53"/>
      <c r="O154" s="53"/>
      <c r="P154" s="53"/>
      <c r="Q154" s="53"/>
      <c r="R154" s="53"/>
      <c r="S154" s="53"/>
      <c r="T154" s="53"/>
      <c r="U154" s="53"/>
      <c r="V154" s="53"/>
    </row>
    <row r="155" spans="6:22" x14ac:dyDescent="0.55000000000000004">
      <c r="F155" s="44">
        <v>41730</v>
      </c>
      <c r="G155" s="52">
        <f t="shared" si="2"/>
        <v>-1.3450797724123105</v>
      </c>
      <c r="H155" s="45">
        <v>96</v>
      </c>
      <c r="I155" s="45">
        <v>100.2</v>
      </c>
      <c r="K155" s="53">
        <v>4.0661109319364694</v>
      </c>
      <c r="L155" s="53"/>
      <c r="M155" s="53">
        <v>4.0661109319364694</v>
      </c>
      <c r="N155" s="53"/>
      <c r="O155" s="53"/>
      <c r="P155" s="53"/>
      <c r="Q155" s="53"/>
      <c r="R155" s="53"/>
      <c r="S155" s="53"/>
      <c r="T155" s="53"/>
      <c r="U155" s="53"/>
      <c r="V155" s="53"/>
    </row>
    <row r="156" spans="6:22" x14ac:dyDescent="0.55000000000000004">
      <c r="F156" s="44">
        <v>41760</v>
      </c>
      <c r="G156" s="52">
        <f t="shared" si="2"/>
        <v>5.7679111586677987</v>
      </c>
      <c r="H156" s="45">
        <v>101.7</v>
      </c>
      <c r="I156" s="45">
        <v>98.8</v>
      </c>
      <c r="K156" s="53">
        <v>-6.5188360987815841</v>
      </c>
      <c r="L156" s="53"/>
      <c r="M156" s="53">
        <v>-6.5188360987815841</v>
      </c>
      <c r="N156" s="53"/>
      <c r="O156" s="53"/>
      <c r="P156" s="53"/>
      <c r="Q156" s="53"/>
      <c r="R156" s="53"/>
      <c r="S156" s="53"/>
      <c r="T156" s="53"/>
      <c r="U156" s="53"/>
      <c r="V156" s="53"/>
    </row>
    <row r="157" spans="6:22" x14ac:dyDescent="0.55000000000000004">
      <c r="F157" s="44">
        <v>41791</v>
      </c>
      <c r="G157" s="52">
        <f t="shared" si="2"/>
        <v>-6.920359743863207</v>
      </c>
      <c r="H157" s="45">
        <v>94.9</v>
      </c>
      <c r="I157" s="45">
        <v>96.1</v>
      </c>
      <c r="K157" s="53">
        <v>1.2423937236054154</v>
      </c>
      <c r="L157" s="53"/>
      <c r="M157" s="53">
        <v>1.2423937236054154</v>
      </c>
      <c r="N157" s="53"/>
      <c r="O157" s="53"/>
      <c r="P157" s="53"/>
      <c r="Q157" s="53"/>
      <c r="R157" s="53"/>
      <c r="S157" s="53"/>
      <c r="T157" s="53"/>
      <c r="U157" s="53"/>
      <c r="V157" s="53"/>
    </row>
    <row r="158" spans="6:22" x14ac:dyDescent="0.55000000000000004">
      <c r="F158" s="44">
        <v>41821</v>
      </c>
      <c r="G158" s="52">
        <f t="shared" si="2"/>
        <v>9.5405969832656066</v>
      </c>
      <c r="H158" s="45">
        <v>104.4</v>
      </c>
      <c r="I158" s="45">
        <v>98.3</v>
      </c>
      <c r="K158" s="53">
        <v>-5.230121980229093</v>
      </c>
      <c r="L158" s="53"/>
      <c r="M158" s="53">
        <v>-5.230121980229093</v>
      </c>
      <c r="N158" s="53"/>
      <c r="O158" s="53"/>
      <c r="P158" s="53"/>
      <c r="Q158" s="53"/>
      <c r="R158" s="53"/>
      <c r="S158" s="53"/>
      <c r="T158" s="53"/>
      <c r="U158" s="53"/>
      <c r="V158" s="53"/>
    </row>
    <row r="159" spans="6:22" x14ac:dyDescent="0.55000000000000004">
      <c r="F159" s="44">
        <v>41852</v>
      </c>
      <c r="G159" s="52">
        <f t="shared" si="2"/>
        <v>1.8035609899363723</v>
      </c>
      <c r="H159" s="45">
        <v>106.3</v>
      </c>
      <c r="I159" s="45">
        <v>99.2</v>
      </c>
      <c r="K159" s="53">
        <v>-2.8037987156424928</v>
      </c>
      <c r="L159" s="53"/>
      <c r="M159" s="53">
        <v>-2.8037987156424928</v>
      </c>
      <c r="N159" s="53"/>
      <c r="O159" s="53"/>
      <c r="P159" s="53"/>
      <c r="Q159" s="53"/>
      <c r="R159" s="53"/>
      <c r="S159" s="53"/>
      <c r="T159" s="53"/>
      <c r="U159" s="53"/>
      <c r="V159" s="53"/>
    </row>
    <row r="160" spans="6:22" x14ac:dyDescent="0.55000000000000004">
      <c r="F160" s="44">
        <v>41883</v>
      </c>
      <c r="G160" s="52">
        <f t="shared" si="2"/>
        <v>-0.66069140757411748</v>
      </c>
      <c r="H160" s="45">
        <v>105.6</v>
      </c>
      <c r="I160" s="45">
        <v>99.4</v>
      </c>
      <c r="K160" s="53">
        <v>2.825211038783249</v>
      </c>
      <c r="L160" s="53"/>
      <c r="M160" s="53">
        <v>2.825211038783249</v>
      </c>
      <c r="N160" s="53"/>
      <c r="O160" s="53"/>
      <c r="P160" s="53"/>
      <c r="Q160" s="53"/>
      <c r="R160" s="53"/>
      <c r="S160" s="53"/>
      <c r="T160" s="53"/>
      <c r="U160" s="53"/>
      <c r="V160" s="53"/>
    </row>
    <row r="161" spans="6:22" x14ac:dyDescent="0.55000000000000004">
      <c r="F161" s="44">
        <v>41913</v>
      </c>
      <c r="G161" s="52">
        <f t="shared" si="2"/>
        <v>3.4438023910331883</v>
      </c>
      <c r="H161" s="45">
        <v>109.3</v>
      </c>
      <c r="I161" s="45">
        <v>99.6</v>
      </c>
      <c r="K161" s="53">
        <v>-3.5717329909907445</v>
      </c>
      <c r="L161" s="53"/>
      <c r="M161" s="53">
        <v>-3.5717329909907445</v>
      </c>
      <c r="N161" s="53"/>
      <c r="O161" s="53"/>
      <c r="P161" s="53"/>
      <c r="Q161" s="53"/>
      <c r="R161" s="53"/>
      <c r="S161" s="53"/>
      <c r="T161" s="53"/>
      <c r="U161" s="53"/>
      <c r="V161" s="53"/>
    </row>
    <row r="162" spans="6:22" x14ac:dyDescent="0.55000000000000004">
      <c r="F162" s="44">
        <v>41944</v>
      </c>
      <c r="G162" s="52">
        <f t="shared" si="2"/>
        <v>-9.0928211865074626</v>
      </c>
      <c r="H162" s="45">
        <v>99.8</v>
      </c>
      <c r="I162" s="45">
        <v>98.6</v>
      </c>
      <c r="K162" s="53">
        <v>5.542167953994479</v>
      </c>
      <c r="L162" s="53"/>
      <c r="M162" s="53">
        <v>5.542167953994479</v>
      </c>
      <c r="N162" s="53"/>
      <c r="O162" s="53"/>
      <c r="P162" s="53"/>
      <c r="Q162" s="53"/>
      <c r="R162" s="53"/>
      <c r="S162" s="53"/>
      <c r="T162" s="53"/>
      <c r="U162" s="53"/>
      <c r="V162" s="53"/>
    </row>
    <row r="163" spans="6:22" x14ac:dyDescent="0.55000000000000004">
      <c r="F163" s="44">
        <v>41974</v>
      </c>
      <c r="G163" s="52">
        <f t="shared" si="2"/>
        <v>-12.924628393928089</v>
      </c>
      <c r="H163" s="45">
        <v>87.7</v>
      </c>
      <c r="I163" s="45">
        <v>95.4</v>
      </c>
      <c r="K163" s="53">
        <v>11.087288334485097</v>
      </c>
      <c r="L163" s="53"/>
      <c r="M163" s="53">
        <v>11.087288334485097</v>
      </c>
      <c r="N163" s="53"/>
      <c r="O163" s="53"/>
      <c r="P163" s="53"/>
      <c r="Q163" s="53"/>
      <c r="R163" s="53"/>
      <c r="S163" s="53"/>
      <c r="T163" s="53"/>
      <c r="U163" s="53"/>
      <c r="V163" s="53"/>
    </row>
    <row r="164" spans="6:22" x14ac:dyDescent="0.55000000000000004">
      <c r="F164" s="44">
        <v>42005</v>
      </c>
      <c r="G164" s="52">
        <f t="shared" si="2"/>
        <v>0.45506335639962892</v>
      </c>
      <c r="H164" s="45">
        <v>88.1</v>
      </c>
      <c r="I164" s="45">
        <v>96</v>
      </c>
      <c r="K164" s="53">
        <v>0.56031776721630933</v>
      </c>
      <c r="L164" s="53"/>
      <c r="M164" s="53">
        <v>0.56031776721630933</v>
      </c>
      <c r="N164" s="53"/>
      <c r="O164" s="53"/>
      <c r="P164" s="53"/>
      <c r="Q164" s="53"/>
      <c r="R164" s="53"/>
      <c r="S164" s="53"/>
      <c r="T164" s="53"/>
      <c r="U164" s="53"/>
      <c r="V164" s="53"/>
    </row>
    <row r="165" spans="6:22" x14ac:dyDescent="0.55000000000000004">
      <c r="F165" s="44">
        <v>42036</v>
      </c>
      <c r="G165" s="52">
        <f t="shared" si="2"/>
        <v>-5.1233555446704067</v>
      </c>
      <c r="H165" s="45">
        <v>83.7</v>
      </c>
      <c r="I165" s="45">
        <v>95.4</v>
      </c>
      <c r="K165" s="53">
        <v>3.0830593286322228</v>
      </c>
      <c r="L165" s="53"/>
      <c r="M165" s="53">
        <v>3.0830593286322228</v>
      </c>
      <c r="N165" s="53"/>
      <c r="O165" s="53"/>
      <c r="P165" s="53"/>
      <c r="Q165" s="53"/>
      <c r="R165" s="53"/>
      <c r="S165" s="53"/>
      <c r="T165" s="53"/>
      <c r="U165" s="53"/>
      <c r="V165" s="53"/>
    </row>
    <row r="166" spans="6:22" x14ac:dyDescent="0.55000000000000004">
      <c r="F166" s="44">
        <v>42064</v>
      </c>
      <c r="G166" s="52">
        <f t="shared" si="2"/>
        <v>11.924221214398219</v>
      </c>
      <c r="H166" s="45">
        <v>94.3</v>
      </c>
      <c r="I166" s="45">
        <v>95</v>
      </c>
      <c r="K166" s="53">
        <v>-10.25404340464851</v>
      </c>
      <c r="L166" s="53"/>
      <c r="M166" s="53">
        <v>-10.25404340464851</v>
      </c>
      <c r="N166" s="53"/>
      <c r="O166" s="53"/>
      <c r="P166" s="53"/>
      <c r="Q166" s="53"/>
      <c r="R166" s="53"/>
      <c r="S166" s="53"/>
      <c r="T166" s="53"/>
      <c r="U166" s="53"/>
      <c r="V166" s="53"/>
    </row>
    <row r="167" spans="6:22" x14ac:dyDescent="0.55000000000000004">
      <c r="F167" s="44">
        <v>42095</v>
      </c>
      <c r="G167" s="52">
        <f t="shared" si="2"/>
        <v>-6.0094539641287446</v>
      </c>
      <c r="H167" s="45">
        <v>88.8</v>
      </c>
      <c r="I167" s="45">
        <v>93</v>
      </c>
      <c r="K167" s="53">
        <v>4.0661109319364694</v>
      </c>
      <c r="L167" s="53"/>
      <c r="M167" s="53">
        <v>4.0661109319364694</v>
      </c>
      <c r="N167" s="53"/>
      <c r="O167" s="53"/>
      <c r="P167" s="53"/>
      <c r="Q167" s="53"/>
      <c r="R167" s="53"/>
      <c r="S167" s="53"/>
      <c r="T167" s="53"/>
      <c r="U167" s="53"/>
      <c r="V167" s="53"/>
    </row>
    <row r="168" spans="6:22" x14ac:dyDescent="0.55000000000000004">
      <c r="F168" s="44">
        <v>42125</v>
      </c>
      <c r="G168" s="52">
        <f t="shared" si="2"/>
        <v>4.7287534284896902</v>
      </c>
      <c r="H168" s="45">
        <v>93.1</v>
      </c>
      <c r="I168" s="45">
        <v>92.2</v>
      </c>
      <c r="K168" s="53">
        <v>-6.5188360987815841</v>
      </c>
      <c r="L168" s="53"/>
      <c r="M168" s="53">
        <v>-6.5188360987815841</v>
      </c>
      <c r="N168" s="53"/>
      <c r="O168" s="53"/>
      <c r="P168" s="53"/>
      <c r="Q168" s="53"/>
      <c r="R168" s="53"/>
      <c r="S168" s="53"/>
      <c r="T168" s="53"/>
      <c r="U168" s="53"/>
      <c r="V168" s="53"/>
    </row>
    <row r="169" spans="6:22" x14ac:dyDescent="0.55000000000000004">
      <c r="F169" s="44">
        <v>42156</v>
      </c>
      <c r="G169" s="52">
        <f t="shared" si="2"/>
        <v>-0.646553976464186</v>
      </c>
      <c r="H169" s="45">
        <v>92.5</v>
      </c>
      <c r="I169" s="45">
        <v>91.3</v>
      </c>
      <c r="K169" s="53">
        <v>1.2423937236054152</v>
      </c>
      <c r="L169" s="53"/>
      <c r="M169" s="53">
        <v>1.2423937236054152</v>
      </c>
      <c r="N169" s="53"/>
      <c r="O169" s="53"/>
      <c r="P169" s="53"/>
      <c r="Q169" s="53"/>
      <c r="R169" s="53"/>
      <c r="S169" s="53"/>
      <c r="T169" s="53"/>
      <c r="U169" s="53"/>
      <c r="V169" s="53"/>
    </row>
    <row r="170" spans="6:22" x14ac:dyDescent="0.55000000000000004">
      <c r="F170" s="44">
        <v>42186</v>
      </c>
      <c r="G170" s="52">
        <f t="shared" si="2"/>
        <v>3.1917602968304948</v>
      </c>
      <c r="H170" s="45">
        <v>95.5</v>
      </c>
      <c r="I170" s="45">
        <v>89.5</v>
      </c>
      <c r="K170" s="53">
        <v>-5.230121980229093</v>
      </c>
      <c r="L170" s="53"/>
      <c r="M170" s="53">
        <v>-5.230121980229093</v>
      </c>
      <c r="N170" s="53"/>
      <c r="O170" s="53"/>
      <c r="P170" s="53"/>
      <c r="Q170" s="53"/>
      <c r="R170" s="53"/>
      <c r="S170" s="53"/>
      <c r="T170" s="53"/>
      <c r="U170" s="53"/>
      <c r="V170" s="53"/>
    </row>
    <row r="171" spans="6:22" x14ac:dyDescent="0.55000000000000004">
      <c r="F171" s="44">
        <v>42217</v>
      </c>
      <c r="G171" s="52">
        <f t="shared" si="2"/>
        <v>2.175124593236212</v>
      </c>
      <c r="H171" s="45">
        <v>97.6</v>
      </c>
      <c r="I171" s="45">
        <v>90.3</v>
      </c>
      <c r="K171" s="53">
        <v>-2.8037987156424928</v>
      </c>
      <c r="L171" s="53"/>
      <c r="M171" s="53">
        <v>-2.8037987156424928</v>
      </c>
      <c r="N171" s="53"/>
      <c r="O171" s="53"/>
      <c r="P171" s="53"/>
      <c r="Q171" s="53"/>
      <c r="R171" s="53"/>
      <c r="S171" s="53"/>
      <c r="T171" s="53"/>
      <c r="U171" s="53"/>
      <c r="V171" s="53"/>
    </row>
    <row r="172" spans="6:22" x14ac:dyDescent="0.55000000000000004">
      <c r="F172" s="44">
        <v>42248</v>
      </c>
      <c r="G172" s="52">
        <f t="shared" si="2"/>
        <v>-3.439630377963502</v>
      </c>
      <c r="H172" s="45">
        <v>94.3</v>
      </c>
      <c r="I172" s="45">
        <v>88.2</v>
      </c>
      <c r="K172" s="53">
        <v>2.825211038783249</v>
      </c>
      <c r="L172" s="53"/>
      <c r="M172" s="53">
        <v>2.825211038783249</v>
      </c>
      <c r="N172" s="53"/>
      <c r="O172" s="53"/>
      <c r="P172" s="53"/>
      <c r="Q172" s="53"/>
      <c r="R172" s="53"/>
      <c r="S172" s="53"/>
      <c r="T172" s="53"/>
      <c r="U172" s="53"/>
      <c r="V172" s="53"/>
    </row>
    <row r="173" spans="6:22" x14ac:dyDescent="0.55000000000000004">
      <c r="F173" s="44">
        <v>42278</v>
      </c>
      <c r="G173" s="52">
        <f t="shared" si="2"/>
        <v>3.0289521826981729</v>
      </c>
      <c r="H173" s="45">
        <v>97.2</v>
      </c>
      <c r="I173" s="45">
        <v>88.1</v>
      </c>
      <c r="K173" s="53">
        <v>-3.5717329909907445</v>
      </c>
      <c r="L173" s="53"/>
      <c r="M173" s="53">
        <v>-3.5717329909907445</v>
      </c>
      <c r="N173" s="53"/>
      <c r="O173" s="53"/>
      <c r="P173" s="53"/>
      <c r="Q173" s="53"/>
      <c r="R173" s="53"/>
      <c r="S173" s="53"/>
      <c r="T173" s="53"/>
      <c r="U173" s="53"/>
      <c r="V173" s="53"/>
    </row>
    <row r="174" spans="6:22" x14ac:dyDescent="0.55000000000000004">
      <c r="F174" s="44">
        <v>42309</v>
      </c>
      <c r="G174" s="52">
        <f t="shared" si="2"/>
        <v>-10.398971352404775</v>
      </c>
      <c r="H174" s="45">
        <v>87.6</v>
      </c>
      <c r="I174" s="45">
        <v>86.4</v>
      </c>
      <c r="K174" s="53">
        <v>5.542167953994479</v>
      </c>
      <c r="L174" s="53"/>
      <c r="M174" s="53">
        <v>5.542167953994479</v>
      </c>
      <c r="N174" s="53"/>
      <c r="O174" s="53"/>
      <c r="P174" s="53"/>
      <c r="Q174" s="53"/>
      <c r="R174" s="53"/>
      <c r="S174" s="53"/>
      <c r="T174" s="53"/>
      <c r="U174" s="53"/>
      <c r="V174" s="53"/>
    </row>
    <row r="175" spans="6:22" x14ac:dyDescent="0.55000000000000004">
      <c r="F175" s="44">
        <v>42339</v>
      </c>
      <c r="G175" s="52">
        <f t="shared" si="2"/>
        <v>-12.638154091161514</v>
      </c>
      <c r="H175" s="45">
        <v>77.2</v>
      </c>
      <c r="I175" s="45">
        <v>84.8</v>
      </c>
      <c r="K175" s="53">
        <v>11.087288334485097</v>
      </c>
      <c r="L175" s="53"/>
      <c r="M175" s="53">
        <v>11.087288334485097</v>
      </c>
      <c r="N175" s="53"/>
      <c r="O175" s="53"/>
      <c r="P175" s="53"/>
      <c r="Q175" s="53"/>
      <c r="R175" s="53"/>
      <c r="S175" s="53"/>
      <c r="T175" s="53"/>
      <c r="U175" s="53"/>
      <c r="V175" s="53"/>
    </row>
    <row r="176" spans="6:22" x14ac:dyDescent="0.55000000000000004">
      <c r="F176" s="44">
        <v>42370</v>
      </c>
      <c r="G176" s="52">
        <f t="shared" si="2"/>
        <v>-1.1726518740319207</v>
      </c>
      <c r="H176" s="45">
        <v>76.3</v>
      </c>
      <c r="I176" s="45">
        <v>86.1</v>
      </c>
      <c r="K176" s="53">
        <v>0.56031776721630933</v>
      </c>
      <c r="L176" s="53"/>
      <c r="M176" s="53">
        <v>0.56031776721630933</v>
      </c>
      <c r="N176" s="53"/>
      <c r="O176" s="53"/>
      <c r="P176" s="53"/>
      <c r="Q176" s="53"/>
      <c r="R176" s="53"/>
      <c r="S176" s="53"/>
      <c r="T176" s="53"/>
      <c r="U176" s="53"/>
      <c r="V176" s="53"/>
    </row>
    <row r="177" spans="6:22" x14ac:dyDescent="0.55000000000000004">
      <c r="F177" s="44">
        <v>42401</v>
      </c>
      <c r="G177" s="52">
        <f t="shared" si="2"/>
        <v>-0.65746456420853572</v>
      </c>
      <c r="H177" s="45">
        <v>75.8</v>
      </c>
      <c r="I177" s="45">
        <v>84.8</v>
      </c>
      <c r="K177" s="53">
        <v>3.0830593286322232</v>
      </c>
      <c r="L177" s="53"/>
      <c r="M177" s="53">
        <v>3.0830593286322232</v>
      </c>
      <c r="N177" s="53"/>
      <c r="O177" s="53"/>
      <c r="P177" s="53"/>
      <c r="Q177" s="53"/>
      <c r="R177" s="53"/>
      <c r="S177" s="53"/>
      <c r="T177" s="53"/>
      <c r="U177" s="53"/>
      <c r="V177" s="53"/>
    </row>
    <row r="178" spans="6:22" x14ac:dyDescent="0.55000000000000004">
      <c r="F178" s="44">
        <v>42430</v>
      </c>
      <c r="G178" s="52">
        <f t="shared" si="2"/>
        <v>9.9140684847103628</v>
      </c>
      <c r="H178" s="45">
        <v>83.7</v>
      </c>
      <c r="I178" s="45">
        <v>85.6</v>
      </c>
      <c r="K178" s="53">
        <v>-10.25404340464851</v>
      </c>
      <c r="L178" s="53"/>
      <c r="M178" s="53">
        <v>-10.25404340464851</v>
      </c>
      <c r="N178" s="53"/>
      <c r="O178" s="53"/>
      <c r="P178" s="53"/>
      <c r="Q178" s="53"/>
      <c r="R178" s="53"/>
      <c r="S178" s="53"/>
      <c r="T178" s="53"/>
      <c r="U178" s="53"/>
      <c r="V178" s="53"/>
    </row>
    <row r="179" spans="6:22" x14ac:dyDescent="0.55000000000000004">
      <c r="F179" s="44">
        <v>42461</v>
      </c>
      <c r="G179" s="52">
        <f t="shared" si="2"/>
        <v>-0.8398369698831718</v>
      </c>
      <c r="H179" s="45">
        <v>83</v>
      </c>
      <c r="I179" s="45">
        <v>85.4</v>
      </c>
      <c r="K179" s="53">
        <v>4.0661109319364694</v>
      </c>
      <c r="L179" s="53"/>
      <c r="M179" s="53">
        <v>4.0661109319364694</v>
      </c>
      <c r="N179" s="53"/>
      <c r="O179" s="53"/>
      <c r="P179" s="53"/>
      <c r="Q179" s="53"/>
      <c r="R179" s="53"/>
      <c r="S179" s="53"/>
      <c r="T179" s="53"/>
      <c r="U179" s="53"/>
      <c r="V179" s="53"/>
    </row>
    <row r="180" spans="6:22" x14ac:dyDescent="0.55000000000000004">
      <c r="F180" s="44">
        <v>42491</v>
      </c>
      <c r="G180" s="52">
        <f t="shared" si="2"/>
        <v>3.8988990292784345</v>
      </c>
      <c r="H180" s="45">
        <v>86.3</v>
      </c>
      <c r="I180" s="45">
        <v>85.8</v>
      </c>
      <c r="K180" s="53">
        <v>-6.5188360987815841</v>
      </c>
      <c r="L180" s="53"/>
      <c r="M180" s="53">
        <v>-6.5188360987815841</v>
      </c>
      <c r="N180" s="53"/>
      <c r="O180" s="53"/>
      <c r="P180" s="53"/>
      <c r="Q180" s="53"/>
      <c r="R180" s="53"/>
      <c r="S180" s="53"/>
      <c r="T180" s="53"/>
      <c r="U180" s="53"/>
      <c r="V180" s="53"/>
    </row>
    <row r="181" spans="6:22" x14ac:dyDescent="0.55000000000000004">
      <c r="F181" s="44">
        <v>42522</v>
      </c>
      <c r="G181" s="52">
        <f t="shared" si="2"/>
        <v>1.6092301288755131</v>
      </c>
      <c r="H181" s="45">
        <v>87.7</v>
      </c>
      <c r="I181" s="45">
        <v>84.8</v>
      </c>
      <c r="K181" s="53">
        <v>1.2423937236054154</v>
      </c>
      <c r="L181" s="53"/>
      <c r="M181" s="53">
        <v>1.2423937236054154</v>
      </c>
      <c r="N181" s="53"/>
      <c r="O181" s="53"/>
      <c r="P181" s="53"/>
      <c r="Q181" s="53"/>
      <c r="R181" s="53"/>
      <c r="S181" s="53"/>
      <c r="T181" s="53"/>
      <c r="U181" s="53"/>
      <c r="V181" s="53"/>
    </row>
    <row r="182" spans="6:22" x14ac:dyDescent="0.55000000000000004">
      <c r="F182" s="44">
        <v>42552</v>
      </c>
      <c r="G182" s="52">
        <f t="shared" si="2"/>
        <v>2.1433420602747244</v>
      </c>
      <c r="H182" s="45">
        <v>89.6</v>
      </c>
      <c r="I182" s="45">
        <v>85.5</v>
      </c>
      <c r="K182" s="53">
        <v>-5.230121980229093</v>
      </c>
      <c r="L182" s="53"/>
      <c r="M182" s="53">
        <v>-5.230121980229093</v>
      </c>
      <c r="N182" s="53"/>
      <c r="O182" s="53"/>
      <c r="P182" s="53"/>
      <c r="Q182" s="53"/>
      <c r="R182" s="53"/>
      <c r="S182" s="53"/>
      <c r="T182" s="53"/>
      <c r="U182" s="53"/>
      <c r="V182" s="53"/>
    </row>
    <row r="183" spans="6:22" x14ac:dyDescent="0.55000000000000004">
      <c r="F183" s="44">
        <v>42583</v>
      </c>
      <c r="G183" s="52">
        <f t="shared" si="2"/>
        <v>3.7244173172371178</v>
      </c>
      <c r="H183" s="45">
        <v>93</v>
      </c>
      <c r="I183" s="45">
        <v>83.5</v>
      </c>
      <c r="K183" s="53">
        <v>-2.8037987156424928</v>
      </c>
      <c r="L183" s="53"/>
      <c r="M183" s="53">
        <v>-2.8037987156424928</v>
      </c>
      <c r="N183" s="53"/>
      <c r="O183" s="53"/>
      <c r="P183" s="53"/>
      <c r="Q183" s="53"/>
      <c r="R183" s="53"/>
      <c r="S183" s="53"/>
      <c r="T183" s="53"/>
      <c r="U183" s="53"/>
      <c r="V183" s="53"/>
    </row>
    <row r="184" spans="6:22" x14ac:dyDescent="0.55000000000000004">
      <c r="F184" s="44">
        <v>42614</v>
      </c>
      <c r="G184" s="52">
        <f t="shared" si="2"/>
        <v>-2.504213603216495</v>
      </c>
      <c r="H184" s="45">
        <v>90.7</v>
      </c>
      <c r="I184" s="45">
        <v>84.4</v>
      </c>
      <c r="K184" s="53">
        <v>2.825211038783249</v>
      </c>
      <c r="L184" s="53"/>
      <c r="M184" s="53">
        <v>2.825211038783249</v>
      </c>
      <c r="N184" s="53"/>
      <c r="O184" s="53"/>
      <c r="P184" s="53"/>
      <c r="Q184" s="53"/>
      <c r="R184" s="53"/>
      <c r="S184" s="53"/>
      <c r="T184" s="53"/>
      <c r="U184" s="53"/>
      <c r="V184" s="53"/>
    </row>
    <row r="185" spans="6:22" x14ac:dyDescent="0.55000000000000004">
      <c r="F185" s="44">
        <v>42644</v>
      </c>
      <c r="G185" s="52">
        <f t="shared" si="2"/>
        <v>-0.55279300525129427</v>
      </c>
      <c r="H185" s="45">
        <v>90.2</v>
      </c>
      <c r="I185" s="45">
        <v>83.3</v>
      </c>
      <c r="K185" s="53">
        <v>-3.571732990990744</v>
      </c>
      <c r="L185" s="53"/>
      <c r="M185" s="53">
        <v>-3.571732990990744</v>
      </c>
      <c r="N185" s="53"/>
      <c r="O185" s="53"/>
      <c r="P185" s="53"/>
      <c r="Q185" s="53"/>
      <c r="R185" s="53"/>
      <c r="S185" s="53"/>
      <c r="T185" s="53"/>
      <c r="U185" s="53"/>
      <c r="V185" s="53"/>
    </row>
    <row r="186" spans="6:22" x14ac:dyDescent="0.55000000000000004">
      <c r="F186" s="44">
        <v>42675</v>
      </c>
      <c r="G186" s="52">
        <f t="shared" si="2"/>
        <v>-4.1885013130744326</v>
      </c>
      <c r="H186" s="45">
        <v>86.5</v>
      </c>
      <c r="I186" s="45">
        <v>84</v>
      </c>
      <c r="K186" s="53">
        <v>5.542167953994479</v>
      </c>
      <c r="L186" s="53"/>
      <c r="M186" s="53">
        <v>5.542167953994479</v>
      </c>
      <c r="N186" s="53"/>
      <c r="O186" s="53"/>
      <c r="P186" s="53"/>
      <c r="Q186" s="53"/>
      <c r="R186" s="53"/>
      <c r="S186" s="53"/>
      <c r="T186" s="53"/>
      <c r="U186" s="53"/>
      <c r="V186" s="53"/>
    </row>
    <row r="187" spans="6:22" x14ac:dyDescent="0.55000000000000004">
      <c r="F187" s="44">
        <v>42705</v>
      </c>
      <c r="G187" s="52">
        <f t="shared" si="2"/>
        <v>-11.374495690710315</v>
      </c>
      <c r="H187" s="45">
        <v>77.2</v>
      </c>
      <c r="I187" s="45">
        <v>85.5</v>
      </c>
      <c r="K187" s="53">
        <v>11.087288334485097</v>
      </c>
      <c r="L187" s="53"/>
      <c r="M187" s="53">
        <v>11.087288334485097</v>
      </c>
      <c r="N187" s="53"/>
      <c r="O187" s="53"/>
      <c r="P187" s="53"/>
      <c r="Q187" s="53"/>
      <c r="R187" s="53"/>
      <c r="S187" s="53"/>
      <c r="T187" s="53"/>
      <c r="U187" s="53"/>
      <c r="V187" s="53"/>
    </row>
    <row r="188" spans="6:22" x14ac:dyDescent="0.55000000000000004">
      <c r="F188" s="44">
        <v>42736</v>
      </c>
      <c r="G188" s="52">
        <f t="shared" si="2"/>
        <v>0.90264958459721245</v>
      </c>
      <c r="H188" s="45">
        <v>77.900000000000006</v>
      </c>
      <c r="I188" s="45">
        <v>86.4</v>
      </c>
      <c r="K188" s="53">
        <v>0.56031776721630933</v>
      </c>
      <c r="L188" s="53"/>
      <c r="M188" s="53">
        <v>0.56031776721630933</v>
      </c>
      <c r="N188" s="53"/>
      <c r="O188" s="53"/>
      <c r="P188" s="53"/>
      <c r="Q188" s="53"/>
      <c r="R188" s="53"/>
      <c r="S188" s="53"/>
      <c r="T188" s="53"/>
      <c r="U188" s="53"/>
      <c r="V188" s="53"/>
    </row>
    <row r="189" spans="6:22" x14ac:dyDescent="0.55000000000000004">
      <c r="F189" s="44">
        <v>42767</v>
      </c>
      <c r="G189" s="52">
        <f t="shared" si="2"/>
        <v>-2.6009268475118326</v>
      </c>
      <c r="H189" s="45">
        <v>75.900000000000006</v>
      </c>
      <c r="I189" s="45">
        <v>87.4</v>
      </c>
      <c r="K189" s="53">
        <v>3.0830593286322228</v>
      </c>
      <c r="L189" s="53"/>
      <c r="M189" s="53">
        <v>3.0830593286322228</v>
      </c>
      <c r="N189" s="53"/>
      <c r="O189" s="53"/>
      <c r="P189" s="53"/>
      <c r="Q189" s="53"/>
      <c r="R189" s="53"/>
      <c r="S189" s="53"/>
      <c r="T189" s="53"/>
      <c r="U189" s="53"/>
      <c r="V189" s="53"/>
    </row>
    <row r="190" spans="6:22" x14ac:dyDescent="0.55000000000000004">
      <c r="F190" s="44">
        <v>42795</v>
      </c>
      <c r="G190" s="52">
        <f t="shared" si="2"/>
        <v>11.792941639294002</v>
      </c>
      <c r="H190" s="45">
        <v>85.4</v>
      </c>
      <c r="I190" s="45">
        <v>85.6</v>
      </c>
      <c r="K190" s="53">
        <v>-10.25404340464851</v>
      </c>
      <c r="L190" s="53"/>
      <c r="M190" s="53">
        <v>-10.25404340464851</v>
      </c>
      <c r="N190" s="53"/>
      <c r="O190" s="53"/>
      <c r="P190" s="53"/>
      <c r="Q190" s="53"/>
      <c r="R190" s="53"/>
      <c r="S190" s="53"/>
      <c r="T190" s="53"/>
      <c r="U190" s="53"/>
      <c r="V190" s="53"/>
    </row>
    <row r="191" spans="6:22" x14ac:dyDescent="0.55000000000000004">
      <c r="F191" s="44">
        <v>42826</v>
      </c>
      <c r="G191" s="52">
        <f t="shared" si="2"/>
        <v>-7.4107972153721962</v>
      </c>
      <c r="H191" s="45">
        <v>79.3</v>
      </c>
      <c r="I191" s="45">
        <v>85.9</v>
      </c>
      <c r="K191" s="53">
        <v>4.0661109319364694</v>
      </c>
      <c r="L191" s="53"/>
      <c r="M191" s="53">
        <v>4.0661109319364694</v>
      </c>
      <c r="N191" s="53"/>
      <c r="O191" s="53"/>
      <c r="P191" s="53"/>
      <c r="Q191" s="53"/>
      <c r="R191" s="53"/>
      <c r="S191" s="53"/>
      <c r="T191" s="53"/>
      <c r="U191" s="53"/>
      <c r="V191" s="53"/>
    </row>
    <row r="192" spans="6:22" x14ac:dyDescent="0.55000000000000004">
      <c r="F192" s="44">
        <v>42856</v>
      </c>
      <c r="G192" s="52">
        <f t="shared" si="2"/>
        <v>12.768203597348998</v>
      </c>
      <c r="H192" s="45">
        <v>90.1</v>
      </c>
      <c r="I192" s="45">
        <v>86.2</v>
      </c>
      <c r="K192" s="53">
        <v>-6.5188360987815841</v>
      </c>
      <c r="L192" s="53"/>
      <c r="M192" s="53">
        <v>-6.5188360987815841</v>
      </c>
      <c r="N192" s="53"/>
      <c r="O192" s="53"/>
      <c r="P192" s="53"/>
      <c r="Q192" s="53"/>
      <c r="R192" s="53"/>
      <c r="S192" s="53"/>
      <c r="T192" s="53"/>
      <c r="U192" s="53"/>
      <c r="V192" s="53"/>
    </row>
    <row r="193" spans="6:22" x14ac:dyDescent="0.55000000000000004">
      <c r="F193" s="44">
        <v>42887</v>
      </c>
      <c r="G193" s="52">
        <f t="shared" si="2"/>
        <v>-1.9048194970694363</v>
      </c>
      <c r="H193" s="45">
        <v>88.4</v>
      </c>
      <c r="I193" s="45">
        <v>87</v>
      </c>
      <c r="K193" s="53">
        <v>1.2423937236054152</v>
      </c>
      <c r="L193" s="53"/>
      <c r="M193" s="53">
        <v>1.2423937236054152</v>
      </c>
      <c r="N193" s="53"/>
      <c r="O193" s="53"/>
      <c r="P193" s="53"/>
      <c r="Q193" s="53"/>
      <c r="R193" s="53"/>
      <c r="S193" s="53"/>
      <c r="T193" s="53"/>
      <c r="U193" s="53"/>
      <c r="V193" s="53"/>
    </row>
    <row r="194" spans="6:22" x14ac:dyDescent="0.55000000000000004">
      <c r="F194" s="44">
        <v>42917</v>
      </c>
      <c r="G194" s="52">
        <f t="shared" si="2"/>
        <v>4.1002973617663265</v>
      </c>
      <c r="H194" s="45">
        <v>92.1</v>
      </c>
      <c r="I194" s="45">
        <v>87.3</v>
      </c>
      <c r="K194" s="53">
        <v>-5.230121980229093</v>
      </c>
      <c r="L194" s="53"/>
      <c r="M194" s="53">
        <v>-5.230121980229093</v>
      </c>
      <c r="N194" s="53"/>
      <c r="O194" s="53"/>
      <c r="P194" s="53"/>
      <c r="Q194" s="53"/>
      <c r="R194" s="53"/>
      <c r="S194" s="53"/>
      <c r="T194" s="53"/>
      <c r="U194" s="53"/>
      <c r="V194" s="53"/>
    </row>
    <row r="195" spans="6:22" x14ac:dyDescent="0.55000000000000004">
      <c r="F195" s="44">
        <v>42948</v>
      </c>
      <c r="G195" s="52">
        <f t="shared" si="2"/>
        <v>4.8738459197987503</v>
      </c>
      <c r="H195" s="45">
        <v>96.7</v>
      </c>
      <c r="I195" s="45">
        <v>87</v>
      </c>
      <c r="K195" s="53">
        <v>-2.8037987156424928</v>
      </c>
      <c r="L195" s="53"/>
      <c r="M195" s="53">
        <v>-2.8037987156424928</v>
      </c>
      <c r="N195" s="53"/>
      <c r="O195" s="53"/>
      <c r="P195" s="53"/>
      <c r="Q195" s="53"/>
      <c r="R195" s="53"/>
      <c r="S195" s="53"/>
      <c r="T195" s="53"/>
      <c r="U195" s="53"/>
      <c r="V195" s="53"/>
    </row>
    <row r="196" spans="6:22" x14ac:dyDescent="0.55000000000000004">
      <c r="F196" s="44">
        <v>42979</v>
      </c>
      <c r="G196" s="52">
        <f t="shared" si="2"/>
        <v>-3.901390930599276</v>
      </c>
      <c r="H196" s="45">
        <v>93</v>
      </c>
      <c r="I196" s="45">
        <v>87.4</v>
      </c>
      <c r="K196" s="53">
        <v>2.825211038783249</v>
      </c>
      <c r="L196" s="53"/>
      <c r="M196" s="53">
        <v>2.825211038783249</v>
      </c>
      <c r="N196" s="53"/>
      <c r="O196" s="53"/>
      <c r="P196" s="53"/>
      <c r="Q196" s="53"/>
      <c r="R196" s="53"/>
      <c r="S196" s="53"/>
      <c r="T196" s="53"/>
      <c r="U196" s="53"/>
      <c r="V196" s="53"/>
    </row>
    <row r="197" spans="6:22" x14ac:dyDescent="0.55000000000000004">
      <c r="F197" s="44">
        <v>43009</v>
      </c>
      <c r="G197" s="52">
        <f t="shared" si="2"/>
        <v>2.2329476398088577</v>
      </c>
      <c r="H197" s="45">
        <v>95.1</v>
      </c>
      <c r="I197" s="45">
        <v>88</v>
      </c>
      <c r="K197" s="53">
        <v>-3.5717329909907445</v>
      </c>
      <c r="L197" s="53"/>
      <c r="M197" s="53">
        <v>-3.5717329909907445</v>
      </c>
      <c r="N197" s="53"/>
      <c r="O197" s="53"/>
      <c r="P197" s="53"/>
      <c r="Q197" s="53"/>
      <c r="R197" s="53"/>
      <c r="S197" s="53"/>
      <c r="T197" s="53"/>
      <c r="U197" s="53"/>
      <c r="V197" s="53"/>
    </row>
    <row r="198" spans="6:22" x14ac:dyDescent="0.55000000000000004">
      <c r="F198" s="44">
        <v>43040</v>
      </c>
      <c r="G198" s="52">
        <f t="shared" si="2"/>
        <v>-4.8474756502411021</v>
      </c>
      <c r="H198" s="45">
        <v>90.6</v>
      </c>
      <c r="I198" s="45">
        <v>88.4</v>
      </c>
      <c r="K198" s="53">
        <v>5.542167953994479</v>
      </c>
      <c r="L198" s="53"/>
      <c r="M198" s="53">
        <v>5.542167953994479</v>
      </c>
      <c r="N198" s="53"/>
      <c r="O198" s="53"/>
      <c r="P198" s="53"/>
      <c r="Q198" s="53"/>
      <c r="R198" s="53"/>
      <c r="S198" s="53"/>
      <c r="T198" s="53"/>
      <c r="U198" s="53"/>
      <c r="V198" s="53"/>
    </row>
    <row r="199" spans="6:22" x14ac:dyDescent="0.55000000000000004">
      <c r="F199" s="44">
        <v>43070</v>
      </c>
      <c r="G199" s="52">
        <f t="shared" si="2"/>
        <v>-11.200505837649487</v>
      </c>
      <c r="H199" s="45">
        <v>81</v>
      </c>
      <c r="I199" s="45">
        <v>91.3</v>
      </c>
      <c r="K199" s="53">
        <v>11.087288334485097</v>
      </c>
      <c r="L199" s="53"/>
      <c r="M199" s="53">
        <v>11.087288334485097</v>
      </c>
      <c r="N199" s="53"/>
      <c r="O199" s="53"/>
      <c r="P199" s="53"/>
      <c r="Q199" s="53"/>
      <c r="R199" s="53"/>
      <c r="S199" s="53"/>
      <c r="T199" s="53"/>
      <c r="U199" s="53"/>
      <c r="V199" s="53"/>
    </row>
    <row r="200" spans="6:22" x14ac:dyDescent="0.55000000000000004">
      <c r="F200" s="44">
        <v>43101</v>
      </c>
      <c r="G200" s="52">
        <f t="shared" si="2"/>
        <v>1.5921953010585257</v>
      </c>
      <c r="H200" s="45">
        <v>82.3</v>
      </c>
      <c r="I200" s="45">
        <v>88.9</v>
      </c>
      <c r="K200" s="53">
        <v>0.56031776721630933</v>
      </c>
      <c r="L200" s="53"/>
      <c r="M200" s="53">
        <v>0.56031776721630933</v>
      </c>
      <c r="N200" s="53"/>
      <c r="O200" s="53"/>
      <c r="P200" s="53"/>
      <c r="Q200" s="53"/>
      <c r="R200" s="53"/>
      <c r="S200" s="53"/>
      <c r="T200" s="53"/>
      <c r="U200" s="53"/>
      <c r="V200" s="53"/>
    </row>
    <row r="201" spans="6:22" x14ac:dyDescent="0.55000000000000004">
      <c r="F201" s="44">
        <v>43132</v>
      </c>
      <c r="G201" s="52">
        <f t="shared" si="2"/>
        <v>-6.2677152089647858</v>
      </c>
      <c r="H201" s="45">
        <v>77.3</v>
      </c>
      <c r="I201" s="45">
        <v>88.6</v>
      </c>
      <c r="K201" s="53">
        <v>3.0830593286322228</v>
      </c>
      <c r="L201" s="53"/>
      <c r="M201" s="53">
        <v>3.0830593286322228</v>
      </c>
      <c r="N201" s="53"/>
      <c r="O201" s="53"/>
      <c r="P201" s="53"/>
      <c r="Q201" s="53"/>
      <c r="R201" s="53"/>
      <c r="S201" s="53"/>
      <c r="T201" s="53"/>
      <c r="U201" s="53"/>
      <c r="V201" s="53"/>
    </row>
    <row r="202" spans="6:22" x14ac:dyDescent="0.55000000000000004">
      <c r="F202" s="44">
        <v>43160</v>
      </c>
      <c r="G202" s="52">
        <f t="shared" ref="G202:G247" si="3">LN(H202/H201)*100</f>
        <v>10.897622207627112</v>
      </c>
      <c r="H202" s="45">
        <v>86.2</v>
      </c>
      <c r="I202" s="45">
        <v>89.7</v>
      </c>
      <c r="K202" s="53">
        <v>-10.25404340464851</v>
      </c>
      <c r="L202" s="53"/>
      <c r="M202" s="53">
        <v>-10.25404340464851</v>
      </c>
      <c r="N202" s="53"/>
      <c r="O202" s="53"/>
      <c r="P202" s="53"/>
      <c r="Q202" s="53"/>
      <c r="R202" s="53"/>
      <c r="S202" s="53"/>
      <c r="T202" s="53"/>
      <c r="U202" s="53"/>
      <c r="V202" s="53"/>
    </row>
    <row r="203" spans="6:22" x14ac:dyDescent="0.55000000000000004">
      <c r="F203" s="44">
        <v>43191</v>
      </c>
      <c r="G203" s="52">
        <f t="shared" si="3"/>
        <v>0.34742362681862726</v>
      </c>
      <c r="H203" s="45">
        <v>86.5</v>
      </c>
      <c r="I203" s="45">
        <v>90.1</v>
      </c>
      <c r="K203" s="53">
        <v>4.0661109319364694</v>
      </c>
      <c r="L203" s="53"/>
      <c r="M203" s="53">
        <v>4.0661109319364694</v>
      </c>
      <c r="N203" s="53"/>
      <c r="O203" s="53"/>
      <c r="P203" s="53"/>
      <c r="Q203" s="53"/>
      <c r="R203" s="53"/>
      <c r="S203" s="53"/>
      <c r="T203" s="53"/>
      <c r="U203" s="53"/>
      <c r="V203" s="53"/>
    </row>
    <row r="204" spans="6:22" x14ac:dyDescent="0.55000000000000004">
      <c r="F204" s="44">
        <v>43221</v>
      </c>
      <c r="G204" s="52">
        <f t="shared" si="3"/>
        <v>-2.4577012335922137</v>
      </c>
      <c r="H204" s="45">
        <v>84.4</v>
      </c>
      <c r="I204" s="45">
        <v>80.2</v>
      </c>
      <c r="K204" s="53">
        <v>-6.5188360987815841</v>
      </c>
      <c r="L204" s="53"/>
      <c r="M204" s="53">
        <v>-6.5188360987815841</v>
      </c>
      <c r="N204" s="53"/>
      <c r="O204" s="53"/>
      <c r="P204" s="53"/>
      <c r="Q204" s="53"/>
      <c r="R204" s="53"/>
      <c r="S204" s="53"/>
      <c r="T204" s="53"/>
      <c r="U204" s="53"/>
      <c r="V204" s="53"/>
    </row>
    <row r="205" spans="6:22" x14ac:dyDescent="0.55000000000000004">
      <c r="F205" s="44">
        <v>43252</v>
      </c>
      <c r="G205" s="52">
        <f t="shared" si="3"/>
        <v>7.6390402664001016</v>
      </c>
      <c r="H205" s="45">
        <v>91.1</v>
      </c>
      <c r="I205" s="45">
        <v>90.3</v>
      </c>
      <c r="K205" s="53">
        <v>1.2423937236054154</v>
      </c>
      <c r="L205" s="53"/>
      <c r="M205" s="53">
        <v>1.2423937236054154</v>
      </c>
      <c r="N205" s="53"/>
      <c r="O205" s="53"/>
      <c r="P205" s="53"/>
      <c r="Q205" s="53"/>
      <c r="R205" s="53"/>
      <c r="S205" s="53"/>
      <c r="T205" s="53"/>
      <c r="U205" s="53"/>
      <c r="V205" s="53"/>
    </row>
    <row r="206" spans="6:22" x14ac:dyDescent="0.55000000000000004">
      <c r="F206" s="44">
        <v>43282</v>
      </c>
      <c r="G206" s="52">
        <f t="shared" si="3"/>
        <v>5.0304880710902253</v>
      </c>
      <c r="H206" s="45">
        <v>95.8</v>
      </c>
      <c r="I206" s="45">
        <v>90.1</v>
      </c>
      <c r="K206" s="53">
        <v>-5.230121980229093</v>
      </c>
      <c r="L206" s="53"/>
      <c r="M206" s="53">
        <v>-5.230121980229093</v>
      </c>
      <c r="N206" s="53"/>
      <c r="O206" s="53"/>
      <c r="P206" s="53"/>
      <c r="Q206" s="53"/>
      <c r="R206" s="53"/>
      <c r="S206" s="53"/>
      <c r="T206" s="53"/>
      <c r="U206" s="53"/>
      <c r="V206" s="53"/>
    </row>
    <row r="207" spans="6:22" x14ac:dyDescent="0.55000000000000004">
      <c r="F207" s="44">
        <v>43313</v>
      </c>
      <c r="G207" s="52">
        <f t="shared" si="3"/>
        <v>2.4743530383605368</v>
      </c>
      <c r="H207" s="45">
        <v>98.2</v>
      </c>
      <c r="I207" s="45">
        <v>88.9</v>
      </c>
      <c r="K207" s="53">
        <v>-2.8037987156424928</v>
      </c>
      <c r="L207" s="53"/>
      <c r="M207" s="53">
        <v>-2.8037987156424928</v>
      </c>
      <c r="N207" s="53"/>
      <c r="O207" s="53"/>
      <c r="P207" s="53"/>
      <c r="Q207" s="53"/>
      <c r="R207" s="53"/>
      <c r="S207" s="53"/>
      <c r="T207" s="53"/>
      <c r="U207" s="53"/>
      <c r="V207" s="53"/>
    </row>
    <row r="208" spans="6:22" x14ac:dyDescent="0.55000000000000004">
      <c r="F208" s="44">
        <v>43344</v>
      </c>
      <c r="G208" s="52">
        <f t="shared" si="3"/>
        <v>-7.9448858239329327</v>
      </c>
      <c r="H208" s="45">
        <v>90.7</v>
      </c>
      <c r="I208" s="45">
        <v>86.5</v>
      </c>
      <c r="K208" s="53">
        <v>2.825211038783249</v>
      </c>
      <c r="L208" s="53"/>
      <c r="M208" s="53">
        <v>2.825211038783249</v>
      </c>
      <c r="N208" s="53"/>
      <c r="O208" s="53"/>
      <c r="P208" s="53"/>
      <c r="Q208" s="53"/>
      <c r="R208" s="53"/>
      <c r="S208" s="53"/>
      <c r="T208" s="53"/>
      <c r="U208" s="53"/>
      <c r="V208" s="53"/>
    </row>
    <row r="209" spans="6:22" x14ac:dyDescent="0.55000000000000004">
      <c r="F209" s="44">
        <v>43374</v>
      </c>
      <c r="G209" s="52">
        <f t="shared" si="3"/>
        <v>5.4705327855723951</v>
      </c>
      <c r="H209" s="45">
        <v>95.8</v>
      </c>
      <c r="I209" s="45">
        <v>87.5</v>
      </c>
      <c r="K209" s="53">
        <v>-3.5717329909907445</v>
      </c>
      <c r="L209" s="53"/>
      <c r="M209" s="53">
        <v>-3.5717329909907445</v>
      </c>
      <c r="N209" s="53"/>
      <c r="O209" s="53"/>
      <c r="P209" s="53"/>
      <c r="Q209" s="53"/>
      <c r="R209" s="53"/>
      <c r="S209" s="53"/>
      <c r="T209" s="53"/>
      <c r="U209" s="53"/>
      <c r="V209" s="53"/>
    </row>
    <row r="210" spans="6:22" x14ac:dyDescent="0.55000000000000004">
      <c r="F210" s="44">
        <v>43405</v>
      </c>
      <c r="G210" s="52">
        <f t="shared" si="3"/>
        <v>-6.8024059696005086</v>
      </c>
      <c r="H210" s="45">
        <v>89.5</v>
      </c>
      <c r="I210" s="45">
        <v>87.5</v>
      </c>
      <c r="K210" s="53">
        <v>5.542167953994479</v>
      </c>
      <c r="L210" s="53"/>
      <c r="M210" s="53">
        <v>5.542167953994479</v>
      </c>
      <c r="N210" s="53"/>
      <c r="O210" s="53"/>
      <c r="P210" s="53"/>
      <c r="Q210" s="53"/>
      <c r="R210" s="53"/>
      <c r="S210" s="53"/>
      <c r="T210" s="53"/>
      <c r="U210" s="53"/>
      <c r="V210" s="53"/>
    </row>
    <row r="211" spans="6:22" x14ac:dyDescent="0.55000000000000004">
      <c r="F211" s="44">
        <v>43435</v>
      </c>
      <c r="G211" s="52">
        <f t="shared" si="3"/>
        <v>-13.752979859121798</v>
      </c>
      <c r="H211" s="45">
        <v>78</v>
      </c>
      <c r="I211" s="45">
        <v>87.8</v>
      </c>
      <c r="K211" s="53">
        <v>11.087288334485097</v>
      </c>
      <c r="L211" s="53"/>
      <c r="M211" s="53">
        <v>11.087288334485097</v>
      </c>
      <c r="N211" s="53"/>
      <c r="O211" s="53"/>
      <c r="P211" s="53"/>
      <c r="Q211" s="53"/>
      <c r="R211" s="53"/>
      <c r="S211" s="53"/>
      <c r="T211" s="53"/>
      <c r="U211" s="53"/>
      <c r="V211" s="53"/>
    </row>
    <row r="212" spans="6:22" x14ac:dyDescent="0.55000000000000004">
      <c r="F212" s="44">
        <v>43466</v>
      </c>
      <c r="G212" s="52">
        <f t="shared" si="3"/>
        <v>3.402974858631147</v>
      </c>
      <c r="H212" s="45">
        <v>80.7</v>
      </c>
      <c r="I212" s="45">
        <v>86.9</v>
      </c>
      <c r="K212" s="53">
        <v>0.56031776721630955</v>
      </c>
      <c r="L212" s="53"/>
      <c r="M212" s="53">
        <v>0.56031776721630955</v>
      </c>
      <c r="N212" s="53"/>
      <c r="O212" s="53"/>
      <c r="P212" s="53"/>
      <c r="Q212" s="53"/>
      <c r="R212" s="53"/>
      <c r="S212" s="53"/>
      <c r="T212" s="53"/>
      <c r="U212" s="53"/>
      <c r="V212" s="53"/>
    </row>
    <row r="213" spans="6:22" x14ac:dyDescent="0.55000000000000004">
      <c r="F213" s="44">
        <v>43497</v>
      </c>
      <c r="G213" s="52">
        <f t="shared" si="3"/>
        <v>-2.0025700502295027</v>
      </c>
      <c r="H213" s="45">
        <v>79.099999999999994</v>
      </c>
      <c r="I213" s="45">
        <v>87.4</v>
      </c>
      <c r="K213" s="53">
        <v>3.0830593286322228</v>
      </c>
      <c r="L213" s="53"/>
      <c r="M213" s="53">
        <v>3.0830593286322228</v>
      </c>
      <c r="N213" s="53"/>
      <c r="O213" s="53"/>
      <c r="P213" s="53"/>
      <c r="Q213" s="53"/>
      <c r="R213" s="53"/>
      <c r="S213" s="53"/>
      <c r="T213" s="53"/>
      <c r="U213" s="53"/>
      <c r="V213" s="53"/>
    </row>
    <row r="214" spans="6:22" x14ac:dyDescent="0.55000000000000004">
      <c r="F214" s="44">
        <v>43525</v>
      </c>
      <c r="G214" s="52">
        <f t="shared" si="3"/>
        <v>2.3736279898830737</v>
      </c>
      <c r="H214" s="45">
        <v>81</v>
      </c>
      <c r="I214" s="45">
        <v>87.2</v>
      </c>
      <c r="K214" s="53">
        <v>-10.25404340464851</v>
      </c>
      <c r="L214" s="53"/>
      <c r="M214" s="53">
        <v>-10.25404340464851</v>
      </c>
      <c r="N214" s="53"/>
      <c r="O214" s="53"/>
      <c r="P214" s="53"/>
      <c r="Q214" s="53"/>
      <c r="R214" s="53"/>
      <c r="S214" s="53"/>
      <c r="T214" s="53"/>
      <c r="U214" s="53"/>
      <c r="V214" s="53"/>
    </row>
    <row r="215" spans="6:22" x14ac:dyDescent="0.55000000000000004">
      <c r="F215" s="44">
        <v>43556</v>
      </c>
      <c r="G215" s="52">
        <f t="shared" si="3"/>
        <v>2.799939450035819</v>
      </c>
      <c r="H215" s="45">
        <v>83.3</v>
      </c>
      <c r="I215" s="45">
        <v>87.5</v>
      </c>
      <c r="K215" s="53">
        <v>4.0661109319364694</v>
      </c>
      <c r="L215" s="53"/>
      <c r="M215" s="53">
        <v>4.0661109319364694</v>
      </c>
      <c r="N215" s="53"/>
      <c r="O215" s="53"/>
      <c r="P215" s="53"/>
      <c r="Q215" s="53"/>
      <c r="R215" s="53"/>
      <c r="S215" s="53"/>
      <c r="T215" s="53"/>
      <c r="U215" s="53"/>
      <c r="V215" s="53"/>
    </row>
    <row r="216" spans="6:22" x14ac:dyDescent="0.55000000000000004">
      <c r="F216" s="44">
        <v>43586</v>
      </c>
      <c r="G216" s="52">
        <f t="shared" si="3"/>
        <v>8.8410957344053145</v>
      </c>
      <c r="H216" s="45">
        <v>91</v>
      </c>
      <c r="I216" s="45">
        <v>87.4</v>
      </c>
      <c r="K216" s="53">
        <v>-6.5188360987815841</v>
      </c>
      <c r="L216" s="53"/>
      <c r="M216" s="53">
        <v>-6.5188360987815841</v>
      </c>
      <c r="N216" s="53"/>
      <c r="O216" s="53"/>
      <c r="P216" s="53"/>
      <c r="Q216" s="53"/>
      <c r="R216" s="53"/>
      <c r="S216" s="53"/>
      <c r="T216" s="53"/>
      <c r="U216" s="53"/>
      <c r="V216" s="53"/>
    </row>
    <row r="217" spans="6:22" x14ac:dyDescent="0.55000000000000004">
      <c r="F217" s="44">
        <v>43617</v>
      </c>
      <c r="G217" s="52">
        <f t="shared" si="3"/>
        <v>-5.8840500022933462</v>
      </c>
      <c r="H217" s="45">
        <v>85.8</v>
      </c>
      <c r="I217" s="45">
        <v>86.6</v>
      </c>
      <c r="K217" s="53">
        <v>1.2423937236054154</v>
      </c>
      <c r="L217" s="53"/>
      <c r="M217" s="53">
        <v>1.2423937236054154</v>
      </c>
      <c r="N217" s="53"/>
      <c r="O217" s="53"/>
      <c r="P217" s="53"/>
      <c r="Q217" s="53"/>
      <c r="R217" s="53"/>
      <c r="S217" s="53"/>
      <c r="T217" s="53"/>
      <c r="U217" s="53"/>
      <c r="V217" s="53"/>
    </row>
    <row r="218" spans="6:22" x14ac:dyDescent="0.55000000000000004">
      <c r="F218" s="44">
        <v>43647</v>
      </c>
      <c r="G218" s="52">
        <f t="shared" si="3"/>
        <v>8.4872338740880444</v>
      </c>
      <c r="H218" s="45">
        <v>93.4</v>
      </c>
      <c r="I218" s="45">
        <v>86</v>
      </c>
      <c r="K218" s="53">
        <v>-5.230121980229093</v>
      </c>
      <c r="L218" s="53"/>
      <c r="M218" s="53">
        <v>-5.230121980229093</v>
      </c>
      <c r="N218" s="53"/>
      <c r="O218" s="53"/>
      <c r="P218" s="53"/>
      <c r="Q218" s="53"/>
      <c r="R218" s="53"/>
      <c r="S218" s="53"/>
      <c r="T218" s="53"/>
      <c r="U218" s="53"/>
      <c r="V218" s="53"/>
    </row>
    <row r="219" spans="6:22" x14ac:dyDescent="0.55000000000000004">
      <c r="F219" s="44">
        <v>43678</v>
      </c>
      <c r="G219" s="52">
        <f t="shared" si="3"/>
        <v>2.9538012436863874</v>
      </c>
      <c r="H219" s="45">
        <v>96.2</v>
      </c>
      <c r="I219" s="45">
        <v>87</v>
      </c>
      <c r="K219" s="53">
        <v>-2.8037987156424928</v>
      </c>
      <c r="L219" s="53"/>
      <c r="M219" s="53">
        <v>-2.8037987156424928</v>
      </c>
      <c r="N219" s="53"/>
      <c r="O219" s="53"/>
      <c r="P219" s="53"/>
      <c r="Q219" s="53"/>
      <c r="R219" s="53"/>
      <c r="S219" s="53"/>
      <c r="T219" s="53"/>
      <c r="U219" s="53"/>
      <c r="V219" s="53"/>
    </row>
    <row r="220" spans="6:22" x14ac:dyDescent="0.55000000000000004">
      <c r="F220" s="44">
        <v>43709</v>
      </c>
      <c r="G220" s="52">
        <f t="shared" si="3"/>
        <v>-4.6817060045216028</v>
      </c>
      <c r="H220" s="45">
        <v>91.8</v>
      </c>
      <c r="I220" s="45">
        <v>86.9</v>
      </c>
      <c r="K220" s="53">
        <v>2.825211038783249</v>
      </c>
      <c r="L220" s="53"/>
      <c r="M220" s="53">
        <v>2.825211038783249</v>
      </c>
      <c r="N220" s="53"/>
      <c r="O220" s="53"/>
      <c r="P220" s="53"/>
      <c r="Q220" s="53"/>
      <c r="R220" s="53"/>
      <c r="S220" s="53"/>
      <c r="T220" s="53"/>
      <c r="U220" s="53"/>
      <c r="V220" s="53"/>
    </row>
    <row r="221" spans="6:22" x14ac:dyDescent="0.55000000000000004">
      <c r="F221" s="44">
        <v>43739</v>
      </c>
      <c r="G221" s="52">
        <f t="shared" si="3"/>
        <v>5.5098680876938131</v>
      </c>
      <c r="H221" s="45">
        <v>97</v>
      </c>
      <c r="I221" s="45">
        <v>88.6</v>
      </c>
      <c r="K221" s="53">
        <v>-3.5717329909907445</v>
      </c>
      <c r="L221" s="53"/>
      <c r="M221" s="53">
        <v>-3.5717329909907445</v>
      </c>
      <c r="N221" s="53"/>
      <c r="O221" s="53"/>
      <c r="P221" s="53"/>
      <c r="Q221" s="53"/>
      <c r="R221" s="53"/>
      <c r="S221" s="53"/>
      <c r="T221" s="53"/>
      <c r="U221" s="53"/>
      <c r="V221" s="53"/>
    </row>
    <row r="222" spans="6:22" x14ac:dyDescent="0.55000000000000004">
      <c r="F222" s="44">
        <v>43770</v>
      </c>
      <c r="G222" s="52">
        <f t="shared" si="3"/>
        <v>-9.7374164025176366</v>
      </c>
      <c r="H222" s="45">
        <v>88</v>
      </c>
      <c r="I222" s="45">
        <v>86.8</v>
      </c>
      <c r="K222" s="53">
        <v>5.542167953994479</v>
      </c>
      <c r="L222" s="53"/>
      <c r="M222" s="53">
        <v>5.542167953994479</v>
      </c>
      <c r="N222" s="53"/>
      <c r="O222" s="53"/>
      <c r="P222" s="53"/>
      <c r="Q222" s="53"/>
      <c r="R222" s="53"/>
      <c r="S222" s="53"/>
      <c r="T222" s="53"/>
      <c r="U222" s="53"/>
      <c r="V222" s="53"/>
    </row>
    <row r="223" spans="6:22" x14ac:dyDescent="0.55000000000000004">
      <c r="F223" s="44">
        <v>43800</v>
      </c>
      <c r="G223" s="52">
        <f t="shared" si="3"/>
        <v>-13.483093796660814</v>
      </c>
      <c r="H223" s="45">
        <v>76.900000000000006</v>
      </c>
      <c r="I223" s="45">
        <v>85.8</v>
      </c>
      <c r="K223" s="53">
        <v>11.087288334485097</v>
      </c>
      <c r="L223" s="53"/>
      <c r="M223" s="53">
        <v>11.087288334485097</v>
      </c>
      <c r="N223" s="53"/>
      <c r="O223" s="53"/>
      <c r="P223" s="53"/>
      <c r="Q223" s="53"/>
      <c r="R223" s="53"/>
      <c r="S223" s="53"/>
      <c r="T223" s="53"/>
      <c r="U223" s="53"/>
      <c r="V223" s="53"/>
    </row>
    <row r="224" spans="6:22" x14ac:dyDescent="0.55000000000000004">
      <c r="F224" s="44">
        <v>43831</v>
      </c>
      <c r="G224" s="52">
        <f t="shared" si="3"/>
        <v>3.9520758162283198</v>
      </c>
      <c r="H224" s="45">
        <v>80</v>
      </c>
      <c r="I224" s="45">
        <v>86.6</v>
      </c>
      <c r="K224" s="53">
        <v>0.5603177672163091</v>
      </c>
      <c r="L224" s="53"/>
      <c r="M224" s="53">
        <v>0.5603177672163091</v>
      </c>
      <c r="N224" s="53"/>
      <c r="O224" s="53"/>
      <c r="P224" s="53"/>
      <c r="Q224" s="53"/>
      <c r="R224" s="53"/>
      <c r="S224" s="53"/>
      <c r="T224" s="53"/>
      <c r="U224" s="53"/>
      <c r="V224" s="53"/>
    </row>
    <row r="225" spans="6:22" x14ac:dyDescent="0.55000000000000004">
      <c r="F225" s="44">
        <v>43862</v>
      </c>
      <c r="G225" s="52">
        <f t="shared" si="3"/>
        <v>-1.3845406822052981</v>
      </c>
      <c r="H225" s="45">
        <v>78.900000000000006</v>
      </c>
      <c r="I225" s="45">
        <v>87.5</v>
      </c>
      <c r="K225" s="53">
        <v>3.0830593286322228</v>
      </c>
      <c r="L225" s="53"/>
      <c r="M225" s="53">
        <v>3.0830593286322228</v>
      </c>
      <c r="N225" s="53"/>
      <c r="O225" s="53"/>
      <c r="P225" s="53"/>
      <c r="Q225" s="53"/>
      <c r="R225" s="53"/>
      <c r="S225" s="53"/>
      <c r="T225" s="53"/>
      <c r="U225" s="53"/>
      <c r="V225" s="53"/>
    </row>
    <row r="226" spans="6:22" x14ac:dyDescent="0.55000000000000004">
      <c r="F226" s="44">
        <v>43891</v>
      </c>
      <c r="G226" s="52">
        <f t="shared" si="3"/>
        <v>-1.2755274975126014</v>
      </c>
      <c r="H226" s="45">
        <v>77.900000000000006</v>
      </c>
      <c r="I226" s="45">
        <v>80.7</v>
      </c>
      <c r="K226" s="53">
        <v>-10.25404340464851</v>
      </c>
      <c r="L226" s="53"/>
      <c r="M226" s="53">
        <v>-10.25404340464851</v>
      </c>
      <c r="N226" s="53"/>
      <c r="O226" s="53"/>
      <c r="P226" s="53"/>
      <c r="Q226" s="53"/>
      <c r="R226" s="53"/>
      <c r="S226" s="53"/>
      <c r="T226" s="53"/>
      <c r="U226" s="53"/>
      <c r="V226" s="53"/>
    </row>
    <row r="227" spans="6:22" x14ac:dyDescent="0.55000000000000004">
      <c r="F227" s="44">
        <v>43922</v>
      </c>
      <c r="G227" s="52">
        <f t="shared" si="3"/>
        <v>-25.609384914356298</v>
      </c>
      <c r="H227" s="45">
        <v>60.3</v>
      </c>
      <c r="I227" s="45">
        <v>64.900000000000006</v>
      </c>
      <c r="K227" s="53">
        <v>4.0661109319364677</v>
      </c>
      <c r="L227" s="53"/>
      <c r="M227" s="53">
        <v>4.0661109319364677</v>
      </c>
      <c r="N227" s="53"/>
      <c r="O227" s="53"/>
      <c r="P227" s="53"/>
      <c r="Q227" s="53"/>
      <c r="R227" s="53"/>
      <c r="S227" s="53"/>
      <c r="T227" s="53"/>
      <c r="U227" s="53"/>
      <c r="V227" s="53"/>
    </row>
    <row r="228" spans="6:22" x14ac:dyDescent="0.55000000000000004">
      <c r="F228" s="44">
        <v>43952</v>
      </c>
      <c r="G228" s="52">
        <f t="shared" si="3"/>
        <v>16.616071468479046</v>
      </c>
      <c r="H228" s="45">
        <v>71.2</v>
      </c>
      <c r="I228" s="45">
        <v>70.099999999999994</v>
      </c>
      <c r="K228" s="53">
        <v>-6.5188360987815841</v>
      </c>
      <c r="L228" s="53"/>
      <c r="M228" s="53">
        <v>-6.5188360987815841</v>
      </c>
      <c r="N228" s="53"/>
      <c r="O228" s="53"/>
      <c r="P228" s="53"/>
      <c r="Q228" s="53"/>
      <c r="R228" s="53"/>
      <c r="S228" s="53"/>
      <c r="T228" s="53"/>
      <c r="U228" s="53"/>
      <c r="V228" s="53"/>
    </row>
    <row r="229" spans="6:22" x14ac:dyDescent="0.55000000000000004">
      <c r="F229" s="44">
        <v>43983</v>
      </c>
      <c r="G229" s="52">
        <f t="shared" si="3"/>
        <v>9.6331108938432113</v>
      </c>
      <c r="H229" s="45">
        <v>78.400000000000006</v>
      </c>
      <c r="I229" s="45">
        <v>76.8</v>
      </c>
      <c r="K229" s="53">
        <v>1.2423937236054154</v>
      </c>
      <c r="L229" s="53"/>
      <c r="M229" s="53">
        <v>1.2423937236054154</v>
      </c>
      <c r="N229" s="53"/>
      <c r="O229" s="53"/>
      <c r="P229" s="53"/>
      <c r="Q229" s="53"/>
      <c r="R229" s="53"/>
      <c r="S229" s="53"/>
      <c r="T229" s="53"/>
      <c r="U229" s="53"/>
      <c r="V229" s="53"/>
    </row>
    <row r="230" spans="6:22" x14ac:dyDescent="0.55000000000000004">
      <c r="F230" s="44">
        <v>44013</v>
      </c>
      <c r="G230" s="52">
        <f t="shared" si="3"/>
        <v>14.903557916048776</v>
      </c>
      <c r="H230" s="45">
        <v>91</v>
      </c>
      <c r="I230" s="45">
        <v>83.9</v>
      </c>
      <c r="K230" s="53">
        <v>-5.230121980229093</v>
      </c>
      <c r="L230" s="53"/>
      <c r="M230" s="53">
        <v>-5.230121980229093</v>
      </c>
      <c r="N230" s="53"/>
      <c r="O230" s="53"/>
      <c r="P230" s="53"/>
      <c r="Q230" s="53"/>
      <c r="R230" s="53"/>
      <c r="S230" s="53"/>
      <c r="T230" s="53"/>
      <c r="U230" s="53"/>
      <c r="V230" s="53"/>
    </row>
    <row r="231" spans="6:22" x14ac:dyDescent="0.55000000000000004">
      <c r="F231" s="44">
        <v>44044</v>
      </c>
      <c r="G231" s="52">
        <f t="shared" si="3"/>
        <v>3.1370879697367284</v>
      </c>
      <c r="H231" s="45">
        <v>93.9</v>
      </c>
      <c r="I231" s="45">
        <v>86.3</v>
      </c>
      <c r="K231" s="53">
        <v>-2.8037987156424928</v>
      </c>
      <c r="L231" s="53"/>
      <c r="M231" s="53">
        <v>-2.8037987156424928</v>
      </c>
      <c r="N231" s="53"/>
      <c r="O231" s="53"/>
      <c r="P231" s="53"/>
      <c r="Q231" s="53"/>
      <c r="R231" s="53"/>
      <c r="S231" s="53"/>
      <c r="T231" s="53"/>
      <c r="U231" s="53"/>
      <c r="V231" s="53"/>
    </row>
    <row r="232" spans="6:22" x14ac:dyDescent="0.55000000000000004">
      <c r="F232" s="44">
        <v>44075</v>
      </c>
      <c r="G232" s="52">
        <f t="shared" si="3"/>
        <v>1.5848192240023713</v>
      </c>
      <c r="H232" s="45">
        <v>95.4</v>
      </c>
      <c r="I232" s="45">
        <v>88.6</v>
      </c>
      <c r="K232" s="53">
        <v>2.8252110387832485</v>
      </c>
      <c r="L232" s="53"/>
      <c r="M232" s="53">
        <v>2.8252110387832485</v>
      </c>
      <c r="N232" s="53"/>
      <c r="O232" s="53"/>
      <c r="P232" s="53"/>
      <c r="Q232" s="53"/>
      <c r="R232" s="53"/>
      <c r="S232" s="53"/>
      <c r="T232" s="53"/>
      <c r="U232" s="53"/>
      <c r="V232" s="53"/>
    </row>
    <row r="233" spans="6:22" x14ac:dyDescent="0.55000000000000004">
      <c r="F233" s="44">
        <v>44105</v>
      </c>
      <c r="G233" s="52">
        <f t="shared" si="3"/>
        <v>1.9720410737718495</v>
      </c>
      <c r="H233" s="45">
        <v>97.3</v>
      </c>
      <c r="I233" s="45">
        <v>89.6</v>
      </c>
      <c r="K233" s="53">
        <v>-3.5717329909907445</v>
      </c>
      <c r="L233" s="53"/>
      <c r="M233" s="53">
        <v>-3.5717329909907445</v>
      </c>
      <c r="N233" s="53"/>
      <c r="O233" s="53"/>
      <c r="P233" s="53"/>
      <c r="Q233" s="53"/>
      <c r="R233" s="53"/>
      <c r="S233" s="53"/>
      <c r="T233" s="53"/>
      <c r="U233" s="53"/>
      <c r="V233" s="53"/>
    </row>
    <row r="234" spans="6:22" x14ac:dyDescent="0.55000000000000004">
      <c r="F234" s="44">
        <v>44136</v>
      </c>
      <c r="G234" s="52">
        <f t="shared" si="3"/>
        <v>-7.5769562123381347</v>
      </c>
      <c r="H234" s="45">
        <v>90.2</v>
      </c>
      <c r="I234" s="45">
        <v>90</v>
      </c>
      <c r="K234" s="53">
        <v>5.542167953994479</v>
      </c>
      <c r="L234" s="53"/>
      <c r="M234" s="53">
        <v>5.542167953994479</v>
      </c>
      <c r="N234" s="53"/>
      <c r="O234" s="53"/>
      <c r="P234" s="53"/>
      <c r="Q234" s="53"/>
      <c r="R234" s="53"/>
      <c r="S234" s="53"/>
      <c r="T234" s="53"/>
      <c r="U234" s="53"/>
      <c r="V234" s="53"/>
    </row>
    <row r="235" spans="6:22" x14ac:dyDescent="0.55000000000000004">
      <c r="F235" s="44">
        <v>44166</v>
      </c>
      <c r="G235" s="52">
        <f t="shared" si="3"/>
        <v>-7.9580877895781015</v>
      </c>
      <c r="H235" s="45">
        <v>83.3</v>
      </c>
      <c r="I235" s="45">
        <v>90.3</v>
      </c>
      <c r="K235" s="53">
        <v>11.087288334485097</v>
      </c>
      <c r="L235" s="53"/>
      <c r="M235" s="53">
        <v>11.087288334485097</v>
      </c>
      <c r="N235" s="53"/>
      <c r="O235" s="53"/>
      <c r="P235" s="53"/>
      <c r="Q235" s="53"/>
      <c r="R235" s="53"/>
      <c r="S235" s="53"/>
      <c r="T235" s="53"/>
      <c r="U235" s="53"/>
      <c r="V235" s="53"/>
    </row>
    <row r="236" spans="6:22" x14ac:dyDescent="0.55000000000000004">
      <c r="F236" s="44">
        <v>44197</v>
      </c>
      <c r="G236" s="52">
        <f t="shared" si="3"/>
        <v>-1.6949558313773205</v>
      </c>
      <c r="H236" s="45">
        <v>81.900000000000006</v>
      </c>
      <c r="I236" s="45">
        <v>90.7</v>
      </c>
      <c r="K236" s="53">
        <v>0.56031776721630933</v>
      </c>
      <c r="L236" s="53"/>
      <c r="M236" s="53">
        <v>0.56031776721630933</v>
      </c>
      <c r="N236" s="53"/>
      <c r="O236" s="53"/>
      <c r="P236" s="53"/>
      <c r="Q236" s="53"/>
      <c r="R236" s="53"/>
      <c r="S236" s="53"/>
      <c r="T236" s="53"/>
      <c r="U236" s="53"/>
      <c r="V236" s="53"/>
    </row>
    <row r="237" spans="6:22" x14ac:dyDescent="0.55000000000000004">
      <c r="F237" s="44">
        <v>44228</v>
      </c>
      <c r="G237" s="52">
        <f t="shared" si="3"/>
        <v>-3.4786116085415655</v>
      </c>
      <c r="H237" s="45">
        <v>79.099999999999994</v>
      </c>
      <c r="I237" s="45">
        <v>89.7</v>
      </c>
      <c r="K237" s="53">
        <v>3.0830593286322228</v>
      </c>
      <c r="L237" s="53"/>
      <c r="M237" s="53">
        <v>3.0830593286322228</v>
      </c>
      <c r="N237" s="53"/>
      <c r="O237" s="53"/>
      <c r="P237" s="53"/>
      <c r="Q237" s="53"/>
      <c r="R237" s="53"/>
      <c r="S237" s="53"/>
      <c r="T237" s="53"/>
      <c r="U237" s="53"/>
      <c r="V237" s="53"/>
    </row>
    <row r="238" spans="6:22" x14ac:dyDescent="0.55000000000000004">
      <c r="F238" s="44">
        <v>44256</v>
      </c>
      <c r="G238" s="52">
        <f t="shared" si="3"/>
        <v>8.4796536660076853</v>
      </c>
      <c r="H238" s="45">
        <v>86.1</v>
      </c>
      <c r="I238" s="45">
        <v>87.5</v>
      </c>
      <c r="K238" s="53">
        <v>-10.25404340464851</v>
      </c>
      <c r="L238" s="53"/>
      <c r="M238" s="53">
        <v>-10.25404340464851</v>
      </c>
      <c r="N238" s="53"/>
      <c r="O238" s="53"/>
      <c r="P238" s="53"/>
      <c r="Q238" s="53"/>
      <c r="R238" s="53"/>
      <c r="S238" s="53"/>
      <c r="T238" s="53"/>
      <c r="U238" s="53"/>
      <c r="V238" s="53"/>
    </row>
    <row r="239" spans="6:22" x14ac:dyDescent="0.55000000000000004">
      <c r="F239" s="44">
        <v>44287</v>
      </c>
      <c r="G239" s="52">
        <f t="shared" si="3"/>
        <v>-5.7363394879920193</v>
      </c>
      <c r="H239" s="45">
        <v>81.3</v>
      </c>
      <c r="I239" s="45">
        <v>86.1</v>
      </c>
      <c r="K239" s="53">
        <v>4.0661109319364694</v>
      </c>
      <c r="L239" s="53"/>
      <c r="M239" s="53">
        <v>4.0661109319364694</v>
      </c>
      <c r="N239" s="53"/>
      <c r="O239" s="53"/>
      <c r="P239" s="53"/>
      <c r="Q239" s="53"/>
      <c r="R239" s="53"/>
      <c r="S239" s="53"/>
      <c r="T239" s="53"/>
      <c r="U239" s="53"/>
      <c r="V239" s="53"/>
    </row>
    <row r="240" spans="6:22" x14ac:dyDescent="0.55000000000000004">
      <c r="F240" s="44">
        <v>44317</v>
      </c>
      <c r="G240" s="52">
        <f t="shared" si="3"/>
        <v>8.3725953089832981</v>
      </c>
      <c r="H240" s="45">
        <v>88.4</v>
      </c>
      <c r="I240" s="45">
        <v>87.1</v>
      </c>
      <c r="K240" s="53">
        <v>-6.5188360987815841</v>
      </c>
      <c r="L240" s="53"/>
      <c r="M240" s="53">
        <v>-6.5188360987815841</v>
      </c>
      <c r="N240" s="53"/>
      <c r="O240" s="53"/>
      <c r="P240" s="53"/>
      <c r="Q240" s="53"/>
      <c r="R240" s="53"/>
      <c r="S240" s="53"/>
      <c r="T240" s="53"/>
      <c r="U240" s="53"/>
      <c r="V240" s="53"/>
    </row>
    <row r="241" spans="6:22" x14ac:dyDescent="0.55000000000000004">
      <c r="F241" s="44">
        <v>44348</v>
      </c>
      <c r="G241" s="52">
        <f t="shared" si="3"/>
        <v>-0.56721649524664175</v>
      </c>
      <c r="H241" s="45">
        <v>87.9</v>
      </c>
      <c r="I241" s="45">
        <v>86.7</v>
      </c>
      <c r="K241" s="53">
        <v>1.2423937236054152</v>
      </c>
      <c r="L241" s="53"/>
      <c r="M241" s="53">
        <v>1.2423937236054152</v>
      </c>
      <c r="N241" s="53"/>
      <c r="O241" s="53"/>
      <c r="P241" s="53"/>
      <c r="Q241" s="53"/>
      <c r="R241" s="53"/>
      <c r="S241" s="53"/>
      <c r="T241" s="53"/>
      <c r="U241" s="53"/>
      <c r="V241" s="53"/>
    </row>
    <row r="242" spans="6:22" x14ac:dyDescent="0.55000000000000004">
      <c r="F242" s="44">
        <v>44378</v>
      </c>
      <c r="G242" s="52">
        <f t="shared" si="3"/>
        <v>4.7760325871416818</v>
      </c>
      <c r="H242" s="45">
        <v>92.2</v>
      </c>
      <c r="I242" s="45">
        <v>85.4</v>
      </c>
      <c r="K242" s="53">
        <v>-5.230121980229093</v>
      </c>
      <c r="L242" s="53"/>
      <c r="M242" s="53">
        <v>-5.230121980229093</v>
      </c>
      <c r="N242" s="53"/>
      <c r="O242" s="53"/>
      <c r="P242" s="53"/>
      <c r="Q242" s="53"/>
      <c r="R242" s="53"/>
      <c r="S242" s="53"/>
      <c r="T242" s="53"/>
      <c r="U242" s="53"/>
      <c r="V242" s="53"/>
    </row>
    <row r="243" spans="6:22" x14ac:dyDescent="0.55000000000000004">
      <c r="F243" s="44">
        <v>44409</v>
      </c>
      <c r="G243" s="52">
        <f t="shared" si="3"/>
        <v>1.2931214672248785</v>
      </c>
      <c r="H243" s="45">
        <v>93.4</v>
      </c>
      <c r="I243" s="45">
        <v>85</v>
      </c>
      <c r="K243" s="53">
        <v>-2.8037987156424928</v>
      </c>
      <c r="L243" s="53"/>
      <c r="M243" s="53">
        <v>-2.8037987156424928</v>
      </c>
      <c r="N243" s="53"/>
      <c r="O243" s="53"/>
      <c r="P243" s="53"/>
      <c r="Q243" s="53"/>
      <c r="R243" s="53"/>
      <c r="S243" s="53"/>
      <c r="T243" s="53"/>
      <c r="U243" s="53"/>
      <c r="V243" s="53"/>
    </row>
    <row r="244" spans="6:22" x14ac:dyDescent="0.55000000000000004">
      <c r="F244" s="44">
        <v>44440</v>
      </c>
      <c r="G244" s="52">
        <f t="shared" si="3"/>
        <v>-2.0552372953321347</v>
      </c>
      <c r="H244" s="45">
        <v>91.5</v>
      </c>
      <c r="I244" s="45">
        <v>84.6</v>
      </c>
      <c r="K244" s="53">
        <v>2.825211038783249</v>
      </c>
      <c r="L244" s="53"/>
      <c r="M244" s="53">
        <v>2.825211038783249</v>
      </c>
      <c r="N244" s="53"/>
      <c r="O244" s="53"/>
      <c r="P244" s="53"/>
      <c r="Q244" s="53"/>
      <c r="R244" s="53"/>
      <c r="S244" s="53"/>
      <c r="T244" s="53"/>
      <c r="U244" s="53"/>
      <c r="V244" s="53"/>
    </row>
    <row r="245" spans="6:22" x14ac:dyDescent="0.55000000000000004">
      <c r="F245" s="44">
        <v>44470</v>
      </c>
      <c r="G245" s="52">
        <f t="shared" si="3"/>
        <v>-1.9868203216725173</v>
      </c>
      <c r="H245" s="45">
        <v>89.7</v>
      </c>
      <c r="I245" s="45">
        <v>84.1</v>
      </c>
      <c r="K245" s="53">
        <v>-3.5717329909907449</v>
      </c>
      <c r="L245" s="53"/>
      <c r="M245" s="53">
        <v>-3.5717329909907449</v>
      </c>
      <c r="N245" s="53"/>
      <c r="O245" s="53"/>
      <c r="P245" s="53"/>
      <c r="Q245" s="53"/>
      <c r="R245" s="53"/>
      <c r="S245" s="53"/>
      <c r="T245" s="53"/>
      <c r="U245" s="53"/>
      <c r="V245" s="53"/>
    </row>
    <row r="246" spans="6:22" x14ac:dyDescent="0.55000000000000004">
      <c r="F246" s="44">
        <v>44501</v>
      </c>
      <c r="G246" s="52">
        <f t="shared" si="3"/>
        <v>-3.8641170975368224</v>
      </c>
      <c r="H246" s="45">
        <v>86.3</v>
      </c>
      <c r="I246" s="45">
        <v>84.1</v>
      </c>
      <c r="K246" s="53">
        <v>5.542167953994479</v>
      </c>
      <c r="L246" s="53"/>
      <c r="M246" s="53">
        <v>5.542167953994479</v>
      </c>
      <c r="N246" s="53"/>
      <c r="O246" s="53"/>
      <c r="P246" s="53"/>
      <c r="Q246" s="53"/>
      <c r="R246" s="53"/>
      <c r="S246" s="53"/>
      <c r="T246" s="53"/>
      <c r="U246" s="53"/>
      <c r="V246" s="53"/>
    </row>
    <row r="247" spans="6:22" x14ac:dyDescent="0.55000000000000004">
      <c r="F247" s="44">
        <v>44531</v>
      </c>
      <c r="G247" s="52">
        <f t="shared" si="3"/>
        <v>-8.5853299269002026</v>
      </c>
      <c r="H247" s="45">
        <v>79.2</v>
      </c>
      <c r="I247" s="45">
        <v>86.5</v>
      </c>
      <c r="K247" s="53">
        <v>11.087288334485097</v>
      </c>
      <c r="L247" s="53"/>
      <c r="M247" s="53">
        <v>11.087288334485097</v>
      </c>
      <c r="N247" s="53"/>
      <c r="O247" s="53"/>
      <c r="P247" s="53"/>
      <c r="Q247" s="53"/>
      <c r="R247" s="53"/>
      <c r="S247" s="53"/>
      <c r="T247" s="53"/>
      <c r="U247" s="53"/>
      <c r="V247" s="53"/>
    </row>
  </sheetData>
  <mergeCells count="1">
    <mergeCell ref="D11:D12"/>
  </mergeCell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560F0-C835-440B-97C3-A053D654C59E}">
  <sheetPr codeName="Planilha13">
    <tabColor theme="9" tint="0.59999389629810485"/>
  </sheetPr>
  <dimension ref="A1:T58"/>
  <sheetViews>
    <sheetView showGridLines="0" workbookViewId="0"/>
  </sheetViews>
  <sheetFormatPr defaultColWidth="8.796875" defaultRowHeight="18" x14ac:dyDescent="0.55000000000000004"/>
  <cols>
    <col min="1" max="1" width="12.6640625" style="17" customWidth="1"/>
    <col min="2" max="2" width="24.796875" bestFit="1" customWidth="1"/>
    <col min="4" max="4" width="4.6640625" customWidth="1"/>
    <col min="5" max="5" width="10.6640625" customWidth="1"/>
    <col min="6" max="6" width="10.1328125" bestFit="1" customWidth="1"/>
    <col min="7" max="7" width="12.33203125" bestFit="1" customWidth="1"/>
    <col min="9" max="10" width="8.796875" style="15"/>
    <col min="11" max="11" width="12.33203125" style="15" bestFit="1" customWidth="1"/>
    <col min="12" max="20" width="8.796875" style="15"/>
    <col min="23" max="23" width="8.796875" customWidth="1"/>
  </cols>
  <sheetData>
    <row r="1" spans="1:20" x14ac:dyDescent="0.55000000000000004">
      <c r="A1" s="16" t="s">
        <v>157</v>
      </c>
      <c r="I1" s="14"/>
      <c r="J1" s="14"/>
      <c r="K1" s="14"/>
      <c r="L1" s="14"/>
      <c r="M1" s="14"/>
      <c r="N1" s="14"/>
      <c r="O1" s="14"/>
      <c r="P1" s="14"/>
      <c r="Q1" s="14"/>
      <c r="R1" s="14"/>
      <c r="S1" s="14"/>
      <c r="T1" s="14"/>
    </row>
    <row r="2" spans="1:20" x14ac:dyDescent="0.55000000000000004">
      <c r="A2" s="17" t="s">
        <v>162</v>
      </c>
      <c r="I2" s="14"/>
      <c r="J2" s="14"/>
      <c r="K2" s="14"/>
      <c r="L2" s="14"/>
      <c r="M2" s="14"/>
      <c r="N2" s="14"/>
      <c r="O2" s="14"/>
      <c r="P2" s="14"/>
      <c r="Q2" s="14"/>
      <c r="R2" s="14"/>
      <c r="S2" s="14"/>
      <c r="T2" s="14"/>
    </row>
    <row r="4" spans="1:20" ht="15.75" x14ac:dyDescent="0.5">
      <c r="A4" s="2" t="s">
        <v>15</v>
      </c>
      <c r="B4" s="2" t="s">
        <v>16</v>
      </c>
    </row>
    <row r="5" spans="1:20" ht="47.25" x14ac:dyDescent="0.5">
      <c r="A5" s="23" t="s">
        <v>158</v>
      </c>
      <c r="B5" s="24" t="s">
        <v>160</v>
      </c>
    </row>
    <row r="6" spans="1:20" ht="78.75" x14ac:dyDescent="0.5">
      <c r="A6" s="23" t="s">
        <v>159</v>
      </c>
      <c r="B6" s="24" t="s">
        <v>163</v>
      </c>
    </row>
    <row r="7" spans="1:20" x14ac:dyDescent="0.55000000000000004">
      <c r="E7" s="21" t="s">
        <v>156</v>
      </c>
      <c r="F7" s="48" t="s">
        <v>158</v>
      </c>
      <c r="G7" s="48" t="s">
        <v>161</v>
      </c>
    </row>
    <row r="8" spans="1:20" x14ac:dyDescent="0.55000000000000004">
      <c r="E8" s="49">
        <v>35796</v>
      </c>
      <c r="F8" s="47">
        <f>MONTH(E8)</f>
        <v>1</v>
      </c>
      <c r="G8" s="47">
        <v>12</v>
      </c>
      <c r="I8" s="15" cm="1">
        <f t="array" ref="I8:S31">_xlfn.LAMBDA(_xlpm.categories,_xlop.exclude,
_xlfn.LET(
_xlpm.check, IF( _xlfn.XOR( ROWS(_xlpm.categories)&gt;1, COLUMNS(_xlpm.categories)&gt;1 ), TRUE, FALSE),
_xlpm.categories, IF(ROWS(_xlpm.categories)&gt;1, _xlpm.categories, TRANSPOSE(_xlpm.categories) ),
_xlpm.uniqueCategories, _xlfn._xlws.SORT( _xlfn.UNIQUE(_xlpm.categories) ),
_xlpm.nCategories, COUNTA(_xlpm.uniqueCategories),
_xlpm.matrix,
1 * ( REPMAT(_xlpm.categories,1,_xlpm.nCategories)=REPMAT( TRANSPOSE(_xlpm.uniqueCategories),ROWS(_xlpm.categories),1) ),
IF( _xlpm.check=FALSE, "# categories must be a 1-column or 1-row vector",
IF( OR( _xlfn.ISOMITTED(_xlpm.exclude), _xlpm.exclude = FALSE), _xlpm.matrix, SLICE(_xlpm.matrix, 0, 0, _xlfn._xlws.FILTER(_xlfn.SEQUENCE(1,_xlpm.nCategories), _xlfn.SEQUENCE(1,_xlpm.nCategories)&lt;&gt; (1*_xlpm.exclude) ), 0) )
) ) )($F$8:$F$31, $G$8)</f>
        <v>1</v>
      </c>
      <c r="J8" s="15">
        <v>0</v>
      </c>
      <c r="K8" s="15">
        <v>0</v>
      </c>
      <c r="L8" s="15">
        <v>0</v>
      </c>
      <c r="M8" s="15">
        <v>0</v>
      </c>
      <c r="N8" s="15">
        <v>0</v>
      </c>
      <c r="O8" s="15">
        <v>0</v>
      </c>
      <c r="P8" s="15">
        <v>0</v>
      </c>
      <c r="Q8" s="15">
        <v>0</v>
      </c>
      <c r="R8" s="15">
        <v>0</v>
      </c>
      <c r="S8" s="15">
        <v>0</v>
      </c>
    </row>
    <row r="9" spans="1:20" x14ac:dyDescent="0.55000000000000004">
      <c r="E9" s="49">
        <v>35827</v>
      </c>
      <c r="F9" s="47">
        <f t="shared" ref="F9:F31" si="0">MONTH(E9)</f>
        <v>2</v>
      </c>
      <c r="I9" s="15">
        <v>0</v>
      </c>
      <c r="J9" s="15">
        <v>1</v>
      </c>
      <c r="K9" s="15">
        <v>0</v>
      </c>
      <c r="L9" s="15">
        <v>0</v>
      </c>
      <c r="M9" s="15">
        <v>0</v>
      </c>
      <c r="N9" s="15">
        <v>0</v>
      </c>
      <c r="O9" s="15">
        <v>0</v>
      </c>
      <c r="P9" s="15">
        <v>0</v>
      </c>
      <c r="Q9" s="15">
        <v>0</v>
      </c>
      <c r="R9" s="15">
        <v>0</v>
      </c>
      <c r="S9" s="15">
        <v>0</v>
      </c>
    </row>
    <row r="10" spans="1:20" x14ac:dyDescent="0.55000000000000004">
      <c r="E10" s="49">
        <v>35855</v>
      </c>
      <c r="F10" s="47">
        <f t="shared" si="0"/>
        <v>3</v>
      </c>
      <c r="I10" s="15">
        <v>0</v>
      </c>
      <c r="J10" s="15">
        <v>0</v>
      </c>
      <c r="K10" s="15">
        <v>1</v>
      </c>
      <c r="L10" s="15">
        <v>0</v>
      </c>
      <c r="M10" s="15">
        <v>0</v>
      </c>
      <c r="N10" s="15">
        <v>0</v>
      </c>
      <c r="O10" s="15">
        <v>0</v>
      </c>
      <c r="P10" s="15">
        <v>0</v>
      </c>
      <c r="Q10" s="15">
        <v>0</v>
      </c>
      <c r="R10" s="15">
        <v>0</v>
      </c>
      <c r="S10" s="15">
        <v>0</v>
      </c>
    </row>
    <row r="11" spans="1:20" ht="18.75" customHeight="1" x14ac:dyDescent="0.55000000000000004">
      <c r="E11" s="49">
        <v>35886</v>
      </c>
      <c r="F11" s="47">
        <f t="shared" si="0"/>
        <v>4</v>
      </c>
      <c r="I11" s="15">
        <v>0</v>
      </c>
      <c r="J11" s="15">
        <v>0</v>
      </c>
      <c r="K11" s="15">
        <v>0</v>
      </c>
      <c r="L11" s="15">
        <v>1</v>
      </c>
      <c r="M11" s="15">
        <v>0</v>
      </c>
      <c r="N11" s="15">
        <v>0</v>
      </c>
      <c r="O11" s="15">
        <v>0</v>
      </c>
      <c r="P11" s="15">
        <v>0</v>
      </c>
      <c r="Q11" s="15">
        <v>0</v>
      </c>
      <c r="R11" s="15">
        <v>0</v>
      </c>
      <c r="S11" s="15">
        <v>0</v>
      </c>
    </row>
    <row r="12" spans="1:20" x14ac:dyDescent="0.55000000000000004">
      <c r="E12" s="49">
        <v>35916</v>
      </c>
      <c r="F12" s="47">
        <f t="shared" si="0"/>
        <v>5</v>
      </c>
      <c r="I12" s="15">
        <v>0</v>
      </c>
      <c r="J12" s="15">
        <v>0</v>
      </c>
      <c r="K12" s="15">
        <v>0</v>
      </c>
      <c r="L12" s="15">
        <v>0</v>
      </c>
      <c r="M12" s="15">
        <v>1</v>
      </c>
      <c r="N12" s="15">
        <v>0</v>
      </c>
      <c r="O12" s="15">
        <v>0</v>
      </c>
      <c r="P12" s="15">
        <v>0</v>
      </c>
      <c r="Q12" s="15">
        <v>0</v>
      </c>
      <c r="R12" s="15">
        <v>0</v>
      </c>
      <c r="S12" s="15">
        <v>0</v>
      </c>
    </row>
    <row r="13" spans="1:20" x14ac:dyDescent="0.55000000000000004">
      <c r="E13" s="49">
        <v>35947</v>
      </c>
      <c r="F13" s="47">
        <f t="shared" si="0"/>
        <v>6</v>
      </c>
      <c r="I13" s="15">
        <v>0</v>
      </c>
      <c r="J13" s="15">
        <v>0</v>
      </c>
      <c r="K13" s="15">
        <v>0</v>
      </c>
      <c r="L13" s="15">
        <v>0</v>
      </c>
      <c r="M13" s="15">
        <v>0</v>
      </c>
      <c r="N13" s="15">
        <v>1</v>
      </c>
      <c r="O13" s="15">
        <v>0</v>
      </c>
      <c r="P13" s="15">
        <v>0</v>
      </c>
      <c r="Q13" s="15">
        <v>0</v>
      </c>
      <c r="R13" s="15">
        <v>0</v>
      </c>
      <c r="S13" s="15">
        <v>0</v>
      </c>
    </row>
    <row r="14" spans="1:20" x14ac:dyDescent="0.55000000000000004">
      <c r="E14" s="49">
        <v>35977</v>
      </c>
      <c r="F14" s="47">
        <f t="shared" si="0"/>
        <v>7</v>
      </c>
      <c r="I14" s="15">
        <v>0</v>
      </c>
      <c r="J14" s="15">
        <v>0</v>
      </c>
      <c r="K14" s="15">
        <v>0</v>
      </c>
      <c r="L14" s="15">
        <v>0</v>
      </c>
      <c r="M14" s="15">
        <v>0</v>
      </c>
      <c r="N14" s="15">
        <v>0</v>
      </c>
      <c r="O14" s="15">
        <v>1</v>
      </c>
      <c r="P14" s="15">
        <v>0</v>
      </c>
      <c r="Q14" s="15">
        <v>0</v>
      </c>
      <c r="R14" s="15">
        <v>0</v>
      </c>
      <c r="S14" s="15">
        <v>0</v>
      </c>
    </row>
    <row r="15" spans="1:20" x14ac:dyDescent="0.55000000000000004">
      <c r="E15" s="49">
        <v>36008</v>
      </c>
      <c r="F15" s="47">
        <f t="shared" si="0"/>
        <v>8</v>
      </c>
      <c r="I15" s="15">
        <v>0</v>
      </c>
      <c r="J15" s="15">
        <v>0</v>
      </c>
      <c r="K15" s="15">
        <v>0</v>
      </c>
      <c r="L15" s="15">
        <v>0</v>
      </c>
      <c r="M15" s="15">
        <v>0</v>
      </c>
      <c r="N15" s="15">
        <v>0</v>
      </c>
      <c r="O15" s="15">
        <v>0</v>
      </c>
      <c r="P15" s="15">
        <v>1</v>
      </c>
      <c r="Q15" s="15">
        <v>0</v>
      </c>
      <c r="R15" s="15">
        <v>0</v>
      </c>
      <c r="S15" s="15">
        <v>0</v>
      </c>
    </row>
    <row r="16" spans="1:20" x14ac:dyDescent="0.55000000000000004">
      <c r="E16" s="49">
        <v>36039</v>
      </c>
      <c r="F16" s="47">
        <f t="shared" si="0"/>
        <v>9</v>
      </c>
      <c r="I16" s="15">
        <v>0</v>
      </c>
      <c r="J16" s="15">
        <v>0</v>
      </c>
      <c r="K16" s="15">
        <v>0</v>
      </c>
      <c r="L16" s="15">
        <v>0</v>
      </c>
      <c r="M16" s="15">
        <v>0</v>
      </c>
      <c r="N16" s="15">
        <v>0</v>
      </c>
      <c r="O16" s="15">
        <v>0</v>
      </c>
      <c r="P16" s="15">
        <v>0</v>
      </c>
      <c r="Q16" s="15">
        <v>1</v>
      </c>
      <c r="R16" s="15">
        <v>0</v>
      </c>
      <c r="S16" s="15">
        <v>0</v>
      </c>
    </row>
    <row r="17" spans="5:19" x14ac:dyDescent="0.55000000000000004">
      <c r="E17" s="49">
        <v>36069</v>
      </c>
      <c r="F17" s="47">
        <f t="shared" si="0"/>
        <v>10</v>
      </c>
      <c r="I17" s="15">
        <v>0</v>
      </c>
      <c r="J17" s="15">
        <v>0</v>
      </c>
      <c r="K17" s="15">
        <v>0</v>
      </c>
      <c r="L17" s="15">
        <v>0</v>
      </c>
      <c r="M17" s="15">
        <v>0</v>
      </c>
      <c r="N17" s="15">
        <v>0</v>
      </c>
      <c r="O17" s="15">
        <v>0</v>
      </c>
      <c r="P17" s="15">
        <v>0</v>
      </c>
      <c r="Q17" s="15">
        <v>0</v>
      </c>
      <c r="R17" s="15">
        <v>1</v>
      </c>
      <c r="S17" s="15">
        <v>0</v>
      </c>
    </row>
    <row r="18" spans="5:19" x14ac:dyDescent="0.55000000000000004">
      <c r="E18" s="49">
        <v>36100</v>
      </c>
      <c r="F18" s="47">
        <f t="shared" si="0"/>
        <v>11</v>
      </c>
      <c r="I18" s="15">
        <v>0</v>
      </c>
      <c r="J18" s="15">
        <v>0</v>
      </c>
      <c r="K18" s="15">
        <v>0</v>
      </c>
      <c r="L18" s="15">
        <v>0</v>
      </c>
      <c r="M18" s="15">
        <v>0</v>
      </c>
      <c r="N18" s="15">
        <v>0</v>
      </c>
      <c r="O18" s="15">
        <v>0</v>
      </c>
      <c r="P18" s="15">
        <v>0</v>
      </c>
      <c r="Q18" s="15">
        <v>0</v>
      </c>
      <c r="R18" s="15">
        <v>0</v>
      </c>
      <c r="S18" s="15">
        <v>1</v>
      </c>
    </row>
    <row r="19" spans="5:19" x14ac:dyDescent="0.55000000000000004">
      <c r="E19" s="49">
        <v>36130</v>
      </c>
      <c r="F19" s="47">
        <f t="shared" si="0"/>
        <v>12</v>
      </c>
      <c r="I19" s="15">
        <v>0</v>
      </c>
      <c r="J19" s="15">
        <v>0</v>
      </c>
      <c r="K19" s="15">
        <v>0</v>
      </c>
      <c r="L19" s="15">
        <v>0</v>
      </c>
      <c r="M19" s="15">
        <v>0</v>
      </c>
      <c r="N19" s="15">
        <v>0</v>
      </c>
      <c r="O19" s="15">
        <v>0</v>
      </c>
      <c r="P19" s="15">
        <v>0</v>
      </c>
      <c r="Q19" s="15">
        <v>0</v>
      </c>
      <c r="R19" s="15">
        <v>0</v>
      </c>
      <c r="S19" s="15">
        <v>0</v>
      </c>
    </row>
    <row r="20" spans="5:19" x14ac:dyDescent="0.55000000000000004">
      <c r="E20" s="49">
        <v>36161</v>
      </c>
      <c r="F20" s="47">
        <f t="shared" si="0"/>
        <v>1</v>
      </c>
      <c r="I20" s="15">
        <v>1</v>
      </c>
      <c r="J20" s="15">
        <v>0</v>
      </c>
      <c r="K20" s="15">
        <v>0</v>
      </c>
      <c r="L20" s="15">
        <v>0</v>
      </c>
      <c r="M20" s="15">
        <v>0</v>
      </c>
      <c r="N20" s="15">
        <v>0</v>
      </c>
      <c r="O20" s="15">
        <v>0</v>
      </c>
      <c r="P20" s="15">
        <v>0</v>
      </c>
      <c r="Q20" s="15">
        <v>0</v>
      </c>
      <c r="R20" s="15">
        <v>0</v>
      </c>
      <c r="S20" s="15">
        <v>0</v>
      </c>
    </row>
    <row r="21" spans="5:19" x14ac:dyDescent="0.55000000000000004">
      <c r="E21" s="49">
        <v>36192</v>
      </c>
      <c r="F21" s="47">
        <f t="shared" si="0"/>
        <v>2</v>
      </c>
      <c r="I21" s="15">
        <v>0</v>
      </c>
      <c r="J21" s="15">
        <v>1</v>
      </c>
      <c r="K21" s="15">
        <v>0</v>
      </c>
      <c r="L21" s="15">
        <v>0</v>
      </c>
      <c r="M21" s="15">
        <v>0</v>
      </c>
      <c r="N21" s="15">
        <v>0</v>
      </c>
      <c r="O21" s="15">
        <v>0</v>
      </c>
      <c r="P21" s="15">
        <v>0</v>
      </c>
      <c r="Q21" s="15">
        <v>0</v>
      </c>
      <c r="R21" s="15">
        <v>0</v>
      </c>
      <c r="S21" s="15">
        <v>0</v>
      </c>
    </row>
    <row r="22" spans="5:19" x14ac:dyDescent="0.55000000000000004">
      <c r="E22" s="49">
        <v>36220</v>
      </c>
      <c r="F22" s="47">
        <f t="shared" si="0"/>
        <v>3</v>
      </c>
      <c r="I22" s="15">
        <v>0</v>
      </c>
      <c r="J22" s="15">
        <v>0</v>
      </c>
      <c r="K22" s="15">
        <v>1</v>
      </c>
      <c r="L22" s="15">
        <v>0</v>
      </c>
      <c r="M22" s="15">
        <v>0</v>
      </c>
      <c r="N22" s="15">
        <v>0</v>
      </c>
      <c r="O22" s="15">
        <v>0</v>
      </c>
      <c r="P22" s="15">
        <v>0</v>
      </c>
      <c r="Q22" s="15">
        <v>0</v>
      </c>
      <c r="R22" s="15">
        <v>0</v>
      </c>
      <c r="S22" s="15">
        <v>0</v>
      </c>
    </row>
    <row r="23" spans="5:19" x14ac:dyDescent="0.55000000000000004">
      <c r="E23" s="49">
        <v>36251</v>
      </c>
      <c r="F23" s="47">
        <f t="shared" si="0"/>
        <v>4</v>
      </c>
      <c r="I23" s="15">
        <v>0</v>
      </c>
      <c r="J23" s="15">
        <v>0</v>
      </c>
      <c r="K23" s="15">
        <v>0</v>
      </c>
      <c r="L23" s="15">
        <v>1</v>
      </c>
      <c r="M23" s="15">
        <v>0</v>
      </c>
      <c r="N23" s="15">
        <v>0</v>
      </c>
      <c r="O23" s="15">
        <v>0</v>
      </c>
      <c r="P23" s="15">
        <v>0</v>
      </c>
      <c r="Q23" s="15">
        <v>0</v>
      </c>
      <c r="R23" s="15">
        <v>0</v>
      </c>
      <c r="S23" s="15">
        <v>0</v>
      </c>
    </row>
    <row r="24" spans="5:19" x14ac:dyDescent="0.55000000000000004">
      <c r="E24" s="49">
        <v>36281</v>
      </c>
      <c r="F24" s="47">
        <f t="shared" si="0"/>
        <v>5</v>
      </c>
      <c r="I24" s="15">
        <v>0</v>
      </c>
      <c r="J24" s="15">
        <v>0</v>
      </c>
      <c r="K24" s="15">
        <v>0</v>
      </c>
      <c r="L24" s="15">
        <v>0</v>
      </c>
      <c r="M24" s="15">
        <v>1</v>
      </c>
      <c r="N24" s="15">
        <v>0</v>
      </c>
      <c r="O24" s="15">
        <v>0</v>
      </c>
      <c r="P24" s="15">
        <v>0</v>
      </c>
      <c r="Q24" s="15">
        <v>0</v>
      </c>
      <c r="R24" s="15">
        <v>0</v>
      </c>
      <c r="S24" s="15">
        <v>0</v>
      </c>
    </row>
    <row r="25" spans="5:19" x14ac:dyDescent="0.55000000000000004">
      <c r="E25" s="49">
        <v>36312</v>
      </c>
      <c r="F25" s="47">
        <f t="shared" si="0"/>
        <v>6</v>
      </c>
      <c r="I25" s="15">
        <v>0</v>
      </c>
      <c r="J25" s="15">
        <v>0</v>
      </c>
      <c r="K25" s="15">
        <v>0</v>
      </c>
      <c r="L25" s="15">
        <v>0</v>
      </c>
      <c r="M25" s="15">
        <v>0</v>
      </c>
      <c r="N25" s="15">
        <v>1</v>
      </c>
      <c r="O25" s="15">
        <v>0</v>
      </c>
      <c r="P25" s="15">
        <v>0</v>
      </c>
      <c r="Q25" s="15">
        <v>0</v>
      </c>
      <c r="R25" s="15">
        <v>0</v>
      </c>
      <c r="S25" s="15">
        <v>0</v>
      </c>
    </row>
    <row r="26" spans="5:19" x14ac:dyDescent="0.55000000000000004">
      <c r="E26" s="49">
        <v>36342</v>
      </c>
      <c r="F26" s="47">
        <f t="shared" si="0"/>
        <v>7</v>
      </c>
      <c r="I26" s="15">
        <v>0</v>
      </c>
      <c r="J26" s="15">
        <v>0</v>
      </c>
      <c r="K26" s="15">
        <v>0</v>
      </c>
      <c r="L26" s="15">
        <v>0</v>
      </c>
      <c r="M26" s="15">
        <v>0</v>
      </c>
      <c r="N26" s="15">
        <v>0</v>
      </c>
      <c r="O26" s="15">
        <v>1</v>
      </c>
      <c r="P26" s="15">
        <v>0</v>
      </c>
      <c r="Q26" s="15">
        <v>0</v>
      </c>
      <c r="R26" s="15">
        <v>0</v>
      </c>
      <c r="S26" s="15">
        <v>0</v>
      </c>
    </row>
    <row r="27" spans="5:19" x14ac:dyDescent="0.55000000000000004">
      <c r="E27" s="49">
        <v>36373</v>
      </c>
      <c r="F27" s="47">
        <f t="shared" si="0"/>
        <v>8</v>
      </c>
      <c r="I27" s="15">
        <v>0</v>
      </c>
      <c r="J27" s="15">
        <v>0</v>
      </c>
      <c r="K27" s="15">
        <v>0</v>
      </c>
      <c r="L27" s="15">
        <v>0</v>
      </c>
      <c r="M27" s="15">
        <v>0</v>
      </c>
      <c r="N27" s="15">
        <v>0</v>
      </c>
      <c r="O27" s="15">
        <v>0</v>
      </c>
      <c r="P27" s="15">
        <v>1</v>
      </c>
      <c r="Q27" s="15">
        <v>0</v>
      </c>
      <c r="R27" s="15">
        <v>0</v>
      </c>
      <c r="S27" s="15">
        <v>0</v>
      </c>
    </row>
    <row r="28" spans="5:19" x14ac:dyDescent="0.55000000000000004">
      <c r="E28" s="49">
        <v>36404</v>
      </c>
      <c r="F28" s="47">
        <f t="shared" si="0"/>
        <v>9</v>
      </c>
      <c r="I28" s="15">
        <v>0</v>
      </c>
      <c r="J28" s="15">
        <v>0</v>
      </c>
      <c r="K28" s="15">
        <v>0</v>
      </c>
      <c r="L28" s="15">
        <v>0</v>
      </c>
      <c r="M28" s="15">
        <v>0</v>
      </c>
      <c r="N28" s="15">
        <v>0</v>
      </c>
      <c r="O28" s="15">
        <v>0</v>
      </c>
      <c r="P28" s="15">
        <v>0</v>
      </c>
      <c r="Q28" s="15">
        <v>1</v>
      </c>
      <c r="R28" s="15">
        <v>0</v>
      </c>
      <c r="S28" s="15">
        <v>0</v>
      </c>
    </row>
    <row r="29" spans="5:19" x14ac:dyDescent="0.55000000000000004">
      <c r="E29" s="49">
        <v>36434</v>
      </c>
      <c r="F29" s="47">
        <f t="shared" si="0"/>
        <v>10</v>
      </c>
      <c r="I29" s="15">
        <v>0</v>
      </c>
      <c r="J29" s="15">
        <v>0</v>
      </c>
      <c r="K29" s="15">
        <v>0</v>
      </c>
      <c r="L29" s="15">
        <v>0</v>
      </c>
      <c r="M29" s="15">
        <v>0</v>
      </c>
      <c r="N29" s="15">
        <v>0</v>
      </c>
      <c r="O29" s="15">
        <v>0</v>
      </c>
      <c r="P29" s="15">
        <v>0</v>
      </c>
      <c r="Q29" s="15">
        <v>0</v>
      </c>
      <c r="R29" s="15">
        <v>1</v>
      </c>
      <c r="S29" s="15">
        <v>0</v>
      </c>
    </row>
    <row r="30" spans="5:19" x14ac:dyDescent="0.55000000000000004">
      <c r="E30" s="49">
        <v>36465</v>
      </c>
      <c r="F30" s="47">
        <f t="shared" si="0"/>
        <v>11</v>
      </c>
      <c r="I30" s="15">
        <v>0</v>
      </c>
      <c r="J30" s="15">
        <v>0</v>
      </c>
      <c r="K30" s="15">
        <v>0</v>
      </c>
      <c r="L30" s="15">
        <v>0</v>
      </c>
      <c r="M30" s="15">
        <v>0</v>
      </c>
      <c r="N30" s="15">
        <v>0</v>
      </c>
      <c r="O30" s="15">
        <v>0</v>
      </c>
      <c r="P30" s="15">
        <v>0</v>
      </c>
      <c r="Q30" s="15">
        <v>0</v>
      </c>
      <c r="R30" s="15">
        <v>0</v>
      </c>
      <c r="S30" s="15">
        <v>1</v>
      </c>
    </row>
    <row r="31" spans="5:19" x14ac:dyDescent="0.55000000000000004">
      <c r="E31" s="49">
        <v>36495</v>
      </c>
      <c r="F31" s="47">
        <f t="shared" si="0"/>
        <v>12</v>
      </c>
      <c r="I31" s="15">
        <v>0</v>
      </c>
      <c r="J31" s="15">
        <v>0</v>
      </c>
      <c r="K31" s="15">
        <v>0</v>
      </c>
      <c r="L31" s="15">
        <v>0</v>
      </c>
      <c r="M31" s="15">
        <v>0</v>
      </c>
      <c r="N31" s="15">
        <v>0</v>
      </c>
      <c r="O31" s="15">
        <v>0</v>
      </c>
      <c r="P31" s="15">
        <v>0</v>
      </c>
      <c r="Q31" s="15">
        <v>0</v>
      </c>
      <c r="R31" s="15">
        <v>0</v>
      </c>
      <c r="S31" s="15">
        <v>0</v>
      </c>
    </row>
    <row r="34" spans="5:19" x14ac:dyDescent="0.55000000000000004">
      <c r="E34" s="21" t="s">
        <v>156</v>
      </c>
      <c r="F34" s="48" t="s">
        <v>158</v>
      </c>
      <c r="G34" s="48" t="s">
        <v>161</v>
      </c>
    </row>
    <row r="35" spans="5:19" x14ac:dyDescent="0.55000000000000004">
      <c r="E35" s="49">
        <v>35796</v>
      </c>
      <c r="F35" s="47">
        <f>MONTH(E35)</f>
        <v>1</v>
      </c>
      <c r="G35" s="47">
        <v>1</v>
      </c>
      <c r="I35" s="15" cm="1">
        <f t="array" ref="I35:S58">DUMMYVAR($F$35:$F$58, $G$35)</f>
        <v>0</v>
      </c>
      <c r="J35" s="15">
        <v>0</v>
      </c>
      <c r="K35" s="15">
        <v>0</v>
      </c>
      <c r="L35" s="15">
        <v>0</v>
      </c>
      <c r="M35" s="15">
        <v>0</v>
      </c>
      <c r="N35" s="15">
        <v>0</v>
      </c>
      <c r="O35" s="15">
        <v>0</v>
      </c>
      <c r="P35" s="15">
        <v>0</v>
      </c>
      <c r="Q35" s="15">
        <v>0</v>
      </c>
      <c r="R35" s="15">
        <v>0</v>
      </c>
      <c r="S35" s="15">
        <v>0</v>
      </c>
    </row>
    <row r="36" spans="5:19" x14ac:dyDescent="0.55000000000000004">
      <c r="E36" s="49">
        <v>35827</v>
      </c>
      <c r="F36" s="47">
        <f t="shared" ref="F36:F58" si="1">MONTH(E36)</f>
        <v>2</v>
      </c>
      <c r="I36" s="15">
        <v>1</v>
      </c>
      <c r="J36" s="15">
        <v>0</v>
      </c>
      <c r="K36" s="15">
        <v>0</v>
      </c>
      <c r="L36" s="15">
        <v>0</v>
      </c>
      <c r="M36" s="15">
        <v>0</v>
      </c>
      <c r="N36" s="15">
        <v>0</v>
      </c>
      <c r="O36" s="15">
        <v>0</v>
      </c>
      <c r="P36" s="15">
        <v>0</v>
      </c>
      <c r="Q36" s="15">
        <v>0</v>
      </c>
      <c r="R36" s="15">
        <v>0</v>
      </c>
      <c r="S36" s="15">
        <v>0</v>
      </c>
    </row>
    <row r="37" spans="5:19" x14ac:dyDescent="0.55000000000000004">
      <c r="E37" s="49">
        <v>35855</v>
      </c>
      <c r="F37" s="47">
        <f t="shared" si="1"/>
        <v>3</v>
      </c>
      <c r="I37" s="15">
        <v>0</v>
      </c>
      <c r="J37" s="15">
        <v>1</v>
      </c>
      <c r="K37" s="15">
        <v>0</v>
      </c>
      <c r="L37" s="15">
        <v>0</v>
      </c>
      <c r="M37" s="15">
        <v>0</v>
      </c>
      <c r="N37" s="15">
        <v>0</v>
      </c>
      <c r="O37" s="15">
        <v>0</v>
      </c>
      <c r="P37" s="15">
        <v>0</v>
      </c>
      <c r="Q37" s="15">
        <v>0</v>
      </c>
      <c r="R37" s="15">
        <v>0</v>
      </c>
      <c r="S37" s="15">
        <v>0</v>
      </c>
    </row>
    <row r="38" spans="5:19" x14ac:dyDescent="0.55000000000000004">
      <c r="E38" s="49">
        <v>35886</v>
      </c>
      <c r="F38" s="47">
        <f t="shared" si="1"/>
        <v>4</v>
      </c>
      <c r="I38" s="15">
        <v>0</v>
      </c>
      <c r="J38" s="15">
        <v>0</v>
      </c>
      <c r="K38" s="15">
        <v>1</v>
      </c>
      <c r="L38" s="15">
        <v>0</v>
      </c>
      <c r="M38" s="15">
        <v>0</v>
      </c>
      <c r="N38" s="15">
        <v>0</v>
      </c>
      <c r="O38" s="15">
        <v>0</v>
      </c>
      <c r="P38" s="15">
        <v>0</v>
      </c>
      <c r="Q38" s="15">
        <v>0</v>
      </c>
      <c r="R38" s="15">
        <v>0</v>
      </c>
      <c r="S38" s="15">
        <v>0</v>
      </c>
    </row>
    <row r="39" spans="5:19" x14ac:dyDescent="0.55000000000000004">
      <c r="E39" s="49">
        <v>35916</v>
      </c>
      <c r="F39" s="47">
        <f t="shared" si="1"/>
        <v>5</v>
      </c>
      <c r="I39" s="15">
        <v>0</v>
      </c>
      <c r="J39" s="15">
        <v>0</v>
      </c>
      <c r="K39" s="15">
        <v>0</v>
      </c>
      <c r="L39" s="15">
        <v>1</v>
      </c>
      <c r="M39" s="15">
        <v>0</v>
      </c>
      <c r="N39" s="15">
        <v>0</v>
      </c>
      <c r="O39" s="15">
        <v>0</v>
      </c>
      <c r="P39" s="15">
        <v>0</v>
      </c>
      <c r="Q39" s="15">
        <v>0</v>
      </c>
      <c r="R39" s="15">
        <v>0</v>
      </c>
      <c r="S39" s="15">
        <v>0</v>
      </c>
    </row>
    <row r="40" spans="5:19" x14ac:dyDescent="0.55000000000000004">
      <c r="E40" s="49">
        <v>35947</v>
      </c>
      <c r="F40" s="47">
        <f t="shared" si="1"/>
        <v>6</v>
      </c>
      <c r="I40" s="15">
        <v>0</v>
      </c>
      <c r="J40" s="15">
        <v>0</v>
      </c>
      <c r="K40" s="15">
        <v>0</v>
      </c>
      <c r="L40" s="15">
        <v>0</v>
      </c>
      <c r="M40" s="15">
        <v>1</v>
      </c>
      <c r="N40" s="15">
        <v>0</v>
      </c>
      <c r="O40" s="15">
        <v>0</v>
      </c>
      <c r="P40" s="15">
        <v>0</v>
      </c>
      <c r="Q40" s="15">
        <v>0</v>
      </c>
      <c r="R40" s="15">
        <v>0</v>
      </c>
      <c r="S40" s="15">
        <v>0</v>
      </c>
    </row>
    <row r="41" spans="5:19" x14ac:dyDescent="0.55000000000000004">
      <c r="E41" s="49">
        <v>35977</v>
      </c>
      <c r="F41" s="47">
        <f t="shared" si="1"/>
        <v>7</v>
      </c>
      <c r="I41" s="15">
        <v>0</v>
      </c>
      <c r="J41" s="15">
        <v>0</v>
      </c>
      <c r="K41" s="15">
        <v>0</v>
      </c>
      <c r="L41" s="15">
        <v>0</v>
      </c>
      <c r="M41" s="15">
        <v>0</v>
      </c>
      <c r="N41" s="15">
        <v>1</v>
      </c>
      <c r="O41" s="15">
        <v>0</v>
      </c>
      <c r="P41" s="15">
        <v>0</v>
      </c>
      <c r="Q41" s="15">
        <v>0</v>
      </c>
      <c r="R41" s="15">
        <v>0</v>
      </c>
      <c r="S41" s="15">
        <v>0</v>
      </c>
    </row>
    <row r="42" spans="5:19" x14ac:dyDescent="0.55000000000000004">
      <c r="E42" s="49">
        <v>36008</v>
      </c>
      <c r="F42" s="47">
        <f t="shared" si="1"/>
        <v>8</v>
      </c>
      <c r="I42" s="15">
        <v>0</v>
      </c>
      <c r="J42" s="15">
        <v>0</v>
      </c>
      <c r="K42" s="15">
        <v>0</v>
      </c>
      <c r="L42" s="15">
        <v>0</v>
      </c>
      <c r="M42" s="15">
        <v>0</v>
      </c>
      <c r="N42" s="15">
        <v>0</v>
      </c>
      <c r="O42" s="15">
        <v>1</v>
      </c>
      <c r="P42" s="15">
        <v>0</v>
      </c>
      <c r="Q42" s="15">
        <v>0</v>
      </c>
      <c r="R42" s="15">
        <v>0</v>
      </c>
      <c r="S42" s="15">
        <v>0</v>
      </c>
    </row>
    <row r="43" spans="5:19" x14ac:dyDescent="0.55000000000000004">
      <c r="E43" s="49">
        <v>36039</v>
      </c>
      <c r="F43" s="47">
        <f t="shared" si="1"/>
        <v>9</v>
      </c>
      <c r="I43" s="15">
        <v>0</v>
      </c>
      <c r="J43" s="15">
        <v>0</v>
      </c>
      <c r="K43" s="15">
        <v>0</v>
      </c>
      <c r="L43" s="15">
        <v>0</v>
      </c>
      <c r="M43" s="15">
        <v>0</v>
      </c>
      <c r="N43" s="15">
        <v>0</v>
      </c>
      <c r="O43" s="15">
        <v>0</v>
      </c>
      <c r="P43" s="15">
        <v>1</v>
      </c>
      <c r="Q43" s="15">
        <v>0</v>
      </c>
      <c r="R43" s="15">
        <v>0</v>
      </c>
      <c r="S43" s="15">
        <v>0</v>
      </c>
    </row>
    <row r="44" spans="5:19" x14ac:dyDescent="0.55000000000000004">
      <c r="E44" s="49">
        <v>36069</v>
      </c>
      <c r="F44" s="47">
        <f t="shared" si="1"/>
        <v>10</v>
      </c>
      <c r="I44" s="15">
        <v>0</v>
      </c>
      <c r="J44" s="15">
        <v>0</v>
      </c>
      <c r="K44" s="15">
        <v>0</v>
      </c>
      <c r="L44" s="15">
        <v>0</v>
      </c>
      <c r="M44" s="15">
        <v>0</v>
      </c>
      <c r="N44" s="15">
        <v>0</v>
      </c>
      <c r="O44" s="15">
        <v>0</v>
      </c>
      <c r="P44" s="15">
        <v>0</v>
      </c>
      <c r="Q44" s="15">
        <v>1</v>
      </c>
      <c r="R44" s="15">
        <v>0</v>
      </c>
      <c r="S44" s="15">
        <v>0</v>
      </c>
    </row>
    <row r="45" spans="5:19" x14ac:dyDescent="0.55000000000000004">
      <c r="E45" s="49">
        <v>36100</v>
      </c>
      <c r="F45" s="47">
        <f t="shared" si="1"/>
        <v>11</v>
      </c>
      <c r="I45" s="15">
        <v>0</v>
      </c>
      <c r="J45" s="15">
        <v>0</v>
      </c>
      <c r="K45" s="15">
        <v>0</v>
      </c>
      <c r="L45" s="15">
        <v>0</v>
      </c>
      <c r="M45" s="15">
        <v>0</v>
      </c>
      <c r="N45" s="15">
        <v>0</v>
      </c>
      <c r="O45" s="15">
        <v>0</v>
      </c>
      <c r="P45" s="15">
        <v>0</v>
      </c>
      <c r="Q45" s="15">
        <v>0</v>
      </c>
      <c r="R45" s="15">
        <v>1</v>
      </c>
      <c r="S45" s="15">
        <v>0</v>
      </c>
    </row>
    <row r="46" spans="5:19" x14ac:dyDescent="0.55000000000000004">
      <c r="E46" s="49">
        <v>36130</v>
      </c>
      <c r="F46" s="47">
        <f t="shared" si="1"/>
        <v>12</v>
      </c>
      <c r="I46" s="15">
        <v>0</v>
      </c>
      <c r="J46" s="15">
        <v>0</v>
      </c>
      <c r="K46" s="15">
        <v>0</v>
      </c>
      <c r="L46" s="15">
        <v>0</v>
      </c>
      <c r="M46" s="15">
        <v>0</v>
      </c>
      <c r="N46" s="15">
        <v>0</v>
      </c>
      <c r="O46" s="15">
        <v>0</v>
      </c>
      <c r="P46" s="15">
        <v>0</v>
      </c>
      <c r="Q46" s="15">
        <v>0</v>
      </c>
      <c r="R46" s="15">
        <v>0</v>
      </c>
      <c r="S46" s="15">
        <v>1</v>
      </c>
    </row>
    <row r="47" spans="5:19" x14ac:dyDescent="0.55000000000000004">
      <c r="E47" s="49">
        <v>36161</v>
      </c>
      <c r="F47" s="47">
        <f t="shared" si="1"/>
        <v>1</v>
      </c>
      <c r="I47" s="15">
        <v>0</v>
      </c>
      <c r="J47" s="15">
        <v>0</v>
      </c>
      <c r="K47" s="15">
        <v>0</v>
      </c>
      <c r="L47" s="15">
        <v>0</v>
      </c>
      <c r="M47" s="15">
        <v>0</v>
      </c>
      <c r="N47" s="15">
        <v>0</v>
      </c>
      <c r="O47" s="15">
        <v>0</v>
      </c>
      <c r="P47" s="15">
        <v>0</v>
      </c>
      <c r="Q47" s="15">
        <v>0</v>
      </c>
      <c r="R47" s="15">
        <v>0</v>
      </c>
      <c r="S47" s="15">
        <v>0</v>
      </c>
    </row>
    <row r="48" spans="5:19" x14ac:dyDescent="0.55000000000000004">
      <c r="E48" s="49">
        <v>36192</v>
      </c>
      <c r="F48" s="47">
        <f t="shared" si="1"/>
        <v>2</v>
      </c>
      <c r="I48" s="15">
        <v>1</v>
      </c>
      <c r="J48" s="15">
        <v>0</v>
      </c>
      <c r="K48" s="15">
        <v>0</v>
      </c>
      <c r="L48" s="15">
        <v>0</v>
      </c>
      <c r="M48" s="15">
        <v>0</v>
      </c>
      <c r="N48" s="15">
        <v>0</v>
      </c>
      <c r="O48" s="15">
        <v>0</v>
      </c>
      <c r="P48" s="15">
        <v>0</v>
      </c>
      <c r="Q48" s="15">
        <v>0</v>
      </c>
      <c r="R48" s="15">
        <v>0</v>
      </c>
      <c r="S48" s="15">
        <v>0</v>
      </c>
    </row>
    <row r="49" spans="5:19" x14ac:dyDescent="0.55000000000000004">
      <c r="E49" s="49">
        <v>36220</v>
      </c>
      <c r="F49" s="47">
        <f t="shared" si="1"/>
        <v>3</v>
      </c>
      <c r="I49" s="15">
        <v>0</v>
      </c>
      <c r="J49" s="15">
        <v>1</v>
      </c>
      <c r="K49" s="15">
        <v>0</v>
      </c>
      <c r="L49" s="15">
        <v>0</v>
      </c>
      <c r="M49" s="15">
        <v>0</v>
      </c>
      <c r="N49" s="15">
        <v>0</v>
      </c>
      <c r="O49" s="15">
        <v>0</v>
      </c>
      <c r="P49" s="15">
        <v>0</v>
      </c>
      <c r="Q49" s="15">
        <v>0</v>
      </c>
      <c r="R49" s="15">
        <v>0</v>
      </c>
      <c r="S49" s="15">
        <v>0</v>
      </c>
    </row>
    <row r="50" spans="5:19" x14ac:dyDescent="0.55000000000000004">
      <c r="E50" s="49">
        <v>36251</v>
      </c>
      <c r="F50" s="47">
        <f t="shared" si="1"/>
        <v>4</v>
      </c>
      <c r="I50" s="15">
        <v>0</v>
      </c>
      <c r="J50" s="15">
        <v>0</v>
      </c>
      <c r="K50" s="15">
        <v>1</v>
      </c>
      <c r="L50" s="15">
        <v>0</v>
      </c>
      <c r="M50" s="15">
        <v>0</v>
      </c>
      <c r="N50" s="15">
        <v>0</v>
      </c>
      <c r="O50" s="15">
        <v>0</v>
      </c>
      <c r="P50" s="15">
        <v>0</v>
      </c>
      <c r="Q50" s="15">
        <v>0</v>
      </c>
      <c r="R50" s="15">
        <v>0</v>
      </c>
      <c r="S50" s="15">
        <v>0</v>
      </c>
    </row>
    <row r="51" spans="5:19" x14ac:dyDescent="0.55000000000000004">
      <c r="E51" s="49">
        <v>36281</v>
      </c>
      <c r="F51" s="47">
        <f t="shared" si="1"/>
        <v>5</v>
      </c>
      <c r="I51" s="15">
        <v>0</v>
      </c>
      <c r="J51" s="15">
        <v>0</v>
      </c>
      <c r="K51" s="15">
        <v>0</v>
      </c>
      <c r="L51" s="15">
        <v>1</v>
      </c>
      <c r="M51" s="15">
        <v>0</v>
      </c>
      <c r="N51" s="15">
        <v>0</v>
      </c>
      <c r="O51" s="15">
        <v>0</v>
      </c>
      <c r="P51" s="15">
        <v>0</v>
      </c>
      <c r="Q51" s="15">
        <v>0</v>
      </c>
      <c r="R51" s="15">
        <v>0</v>
      </c>
      <c r="S51" s="15">
        <v>0</v>
      </c>
    </row>
    <row r="52" spans="5:19" x14ac:dyDescent="0.55000000000000004">
      <c r="E52" s="49">
        <v>36312</v>
      </c>
      <c r="F52" s="47">
        <f t="shared" si="1"/>
        <v>6</v>
      </c>
      <c r="I52" s="15">
        <v>0</v>
      </c>
      <c r="J52" s="15">
        <v>0</v>
      </c>
      <c r="K52" s="15">
        <v>0</v>
      </c>
      <c r="L52" s="15">
        <v>0</v>
      </c>
      <c r="M52" s="15">
        <v>1</v>
      </c>
      <c r="N52" s="15">
        <v>0</v>
      </c>
      <c r="O52" s="15">
        <v>0</v>
      </c>
      <c r="P52" s="15">
        <v>0</v>
      </c>
      <c r="Q52" s="15">
        <v>0</v>
      </c>
      <c r="R52" s="15">
        <v>0</v>
      </c>
      <c r="S52" s="15">
        <v>0</v>
      </c>
    </row>
    <row r="53" spans="5:19" x14ac:dyDescent="0.55000000000000004">
      <c r="E53" s="49">
        <v>36342</v>
      </c>
      <c r="F53" s="47">
        <f t="shared" si="1"/>
        <v>7</v>
      </c>
      <c r="I53" s="15">
        <v>0</v>
      </c>
      <c r="J53" s="15">
        <v>0</v>
      </c>
      <c r="K53" s="15">
        <v>0</v>
      </c>
      <c r="L53" s="15">
        <v>0</v>
      </c>
      <c r="M53" s="15">
        <v>0</v>
      </c>
      <c r="N53" s="15">
        <v>1</v>
      </c>
      <c r="O53" s="15">
        <v>0</v>
      </c>
      <c r="P53" s="15">
        <v>0</v>
      </c>
      <c r="Q53" s="15">
        <v>0</v>
      </c>
      <c r="R53" s="15">
        <v>0</v>
      </c>
      <c r="S53" s="15">
        <v>0</v>
      </c>
    </row>
    <row r="54" spans="5:19" x14ac:dyDescent="0.55000000000000004">
      <c r="E54" s="49">
        <v>36373</v>
      </c>
      <c r="F54" s="47">
        <f t="shared" si="1"/>
        <v>8</v>
      </c>
      <c r="I54" s="15">
        <v>0</v>
      </c>
      <c r="J54" s="15">
        <v>0</v>
      </c>
      <c r="K54" s="15">
        <v>0</v>
      </c>
      <c r="L54" s="15">
        <v>0</v>
      </c>
      <c r="M54" s="15">
        <v>0</v>
      </c>
      <c r="N54" s="15">
        <v>0</v>
      </c>
      <c r="O54" s="15">
        <v>1</v>
      </c>
      <c r="P54" s="15">
        <v>0</v>
      </c>
      <c r="Q54" s="15">
        <v>0</v>
      </c>
      <c r="R54" s="15">
        <v>0</v>
      </c>
      <c r="S54" s="15">
        <v>0</v>
      </c>
    </row>
    <row r="55" spans="5:19" x14ac:dyDescent="0.55000000000000004">
      <c r="E55" s="49">
        <v>36404</v>
      </c>
      <c r="F55" s="47">
        <f t="shared" si="1"/>
        <v>9</v>
      </c>
      <c r="I55" s="15">
        <v>0</v>
      </c>
      <c r="J55" s="15">
        <v>0</v>
      </c>
      <c r="K55" s="15">
        <v>0</v>
      </c>
      <c r="L55" s="15">
        <v>0</v>
      </c>
      <c r="M55" s="15">
        <v>0</v>
      </c>
      <c r="N55" s="15">
        <v>0</v>
      </c>
      <c r="O55" s="15">
        <v>0</v>
      </c>
      <c r="P55" s="15">
        <v>1</v>
      </c>
      <c r="Q55" s="15">
        <v>0</v>
      </c>
      <c r="R55" s="15">
        <v>0</v>
      </c>
      <c r="S55" s="15">
        <v>0</v>
      </c>
    </row>
    <row r="56" spans="5:19" x14ac:dyDescent="0.55000000000000004">
      <c r="E56" s="49">
        <v>36434</v>
      </c>
      <c r="F56" s="47">
        <f t="shared" si="1"/>
        <v>10</v>
      </c>
      <c r="I56" s="15">
        <v>0</v>
      </c>
      <c r="J56" s="15">
        <v>0</v>
      </c>
      <c r="K56" s="15">
        <v>0</v>
      </c>
      <c r="L56" s="15">
        <v>0</v>
      </c>
      <c r="M56" s="15">
        <v>0</v>
      </c>
      <c r="N56" s="15">
        <v>0</v>
      </c>
      <c r="O56" s="15">
        <v>0</v>
      </c>
      <c r="P56" s="15">
        <v>0</v>
      </c>
      <c r="Q56" s="15">
        <v>1</v>
      </c>
      <c r="R56" s="15">
        <v>0</v>
      </c>
      <c r="S56" s="15">
        <v>0</v>
      </c>
    </row>
    <row r="57" spans="5:19" x14ac:dyDescent="0.55000000000000004">
      <c r="E57" s="49">
        <v>36465</v>
      </c>
      <c r="F57" s="47">
        <f t="shared" si="1"/>
        <v>11</v>
      </c>
      <c r="I57" s="15">
        <v>0</v>
      </c>
      <c r="J57" s="15">
        <v>0</v>
      </c>
      <c r="K57" s="15">
        <v>0</v>
      </c>
      <c r="L57" s="15">
        <v>0</v>
      </c>
      <c r="M57" s="15">
        <v>0</v>
      </c>
      <c r="N57" s="15">
        <v>0</v>
      </c>
      <c r="O57" s="15">
        <v>0</v>
      </c>
      <c r="P57" s="15">
        <v>0</v>
      </c>
      <c r="Q57" s="15">
        <v>0</v>
      </c>
      <c r="R57" s="15">
        <v>1</v>
      </c>
      <c r="S57" s="15">
        <v>0</v>
      </c>
    </row>
    <row r="58" spans="5:19" x14ac:dyDescent="0.55000000000000004">
      <c r="E58" s="49">
        <v>36495</v>
      </c>
      <c r="F58" s="47">
        <f t="shared" si="1"/>
        <v>12</v>
      </c>
      <c r="I58" s="15">
        <v>0</v>
      </c>
      <c r="J58" s="15">
        <v>0</v>
      </c>
      <c r="K58" s="15">
        <v>0</v>
      </c>
      <c r="L58" s="15">
        <v>0</v>
      </c>
      <c r="M58" s="15">
        <v>0</v>
      </c>
      <c r="N58" s="15">
        <v>0</v>
      </c>
      <c r="O58" s="15">
        <v>0</v>
      </c>
      <c r="P58" s="15">
        <v>0</v>
      </c>
      <c r="Q58" s="15">
        <v>0</v>
      </c>
      <c r="R58" s="15">
        <v>0</v>
      </c>
      <c r="S58" s="15">
        <v>1</v>
      </c>
    </row>
  </sheetData>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C3F2D-A8BC-401E-865C-28CDC3F31F43}">
  <sheetPr codeName="Planilha14">
    <tabColor theme="9" tint="0.59999389629810485"/>
  </sheetPr>
  <dimension ref="A1:L42"/>
  <sheetViews>
    <sheetView showGridLines="0" workbookViewId="0">
      <selection activeCell="K7" sqref="K7"/>
    </sheetView>
  </sheetViews>
  <sheetFormatPr defaultColWidth="8.796875" defaultRowHeight="18" x14ac:dyDescent="0.55000000000000004"/>
  <cols>
    <col min="1" max="1" width="12.6640625" style="17" customWidth="1"/>
    <col min="2" max="2" width="24.796875" bestFit="1" customWidth="1"/>
    <col min="4" max="4" width="4.6640625" customWidth="1"/>
    <col min="5" max="5" width="10.1328125" bestFit="1" customWidth="1"/>
    <col min="6" max="6" width="10.1328125" customWidth="1"/>
    <col min="7" max="8" width="12.33203125" bestFit="1" customWidth="1"/>
    <col min="10" max="12" width="9.33203125" style="50" customWidth="1"/>
    <col min="15" max="15" width="8.796875" customWidth="1"/>
  </cols>
  <sheetData>
    <row r="1" spans="1:12" x14ac:dyDescent="0.55000000000000004">
      <c r="A1" s="16" t="s">
        <v>169</v>
      </c>
      <c r="J1" s="51"/>
      <c r="K1" s="51"/>
      <c r="L1" s="51"/>
    </row>
    <row r="2" spans="1:12" x14ac:dyDescent="0.55000000000000004">
      <c r="A2" s="17" t="s">
        <v>170</v>
      </c>
      <c r="J2" s="51"/>
      <c r="K2" s="51"/>
      <c r="L2" s="51"/>
    </row>
    <row r="4" spans="1:12" ht="15.75" x14ac:dyDescent="0.5">
      <c r="A4" s="2" t="s">
        <v>15</v>
      </c>
      <c r="B4" s="2" t="s">
        <v>16</v>
      </c>
    </row>
    <row r="5" spans="1:12" ht="47.25" x14ac:dyDescent="0.5">
      <c r="A5" s="23" t="s">
        <v>22</v>
      </c>
      <c r="B5" s="24" t="s">
        <v>454</v>
      </c>
    </row>
    <row r="6" spans="1:12" ht="63" x14ac:dyDescent="0.5">
      <c r="A6" s="23" t="s">
        <v>172</v>
      </c>
      <c r="B6" s="24" t="s">
        <v>453</v>
      </c>
    </row>
    <row r="7" spans="1:12" ht="47.25" x14ac:dyDescent="0.5">
      <c r="A7" s="23" t="s">
        <v>375</v>
      </c>
      <c r="B7" s="24" t="s">
        <v>452</v>
      </c>
    </row>
    <row r="8" spans="1:12" ht="15.75" x14ac:dyDescent="0.5">
      <c r="A8" s="23"/>
      <c r="B8" s="24"/>
    </row>
    <row r="9" spans="1:12" x14ac:dyDescent="0.55000000000000004">
      <c r="E9" s="171" t="s">
        <v>22</v>
      </c>
      <c r="F9" s="170"/>
      <c r="G9" s="48" t="s">
        <v>171</v>
      </c>
      <c r="H9" s="48" t="s">
        <v>376</v>
      </c>
    </row>
    <row r="10" spans="1:12" x14ac:dyDescent="0.55000000000000004">
      <c r="E10" s="47">
        <v>1</v>
      </c>
      <c r="F10" s="47">
        <v>2</v>
      </c>
      <c r="G10" s="47">
        <v>1</v>
      </c>
      <c r="H10" s="47"/>
      <c r="J10" s="50" cm="1">
        <f t="array" ref="J10:L18">_xlfn.LAMBDA(_xlpm.matrix,_xlop.position,_xlop.header,
_xlfn.LET(
_xlpm.position, IF( _xlfn.ISOMITTED(_xlpm.position), 1, _xlpm.position),
_xlpm.header, IF( OR( _xlfn.ISOMITTED(_xlpm.header), ISBLANK(_xlpm.header)), FALSE, _xlpm.header),
_xlpm.values, IF( OR( _xlpm.position&lt;1, _xlpm.position&gt;COLUMNS(_xlpm.matrix)+1),
"#position exceeds matrix columns",
IF(_xlpm.position=1,
_xlfn.HSTACK( ONES(ROWS(_xlpm.matrix),1), SLICE(_xlpm.matrix,0,0,1,-1) ),
IF(_xlpm.position=COLUMNS(_xlpm.matrix)+1,
_xlfn.HSTACK(_xlpm.matrix, ONES(ROWS(_xlpm.matrix),1) ),
_xlfn.HSTACK( SLICE(_xlpm.matrix,0,0,1,_xlpm.position-1), ONES(ROWS(_xlpm.matrix),1), SLICE(_xlpm.matrix,0,0,_xlpm.position,-1) )
) ) ),
IF(_xlpm.header=FALSE, _xlpm.values, SLICE(_xlpm.values,1,1,_xlpm.position,_xlpm.position,_xlpm.header) )
) )($E$10:$F$18,$G$10,$H$10)</f>
        <v>1</v>
      </c>
      <c r="K10" s="50">
        <v>1</v>
      </c>
      <c r="L10" s="50">
        <v>2</v>
      </c>
    </row>
    <row r="11" spans="1:12" x14ac:dyDescent="0.55000000000000004">
      <c r="E11" s="47">
        <v>2</v>
      </c>
      <c r="F11" s="47">
        <v>3</v>
      </c>
      <c r="J11" s="50">
        <v>1</v>
      </c>
      <c r="K11" s="50">
        <v>2</v>
      </c>
      <c r="L11" s="50">
        <v>3</v>
      </c>
    </row>
    <row r="12" spans="1:12" x14ac:dyDescent="0.55000000000000004">
      <c r="E12" s="47">
        <v>3</v>
      </c>
      <c r="F12" s="47">
        <v>4</v>
      </c>
      <c r="J12" s="50">
        <v>1</v>
      </c>
      <c r="K12" s="50">
        <v>3</v>
      </c>
      <c r="L12" s="50">
        <v>4</v>
      </c>
    </row>
    <row r="13" spans="1:12" ht="18.75" customHeight="1" x14ac:dyDescent="0.55000000000000004">
      <c r="E13" s="47">
        <v>4</v>
      </c>
      <c r="F13" s="47">
        <v>5</v>
      </c>
      <c r="J13" s="50">
        <v>1</v>
      </c>
      <c r="K13" s="50">
        <v>4</v>
      </c>
      <c r="L13" s="50">
        <v>5</v>
      </c>
    </row>
    <row r="14" spans="1:12" x14ac:dyDescent="0.55000000000000004">
      <c r="E14" s="47">
        <v>5</v>
      </c>
      <c r="F14" s="47">
        <v>6</v>
      </c>
      <c r="J14" s="50">
        <v>1</v>
      </c>
      <c r="K14" s="50">
        <v>5</v>
      </c>
      <c r="L14" s="50">
        <v>6</v>
      </c>
    </row>
    <row r="15" spans="1:12" x14ac:dyDescent="0.55000000000000004">
      <c r="E15" s="47">
        <v>6</v>
      </c>
      <c r="F15" s="47">
        <v>7</v>
      </c>
      <c r="J15" s="50">
        <v>1</v>
      </c>
      <c r="K15" s="50">
        <v>6</v>
      </c>
      <c r="L15" s="50">
        <v>7</v>
      </c>
    </row>
    <row r="16" spans="1:12" x14ac:dyDescent="0.55000000000000004">
      <c r="E16" s="47">
        <v>7</v>
      </c>
      <c r="F16" s="47">
        <v>8</v>
      </c>
      <c r="J16" s="50">
        <v>1</v>
      </c>
      <c r="K16" s="50">
        <v>7</v>
      </c>
      <c r="L16" s="50">
        <v>8</v>
      </c>
    </row>
    <row r="17" spans="5:12" x14ac:dyDescent="0.55000000000000004">
      <c r="E17" s="47">
        <v>8</v>
      </c>
      <c r="F17" s="47">
        <v>9</v>
      </c>
      <c r="J17" s="50">
        <v>1</v>
      </c>
      <c r="K17" s="50">
        <v>8</v>
      </c>
      <c r="L17" s="50">
        <v>9</v>
      </c>
    </row>
    <row r="18" spans="5:12" x14ac:dyDescent="0.55000000000000004">
      <c r="E18" s="47">
        <v>9</v>
      </c>
      <c r="F18" s="47">
        <v>10</v>
      </c>
      <c r="J18" s="50">
        <v>1</v>
      </c>
      <c r="K18" s="50">
        <v>9</v>
      </c>
      <c r="L18" s="50">
        <v>10</v>
      </c>
    </row>
    <row r="21" spans="5:12" x14ac:dyDescent="0.55000000000000004">
      <c r="E21" s="171" t="s">
        <v>22</v>
      </c>
      <c r="F21" s="170"/>
      <c r="G21" s="48" t="s">
        <v>171</v>
      </c>
      <c r="H21" s="48" t="s">
        <v>376</v>
      </c>
    </row>
    <row r="22" spans="5:12" x14ac:dyDescent="0.55000000000000004">
      <c r="E22" s="47">
        <v>1</v>
      </c>
      <c r="F22" s="47">
        <v>2</v>
      </c>
      <c r="G22" s="47">
        <v>3</v>
      </c>
      <c r="H22" s="47"/>
      <c r="J22" s="50" cm="1">
        <f t="array" ref="J22:L30">ADDCONST($E$22:$F$30, $G$22)</f>
        <v>1</v>
      </c>
      <c r="K22" s="50">
        <v>2</v>
      </c>
      <c r="L22" s="50">
        <v>1</v>
      </c>
    </row>
    <row r="23" spans="5:12" x14ac:dyDescent="0.55000000000000004">
      <c r="E23" s="47">
        <v>2</v>
      </c>
      <c r="F23" s="47">
        <v>3</v>
      </c>
      <c r="J23" s="50">
        <v>2</v>
      </c>
      <c r="K23" s="50">
        <v>3</v>
      </c>
      <c r="L23" s="50">
        <v>1</v>
      </c>
    </row>
    <row r="24" spans="5:12" x14ac:dyDescent="0.55000000000000004">
      <c r="E24" s="47">
        <v>3</v>
      </c>
      <c r="F24" s="47">
        <v>4</v>
      </c>
      <c r="J24" s="50">
        <v>3</v>
      </c>
      <c r="K24" s="50">
        <v>4</v>
      </c>
      <c r="L24" s="50">
        <v>1</v>
      </c>
    </row>
    <row r="25" spans="5:12" x14ac:dyDescent="0.55000000000000004">
      <c r="E25" s="47">
        <v>4</v>
      </c>
      <c r="F25" s="47">
        <v>5</v>
      </c>
      <c r="J25" s="50">
        <v>4</v>
      </c>
      <c r="K25" s="50">
        <v>5</v>
      </c>
      <c r="L25" s="50">
        <v>1</v>
      </c>
    </row>
    <row r="26" spans="5:12" x14ac:dyDescent="0.55000000000000004">
      <c r="E26" s="47">
        <v>5</v>
      </c>
      <c r="F26" s="47">
        <v>6</v>
      </c>
      <c r="J26" s="50">
        <v>5</v>
      </c>
      <c r="K26" s="50">
        <v>6</v>
      </c>
      <c r="L26" s="50">
        <v>1</v>
      </c>
    </row>
    <row r="27" spans="5:12" x14ac:dyDescent="0.55000000000000004">
      <c r="E27" s="47">
        <v>6</v>
      </c>
      <c r="F27" s="47">
        <v>7</v>
      </c>
      <c r="J27" s="50">
        <v>6</v>
      </c>
      <c r="K27" s="50">
        <v>7</v>
      </c>
      <c r="L27" s="50">
        <v>1</v>
      </c>
    </row>
    <row r="28" spans="5:12" x14ac:dyDescent="0.55000000000000004">
      <c r="E28" s="47">
        <v>7</v>
      </c>
      <c r="F28" s="47">
        <v>8</v>
      </c>
      <c r="J28" s="50">
        <v>7</v>
      </c>
      <c r="K28" s="50">
        <v>8</v>
      </c>
      <c r="L28" s="50">
        <v>1</v>
      </c>
    </row>
    <row r="29" spans="5:12" x14ac:dyDescent="0.55000000000000004">
      <c r="E29" s="47">
        <v>8</v>
      </c>
      <c r="F29" s="47">
        <v>9</v>
      </c>
      <c r="J29" s="50">
        <v>8</v>
      </c>
      <c r="K29" s="50">
        <v>9</v>
      </c>
      <c r="L29" s="50">
        <v>1</v>
      </c>
    </row>
    <row r="30" spans="5:12" x14ac:dyDescent="0.55000000000000004">
      <c r="E30" s="47">
        <v>9</v>
      </c>
      <c r="F30" s="47">
        <v>10</v>
      </c>
      <c r="J30" s="50">
        <v>9</v>
      </c>
      <c r="K30" s="50">
        <v>10</v>
      </c>
      <c r="L30" s="50">
        <v>1</v>
      </c>
    </row>
    <row r="33" spans="5:12" x14ac:dyDescent="0.55000000000000004">
      <c r="E33" s="171" t="s">
        <v>22</v>
      </c>
      <c r="F33" s="170"/>
      <c r="G33" s="48" t="s">
        <v>171</v>
      </c>
      <c r="H33" s="48" t="s">
        <v>376</v>
      </c>
    </row>
    <row r="34" spans="5:12" x14ac:dyDescent="0.55000000000000004">
      <c r="E34" s="47" t="s">
        <v>377</v>
      </c>
      <c r="F34" s="47" t="s">
        <v>378</v>
      </c>
      <c r="G34" s="47">
        <v>3</v>
      </c>
      <c r="H34" s="47" t="s">
        <v>144</v>
      </c>
      <c r="J34" s="50" t="str" cm="1">
        <f t="array" ref="J34:L42">ADDCONST($E$34:$F$42, $G$34, $H$34)</f>
        <v>col A</v>
      </c>
      <c r="K34" s="50" t="str">
        <v>col B</v>
      </c>
      <c r="L34" s="50" t="str">
        <v>const</v>
      </c>
    </row>
    <row r="35" spans="5:12" x14ac:dyDescent="0.55000000000000004">
      <c r="E35" s="47">
        <v>2</v>
      </c>
      <c r="F35" s="47">
        <v>3</v>
      </c>
      <c r="J35" s="50">
        <v>2</v>
      </c>
      <c r="K35" s="50">
        <v>3</v>
      </c>
      <c r="L35" s="50">
        <v>1</v>
      </c>
    </row>
    <row r="36" spans="5:12" x14ac:dyDescent="0.55000000000000004">
      <c r="E36" s="47">
        <v>3</v>
      </c>
      <c r="F36" s="47">
        <v>4</v>
      </c>
      <c r="J36" s="50">
        <v>3</v>
      </c>
      <c r="K36" s="50">
        <v>4</v>
      </c>
      <c r="L36" s="50">
        <v>1</v>
      </c>
    </row>
    <row r="37" spans="5:12" x14ac:dyDescent="0.55000000000000004">
      <c r="E37" s="47">
        <v>4</v>
      </c>
      <c r="F37" s="47">
        <v>5</v>
      </c>
      <c r="J37" s="50">
        <v>4</v>
      </c>
      <c r="K37" s="50">
        <v>5</v>
      </c>
      <c r="L37" s="50">
        <v>1</v>
      </c>
    </row>
    <row r="38" spans="5:12" x14ac:dyDescent="0.55000000000000004">
      <c r="E38" s="47">
        <v>5</v>
      </c>
      <c r="F38" s="47">
        <v>6</v>
      </c>
      <c r="J38" s="50">
        <v>5</v>
      </c>
      <c r="K38" s="50">
        <v>6</v>
      </c>
      <c r="L38" s="50">
        <v>1</v>
      </c>
    </row>
    <row r="39" spans="5:12" x14ac:dyDescent="0.55000000000000004">
      <c r="E39" s="47">
        <v>6</v>
      </c>
      <c r="F39" s="47">
        <v>7</v>
      </c>
      <c r="J39" s="50">
        <v>6</v>
      </c>
      <c r="K39" s="50">
        <v>7</v>
      </c>
      <c r="L39" s="50">
        <v>1</v>
      </c>
    </row>
    <row r="40" spans="5:12" x14ac:dyDescent="0.55000000000000004">
      <c r="E40" s="47">
        <v>7</v>
      </c>
      <c r="F40" s="47">
        <v>8</v>
      </c>
      <c r="J40" s="50">
        <v>7</v>
      </c>
      <c r="K40" s="50">
        <v>8</v>
      </c>
      <c r="L40" s="50">
        <v>1</v>
      </c>
    </row>
    <row r="41" spans="5:12" x14ac:dyDescent="0.55000000000000004">
      <c r="E41" s="47">
        <v>8</v>
      </c>
      <c r="F41" s="47">
        <v>9</v>
      </c>
      <c r="J41" s="50">
        <v>8</v>
      </c>
      <c r="K41" s="50">
        <v>9</v>
      </c>
      <c r="L41" s="50">
        <v>1</v>
      </c>
    </row>
    <row r="42" spans="5:12" x14ac:dyDescent="0.55000000000000004">
      <c r="E42" s="47">
        <v>9</v>
      </c>
      <c r="F42" s="47">
        <v>10</v>
      </c>
      <c r="J42" s="50">
        <v>9</v>
      </c>
      <c r="K42" s="50">
        <v>10</v>
      </c>
      <c r="L42" s="50">
        <v>1</v>
      </c>
    </row>
  </sheetData>
  <mergeCells count="3">
    <mergeCell ref="E9:F9"/>
    <mergeCell ref="E21:F21"/>
    <mergeCell ref="E33:F33"/>
  </mergeCells>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4CDC0-8161-4FBD-9F0A-BB3D4A32450B}">
  <sheetPr codeName="Planilha15">
    <tabColor theme="9" tint="0.59999389629810485"/>
  </sheetPr>
  <dimension ref="A1:M45"/>
  <sheetViews>
    <sheetView showGridLines="0" workbookViewId="0">
      <selection activeCell="K11" sqref="K11"/>
    </sheetView>
  </sheetViews>
  <sheetFormatPr defaultColWidth="8.796875" defaultRowHeight="18" x14ac:dyDescent="0.55000000000000004"/>
  <cols>
    <col min="1" max="1" width="12.6640625" style="17" customWidth="1"/>
    <col min="2" max="2" width="24.796875" bestFit="1" customWidth="1"/>
    <col min="4" max="4" width="4.6640625" customWidth="1"/>
    <col min="5" max="5" width="10.1328125" bestFit="1" customWidth="1"/>
    <col min="6" max="6" width="10.1328125" customWidth="1"/>
    <col min="7" max="9" width="12.33203125" bestFit="1" customWidth="1"/>
    <col min="11" max="13" width="9.33203125" style="50" customWidth="1"/>
    <col min="16" max="16" width="8.796875" customWidth="1"/>
  </cols>
  <sheetData>
    <row r="1" spans="1:13" x14ac:dyDescent="0.55000000000000004">
      <c r="A1" s="16" t="s">
        <v>173</v>
      </c>
      <c r="K1" s="51"/>
      <c r="L1" s="51"/>
      <c r="M1" s="51"/>
    </row>
    <row r="2" spans="1:13" x14ac:dyDescent="0.55000000000000004">
      <c r="A2" s="17" t="s">
        <v>174</v>
      </c>
      <c r="K2" s="51"/>
      <c r="L2" s="51"/>
      <c r="M2" s="51"/>
    </row>
    <row r="4" spans="1:13" ht="15.75" x14ac:dyDescent="0.5">
      <c r="A4" s="2" t="s">
        <v>15</v>
      </c>
      <c r="B4" s="2" t="s">
        <v>16</v>
      </c>
    </row>
    <row r="5" spans="1:13" ht="63" x14ac:dyDescent="0.5">
      <c r="A5" s="23" t="s">
        <v>22</v>
      </c>
      <c r="B5" s="24" t="s">
        <v>867</v>
      </c>
    </row>
    <row r="6" spans="1:13" ht="78.75" x14ac:dyDescent="0.5">
      <c r="A6" s="23" t="s">
        <v>172</v>
      </c>
      <c r="B6" s="24" t="s">
        <v>868</v>
      </c>
    </row>
    <row r="7" spans="1:13" ht="31.5" x14ac:dyDescent="0.5">
      <c r="A7" s="23" t="s">
        <v>180</v>
      </c>
      <c r="B7" s="24" t="s">
        <v>869</v>
      </c>
    </row>
    <row r="8" spans="1:13" ht="47.25" x14ac:dyDescent="0.5">
      <c r="A8" s="23" t="s">
        <v>375</v>
      </c>
      <c r="B8" s="24" t="s">
        <v>866</v>
      </c>
    </row>
    <row r="9" spans="1:13" ht="15.75" x14ac:dyDescent="0.5">
      <c r="A9" s="23"/>
      <c r="B9" s="24"/>
    </row>
    <row r="10" spans="1:13" x14ac:dyDescent="0.55000000000000004">
      <c r="E10" s="171" t="s">
        <v>22</v>
      </c>
      <c r="F10" s="170"/>
      <c r="G10" s="48" t="s">
        <v>172</v>
      </c>
      <c r="H10" s="48" t="s">
        <v>870</v>
      </c>
      <c r="I10" s="48" t="s">
        <v>375</v>
      </c>
    </row>
    <row r="11" spans="1:13" x14ac:dyDescent="0.55000000000000004">
      <c r="E11" s="47">
        <v>42</v>
      </c>
      <c r="F11" s="47">
        <v>49</v>
      </c>
      <c r="G11" s="47">
        <v>1</v>
      </c>
      <c r="H11" s="47">
        <v>1</v>
      </c>
      <c r="I11" s="47"/>
      <c r="K11" s="50" cm="1">
        <f t="array" ref="K11:M19">_xlfn.LAMBDA(_xlpm.matrix,_xlop.position,_xlop.nPower,_xlop.header,
_xlfn.LET(
_xlpm.position, IF( OR( _xlfn.ISOMITTED(_xlpm.position), ISBLANK(_xlpm.position)), 1, _xlpm.position),
_xlpm.nPower, IF( OR( _xlfn.ISOMITTED(_xlpm.nPower), ISBLANK(_xlpm.nPower)), 1, _xlpm.nPower),
_xlpm.header, IF( OR( _xlfn.ISOMITTED(_xlpm.header), ISBLANK(_xlpm.header)), FALSE, _xlpm.header),
_xlpm.values, IF( OR( _xlpm.position&lt;1, _xlpm.position&gt;COLUMNS(_xlpm.matrix)+1),
"#position exceeds matrix columns",
IF(_xlpm.position=1,
_xlfn.HSTACK( _xlfn.SEQUENCE(ROWS(_xlpm.matrix),1,IF(_xlpm.header=FALSE,1,0))^_xlpm.nPower, SLICE(_xlpm.matrix,0,0,1,-1) ),
IF(_xlpm.position=COLUMNS(_xlpm.matrix)+1,
_xlfn.HSTACK(_xlpm.matrix, _xlfn.SEQUENCE(ROWS(_xlpm.matrix),1,IF(_xlpm.header=FALSE,1,0))^_xlpm.nPower ),
_xlfn.HSTACK( SLICE(_xlpm.matrix,0,0,1,_xlpm.position-1), _xlfn.SEQUENCE(ROWS(_xlpm.matrix),1,IF(_xlpm.header=FALSE,1,0))^_xlpm.nPower, SLICE(_xlpm.matrix,0,0,_xlpm.position,-1) )
) ) ),
IF(_xlpm.header=FALSE, _xlpm.values, SLICE(_xlpm.values,1,1,_xlpm.position,_xlpm.position,_xlpm.header) )
) )($E$11:$F$19,$G$11,$H$11,$I$11)</f>
        <v>1</v>
      </c>
      <c r="L11" s="50">
        <v>42</v>
      </c>
      <c r="M11" s="50">
        <v>49</v>
      </c>
    </row>
    <row r="12" spans="1:13" x14ac:dyDescent="0.55000000000000004">
      <c r="E12" s="47">
        <v>19</v>
      </c>
      <c r="F12" s="47">
        <v>40</v>
      </c>
      <c r="K12" s="50">
        <v>2</v>
      </c>
      <c r="L12" s="50">
        <v>19</v>
      </c>
      <c r="M12" s="50">
        <v>40</v>
      </c>
    </row>
    <row r="13" spans="1:13" x14ac:dyDescent="0.55000000000000004">
      <c r="E13" s="47">
        <v>76</v>
      </c>
      <c r="F13" s="47">
        <v>86</v>
      </c>
      <c r="K13" s="50">
        <v>3</v>
      </c>
      <c r="L13" s="50">
        <v>76</v>
      </c>
      <c r="M13" s="50">
        <v>86</v>
      </c>
    </row>
    <row r="14" spans="1:13" ht="18.75" customHeight="1" x14ac:dyDescent="0.55000000000000004">
      <c r="E14" s="47">
        <v>5</v>
      </c>
      <c r="F14" s="47">
        <v>48</v>
      </c>
      <c r="K14" s="50">
        <v>4</v>
      </c>
      <c r="L14" s="50">
        <v>5</v>
      </c>
      <c r="M14" s="50">
        <v>48</v>
      </c>
    </row>
    <row r="15" spans="1:13" x14ac:dyDescent="0.55000000000000004">
      <c r="E15" s="47">
        <v>94</v>
      </c>
      <c r="F15" s="47">
        <v>15</v>
      </c>
      <c r="K15" s="50">
        <v>5</v>
      </c>
      <c r="L15" s="50">
        <v>94</v>
      </c>
      <c r="M15" s="50">
        <v>15</v>
      </c>
    </row>
    <row r="16" spans="1:13" x14ac:dyDescent="0.55000000000000004">
      <c r="E16" s="47">
        <v>75</v>
      </c>
      <c r="F16" s="47">
        <v>71</v>
      </c>
      <c r="K16" s="50">
        <v>6</v>
      </c>
      <c r="L16" s="50">
        <v>75</v>
      </c>
      <c r="M16" s="50">
        <v>71</v>
      </c>
    </row>
    <row r="17" spans="5:13" x14ac:dyDescent="0.55000000000000004">
      <c r="E17" s="47">
        <v>17</v>
      </c>
      <c r="F17" s="47">
        <v>84</v>
      </c>
      <c r="K17" s="50">
        <v>7</v>
      </c>
      <c r="L17" s="50">
        <v>17</v>
      </c>
      <c r="M17" s="50">
        <v>84</v>
      </c>
    </row>
    <row r="18" spans="5:13" x14ac:dyDescent="0.55000000000000004">
      <c r="E18" s="47">
        <v>21</v>
      </c>
      <c r="F18" s="47">
        <v>68</v>
      </c>
      <c r="K18" s="50">
        <v>8</v>
      </c>
      <c r="L18" s="50">
        <v>21</v>
      </c>
      <c r="M18" s="50">
        <v>68</v>
      </c>
    </row>
    <row r="19" spans="5:13" x14ac:dyDescent="0.55000000000000004">
      <c r="E19" s="47">
        <v>16</v>
      </c>
      <c r="F19" s="47">
        <v>55</v>
      </c>
      <c r="K19" s="50">
        <v>9</v>
      </c>
      <c r="L19" s="50">
        <v>16</v>
      </c>
      <c r="M19" s="50">
        <v>55</v>
      </c>
    </row>
    <row r="23" spans="5:13" x14ac:dyDescent="0.55000000000000004">
      <c r="E23" s="171" t="s">
        <v>22</v>
      </c>
      <c r="F23" s="170"/>
      <c r="G23" s="48" t="s">
        <v>172</v>
      </c>
      <c r="H23" s="48" t="s">
        <v>870</v>
      </c>
      <c r="I23" s="48" t="s">
        <v>375</v>
      </c>
    </row>
    <row r="24" spans="5:13" x14ac:dyDescent="0.55000000000000004">
      <c r="E24" s="47">
        <v>42</v>
      </c>
      <c r="F24" s="47">
        <v>49</v>
      </c>
      <c r="G24" s="47">
        <v>3</v>
      </c>
      <c r="H24" s="47">
        <v>2</v>
      </c>
      <c r="I24" s="47"/>
      <c r="K24" s="50" cm="1">
        <f t="array" ref="K24:M32">ADDTREND($E$24:$F$32, $G$24,$H$24,$I$24)</f>
        <v>42</v>
      </c>
      <c r="L24" s="50">
        <v>49</v>
      </c>
      <c r="M24" s="50">
        <v>1</v>
      </c>
    </row>
    <row r="25" spans="5:13" x14ac:dyDescent="0.55000000000000004">
      <c r="E25" s="47">
        <v>19</v>
      </c>
      <c r="F25" s="47">
        <v>40</v>
      </c>
      <c r="K25" s="50">
        <v>19</v>
      </c>
      <c r="L25" s="50">
        <v>40</v>
      </c>
      <c r="M25" s="50">
        <v>4</v>
      </c>
    </row>
    <row r="26" spans="5:13" x14ac:dyDescent="0.55000000000000004">
      <c r="E26" s="47">
        <v>76</v>
      </c>
      <c r="F26" s="47">
        <v>86</v>
      </c>
      <c r="K26" s="50">
        <v>76</v>
      </c>
      <c r="L26" s="50">
        <v>86</v>
      </c>
      <c r="M26" s="50">
        <v>9</v>
      </c>
    </row>
    <row r="27" spans="5:13" x14ac:dyDescent="0.55000000000000004">
      <c r="E27" s="47">
        <v>5</v>
      </c>
      <c r="F27" s="47">
        <v>48</v>
      </c>
      <c r="K27" s="50">
        <v>5</v>
      </c>
      <c r="L27" s="50">
        <v>48</v>
      </c>
      <c r="M27" s="50">
        <v>16</v>
      </c>
    </row>
    <row r="28" spans="5:13" x14ac:dyDescent="0.55000000000000004">
      <c r="E28" s="47">
        <v>94</v>
      </c>
      <c r="F28" s="47">
        <v>15</v>
      </c>
      <c r="K28" s="50">
        <v>94</v>
      </c>
      <c r="L28" s="50">
        <v>15</v>
      </c>
      <c r="M28" s="50">
        <v>25</v>
      </c>
    </row>
    <row r="29" spans="5:13" x14ac:dyDescent="0.55000000000000004">
      <c r="E29" s="47">
        <v>75</v>
      </c>
      <c r="F29" s="47">
        <v>71</v>
      </c>
      <c r="K29" s="50">
        <v>75</v>
      </c>
      <c r="L29" s="50">
        <v>71</v>
      </c>
      <c r="M29" s="50">
        <v>36</v>
      </c>
    </row>
    <row r="30" spans="5:13" x14ac:dyDescent="0.55000000000000004">
      <c r="E30" s="47">
        <v>17</v>
      </c>
      <c r="F30" s="47">
        <v>84</v>
      </c>
      <c r="K30" s="50">
        <v>17</v>
      </c>
      <c r="L30" s="50">
        <v>84</v>
      </c>
      <c r="M30" s="50">
        <v>49</v>
      </c>
    </row>
    <row r="31" spans="5:13" x14ac:dyDescent="0.55000000000000004">
      <c r="E31" s="47">
        <v>21</v>
      </c>
      <c r="F31" s="47">
        <v>68</v>
      </c>
      <c r="K31" s="50">
        <v>21</v>
      </c>
      <c r="L31" s="50">
        <v>68</v>
      </c>
      <c r="M31" s="50">
        <v>64</v>
      </c>
    </row>
    <row r="32" spans="5:13" x14ac:dyDescent="0.55000000000000004">
      <c r="E32" s="47">
        <v>16</v>
      </c>
      <c r="F32" s="47">
        <v>55</v>
      </c>
      <c r="K32" s="50">
        <v>16</v>
      </c>
      <c r="L32" s="50">
        <v>55</v>
      </c>
      <c r="M32" s="50">
        <v>81</v>
      </c>
    </row>
    <row r="35" spans="5:13" x14ac:dyDescent="0.55000000000000004">
      <c r="E35" s="171" t="s">
        <v>22</v>
      </c>
      <c r="F35" s="170"/>
      <c r="G35" s="48" t="s">
        <v>172</v>
      </c>
      <c r="H35" s="48" t="s">
        <v>870</v>
      </c>
      <c r="I35" s="48" t="s">
        <v>375</v>
      </c>
    </row>
    <row r="36" spans="5:13" x14ac:dyDescent="0.55000000000000004">
      <c r="E36" s="47" t="s">
        <v>871</v>
      </c>
      <c r="F36" s="47" t="s">
        <v>872</v>
      </c>
      <c r="G36" s="47">
        <v>3</v>
      </c>
      <c r="H36" s="47">
        <v>2</v>
      </c>
      <c r="I36" s="47" t="s">
        <v>201</v>
      </c>
      <c r="K36" s="50" t="str" cm="1">
        <f t="array" ref="K36:M45">ADDTREND($E$36:$F$45, $G$36,$H$36,$I$36)</f>
        <v>colA</v>
      </c>
      <c r="L36" s="50" t="str">
        <v>colB</v>
      </c>
      <c r="M36" s="50" t="str">
        <v>trend</v>
      </c>
    </row>
    <row r="37" spans="5:13" x14ac:dyDescent="0.55000000000000004">
      <c r="E37" s="47">
        <v>42</v>
      </c>
      <c r="F37" s="47">
        <v>49</v>
      </c>
      <c r="K37" s="50">
        <v>42</v>
      </c>
      <c r="L37" s="50">
        <v>49</v>
      </c>
      <c r="M37" s="50">
        <v>1</v>
      </c>
    </row>
    <row r="38" spans="5:13" x14ac:dyDescent="0.55000000000000004">
      <c r="E38" s="47">
        <v>19</v>
      </c>
      <c r="F38" s="47">
        <v>40</v>
      </c>
      <c r="K38" s="50">
        <v>19</v>
      </c>
      <c r="L38" s="50">
        <v>40</v>
      </c>
      <c r="M38" s="50">
        <v>4</v>
      </c>
    </row>
    <row r="39" spans="5:13" x14ac:dyDescent="0.55000000000000004">
      <c r="E39" s="47">
        <v>76</v>
      </c>
      <c r="F39" s="47">
        <v>86</v>
      </c>
      <c r="K39" s="50">
        <v>76</v>
      </c>
      <c r="L39" s="50">
        <v>86</v>
      </c>
      <c r="M39" s="50">
        <v>9</v>
      </c>
    </row>
    <row r="40" spans="5:13" x14ac:dyDescent="0.55000000000000004">
      <c r="E40" s="47">
        <v>5</v>
      </c>
      <c r="F40" s="47">
        <v>48</v>
      </c>
      <c r="K40" s="50">
        <v>5</v>
      </c>
      <c r="L40" s="50">
        <v>48</v>
      </c>
      <c r="M40" s="50">
        <v>16</v>
      </c>
    </row>
    <row r="41" spans="5:13" x14ac:dyDescent="0.55000000000000004">
      <c r="E41" s="47">
        <v>94</v>
      </c>
      <c r="F41" s="47">
        <v>15</v>
      </c>
      <c r="K41" s="50">
        <v>94</v>
      </c>
      <c r="L41" s="50">
        <v>15</v>
      </c>
      <c r="M41" s="50">
        <v>25</v>
      </c>
    </row>
    <row r="42" spans="5:13" x14ac:dyDescent="0.55000000000000004">
      <c r="E42" s="47">
        <v>75</v>
      </c>
      <c r="F42" s="47">
        <v>71</v>
      </c>
      <c r="K42" s="50">
        <v>75</v>
      </c>
      <c r="L42" s="50">
        <v>71</v>
      </c>
      <c r="M42" s="50">
        <v>36</v>
      </c>
    </row>
    <row r="43" spans="5:13" x14ac:dyDescent="0.55000000000000004">
      <c r="E43" s="47">
        <v>17</v>
      </c>
      <c r="F43" s="47">
        <v>84</v>
      </c>
      <c r="K43" s="50">
        <v>17</v>
      </c>
      <c r="L43" s="50">
        <v>84</v>
      </c>
      <c r="M43" s="50">
        <v>49</v>
      </c>
    </row>
    <row r="44" spans="5:13" x14ac:dyDescent="0.55000000000000004">
      <c r="E44" s="47">
        <v>21</v>
      </c>
      <c r="F44" s="47">
        <v>68</v>
      </c>
      <c r="K44" s="50">
        <v>21</v>
      </c>
      <c r="L44" s="50">
        <v>68</v>
      </c>
      <c r="M44" s="50">
        <v>64</v>
      </c>
    </row>
    <row r="45" spans="5:13" x14ac:dyDescent="0.55000000000000004">
      <c r="E45" s="47">
        <v>16</v>
      </c>
      <c r="F45" s="47">
        <v>55</v>
      </c>
      <c r="K45" s="50">
        <v>16</v>
      </c>
      <c r="L45" s="50">
        <v>55</v>
      </c>
      <c r="M45" s="50">
        <v>81</v>
      </c>
    </row>
  </sheetData>
  <mergeCells count="3">
    <mergeCell ref="E10:F10"/>
    <mergeCell ref="E23:F23"/>
    <mergeCell ref="E35:F35"/>
  </mergeCells>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612DD-214F-45C9-A065-A8C17036A910}">
  <sheetPr codeName="Planilha61">
    <tabColor theme="9" tint="0.59999389629810485"/>
  </sheetPr>
  <dimension ref="A1:U43"/>
  <sheetViews>
    <sheetView showGridLines="0" workbookViewId="0">
      <selection activeCell="J11" sqref="J11"/>
    </sheetView>
  </sheetViews>
  <sheetFormatPr defaultColWidth="8.796875" defaultRowHeight="18" x14ac:dyDescent="0.55000000000000004"/>
  <cols>
    <col min="1" max="1" width="12.6640625" style="17" customWidth="1"/>
    <col min="2" max="2" width="31.33203125" customWidth="1"/>
    <col min="4" max="4" width="4.6640625" customWidth="1"/>
    <col min="5" max="5" width="10.1328125" bestFit="1" customWidth="1"/>
    <col min="6" max="6" width="10.1328125" customWidth="1"/>
    <col min="7" max="8" width="12.33203125" bestFit="1" customWidth="1"/>
    <col min="10" max="10" width="12.33203125" style="50" customWidth="1"/>
    <col min="11" max="12" width="9.33203125" style="145" customWidth="1"/>
    <col min="13" max="21" width="8.796875" style="21"/>
    <col min="24" max="24" width="8.796875" customWidth="1"/>
  </cols>
  <sheetData>
    <row r="1" spans="1:10" x14ac:dyDescent="0.55000000000000004">
      <c r="A1" s="16" t="s">
        <v>884</v>
      </c>
      <c r="J1" s="51"/>
    </row>
    <row r="2" spans="1:10" x14ac:dyDescent="0.55000000000000004">
      <c r="A2" s="17" t="s">
        <v>885</v>
      </c>
      <c r="J2" s="51"/>
    </row>
    <row r="4" spans="1:10" ht="15.75" x14ac:dyDescent="0.5">
      <c r="A4" s="2" t="s">
        <v>15</v>
      </c>
      <c r="B4" s="2" t="s">
        <v>16</v>
      </c>
    </row>
    <row r="5" spans="1:10" ht="15.75" x14ac:dyDescent="0.5">
      <c r="A5" s="23" t="s">
        <v>22</v>
      </c>
      <c r="B5" s="24" t="s">
        <v>22</v>
      </c>
    </row>
    <row r="6" spans="1:10" ht="45" customHeight="1" x14ac:dyDescent="0.45">
      <c r="A6" s="23" t="s">
        <v>84</v>
      </c>
      <c r="B6" s="26" t="s">
        <v>888</v>
      </c>
    </row>
    <row r="7" spans="1:10" ht="15.75" x14ac:dyDescent="0.45">
      <c r="A7" s="23" t="s">
        <v>886</v>
      </c>
      <c r="B7" s="26" t="s">
        <v>887</v>
      </c>
    </row>
    <row r="8" spans="1:10" ht="15.75" x14ac:dyDescent="0.45">
      <c r="A8" s="23"/>
      <c r="B8" s="26"/>
    </row>
    <row r="9" spans="1:10" ht="15.75" x14ac:dyDescent="0.5">
      <c r="A9" s="23"/>
      <c r="B9" s="24"/>
    </row>
    <row r="10" spans="1:10" x14ac:dyDescent="0.55000000000000004">
      <c r="E10" s="171" t="s">
        <v>22</v>
      </c>
      <c r="F10" s="170"/>
      <c r="G10" s="48" t="s">
        <v>84</v>
      </c>
      <c r="H10" s="48" t="s">
        <v>886</v>
      </c>
    </row>
    <row r="11" spans="1:10" x14ac:dyDescent="0.55000000000000004">
      <c r="E11" s="47">
        <v>1</v>
      </c>
      <c r="F11" s="47">
        <v>2</v>
      </c>
      <c r="G11" s="47">
        <v>1</v>
      </c>
      <c r="H11" s="47"/>
      <c r="J11" s="50" t="b" cm="1">
        <f t="array" ref="J11">_xlfn.LAMBDA(_xlpm.matrix,_xlop.dim,_xlop.hasHeader,
_xlfn.LET(
_xlpm.dim, IF(OR(_xlfn.ISOMITTED(_xlpm.dim),ISBLANK(_xlpm.dim)), 1, _xlpm.dim),
_xlpm.hasHeader, IF(OR(_xlfn.ISOMITTED(_xlpm.hasHeader),ISBLANK(_xlpm.hasHeader)), FALSE, _xlpm.hasHeader),
IF(_xlpm.dim=1,
SUM(1*_xlfn.BYCOL(INDEX(_xlpm.matrix,1+1*_xlpm.hasHeader,0)=_xlfn.DROP(_xlpm.matrix,1*_xlpm.hasHeader), _xlfn.LAMBDA(_xlpm.col, SUM(1*_xlpm.col)=ROWS(_xlpm.col))))&gt;=1,
SUM(1*_xlfn.BYROW(INDEX(_xlpm.matrix,0,1+1*_xlpm.hasHeader)=_xlfn.DROP(_xlpm.matrix,0,1*_xlpm.hasHeader), _xlfn.LAMBDA(_xlpm.row, SUM(1*_xlpm.row)=COLUMNS(_xlpm.row))))&gt;=1
)
))($E$11:$F$19,$G$11,$H$11)</f>
        <v>1</v>
      </c>
    </row>
    <row r="12" spans="1:10" x14ac:dyDescent="0.55000000000000004">
      <c r="E12" s="47">
        <v>1</v>
      </c>
      <c r="F12" s="47">
        <v>3</v>
      </c>
    </row>
    <row r="13" spans="1:10" x14ac:dyDescent="0.55000000000000004">
      <c r="E13" s="47">
        <v>1</v>
      </c>
      <c r="F13" s="47">
        <v>4</v>
      </c>
    </row>
    <row r="14" spans="1:10" ht="18.75" customHeight="1" x14ac:dyDescent="0.55000000000000004">
      <c r="E14" s="47">
        <v>1</v>
      </c>
      <c r="F14" s="47">
        <v>5</v>
      </c>
    </row>
    <row r="15" spans="1:10" x14ac:dyDescent="0.55000000000000004">
      <c r="E15" s="47">
        <v>1</v>
      </c>
      <c r="F15" s="47">
        <v>6</v>
      </c>
    </row>
    <row r="16" spans="1:10" x14ac:dyDescent="0.55000000000000004">
      <c r="E16" s="47">
        <v>1</v>
      </c>
      <c r="F16" s="47">
        <v>7</v>
      </c>
    </row>
    <row r="17" spans="5:10" x14ac:dyDescent="0.55000000000000004">
      <c r="E17" s="47">
        <v>1</v>
      </c>
      <c r="F17" s="47">
        <v>8</v>
      </c>
    </row>
    <row r="18" spans="5:10" s="21" customFormat="1" ht="14.25" x14ac:dyDescent="0.45">
      <c r="E18" s="47">
        <v>1</v>
      </c>
      <c r="F18" s="47">
        <v>9</v>
      </c>
      <c r="G18"/>
      <c r="H18"/>
      <c r="I18"/>
      <c r="J18" s="50"/>
    </row>
    <row r="19" spans="5:10" s="21" customFormat="1" ht="14.25" x14ac:dyDescent="0.45">
      <c r="E19" s="47">
        <v>1</v>
      </c>
      <c r="F19" s="47">
        <v>10</v>
      </c>
      <c r="G19"/>
      <c r="H19"/>
      <c r="I19"/>
      <c r="J19" s="50"/>
    </row>
    <row r="22" spans="5:10" s="21" customFormat="1" ht="14.25" x14ac:dyDescent="0.45">
      <c r="E22" s="171" t="s">
        <v>22</v>
      </c>
      <c r="F22" s="170"/>
      <c r="G22" s="48" t="s">
        <v>84</v>
      </c>
      <c r="H22" s="48" t="s">
        <v>886</v>
      </c>
      <c r="I22"/>
      <c r="J22" s="50"/>
    </row>
    <row r="23" spans="5:10" s="21" customFormat="1" ht="14.25" x14ac:dyDescent="0.45">
      <c r="E23" s="47">
        <v>1</v>
      </c>
      <c r="F23" s="47">
        <v>2</v>
      </c>
      <c r="G23" s="47">
        <v>2</v>
      </c>
      <c r="H23" s="47"/>
      <c r="I23"/>
      <c r="J23" s="50" t="b" cm="1">
        <f t="array" ref="J23">HASCONST($E$23:$F$31,$G$23,$H$23)</f>
        <v>1</v>
      </c>
    </row>
    <row r="24" spans="5:10" s="21" customFormat="1" ht="14.25" x14ac:dyDescent="0.45">
      <c r="E24" s="47">
        <v>2</v>
      </c>
      <c r="F24" s="47">
        <v>3</v>
      </c>
      <c r="G24"/>
      <c r="H24"/>
      <c r="I24"/>
      <c r="J24" s="50"/>
    </row>
    <row r="25" spans="5:10" s="21" customFormat="1" ht="14.25" x14ac:dyDescent="0.45">
      <c r="E25" s="47">
        <v>3</v>
      </c>
      <c r="F25" s="47">
        <v>3</v>
      </c>
      <c r="G25"/>
      <c r="H25"/>
      <c r="I25"/>
      <c r="J25" s="50"/>
    </row>
    <row r="26" spans="5:10" s="21" customFormat="1" ht="14.25" x14ac:dyDescent="0.45">
      <c r="E26" s="47">
        <v>4</v>
      </c>
      <c r="F26" s="47">
        <v>5</v>
      </c>
      <c r="G26"/>
      <c r="H26"/>
      <c r="I26"/>
      <c r="J26" s="50"/>
    </row>
    <row r="27" spans="5:10" s="21" customFormat="1" ht="14.25" x14ac:dyDescent="0.45">
      <c r="E27" s="47">
        <v>5</v>
      </c>
      <c r="F27" s="47">
        <v>6</v>
      </c>
      <c r="G27"/>
      <c r="H27"/>
      <c r="I27"/>
      <c r="J27" s="50"/>
    </row>
    <row r="28" spans="5:10" s="21" customFormat="1" ht="14.25" x14ac:dyDescent="0.45">
      <c r="E28" s="47">
        <v>6</v>
      </c>
      <c r="F28" s="47">
        <v>7</v>
      </c>
      <c r="G28"/>
      <c r="H28"/>
      <c r="I28"/>
      <c r="J28" s="50"/>
    </row>
    <row r="29" spans="5:10" s="21" customFormat="1" ht="14.25" x14ac:dyDescent="0.45">
      <c r="E29" s="47">
        <v>7</v>
      </c>
      <c r="F29" s="47">
        <v>8</v>
      </c>
      <c r="G29"/>
      <c r="H29"/>
      <c r="I29"/>
      <c r="J29" s="50"/>
    </row>
    <row r="30" spans="5:10" s="21" customFormat="1" ht="14.25" x14ac:dyDescent="0.45">
      <c r="E30" s="47">
        <v>8</v>
      </c>
      <c r="F30" s="47">
        <v>9</v>
      </c>
      <c r="G30"/>
      <c r="H30"/>
      <c r="I30"/>
      <c r="J30" s="50"/>
    </row>
    <row r="31" spans="5:10" s="21" customFormat="1" ht="14.25" x14ac:dyDescent="0.45">
      <c r="E31" s="47">
        <v>9</v>
      </c>
      <c r="F31" s="47">
        <v>10</v>
      </c>
      <c r="G31"/>
      <c r="H31"/>
      <c r="I31"/>
      <c r="J31" s="50"/>
    </row>
    <row r="34" spans="5:10" s="21" customFormat="1" ht="14.25" x14ac:dyDescent="0.45">
      <c r="E34" s="171" t="s">
        <v>22</v>
      </c>
      <c r="F34" s="170"/>
      <c r="G34" s="48" t="s">
        <v>84</v>
      </c>
      <c r="H34" s="48" t="s">
        <v>886</v>
      </c>
      <c r="I34"/>
      <c r="J34" s="50"/>
    </row>
    <row r="35" spans="5:10" s="21" customFormat="1" ht="14.25" x14ac:dyDescent="0.45">
      <c r="E35" s="47" t="s">
        <v>377</v>
      </c>
      <c r="F35" s="47" t="s">
        <v>378</v>
      </c>
      <c r="G35" s="47">
        <v>1</v>
      </c>
      <c r="H35" s="47" t="b">
        <v>1</v>
      </c>
      <c r="I35"/>
      <c r="J35" s="50" t="b" cm="1">
        <f t="array" ref="J35">HASCONST($E$35:$F$43,$G$35,$H$35)</f>
        <v>1</v>
      </c>
    </row>
    <row r="36" spans="5:10" s="21" customFormat="1" ht="14.25" x14ac:dyDescent="0.45">
      <c r="E36" s="47">
        <v>1</v>
      </c>
      <c r="F36" s="47">
        <v>3</v>
      </c>
      <c r="G36"/>
      <c r="H36"/>
      <c r="I36"/>
      <c r="J36" s="50"/>
    </row>
    <row r="37" spans="5:10" s="21" customFormat="1" ht="14.25" x14ac:dyDescent="0.45">
      <c r="E37" s="47">
        <v>1</v>
      </c>
      <c r="F37" s="47">
        <v>4</v>
      </c>
      <c r="G37"/>
      <c r="H37"/>
      <c r="I37"/>
      <c r="J37" s="50"/>
    </row>
    <row r="38" spans="5:10" s="21" customFormat="1" ht="14.25" x14ac:dyDescent="0.45">
      <c r="E38" s="47">
        <v>1</v>
      </c>
      <c r="F38" s="47">
        <v>5</v>
      </c>
      <c r="G38"/>
      <c r="H38"/>
      <c r="I38"/>
      <c r="J38" s="50"/>
    </row>
    <row r="39" spans="5:10" s="21" customFormat="1" ht="14.25" x14ac:dyDescent="0.45">
      <c r="E39" s="47">
        <v>1</v>
      </c>
      <c r="F39" s="47">
        <v>6</v>
      </c>
      <c r="G39"/>
      <c r="H39"/>
      <c r="I39"/>
      <c r="J39" s="50"/>
    </row>
    <row r="40" spans="5:10" s="21" customFormat="1" ht="14.25" x14ac:dyDescent="0.45">
      <c r="E40" s="47">
        <v>1</v>
      </c>
      <c r="F40" s="47">
        <v>7</v>
      </c>
      <c r="G40"/>
      <c r="H40"/>
      <c r="I40"/>
      <c r="J40" s="50"/>
    </row>
    <row r="41" spans="5:10" s="21" customFormat="1" ht="14.25" x14ac:dyDescent="0.45">
      <c r="E41" s="47">
        <v>1</v>
      </c>
      <c r="F41" s="47">
        <v>8</v>
      </c>
      <c r="G41"/>
      <c r="H41"/>
      <c r="I41"/>
      <c r="J41" s="50"/>
    </row>
    <row r="42" spans="5:10" s="21" customFormat="1" ht="14.25" x14ac:dyDescent="0.45">
      <c r="E42" s="47">
        <v>1</v>
      </c>
      <c r="F42" s="47">
        <v>9</v>
      </c>
      <c r="G42"/>
      <c r="H42"/>
      <c r="I42"/>
      <c r="J42" s="50"/>
    </row>
    <row r="43" spans="5:10" s="21" customFormat="1" ht="14.25" x14ac:dyDescent="0.45">
      <c r="E43" s="47">
        <v>1</v>
      </c>
      <c r="F43" s="47">
        <v>10</v>
      </c>
      <c r="G43"/>
      <c r="H43"/>
      <c r="I43"/>
      <c r="J43" s="50"/>
    </row>
  </sheetData>
  <mergeCells count="3">
    <mergeCell ref="E10:F10"/>
    <mergeCell ref="E22:F22"/>
    <mergeCell ref="E34:F34"/>
  </mergeCells>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971F-8CE5-4197-99FA-664C6A852FE1}">
  <sheetPr codeName="Planilha46">
    <tabColor theme="9" tint="0.59999389629810485"/>
  </sheetPr>
  <dimension ref="A1:U239"/>
  <sheetViews>
    <sheetView showGridLines="0" workbookViewId="0">
      <selection activeCell="H7" sqref="H7"/>
    </sheetView>
  </sheetViews>
  <sheetFormatPr defaultColWidth="8.796875" defaultRowHeight="18" x14ac:dyDescent="0.55000000000000004"/>
  <cols>
    <col min="1" max="1" width="12.6640625" style="17" customWidth="1"/>
    <col min="2" max="2" width="52.33203125" customWidth="1"/>
    <col min="4" max="4" width="25.33203125" customWidth="1"/>
    <col min="5" max="5" width="4.6640625" customWidth="1"/>
    <col min="6" max="7" width="7.1328125" bestFit="1" customWidth="1"/>
    <col min="8" max="8" width="10.6640625" customWidth="1"/>
    <col min="9" max="9" width="10.33203125" bestFit="1" customWidth="1"/>
    <col min="10" max="12" width="9" style="15" customWidth="1"/>
    <col min="13" max="21" width="8.796875" style="15"/>
  </cols>
  <sheetData>
    <row r="1" spans="1:21" x14ac:dyDescent="0.55000000000000004">
      <c r="A1" s="16" t="s">
        <v>489</v>
      </c>
      <c r="J1" s="14"/>
      <c r="K1" s="14"/>
      <c r="L1" s="14"/>
      <c r="M1" s="14"/>
      <c r="N1" s="14"/>
      <c r="O1" s="14"/>
      <c r="P1" s="14"/>
      <c r="Q1" s="14"/>
      <c r="R1" s="14"/>
      <c r="S1" s="14"/>
      <c r="T1" s="14"/>
      <c r="U1" s="14"/>
    </row>
    <row r="2" spans="1:21" x14ac:dyDescent="0.55000000000000004">
      <c r="A2" s="17" t="s">
        <v>490</v>
      </c>
      <c r="J2" s="14"/>
      <c r="K2" s="14"/>
      <c r="L2" s="14"/>
      <c r="M2" s="14"/>
      <c r="N2" s="14"/>
      <c r="O2" s="14"/>
      <c r="P2" s="14"/>
      <c r="Q2" s="14"/>
      <c r="R2" s="14"/>
      <c r="S2" s="14"/>
      <c r="T2" s="14"/>
      <c r="U2" s="14"/>
    </row>
    <row r="3" spans="1:21" x14ac:dyDescent="0.55000000000000004">
      <c r="M3" s="107" t="s">
        <v>492</v>
      </c>
      <c r="N3" s="50" t="str">
        <f>"IBC-Br SA "&amp;$H$10</f>
        <v>IBC-Br SA IDX(37622)</v>
      </c>
      <c r="O3" s="50"/>
      <c r="P3" s="50"/>
      <c r="Q3" s="50"/>
      <c r="R3" s="50"/>
      <c r="S3" s="50"/>
      <c r="T3" s="50"/>
      <c r="U3" s="50"/>
    </row>
    <row r="4" spans="1:21" ht="15.75" x14ac:dyDescent="0.5">
      <c r="A4" s="2" t="s">
        <v>15</v>
      </c>
      <c r="B4" s="2" t="s">
        <v>16</v>
      </c>
    </row>
    <row r="5" spans="1:21" ht="15.75" x14ac:dyDescent="0.5">
      <c r="A5" s="23" t="s">
        <v>156</v>
      </c>
      <c r="B5" s="24" t="s">
        <v>166</v>
      </c>
    </row>
    <row r="6" spans="1:21" ht="15.75" x14ac:dyDescent="0.5">
      <c r="A6" s="23" t="s">
        <v>165</v>
      </c>
      <c r="B6" s="24" t="s">
        <v>167</v>
      </c>
    </row>
    <row r="7" spans="1:21" ht="83.25" customHeight="1" x14ac:dyDescent="0.45">
      <c r="A7" s="23" t="s">
        <v>491</v>
      </c>
      <c r="B7" s="26" t="s">
        <v>626</v>
      </c>
    </row>
    <row r="8" spans="1:21" ht="15.75" x14ac:dyDescent="0.5">
      <c r="A8" s="23"/>
      <c r="B8" s="24"/>
    </row>
    <row r="9" spans="1:21" ht="15.75" x14ac:dyDescent="0.5">
      <c r="A9" s="23"/>
      <c r="B9" s="24"/>
      <c r="D9" s="1" t="s">
        <v>17</v>
      </c>
      <c r="G9" s="110" t="s">
        <v>165</v>
      </c>
      <c r="H9" s="13" t="s">
        <v>491</v>
      </c>
      <c r="J9" s="15" t="s">
        <v>192</v>
      </c>
      <c r="L9" s="15" t="s">
        <v>192</v>
      </c>
    </row>
    <row r="10" spans="1:21" x14ac:dyDescent="0.55000000000000004">
      <c r="D10" t="s">
        <v>195</v>
      </c>
      <c r="F10" s="49">
        <v>37622</v>
      </c>
      <c r="G10" s="52">
        <v>100.45</v>
      </c>
      <c r="H10" s="80" t="str">
        <f>"IDX(" &amp; DATE(2003,1,1) &amp; ")"</f>
        <v>IDX(37622)</v>
      </c>
      <c r="J10" s="106" cm="1">
        <f t="array" ref="J10:J239">_xlfn.LAMBDA(_xlpm.dates,_xlpm.values,_xlpm.operation,
IF(OR(_xlfn.ISOMITTED(_xlpm.operation), _xlpm.operation=""), _xlpm.values,
_xlfn.LET(
_xlpm.oper, UPPER(LEFT(_xlpm.operation, FIND("(", _xlpm.operation) - 1)),
_xlpm.lag, VALUE(MID(_xlpm.operation, FIND("(", _xlpm.operation) + 1, -1 + FIND(")", _xlpm.operation) - FIND("(", _xlpm.operation) )),
_xlpm.result, _xlfn.SWITCH(_xlpm.oper,
"V%", _xlfn.VSTACK( _xlfn.SEQUENCE(_xlpm.lag)*NA(), _xlfn.DROP(_xlpm.values, _xlpm.lag) / _xlfn.DROP(_xlpm.values, -_xlpm.lag) - 1),
"VA", _xlfn.VSTACK( _xlfn.SEQUENCE(_xlpm.lag)*NA(), _xlfn.DROP(_xlpm.values, _xlpm.lag) - _xlfn.DROP(_xlpm.values, -_xlpm.lag) ),
"LAG", _xlfn.VSTACK( _xlfn.SEQUENCE(_xlpm.lag)*NA(), _xlfn.DROP(_xlpm.values, -_xlpm.lag) ),
"LEAD", _xlfn.VSTACK( _xlfn.DROP(_xlpm.values, _xlpm.lag), _xlfn.SEQUENCE(_xlpm.lag)*NA() ),
"MA", _xlfn.VSTACK( _xlfn.SEQUENCE(_xlpm.lag)*NA(), _xlfn.MAKEARRAY(ROWS(_xlpm.values), 1, _xlfn.LAMBDA(_xlpm.row,_xlpm.col, AVERAGE(INDEX(_xlpm.values, _xlfn.SEQUENCE(_xlpm.lag, 1,_xlpm.row-_xlpm.lag+1))) )) ),
"CR", (1 + _xlpm.values)^_xlpm.lag - 1,
"IDX", _xlpm.values / INDEX(_xlpm.values,  MATCH(_xlpm.lag, _xlpm.dates, 0)),
"B100", 100 * _xlpm.values / INDEX(_xlpm.values,  MATCH(_xlpm.lag, _xlpm.dates, 0)),
"V%ACC", _xlpm.values / INDEX(_xlpm.values,  MATCH(_xlpm.lag, _xlpm.dates, 0)) - 1,
"VAACC", _xlpm.values - INDEX(_xlpm.values,  MATCH(_xlpm.lag, _xlpm.dates, 0)),
),
IF( ISERROR( FIND(";", _xlpm.operation) ), _xlpm.result, TSOPER(_xlpm.dates, _xlpm.result, MID(_xlpm.operation, FIND(";", _xlpm.operation) + 1, 999999999)) )
)))($F$10:$F$239,$G$10:$G$239,$H$10)</f>
        <v>1</v>
      </c>
      <c r="K10" s="53"/>
      <c r="L10" s="106" cm="1">
        <f t="array" ref="L10:L239">TSOPER($F$10:$F$239,$G$10:$G$239,$H$10)</f>
        <v>1</v>
      </c>
    </row>
    <row r="11" spans="1:21" x14ac:dyDescent="0.55000000000000004">
      <c r="D11" t="s">
        <v>196</v>
      </c>
      <c r="F11" s="49">
        <v>37653</v>
      </c>
      <c r="G11" s="52">
        <v>101.95</v>
      </c>
      <c r="J11" s="106">
        <v>1.0149328023892483</v>
      </c>
      <c r="K11" s="53"/>
      <c r="L11" s="106">
        <v>1.0149328023892483</v>
      </c>
    </row>
    <row r="12" spans="1:21" x14ac:dyDescent="0.55000000000000004">
      <c r="F12" s="49">
        <v>37681</v>
      </c>
      <c r="G12" s="52">
        <v>102.03</v>
      </c>
      <c r="J12" s="106">
        <v>1.0157292185166749</v>
      </c>
      <c r="K12" s="53"/>
      <c r="L12" s="106">
        <v>1.0157292185166749</v>
      </c>
    </row>
    <row r="13" spans="1:21" ht="18.75" customHeight="1" x14ac:dyDescent="0.55000000000000004">
      <c r="D13" s="173"/>
      <c r="F13" s="49">
        <v>37712</v>
      </c>
      <c r="G13" s="52">
        <v>100.92</v>
      </c>
      <c r="J13" s="106">
        <v>1.0046789447486311</v>
      </c>
      <c r="K13" s="53"/>
      <c r="L13" s="106">
        <v>1.0046789447486311</v>
      </c>
    </row>
    <row r="14" spans="1:21" x14ac:dyDescent="0.55000000000000004">
      <c r="D14" s="173"/>
      <c r="F14" s="49">
        <v>37742</v>
      </c>
      <c r="G14" s="52">
        <v>99.89</v>
      </c>
      <c r="J14" s="106">
        <v>0.99442508710801392</v>
      </c>
      <c r="K14" s="53"/>
      <c r="L14" s="106">
        <v>0.99442508710801392</v>
      </c>
    </row>
    <row r="15" spans="1:21" x14ac:dyDescent="0.55000000000000004">
      <c r="D15" s="46"/>
      <c r="F15" s="49">
        <v>37773</v>
      </c>
      <c r="G15" s="52">
        <v>100.28</v>
      </c>
      <c r="J15" s="106">
        <v>0.99830761572921844</v>
      </c>
      <c r="K15" s="53"/>
      <c r="L15" s="106">
        <v>0.99830761572921844</v>
      </c>
    </row>
    <row r="16" spans="1:21" x14ac:dyDescent="0.55000000000000004">
      <c r="F16" s="49">
        <v>37803</v>
      </c>
      <c r="G16" s="52">
        <v>99.07</v>
      </c>
      <c r="J16" s="106">
        <v>0.98626182180189137</v>
      </c>
      <c r="K16" s="53"/>
      <c r="L16" s="106">
        <v>0.98626182180189137</v>
      </c>
    </row>
    <row r="17" spans="6:21" x14ac:dyDescent="0.55000000000000004">
      <c r="F17" s="49">
        <v>37834</v>
      </c>
      <c r="G17" s="52">
        <v>99.73</v>
      </c>
      <c r="J17" s="106">
        <v>0.99283225485316073</v>
      </c>
      <c r="K17" s="53"/>
      <c r="L17" s="106">
        <v>0.99283225485316073</v>
      </c>
    </row>
    <row r="18" spans="6:21" x14ac:dyDescent="0.55000000000000004">
      <c r="F18" s="49">
        <v>37865</v>
      </c>
      <c r="G18" s="52">
        <v>101.71</v>
      </c>
      <c r="J18" s="106">
        <v>1.0125435540069685</v>
      </c>
      <c r="K18" s="53"/>
      <c r="L18" s="106">
        <v>1.0125435540069685</v>
      </c>
    </row>
    <row r="19" spans="6:21" s="21" customFormat="1" ht="14.25" x14ac:dyDescent="0.45">
      <c r="F19" s="49">
        <v>37895</v>
      </c>
      <c r="G19" s="52">
        <v>101.88</v>
      </c>
      <c r="H19"/>
      <c r="I19"/>
      <c r="J19" s="106">
        <v>1.0142359382777502</v>
      </c>
      <c r="K19" s="53"/>
      <c r="L19" s="106">
        <v>1.0142359382777502</v>
      </c>
      <c r="M19" s="15"/>
      <c r="N19" s="15"/>
      <c r="O19" s="15"/>
      <c r="P19" s="15"/>
      <c r="Q19" s="15"/>
      <c r="R19" s="15"/>
      <c r="S19" s="15"/>
      <c r="T19" s="15"/>
      <c r="U19" s="15"/>
    </row>
    <row r="20" spans="6:21" s="21" customFormat="1" ht="14.25" x14ac:dyDescent="0.45">
      <c r="F20" s="49">
        <v>37926</v>
      </c>
      <c r="G20" s="52">
        <v>101.97</v>
      </c>
      <c r="H20"/>
      <c r="I20"/>
      <c r="J20" s="106">
        <v>1.0151319064211051</v>
      </c>
      <c r="K20" s="53"/>
      <c r="L20" s="106">
        <v>1.0151319064211051</v>
      </c>
      <c r="M20" s="15"/>
      <c r="N20" s="15"/>
      <c r="O20" s="15"/>
      <c r="P20" s="15"/>
      <c r="Q20" s="15"/>
      <c r="R20" s="15"/>
      <c r="S20" s="15"/>
      <c r="T20" s="15"/>
      <c r="U20" s="15"/>
    </row>
    <row r="21" spans="6:21" s="21" customFormat="1" ht="14.25" x14ac:dyDescent="0.45">
      <c r="F21" s="49">
        <v>37956</v>
      </c>
      <c r="G21" s="52">
        <v>101.58</v>
      </c>
      <c r="H21"/>
      <c r="I21"/>
      <c r="J21" s="106">
        <v>1.0112493777999003</v>
      </c>
      <c r="K21" s="53"/>
      <c r="L21" s="106">
        <v>1.0112493777999003</v>
      </c>
      <c r="M21" s="15"/>
      <c r="N21" s="15"/>
      <c r="O21" s="15"/>
      <c r="P21" s="15"/>
      <c r="Q21" s="15"/>
      <c r="R21" s="15"/>
      <c r="S21" s="15"/>
      <c r="T21" s="15"/>
      <c r="U21" s="15"/>
    </row>
    <row r="22" spans="6:21" s="21" customFormat="1" ht="14.25" x14ac:dyDescent="0.45">
      <c r="F22" s="49">
        <v>37987</v>
      </c>
      <c r="G22" s="52">
        <v>103.57</v>
      </c>
      <c r="H22"/>
      <c r="I22"/>
      <c r="J22" s="106">
        <v>1.0310602289696364</v>
      </c>
      <c r="K22" s="53"/>
      <c r="L22" s="106">
        <v>1.0310602289696364</v>
      </c>
      <c r="M22" s="15"/>
      <c r="N22" s="15"/>
      <c r="O22" s="15"/>
      <c r="P22" s="15"/>
      <c r="Q22" s="15"/>
      <c r="R22" s="15"/>
      <c r="S22" s="15"/>
      <c r="T22" s="15"/>
      <c r="U22" s="15"/>
    </row>
    <row r="23" spans="6:21" s="21" customFormat="1" ht="14.25" x14ac:dyDescent="0.45">
      <c r="F23" s="49">
        <v>38018</v>
      </c>
      <c r="G23" s="52">
        <v>104.49</v>
      </c>
      <c r="H23"/>
      <c r="I23"/>
      <c r="J23" s="106">
        <v>1.0402190144350423</v>
      </c>
      <c r="K23" s="53"/>
      <c r="L23" s="106">
        <v>1.0402190144350423</v>
      </c>
      <c r="M23" s="15"/>
      <c r="N23" s="15"/>
      <c r="O23" s="15"/>
      <c r="P23" s="15"/>
      <c r="Q23" s="15"/>
      <c r="R23" s="15"/>
      <c r="S23" s="15"/>
      <c r="T23" s="15"/>
      <c r="U23" s="15"/>
    </row>
    <row r="24" spans="6:21" s="21" customFormat="1" ht="14.25" x14ac:dyDescent="0.45">
      <c r="F24" s="49">
        <v>38047</v>
      </c>
      <c r="G24" s="52">
        <v>105.98</v>
      </c>
      <c r="H24"/>
      <c r="I24"/>
      <c r="J24" s="106">
        <v>1.0550522648083624</v>
      </c>
      <c r="K24" s="53"/>
      <c r="L24" s="106">
        <v>1.0550522648083624</v>
      </c>
      <c r="M24" s="15"/>
      <c r="N24" s="15"/>
      <c r="O24" s="15"/>
      <c r="P24" s="15"/>
      <c r="Q24" s="15"/>
      <c r="R24" s="15"/>
      <c r="S24" s="15"/>
      <c r="T24" s="15"/>
      <c r="U24" s="15"/>
    </row>
    <row r="25" spans="6:21" s="21" customFormat="1" ht="14.25" x14ac:dyDescent="0.45">
      <c r="F25" s="49">
        <v>38078</v>
      </c>
      <c r="G25" s="52">
        <v>106.41</v>
      </c>
      <c r="H25"/>
      <c r="I25"/>
      <c r="J25" s="106">
        <v>1.0593330014932802</v>
      </c>
      <c r="K25" s="53"/>
      <c r="L25" s="106">
        <v>1.0593330014932802</v>
      </c>
      <c r="M25" s="15"/>
      <c r="N25" s="15"/>
      <c r="O25" s="15"/>
      <c r="P25" s="15"/>
      <c r="Q25" s="15"/>
      <c r="R25" s="15"/>
      <c r="S25" s="15"/>
      <c r="T25" s="15"/>
      <c r="U25" s="15"/>
    </row>
    <row r="26" spans="6:21" s="21" customFormat="1" ht="14.25" x14ac:dyDescent="0.45">
      <c r="F26" s="49">
        <v>38108</v>
      </c>
      <c r="G26" s="52">
        <v>106.44</v>
      </c>
      <c r="H26"/>
      <c r="I26"/>
      <c r="J26" s="106">
        <v>1.0596316575410651</v>
      </c>
      <c r="K26" s="53"/>
      <c r="L26" s="106">
        <v>1.0596316575410651</v>
      </c>
      <c r="M26" s="15"/>
      <c r="N26" s="15"/>
      <c r="O26" s="15"/>
      <c r="P26" s="15"/>
      <c r="Q26" s="15"/>
      <c r="R26" s="15"/>
      <c r="S26" s="15"/>
      <c r="T26" s="15"/>
      <c r="U26" s="15"/>
    </row>
    <row r="27" spans="6:21" s="21" customFormat="1" ht="14.25" x14ac:dyDescent="0.45">
      <c r="F27" s="49">
        <v>38139</v>
      </c>
      <c r="G27" s="52">
        <v>107.22</v>
      </c>
      <c r="H27"/>
      <c r="I27"/>
      <c r="J27" s="106">
        <v>1.0673967147834744</v>
      </c>
      <c r="K27" s="53"/>
      <c r="L27" s="106">
        <v>1.0673967147834744</v>
      </c>
      <c r="M27" s="15"/>
      <c r="N27" s="15"/>
      <c r="O27" s="15"/>
      <c r="P27" s="15"/>
      <c r="Q27" s="15"/>
      <c r="R27" s="15"/>
      <c r="S27" s="15"/>
      <c r="T27" s="15"/>
      <c r="U27" s="15"/>
    </row>
    <row r="28" spans="6:21" s="21" customFormat="1" ht="14.25" x14ac:dyDescent="0.45">
      <c r="F28" s="49">
        <v>38169</v>
      </c>
      <c r="G28" s="52">
        <v>107.82</v>
      </c>
      <c r="H28"/>
      <c r="I28"/>
      <c r="J28" s="106">
        <v>1.0733698357391737</v>
      </c>
      <c r="K28" s="53"/>
      <c r="L28" s="106">
        <v>1.0733698357391737</v>
      </c>
      <c r="M28" s="15"/>
      <c r="N28" s="15"/>
      <c r="O28" s="15"/>
      <c r="P28" s="15"/>
      <c r="Q28" s="15"/>
      <c r="R28" s="15"/>
      <c r="S28" s="15"/>
      <c r="T28" s="15"/>
      <c r="U28" s="15"/>
    </row>
    <row r="29" spans="6:21" s="21" customFormat="1" ht="14.25" x14ac:dyDescent="0.45">
      <c r="F29" s="49">
        <v>38200</v>
      </c>
      <c r="G29" s="52">
        <v>108.19</v>
      </c>
      <c r="H29"/>
      <c r="I29"/>
      <c r="J29" s="106">
        <v>1.0770532603285217</v>
      </c>
      <c r="K29" s="53"/>
      <c r="L29" s="106">
        <v>1.0770532603285217</v>
      </c>
      <c r="M29" s="15"/>
      <c r="N29" s="15"/>
      <c r="O29" s="15"/>
      <c r="P29" s="15"/>
      <c r="Q29" s="15"/>
      <c r="R29" s="15"/>
      <c r="S29" s="15"/>
      <c r="T29" s="15"/>
      <c r="U29" s="15"/>
    </row>
    <row r="30" spans="6:21" s="21" customFormat="1" ht="14.25" x14ac:dyDescent="0.45">
      <c r="F30" s="49">
        <v>38231</v>
      </c>
      <c r="G30" s="52">
        <v>109.46</v>
      </c>
      <c r="H30"/>
      <c r="I30"/>
      <c r="J30" s="106">
        <v>1.0896963663514185</v>
      </c>
      <c r="K30" s="53"/>
      <c r="L30" s="106">
        <v>1.0896963663514185</v>
      </c>
      <c r="M30" s="15"/>
      <c r="N30" s="15"/>
      <c r="O30" s="15"/>
      <c r="P30" s="15"/>
      <c r="Q30" s="15"/>
      <c r="R30" s="15"/>
      <c r="S30" s="15"/>
      <c r="T30" s="15"/>
      <c r="U30" s="15"/>
    </row>
    <row r="31" spans="6:21" s="21" customFormat="1" ht="14.25" x14ac:dyDescent="0.45">
      <c r="F31" s="49">
        <v>38261</v>
      </c>
      <c r="G31" s="52">
        <v>108.73</v>
      </c>
      <c r="H31"/>
      <c r="I31"/>
      <c r="J31" s="106">
        <v>1.0824290691886511</v>
      </c>
      <c r="K31" s="53"/>
      <c r="L31" s="106">
        <v>1.0824290691886511</v>
      </c>
      <c r="M31" s="15"/>
      <c r="N31" s="15"/>
      <c r="O31" s="15"/>
      <c r="P31" s="15"/>
      <c r="Q31" s="15"/>
      <c r="R31" s="15"/>
      <c r="S31" s="15"/>
      <c r="T31" s="15"/>
      <c r="U31" s="15"/>
    </row>
    <row r="32" spans="6:21" s="21" customFormat="1" ht="14.25" x14ac:dyDescent="0.45">
      <c r="F32" s="49">
        <v>38292</v>
      </c>
      <c r="G32" s="52">
        <v>109.62</v>
      </c>
      <c r="H32"/>
      <c r="I32"/>
      <c r="J32" s="106">
        <v>1.0912891986062718</v>
      </c>
      <c r="K32" s="53"/>
      <c r="L32" s="106">
        <v>1.0912891986062718</v>
      </c>
      <c r="M32" s="15"/>
      <c r="N32" s="15"/>
      <c r="O32" s="15"/>
      <c r="P32" s="15"/>
      <c r="Q32" s="15"/>
      <c r="R32" s="15"/>
      <c r="S32" s="15"/>
      <c r="T32" s="15"/>
      <c r="U32" s="15"/>
    </row>
    <row r="33" spans="6:21" s="21" customFormat="1" ht="14.25" x14ac:dyDescent="0.45">
      <c r="F33" s="49">
        <v>38322</v>
      </c>
      <c r="G33" s="52">
        <v>108.79</v>
      </c>
      <c r="H33"/>
      <c r="I33"/>
      <c r="J33" s="106">
        <v>1.0830263812842211</v>
      </c>
      <c r="K33" s="53"/>
      <c r="L33" s="106">
        <v>1.0830263812842211</v>
      </c>
      <c r="M33" s="15"/>
      <c r="N33" s="15"/>
      <c r="O33" s="15"/>
      <c r="P33" s="15"/>
      <c r="Q33" s="15"/>
      <c r="R33" s="15"/>
      <c r="S33" s="15"/>
      <c r="T33" s="15"/>
      <c r="U33" s="15"/>
    </row>
    <row r="34" spans="6:21" s="21" customFormat="1" ht="14.25" x14ac:dyDescent="0.45">
      <c r="F34" s="49">
        <v>38353</v>
      </c>
      <c r="G34" s="52">
        <v>109.62</v>
      </c>
      <c r="H34"/>
      <c r="I34"/>
      <c r="J34" s="106">
        <v>1.0912891986062718</v>
      </c>
      <c r="K34" s="53"/>
      <c r="L34" s="106">
        <v>1.0912891986062718</v>
      </c>
      <c r="M34" s="15"/>
      <c r="N34" s="15"/>
      <c r="O34" s="15"/>
      <c r="P34" s="15"/>
      <c r="Q34" s="15"/>
      <c r="R34" s="15"/>
      <c r="S34" s="15"/>
      <c r="T34" s="15"/>
      <c r="U34" s="15"/>
    </row>
    <row r="35" spans="6:21" s="21" customFormat="1" ht="14.25" x14ac:dyDescent="0.45">
      <c r="F35" s="49">
        <v>38384</v>
      </c>
      <c r="G35" s="52">
        <v>110.14</v>
      </c>
      <c r="H35"/>
      <c r="I35"/>
      <c r="J35" s="106">
        <v>1.0964659034345445</v>
      </c>
      <c r="K35" s="53"/>
      <c r="L35" s="106">
        <v>1.0964659034345445</v>
      </c>
      <c r="M35" s="15"/>
      <c r="N35" s="15"/>
      <c r="O35" s="15"/>
      <c r="P35" s="15"/>
      <c r="Q35" s="15"/>
      <c r="R35" s="15"/>
      <c r="S35" s="15"/>
      <c r="T35" s="15"/>
      <c r="U35" s="15"/>
    </row>
    <row r="36" spans="6:21" s="21" customFormat="1" ht="14.25" x14ac:dyDescent="0.45">
      <c r="F36" s="49">
        <v>38412</v>
      </c>
      <c r="G36" s="52">
        <v>110.43</v>
      </c>
      <c r="H36"/>
      <c r="I36"/>
      <c r="J36" s="106">
        <v>1.099352911896466</v>
      </c>
      <c r="K36" s="53"/>
      <c r="L36" s="106">
        <v>1.099352911896466</v>
      </c>
      <c r="M36" s="15"/>
      <c r="N36" s="15"/>
      <c r="O36" s="15"/>
      <c r="P36" s="15"/>
      <c r="Q36" s="15"/>
      <c r="R36" s="15"/>
      <c r="S36" s="15"/>
      <c r="T36" s="15"/>
      <c r="U36" s="15"/>
    </row>
    <row r="37" spans="6:21" s="21" customFormat="1" ht="14.25" x14ac:dyDescent="0.45">
      <c r="F37" s="49">
        <v>38443</v>
      </c>
      <c r="G37" s="52">
        <v>110.95</v>
      </c>
      <c r="H37"/>
      <c r="I37"/>
      <c r="J37" s="106">
        <v>1.1045296167247387</v>
      </c>
      <c r="K37" s="53"/>
      <c r="L37" s="106">
        <v>1.1045296167247387</v>
      </c>
      <c r="M37" s="15"/>
      <c r="N37" s="15"/>
      <c r="O37" s="15"/>
      <c r="P37" s="15"/>
      <c r="Q37" s="15"/>
      <c r="R37" s="15"/>
      <c r="S37" s="15"/>
      <c r="T37" s="15"/>
      <c r="U37" s="15"/>
    </row>
    <row r="38" spans="6:21" s="21" customFormat="1" ht="14.25" x14ac:dyDescent="0.45">
      <c r="F38" s="49">
        <v>38473</v>
      </c>
      <c r="G38" s="52">
        <v>110.99</v>
      </c>
      <c r="H38"/>
      <c r="I38"/>
      <c r="J38" s="106">
        <v>1.104927824788452</v>
      </c>
      <c r="K38" s="53"/>
      <c r="L38" s="106">
        <v>1.104927824788452</v>
      </c>
      <c r="M38" s="15"/>
      <c r="N38" s="15"/>
      <c r="O38" s="15"/>
      <c r="P38" s="15"/>
      <c r="Q38" s="15"/>
      <c r="R38" s="15"/>
      <c r="S38" s="15"/>
      <c r="T38" s="15"/>
      <c r="U38" s="15"/>
    </row>
    <row r="39" spans="6:21" s="21" customFormat="1" ht="14.25" x14ac:dyDescent="0.45">
      <c r="F39" s="49">
        <v>38504</v>
      </c>
      <c r="G39" s="52">
        <v>110.63</v>
      </c>
      <c r="H39"/>
      <c r="I39"/>
      <c r="J39" s="106">
        <v>1.1013439522150323</v>
      </c>
      <c r="K39" s="53"/>
      <c r="L39" s="106">
        <v>1.1013439522150323</v>
      </c>
      <c r="M39" s="15"/>
      <c r="N39" s="15"/>
      <c r="O39" s="15"/>
      <c r="P39" s="15"/>
      <c r="Q39" s="15"/>
      <c r="R39" s="15"/>
      <c r="S39" s="15"/>
      <c r="T39" s="15"/>
      <c r="U39" s="15"/>
    </row>
    <row r="40" spans="6:21" s="21" customFormat="1" ht="14.25" x14ac:dyDescent="0.45">
      <c r="F40" s="49">
        <v>38534</v>
      </c>
      <c r="G40" s="52">
        <v>110.63</v>
      </c>
      <c r="H40"/>
      <c r="I40"/>
      <c r="J40" s="106">
        <v>1.1013439522150323</v>
      </c>
      <c r="K40" s="53"/>
      <c r="L40" s="106">
        <v>1.1013439522150323</v>
      </c>
      <c r="M40" s="15"/>
      <c r="N40" s="15"/>
      <c r="O40" s="15"/>
      <c r="P40" s="15"/>
      <c r="Q40" s="15"/>
      <c r="R40" s="15"/>
      <c r="S40" s="15"/>
      <c r="T40" s="15"/>
      <c r="U40" s="15"/>
    </row>
    <row r="41" spans="6:21" s="21" customFormat="1" ht="14.25" x14ac:dyDescent="0.45">
      <c r="F41" s="49">
        <v>38565</v>
      </c>
      <c r="G41" s="52">
        <v>111.29</v>
      </c>
      <c r="H41"/>
      <c r="I41"/>
      <c r="J41" s="106">
        <v>1.1079143852663016</v>
      </c>
      <c r="K41" s="53"/>
      <c r="L41" s="106">
        <v>1.1079143852663016</v>
      </c>
      <c r="M41" s="15"/>
      <c r="N41" s="15"/>
      <c r="O41" s="15"/>
      <c r="P41" s="15"/>
      <c r="Q41" s="15"/>
      <c r="R41" s="15"/>
      <c r="S41" s="15"/>
      <c r="T41" s="15"/>
      <c r="U41" s="15"/>
    </row>
    <row r="42" spans="6:21" s="21" customFormat="1" ht="14.25" x14ac:dyDescent="0.45">
      <c r="F42" s="49">
        <v>38596</v>
      </c>
      <c r="G42" s="52">
        <v>110.86</v>
      </c>
      <c r="H42"/>
      <c r="I42"/>
      <c r="J42" s="106">
        <v>1.1036336485813838</v>
      </c>
      <c r="K42" s="53"/>
      <c r="L42" s="106">
        <v>1.1036336485813838</v>
      </c>
      <c r="M42" s="15"/>
      <c r="N42" s="15"/>
      <c r="O42" s="15"/>
      <c r="P42" s="15"/>
      <c r="Q42" s="15"/>
      <c r="R42" s="15"/>
      <c r="S42" s="15"/>
      <c r="T42" s="15"/>
      <c r="U42" s="15"/>
    </row>
    <row r="43" spans="6:21" s="21" customFormat="1" ht="14.25" x14ac:dyDescent="0.45">
      <c r="F43" s="49">
        <v>38626</v>
      </c>
      <c r="G43" s="52">
        <v>111.05</v>
      </c>
      <c r="H43"/>
      <c r="I43"/>
      <c r="J43" s="106">
        <v>1.1055251368840218</v>
      </c>
      <c r="K43" s="53"/>
      <c r="L43" s="106">
        <v>1.1055251368840218</v>
      </c>
      <c r="M43" s="15"/>
      <c r="N43" s="15"/>
      <c r="O43" s="15"/>
      <c r="P43" s="15"/>
      <c r="Q43" s="15"/>
      <c r="R43" s="15"/>
      <c r="S43" s="15"/>
      <c r="T43" s="15"/>
      <c r="U43" s="15"/>
    </row>
    <row r="44" spans="6:21" s="21" customFormat="1" ht="14.25" x14ac:dyDescent="0.45">
      <c r="F44" s="49">
        <v>38657</v>
      </c>
      <c r="G44" s="52">
        <v>111.81</v>
      </c>
      <c r="H44"/>
      <c r="I44"/>
      <c r="J44" s="106">
        <v>1.1130910900945743</v>
      </c>
      <c r="K44" s="53"/>
      <c r="L44" s="106">
        <v>1.1130910900945743</v>
      </c>
      <c r="M44" s="15"/>
      <c r="N44" s="15"/>
      <c r="O44" s="15"/>
      <c r="P44" s="15"/>
      <c r="Q44" s="15"/>
      <c r="R44" s="15"/>
      <c r="S44" s="15"/>
      <c r="T44" s="15"/>
      <c r="U44" s="15"/>
    </row>
    <row r="45" spans="6:21" s="21" customFormat="1" ht="14.25" x14ac:dyDescent="0.45">
      <c r="F45" s="49">
        <v>38687</v>
      </c>
      <c r="G45" s="52">
        <v>112.32</v>
      </c>
      <c r="H45"/>
      <c r="I45"/>
      <c r="J45" s="106">
        <v>1.1181682429069189</v>
      </c>
      <c r="K45" s="53"/>
      <c r="L45" s="106">
        <v>1.1181682429069189</v>
      </c>
      <c r="M45" s="15"/>
      <c r="N45" s="15"/>
      <c r="O45" s="15"/>
      <c r="P45" s="15"/>
      <c r="Q45" s="15"/>
      <c r="R45" s="15"/>
      <c r="S45" s="15"/>
      <c r="T45" s="15"/>
      <c r="U45" s="15"/>
    </row>
    <row r="46" spans="6:21" s="21" customFormat="1" ht="14.25" x14ac:dyDescent="0.45">
      <c r="F46" s="49">
        <v>38718</v>
      </c>
      <c r="G46" s="52">
        <v>113.38</v>
      </c>
      <c r="H46"/>
      <c r="I46"/>
      <c r="J46" s="106">
        <v>1.128720756595321</v>
      </c>
      <c r="K46" s="53"/>
      <c r="L46" s="106">
        <v>1.128720756595321</v>
      </c>
      <c r="M46" s="15"/>
      <c r="N46" s="15"/>
      <c r="O46" s="15"/>
      <c r="P46" s="15"/>
      <c r="Q46" s="15"/>
      <c r="R46" s="15"/>
      <c r="S46" s="15"/>
      <c r="T46" s="15"/>
      <c r="U46" s="15"/>
    </row>
    <row r="47" spans="6:21" s="21" customFormat="1" ht="14.25" x14ac:dyDescent="0.45">
      <c r="F47" s="49">
        <v>38749</v>
      </c>
      <c r="G47" s="52">
        <v>113.61</v>
      </c>
      <c r="H47"/>
      <c r="I47"/>
      <c r="J47" s="106">
        <v>1.1310104529616725</v>
      </c>
      <c r="K47" s="53"/>
      <c r="L47" s="106">
        <v>1.1310104529616725</v>
      </c>
      <c r="M47" s="15"/>
      <c r="N47" s="15"/>
      <c r="O47" s="15"/>
      <c r="P47" s="15"/>
      <c r="Q47" s="15"/>
      <c r="R47" s="15"/>
      <c r="S47" s="15"/>
      <c r="T47" s="15"/>
      <c r="U47" s="15"/>
    </row>
    <row r="48" spans="6:21" s="21" customFormat="1" ht="14.25" x14ac:dyDescent="0.45">
      <c r="F48" s="49">
        <v>38777</v>
      </c>
      <c r="G48" s="52">
        <v>113.55</v>
      </c>
      <c r="H48"/>
      <c r="I48"/>
      <c r="J48" s="106">
        <v>1.1304131408661025</v>
      </c>
      <c r="K48" s="53"/>
      <c r="L48" s="106">
        <v>1.1304131408661025</v>
      </c>
      <c r="M48" s="15"/>
      <c r="N48" s="15"/>
      <c r="O48" s="15"/>
      <c r="P48" s="15"/>
      <c r="Q48" s="15"/>
      <c r="R48" s="15"/>
      <c r="S48" s="15"/>
      <c r="T48" s="15"/>
      <c r="U48" s="15"/>
    </row>
    <row r="49" spans="6:21" s="21" customFormat="1" ht="14.25" x14ac:dyDescent="0.45">
      <c r="F49" s="49">
        <v>38808</v>
      </c>
      <c r="G49" s="52">
        <v>114.23</v>
      </c>
      <c r="H49"/>
      <c r="I49"/>
      <c r="J49" s="106">
        <v>1.1371826779492284</v>
      </c>
      <c r="K49" s="53"/>
      <c r="L49" s="106">
        <v>1.1371826779492284</v>
      </c>
      <c r="M49" s="15"/>
      <c r="N49" s="15"/>
      <c r="O49" s="15"/>
      <c r="P49" s="15"/>
      <c r="Q49" s="15"/>
      <c r="R49" s="15"/>
      <c r="S49" s="15"/>
      <c r="T49" s="15"/>
      <c r="U49" s="15"/>
    </row>
    <row r="50" spans="6:21" s="21" customFormat="1" ht="14.25" x14ac:dyDescent="0.45">
      <c r="F50" s="49">
        <v>38838</v>
      </c>
      <c r="G50" s="52">
        <v>115.66</v>
      </c>
      <c r="H50"/>
      <c r="I50"/>
      <c r="J50" s="106">
        <v>1.1514186162269786</v>
      </c>
      <c r="K50" s="53"/>
      <c r="L50" s="106">
        <v>1.1514186162269786</v>
      </c>
      <c r="M50" s="15"/>
      <c r="N50" s="15"/>
      <c r="O50" s="15"/>
      <c r="P50" s="15"/>
      <c r="Q50" s="15"/>
      <c r="R50" s="15"/>
      <c r="S50" s="15"/>
      <c r="T50" s="15"/>
      <c r="U50" s="15"/>
    </row>
    <row r="51" spans="6:21" s="21" customFormat="1" ht="14.25" x14ac:dyDescent="0.45">
      <c r="F51" s="49">
        <v>38869</v>
      </c>
      <c r="G51" s="52">
        <v>114.72</v>
      </c>
      <c r="H51"/>
      <c r="I51"/>
      <c r="J51" s="106">
        <v>1.1420607267297163</v>
      </c>
      <c r="K51" s="53"/>
      <c r="L51" s="106">
        <v>1.1420607267297163</v>
      </c>
      <c r="M51" s="15"/>
      <c r="N51" s="15"/>
      <c r="O51" s="15"/>
      <c r="P51" s="15"/>
      <c r="Q51" s="15"/>
      <c r="R51" s="15"/>
      <c r="S51" s="15"/>
      <c r="T51" s="15"/>
      <c r="U51" s="15"/>
    </row>
    <row r="52" spans="6:21" s="21" customFormat="1" ht="14.25" x14ac:dyDescent="0.45">
      <c r="F52" s="49">
        <v>38899</v>
      </c>
      <c r="G52" s="52">
        <v>116.94</v>
      </c>
      <c r="H52"/>
      <c r="I52"/>
      <c r="J52" s="106">
        <v>1.1641612742658038</v>
      </c>
      <c r="K52" s="53"/>
      <c r="L52" s="106">
        <v>1.1641612742658038</v>
      </c>
      <c r="M52" s="15"/>
      <c r="N52" s="15"/>
      <c r="O52" s="15"/>
      <c r="P52" s="15"/>
      <c r="Q52" s="15"/>
      <c r="R52" s="15"/>
      <c r="S52" s="15"/>
      <c r="T52" s="15"/>
      <c r="U52" s="15"/>
    </row>
    <row r="53" spans="6:21" s="21" customFormat="1" ht="14.25" x14ac:dyDescent="0.45">
      <c r="F53" s="49">
        <v>38930</v>
      </c>
      <c r="G53" s="52">
        <v>116.62</v>
      </c>
      <c r="H53"/>
      <c r="I53"/>
      <c r="J53" s="106">
        <v>1.1609756097560975</v>
      </c>
      <c r="K53" s="53"/>
      <c r="L53" s="106">
        <v>1.1609756097560975</v>
      </c>
      <c r="M53" s="15"/>
      <c r="N53" s="15"/>
      <c r="O53" s="15"/>
      <c r="P53" s="15"/>
      <c r="Q53" s="15"/>
      <c r="R53" s="15"/>
      <c r="S53" s="15"/>
      <c r="T53" s="15"/>
      <c r="U53" s="15"/>
    </row>
    <row r="54" spans="6:21" s="21" customFormat="1" ht="14.25" x14ac:dyDescent="0.45">
      <c r="F54" s="49">
        <v>38961</v>
      </c>
      <c r="G54" s="52">
        <v>116.82</v>
      </c>
      <c r="H54"/>
      <c r="I54"/>
      <c r="J54" s="106">
        <v>1.1629666500746638</v>
      </c>
      <c r="K54" s="53"/>
      <c r="L54" s="106">
        <v>1.1629666500746638</v>
      </c>
      <c r="M54" s="15"/>
      <c r="N54" s="15"/>
      <c r="O54" s="15"/>
      <c r="P54" s="15"/>
      <c r="Q54" s="15"/>
      <c r="R54" s="15"/>
      <c r="S54" s="15"/>
      <c r="T54" s="15"/>
      <c r="U54" s="15"/>
    </row>
    <row r="55" spans="6:21" s="21" customFormat="1" ht="14.25" x14ac:dyDescent="0.45">
      <c r="F55" s="49">
        <v>38991</v>
      </c>
      <c r="G55" s="52">
        <v>118.07</v>
      </c>
      <c r="H55"/>
      <c r="I55"/>
      <c r="J55" s="106">
        <v>1.1754106520657042</v>
      </c>
      <c r="K55" s="53"/>
      <c r="L55" s="106">
        <v>1.1754106520657042</v>
      </c>
      <c r="M55" s="15"/>
      <c r="N55" s="15"/>
      <c r="O55" s="15"/>
      <c r="P55" s="15"/>
      <c r="Q55" s="15"/>
      <c r="R55" s="15"/>
      <c r="S55" s="15"/>
      <c r="T55" s="15"/>
      <c r="U55" s="15"/>
    </row>
    <row r="56" spans="6:21" s="21" customFormat="1" ht="14.25" x14ac:dyDescent="0.45">
      <c r="F56" s="49">
        <v>39022</v>
      </c>
      <c r="G56" s="52">
        <v>118.87</v>
      </c>
      <c r="H56"/>
      <c r="I56"/>
      <c r="J56" s="106">
        <v>1.1833748133399702</v>
      </c>
      <c r="K56" s="53"/>
      <c r="L56" s="106">
        <v>1.1833748133399702</v>
      </c>
      <c r="M56" s="15"/>
      <c r="N56" s="15"/>
      <c r="O56" s="15"/>
      <c r="P56" s="15"/>
      <c r="Q56" s="15"/>
      <c r="R56" s="15"/>
      <c r="S56" s="15"/>
      <c r="T56" s="15"/>
      <c r="U56" s="15"/>
    </row>
    <row r="57" spans="6:21" s="21" customFormat="1" ht="14.25" x14ac:dyDescent="0.45">
      <c r="F57" s="49">
        <v>39052</v>
      </c>
      <c r="G57" s="52">
        <v>119.87</v>
      </c>
      <c r="H57"/>
      <c r="I57"/>
      <c r="J57" s="106">
        <v>1.1933300149328023</v>
      </c>
      <c r="K57" s="53"/>
      <c r="L57" s="106">
        <v>1.1933300149328023</v>
      </c>
      <c r="M57" s="15"/>
      <c r="N57" s="15"/>
      <c r="O57" s="15"/>
      <c r="P57" s="15"/>
      <c r="Q57" s="15"/>
      <c r="R57" s="15"/>
      <c r="S57" s="15"/>
      <c r="T57" s="15"/>
      <c r="U57" s="15"/>
    </row>
    <row r="58" spans="6:21" s="21" customFormat="1" ht="14.25" x14ac:dyDescent="0.45">
      <c r="F58" s="49">
        <v>39083</v>
      </c>
      <c r="G58" s="52">
        <v>119.66</v>
      </c>
      <c r="H58"/>
      <c r="I58"/>
      <c r="J58" s="106">
        <v>1.1912394225983076</v>
      </c>
      <c r="K58" s="53"/>
      <c r="L58" s="106">
        <v>1.1912394225983076</v>
      </c>
      <c r="M58" s="15"/>
      <c r="N58" s="15"/>
      <c r="O58" s="15"/>
      <c r="P58" s="15"/>
      <c r="Q58" s="15"/>
      <c r="R58" s="15"/>
      <c r="S58" s="15"/>
      <c r="T58" s="15"/>
      <c r="U58" s="15"/>
    </row>
    <row r="59" spans="6:21" s="21" customFormat="1" ht="14.25" x14ac:dyDescent="0.45">
      <c r="F59" s="49">
        <v>39114</v>
      </c>
      <c r="G59" s="52">
        <v>120.17</v>
      </c>
      <c r="H59"/>
      <c r="I59"/>
      <c r="J59" s="106">
        <v>1.196316575410652</v>
      </c>
      <c r="K59" s="53"/>
      <c r="L59" s="106">
        <v>1.196316575410652</v>
      </c>
      <c r="M59" s="15"/>
      <c r="N59" s="15"/>
      <c r="O59" s="15"/>
      <c r="P59" s="15"/>
      <c r="Q59" s="15"/>
      <c r="R59" s="15"/>
      <c r="S59" s="15"/>
      <c r="T59" s="15"/>
      <c r="U59" s="15"/>
    </row>
    <row r="60" spans="6:21" s="21" customFormat="1" ht="14.25" x14ac:dyDescent="0.45">
      <c r="F60" s="49">
        <v>39142</v>
      </c>
      <c r="G60" s="52">
        <v>119.4</v>
      </c>
      <c r="H60"/>
      <c r="I60"/>
      <c r="J60" s="106">
        <v>1.1886510701841713</v>
      </c>
      <c r="K60" s="53"/>
      <c r="L60" s="106">
        <v>1.1886510701841713</v>
      </c>
      <c r="M60" s="15"/>
      <c r="N60" s="15"/>
      <c r="O60" s="15"/>
      <c r="P60" s="15"/>
      <c r="Q60" s="15"/>
      <c r="R60" s="15"/>
      <c r="S60" s="15"/>
      <c r="T60" s="15"/>
      <c r="U60" s="15"/>
    </row>
    <row r="61" spans="6:21" s="21" customFormat="1" ht="14.25" x14ac:dyDescent="0.45">
      <c r="F61" s="49">
        <v>39173</v>
      </c>
      <c r="G61" s="52">
        <v>121.18</v>
      </c>
      <c r="H61"/>
      <c r="I61"/>
      <c r="J61" s="106">
        <v>1.2063713290194127</v>
      </c>
      <c r="K61" s="53"/>
      <c r="L61" s="106">
        <v>1.2063713290194127</v>
      </c>
      <c r="M61" s="15"/>
      <c r="N61" s="15"/>
      <c r="O61" s="15"/>
      <c r="P61" s="15"/>
      <c r="Q61" s="15"/>
      <c r="R61" s="15"/>
      <c r="S61" s="15"/>
      <c r="T61" s="15"/>
      <c r="U61" s="15"/>
    </row>
    <row r="62" spans="6:21" s="21" customFormat="1" ht="14.25" x14ac:dyDescent="0.45">
      <c r="F62" s="49">
        <v>39203</v>
      </c>
      <c r="G62" s="52">
        <v>122.38</v>
      </c>
      <c r="H62"/>
      <c r="I62"/>
      <c r="J62" s="106">
        <v>1.2183175709308112</v>
      </c>
      <c r="K62" s="53"/>
      <c r="L62" s="106">
        <v>1.2183175709308112</v>
      </c>
      <c r="M62" s="15"/>
      <c r="N62" s="15"/>
      <c r="O62" s="15"/>
      <c r="P62" s="15"/>
      <c r="Q62" s="15"/>
      <c r="R62" s="15"/>
      <c r="S62" s="15"/>
      <c r="T62" s="15"/>
      <c r="U62" s="15"/>
    </row>
    <row r="63" spans="6:21" s="21" customFormat="1" ht="14.25" x14ac:dyDescent="0.45">
      <c r="F63" s="49">
        <v>39234</v>
      </c>
      <c r="G63" s="52">
        <v>123.41</v>
      </c>
      <c r="H63"/>
      <c r="I63"/>
      <c r="J63" s="106">
        <v>1.2285714285714284</v>
      </c>
      <c r="K63" s="53"/>
      <c r="L63" s="106">
        <v>1.2285714285714284</v>
      </c>
      <c r="M63" s="15"/>
      <c r="N63" s="15"/>
      <c r="O63" s="15"/>
      <c r="P63" s="15"/>
      <c r="Q63" s="15"/>
      <c r="R63" s="15"/>
      <c r="S63" s="15"/>
      <c r="T63" s="15"/>
      <c r="U63" s="15"/>
    </row>
    <row r="64" spans="6:21" s="21" customFormat="1" ht="14.25" x14ac:dyDescent="0.45">
      <c r="F64" s="49">
        <v>39264</v>
      </c>
      <c r="G64" s="52">
        <v>124.23</v>
      </c>
      <c r="H64"/>
      <c r="I64"/>
      <c r="J64" s="106">
        <v>1.236734693877551</v>
      </c>
      <c r="K64" s="53"/>
      <c r="L64" s="106">
        <v>1.236734693877551</v>
      </c>
      <c r="M64" s="15"/>
      <c r="N64" s="15"/>
      <c r="O64" s="15"/>
      <c r="P64" s="15"/>
      <c r="Q64" s="15"/>
      <c r="R64" s="15"/>
      <c r="S64" s="15"/>
      <c r="T64" s="15"/>
      <c r="U64" s="15"/>
    </row>
    <row r="65" spans="6:21" s="21" customFormat="1" ht="14.25" x14ac:dyDescent="0.45">
      <c r="F65" s="49">
        <v>39295</v>
      </c>
      <c r="G65" s="52">
        <v>124.34</v>
      </c>
      <c r="H65"/>
      <c r="I65"/>
      <c r="J65" s="106">
        <v>1.2378297660527626</v>
      </c>
      <c r="K65" s="53"/>
      <c r="L65" s="106">
        <v>1.2378297660527626</v>
      </c>
      <c r="M65" s="15"/>
      <c r="N65" s="15"/>
      <c r="O65" s="15"/>
      <c r="P65" s="15"/>
      <c r="Q65" s="15"/>
      <c r="R65" s="15"/>
      <c r="S65" s="15"/>
      <c r="T65" s="15"/>
      <c r="U65" s="15"/>
    </row>
    <row r="66" spans="6:21" s="21" customFormat="1" ht="14.25" x14ac:dyDescent="0.45">
      <c r="F66" s="49">
        <v>39326</v>
      </c>
      <c r="G66" s="52">
        <v>125.35</v>
      </c>
      <c r="H66"/>
      <c r="I66"/>
      <c r="J66" s="106">
        <v>1.2478845196615231</v>
      </c>
      <c r="K66" s="53"/>
      <c r="L66" s="106">
        <v>1.2478845196615231</v>
      </c>
      <c r="M66" s="15"/>
      <c r="N66" s="15"/>
      <c r="O66" s="15"/>
      <c r="P66" s="15"/>
      <c r="Q66" s="15"/>
      <c r="R66" s="15"/>
      <c r="S66" s="15"/>
      <c r="T66" s="15"/>
      <c r="U66" s="15"/>
    </row>
    <row r="67" spans="6:21" s="21" customFormat="1" ht="14.25" x14ac:dyDescent="0.45">
      <c r="F67" s="49">
        <v>39356</v>
      </c>
      <c r="G67" s="52">
        <v>126.32</v>
      </c>
      <c r="H67"/>
      <c r="I67"/>
      <c r="J67" s="106">
        <v>1.2575410652065704</v>
      </c>
      <c r="K67" s="53"/>
      <c r="L67" s="106">
        <v>1.2575410652065704</v>
      </c>
      <c r="M67" s="15"/>
      <c r="N67" s="15"/>
      <c r="O67" s="15"/>
      <c r="P67" s="15"/>
      <c r="Q67" s="15"/>
      <c r="R67" s="15"/>
      <c r="S67" s="15"/>
      <c r="T67" s="15"/>
      <c r="U67" s="15"/>
    </row>
    <row r="68" spans="6:21" s="21" customFormat="1" ht="14.25" x14ac:dyDescent="0.45">
      <c r="F68" s="49">
        <v>39387</v>
      </c>
      <c r="G68" s="52">
        <v>126.17</v>
      </c>
      <c r="H68"/>
      <c r="I68"/>
      <c r="J68" s="106">
        <v>1.2560477849676457</v>
      </c>
      <c r="K68" s="53"/>
      <c r="L68" s="106">
        <v>1.2560477849676457</v>
      </c>
      <c r="M68" s="15"/>
      <c r="N68" s="15"/>
      <c r="O68" s="15"/>
      <c r="P68" s="15"/>
      <c r="Q68" s="15"/>
      <c r="R68" s="15"/>
      <c r="S68" s="15"/>
      <c r="T68" s="15"/>
      <c r="U68" s="15"/>
    </row>
    <row r="69" spans="6:21" s="21" customFormat="1" ht="14.25" x14ac:dyDescent="0.45">
      <c r="F69" s="49">
        <v>39417</v>
      </c>
      <c r="G69" s="52">
        <v>126.96</v>
      </c>
      <c r="H69"/>
      <c r="I69"/>
      <c r="J69" s="106">
        <v>1.2639123942259829</v>
      </c>
      <c r="K69" s="53"/>
      <c r="L69" s="106">
        <v>1.2639123942259829</v>
      </c>
      <c r="M69" s="15"/>
      <c r="N69" s="15"/>
      <c r="O69" s="15"/>
      <c r="P69" s="15"/>
      <c r="Q69" s="15"/>
      <c r="R69" s="15"/>
      <c r="S69" s="15"/>
      <c r="T69" s="15"/>
      <c r="U69" s="15"/>
    </row>
    <row r="70" spans="6:21" s="21" customFormat="1" ht="14.25" x14ac:dyDescent="0.45">
      <c r="F70" s="49">
        <v>39448</v>
      </c>
      <c r="G70" s="52">
        <v>127.22</v>
      </c>
      <c r="H70"/>
      <c r="I70"/>
      <c r="J70" s="106">
        <v>1.2665007466401195</v>
      </c>
      <c r="K70" s="53"/>
      <c r="L70" s="106">
        <v>1.2665007466401195</v>
      </c>
      <c r="M70" s="15"/>
      <c r="N70" s="15"/>
      <c r="O70" s="15"/>
      <c r="P70" s="15"/>
      <c r="Q70" s="15"/>
      <c r="R70" s="15"/>
      <c r="S70" s="15"/>
      <c r="T70" s="15"/>
      <c r="U70" s="15"/>
    </row>
    <row r="71" spans="6:21" s="21" customFormat="1" ht="14.25" x14ac:dyDescent="0.45">
      <c r="F71" s="49">
        <v>39479</v>
      </c>
      <c r="G71" s="52">
        <v>126.83</v>
      </c>
      <c r="H71"/>
      <c r="I71"/>
      <c r="J71" s="106">
        <v>1.2626182180189149</v>
      </c>
      <c r="K71" s="53"/>
      <c r="L71" s="106">
        <v>1.2626182180189149</v>
      </c>
      <c r="M71" s="15"/>
      <c r="N71" s="15"/>
      <c r="O71" s="15"/>
      <c r="P71" s="15"/>
      <c r="Q71" s="15"/>
      <c r="R71" s="15"/>
      <c r="S71" s="15"/>
      <c r="T71" s="15"/>
      <c r="U71" s="15"/>
    </row>
    <row r="72" spans="6:21" s="21" customFormat="1" ht="14.25" x14ac:dyDescent="0.45">
      <c r="F72" s="49">
        <v>39508</v>
      </c>
      <c r="G72" s="52">
        <v>126.44</v>
      </c>
      <c r="H72"/>
      <c r="I72"/>
      <c r="J72" s="106">
        <v>1.2587356893977102</v>
      </c>
      <c r="K72" s="53"/>
      <c r="L72" s="106">
        <v>1.2587356893977102</v>
      </c>
      <c r="M72" s="15"/>
      <c r="N72" s="15"/>
      <c r="O72" s="15"/>
      <c r="P72" s="15"/>
      <c r="Q72" s="15"/>
      <c r="R72" s="15"/>
      <c r="S72" s="15"/>
      <c r="T72" s="15"/>
      <c r="U72" s="15"/>
    </row>
    <row r="73" spans="6:21" s="21" customFormat="1" ht="14.25" x14ac:dyDescent="0.45">
      <c r="F73" s="49">
        <v>39539</v>
      </c>
      <c r="G73" s="52">
        <v>127.7</v>
      </c>
      <c r="H73"/>
      <c r="I73"/>
      <c r="J73" s="106">
        <v>1.2712792434046789</v>
      </c>
      <c r="K73" s="53"/>
      <c r="L73" s="106">
        <v>1.2712792434046789</v>
      </c>
      <c r="M73" s="15"/>
      <c r="N73" s="15"/>
      <c r="O73" s="15"/>
      <c r="P73" s="15"/>
      <c r="Q73" s="15"/>
      <c r="R73" s="15"/>
      <c r="S73" s="15"/>
      <c r="T73" s="15"/>
      <c r="U73" s="15"/>
    </row>
    <row r="74" spans="6:21" s="21" customFormat="1" ht="14.25" x14ac:dyDescent="0.45">
      <c r="F74" s="49">
        <v>39569</v>
      </c>
      <c r="G74" s="52">
        <v>129.4</v>
      </c>
      <c r="H74"/>
      <c r="I74"/>
      <c r="J74" s="106">
        <v>1.2882030861124938</v>
      </c>
      <c r="K74" s="53"/>
      <c r="L74" s="106">
        <v>1.2882030861124938</v>
      </c>
      <c r="M74" s="15"/>
      <c r="N74" s="15"/>
      <c r="O74" s="15"/>
      <c r="P74" s="15"/>
      <c r="Q74" s="15"/>
      <c r="R74" s="15"/>
      <c r="S74" s="15"/>
      <c r="T74" s="15"/>
      <c r="U74" s="15"/>
    </row>
    <row r="75" spans="6:21" s="21" customFormat="1" ht="14.25" x14ac:dyDescent="0.45">
      <c r="F75" s="49">
        <v>39600</v>
      </c>
      <c r="G75" s="52">
        <v>131.19</v>
      </c>
      <c r="H75"/>
      <c r="I75"/>
      <c r="J75" s="106">
        <v>1.3060228969636634</v>
      </c>
      <c r="K75" s="53"/>
      <c r="L75" s="106">
        <v>1.3060228969636634</v>
      </c>
      <c r="M75" s="15"/>
      <c r="N75" s="15"/>
      <c r="O75" s="15"/>
      <c r="P75" s="15"/>
      <c r="Q75" s="15"/>
      <c r="R75" s="15"/>
      <c r="S75" s="15"/>
      <c r="T75" s="15"/>
      <c r="U75" s="15"/>
    </row>
    <row r="76" spans="6:21" s="21" customFormat="1" ht="14.25" x14ac:dyDescent="0.45">
      <c r="F76" s="49">
        <v>39630</v>
      </c>
      <c r="G76" s="52">
        <v>130.93</v>
      </c>
      <c r="H76"/>
      <c r="I76"/>
      <c r="J76" s="106">
        <v>1.3034345445495272</v>
      </c>
      <c r="K76" s="53"/>
      <c r="L76" s="106">
        <v>1.3034345445495272</v>
      </c>
      <c r="M76" s="15"/>
      <c r="N76" s="15"/>
      <c r="O76" s="15"/>
      <c r="P76" s="15"/>
      <c r="Q76" s="15"/>
      <c r="R76" s="15"/>
      <c r="S76" s="15"/>
      <c r="T76" s="15"/>
      <c r="U76" s="15"/>
    </row>
    <row r="77" spans="6:21" s="21" customFormat="1" ht="14.25" x14ac:dyDescent="0.45">
      <c r="F77" s="49">
        <v>39661</v>
      </c>
      <c r="G77" s="52">
        <v>130.99</v>
      </c>
      <c r="H77"/>
      <c r="I77"/>
      <c r="J77" s="106">
        <v>1.304031856645097</v>
      </c>
      <c r="K77" s="53"/>
      <c r="L77" s="106">
        <v>1.304031856645097</v>
      </c>
      <c r="M77" s="15"/>
      <c r="N77" s="15"/>
      <c r="O77" s="15"/>
      <c r="P77" s="15"/>
      <c r="Q77" s="15"/>
      <c r="R77" s="15"/>
      <c r="S77" s="15"/>
      <c r="T77" s="15"/>
      <c r="U77" s="15"/>
    </row>
    <row r="78" spans="6:21" s="21" customFormat="1" ht="14.25" x14ac:dyDescent="0.45">
      <c r="F78" s="49">
        <v>39692</v>
      </c>
      <c r="G78" s="52">
        <v>130.93</v>
      </c>
      <c r="H78"/>
      <c r="I78"/>
      <c r="J78" s="106">
        <v>1.3034345445495272</v>
      </c>
      <c r="K78" s="53"/>
      <c r="L78" s="106">
        <v>1.3034345445495272</v>
      </c>
      <c r="M78" s="15"/>
      <c r="N78" s="15"/>
      <c r="O78" s="15"/>
      <c r="P78" s="15"/>
      <c r="Q78" s="15"/>
      <c r="R78" s="15"/>
      <c r="S78" s="15"/>
      <c r="T78" s="15"/>
      <c r="U78" s="15"/>
    </row>
    <row r="79" spans="6:21" s="21" customFormat="1" ht="14.25" x14ac:dyDescent="0.45">
      <c r="F79" s="49">
        <v>39722</v>
      </c>
      <c r="G79" s="52">
        <v>128.19</v>
      </c>
      <c r="H79"/>
      <c r="I79"/>
      <c r="J79" s="106">
        <v>1.2761572921851667</v>
      </c>
      <c r="K79" s="53"/>
      <c r="L79" s="106">
        <v>1.2761572921851667</v>
      </c>
      <c r="M79" s="15"/>
      <c r="N79" s="15"/>
      <c r="O79" s="15"/>
      <c r="P79" s="15"/>
      <c r="Q79" s="15"/>
      <c r="R79" s="15"/>
      <c r="S79" s="15"/>
      <c r="T79" s="15"/>
      <c r="U79" s="15"/>
    </row>
    <row r="80" spans="6:21" s="21" customFormat="1" ht="14.25" x14ac:dyDescent="0.45">
      <c r="F80" s="49">
        <v>39753</v>
      </c>
      <c r="G80" s="52">
        <v>124.95</v>
      </c>
      <c r="H80"/>
      <c r="I80"/>
      <c r="J80" s="106">
        <v>1.2439024390243902</v>
      </c>
      <c r="K80" s="53"/>
      <c r="L80" s="106">
        <v>1.2439024390243902</v>
      </c>
      <c r="M80" s="15"/>
      <c r="N80" s="15"/>
      <c r="O80" s="15"/>
      <c r="P80" s="15"/>
      <c r="Q80" s="15"/>
      <c r="R80" s="15"/>
      <c r="S80" s="15"/>
      <c r="T80" s="15"/>
      <c r="U80" s="15"/>
    </row>
    <row r="81" spans="6:21" s="21" customFormat="1" ht="14.25" x14ac:dyDescent="0.45">
      <c r="F81" s="49">
        <v>39783</v>
      </c>
      <c r="G81" s="52">
        <v>120.93</v>
      </c>
      <c r="H81"/>
      <c r="I81"/>
      <c r="J81" s="106">
        <v>1.2038825286212047</v>
      </c>
      <c r="K81" s="53"/>
      <c r="L81" s="106">
        <v>1.2038825286212047</v>
      </c>
      <c r="M81" s="15"/>
      <c r="N81" s="15"/>
      <c r="O81" s="15"/>
      <c r="P81" s="15"/>
      <c r="Q81" s="15"/>
      <c r="R81" s="15"/>
      <c r="S81" s="15"/>
      <c r="T81" s="15"/>
      <c r="U81" s="15"/>
    </row>
    <row r="82" spans="6:21" s="21" customFormat="1" ht="14.25" x14ac:dyDescent="0.45">
      <c r="F82" s="49">
        <v>39814</v>
      </c>
      <c r="G82" s="52">
        <v>120.82</v>
      </c>
      <c r="H82"/>
      <c r="I82"/>
      <c r="J82" s="106">
        <v>1.2027874564459928</v>
      </c>
      <c r="K82" s="53"/>
      <c r="L82" s="106">
        <v>1.2027874564459928</v>
      </c>
      <c r="M82" s="15"/>
      <c r="N82" s="15"/>
      <c r="O82" s="15"/>
      <c r="P82" s="15"/>
      <c r="Q82" s="15"/>
      <c r="R82" s="15"/>
      <c r="S82" s="15"/>
      <c r="T82" s="15"/>
      <c r="U82" s="15"/>
    </row>
    <row r="83" spans="6:21" s="21" customFormat="1" ht="14.25" x14ac:dyDescent="0.45">
      <c r="F83" s="49">
        <v>39845</v>
      </c>
      <c r="G83" s="52">
        <v>122.19</v>
      </c>
      <c r="H83"/>
      <c r="I83"/>
      <c r="J83" s="106">
        <v>1.2164260826281732</v>
      </c>
      <c r="K83" s="53"/>
      <c r="L83" s="106">
        <v>1.2164260826281732</v>
      </c>
      <c r="M83" s="15"/>
      <c r="N83" s="15"/>
      <c r="O83" s="15"/>
      <c r="P83" s="15"/>
      <c r="Q83" s="15"/>
      <c r="R83" s="15"/>
      <c r="S83" s="15"/>
      <c r="T83" s="15"/>
      <c r="U83" s="15"/>
    </row>
    <row r="84" spans="6:21" s="21" customFormat="1" ht="14.25" x14ac:dyDescent="0.45">
      <c r="F84" s="49">
        <v>39873</v>
      </c>
      <c r="G84" s="52">
        <v>122.97</v>
      </c>
      <c r="H84"/>
      <c r="I84"/>
      <c r="J84" s="106">
        <v>1.2241911398705823</v>
      </c>
      <c r="K84" s="53"/>
      <c r="L84" s="106">
        <v>1.2241911398705823</v>
      </c>
      <c r="M84" s="15"/>
      <c r="N84" s="15"/>
      <c r="O84" s="15"/>
      <c r="P84" s="15"/>
      <c r="Q84" s="15"/>
      <c r="R84" s="15"/>
      <c r="S84" s="15"/>
      <c r="T84" s="15"/>
      <c r="U84" s="15"/>
    </row>
    <row r="85" spans="6:21" s="21" customFormat="1" ht="14.25" x14ac:dyDescent="0.45">
      <c r="F85" s="49">
        <v>39904</v>
      </c>
      <c r="G85" s="52">
        <v>123.64</v>
      </c>
      <c r="H85"/>
      <c r="I85"/>
      <c r="J85" s="106">
        <v>1.2308611249377799</v>
      </c>
      <c r="K85" s="53"/>
      <c r="L85" s="106">
        <v>1.2308611249377799</v>
      </c>
      <c r="M85" s="15"/>
      <c r="N85" s="15"/>
      <c r="O85" s="15"/>
      <c r="P85" s="15"/>
      <c r="Q85" s="15"/>
      <c r="R85" s="15"/>
      <c r="S85" s="15"/>
      <c r="T85" s="15"/>
      <c r="U85" s="15"/>
    </row>
    <row r="86" spans="6:21" s="21" customFormat="1" ht="14.25" x14ac:dyDescent="0.45">
      <c r="F86" s="49">
        <v>39934</v>
      </c>
      <c r="G86" s="52">
        <v>124.87</v>
      </c>
      <c r="H86"/>
      <c r="I86"/>
      <c r="J86" s="106">
        <v>1.2431060228969637</v>
      </c>
      <c r="K86" s="53"/>
      <c r="L86" s="106">
        <v>1.2431060228969637</v>
      </c>
      <c r="M86" s="15"/>
      <c r="N86" s="15"/>
      <c r="O86" s="15"/>
      <c r="P86" s="15"/>
      <c r="Q86" s="15"/>
      <c r="R86" s="15"/>
      <c r="S86" s="15"/>
      <c r="T86" s="15"/>
      <c r="U86" s="15"/>
    </row>
    <row r="87" spans="6:21" s="21" customFormat="1" ht="14.25" x14ac:dyDescent="0.45">
      <c r="F87" s="49">
        <v>39965</v>
      </c>
      <c r="G87" s="52">
        <v>125.93</v>
      </c>
      <c r="H87"/>
      <c r="I87"/>
      <c r="J87" s="106">
        <v>1.2536585365853659</v>
      </c>
      <c r="K87" s="53"/>
      <c r="L87" s="106">
        <v>1.2536585365853659</v>
      </c>
      <c r="M87" s="15"/>
      <c r="N87" s="15"/>
      <c r="O87" s="15"/>
      <c r="P87" s="15"/>
      <c r="Q87" s="15"/>
      <c r="R87" s="15"/>
      <c r="S87" s="15"/>
      <c r="T87" s="15"/>
      <c r="U87" s="15"/>
    </row>
    <row r="88" spans="6:21" s="21" customFormat="1" ht="14.25" x14ac:dyDescent="0.45">
      <c r="F88" s="49">
        <v>39995</v>
      </c>
      <c r="G88" s="52">
        <v>126.29</v>
      </c>
      <c r="H88"/>
      <c r="I88"/>
      <c r="J88" s="106">
        <v>1.2572424091587855</v>
      </c>
      <c r="K88" s="53"/>
      <c r="L88" s="106">
        <v>1.2572424091587855</v>
      </c>
      <c r="M88" s="15"/>
      <c r="N88" s="15"/>
      <c r="O88" s="15"/>
      <c r="P88" s="15"/>
      <c r="Q88" s="15"/>
      <c r="R88" s="15"/>
      <c r="S88" s="15"/>
      <c r="T88" s="15"/>
      <c r="U88" s="15"/>
    </row>
    <row r="89" spans="6:21" s="21" customFormat="1" ht="14.25" x14ac:dyDescent="0.45">
      <c r="F89" s="49">
        <v>40026</v>
      </c>
      <c r="G89" s="52">
        <v>128.09</v>
      </c>
      <c r="H89"/>
      <c r="I89"/>
      <c r="J89" s="106">
        <v>1.2751617720258834</v>
      </c>
      <c r="K89" s="53"/>
      <c r="L89" s="106">
        <v>1.2751617720258834</v>
      </c>
      <c r="M89" s="15"/>
      <c r="N89" s="15"/>
      <c r="O89" s="15"/>
      <c r="P89" s="15"/>
      <c r="Q89" s="15"/>
      <c r="R89" s="15"/>
      <c r="S89" s="15"/>
      <c r="T89" s="15"/>
      <c r="U89" s="15"/>
    </row>
    <row r="90" spans="6:21" s="21" customFormat="1" ht="14.25" x14ac:dyDescent="0.45">
      <c r="F90" s="49">
        <v>40057</v>
      </c>
      <c r="G90" s="52">
        <v>129.12</v>
      </c>
      <c r="H90"/>
      <c r="I90"/>
      <c r="J90" s="106">
        <v>1.2854156296665007</v>
      </c>
      <c r="K90" s="53"/>
      <c r="L90" s="106">
        <v>1.2854156296665007</v>
      </c>
      <c r="M90" s="15"/>
      <c r="N90" s="15"/>
      <c r="O90" s="15"/>
      <c r="P90" s="15"/>
      <c r="Q90" s="15"/>
      <c r="R90" s="15"/>
      <c r="S90" s="15"/>
      <c r="T90" s="15"/>
      <c r="U90" s="15"/>
    </row>
    <row r="91" spans="6:21" s="21" customFormat="1" ht="14.25" x14ac:dyDescent="0.45">
      <c r="F91" s="49">
        <v>40087</v>
      </c>
      <c r="G91" s="52">
        <v>129.79</v>
      </c>
      <c r="H91"/>
      <c r="I91"/>
      <c r="J91" s="106">
        <v>1.2920856147336983</v>
      </c>
      <c r="K91" s="53"/>
      <c r="L91" s="106">
        <v>1.2920856147336983</v>
      </c>
      <c r="M91" s="15"/>
      <c r="N91" s="15"/>
      <c r="O91" s="15"/>
      <c r="P91" s="15"/>
      <c r="Q91" s="15"/>
      <c r="R91" s="15"/>
      <c r="S91" s="15"/>
      <c r="T91" s="15"/>
      <c r="U91" s="15"/>
    </row>
    <row r="92" spans="6:21" s="21" customFormat="1" ht="14.25" x14ac:dyDescent="0.45">
      <c r="F92" s="49">
        <v>40118</v>
      </c>
      <c r="G92" s="52">
        <v>130.02000000000001</v>
      </c>
      <c r="H92"/>
      <c r="I92"/>
      <c r="J92" s="106">
        <v>1.2943753111000498</v>
      </c>
      <c r="K92" s="53"/>
      <c r="L92" s="106">
        <v>1.2943753111000498</v>
      </c>
      <c r="M92" s="15"/>
      <c r="N92" s="15"/>
      <c r="O92" s="15"/>
      <c r="P92" s="15"/>
      <c r="Q92" s="15"/>
      <c r="R92" s="15"/>
      <c r="S92" s="15"/>
      <c r="T92" s="15"/>
      <c r="U92" s="15"/>
    </row>
    <row r="93" spans="6:21" s="21" customFormat="1" ht="14.25" x14ac:dyDescent="0.45">
      <c r="F93" s="49">
        <v>40148</v>
      </c>
      <c r="G93" s="52">
        <v>131.30000000000001</v>
      </c>
      <c r="H93"/>
      <c r="I93"/>
      <c r="J93" s="106">
        <v>1.3071179691388752</v>
      </c>
      <c r="K93" s="53"/>
      <c r="L93" s="106">
        <v>1.3071179691388752</v>
      </c>
      <c r="M93" s="15"/>
      <c r="N93" s="15"/>
      <c r="O93" s="15"/>
      <c r="P93" s="15"/>
      <c r="Q93" s="15"/>
      <c r="R93" s="15"/>
      <c r="S93" s="15"/>
      <c r="T93" s="15"/>
      <c r="U93" s="15"/>
    </row>
    <row r="94" spans="6:21" s="21" customFormat="1" ht="14.25" x14ac:dyDescent="0.45">
      <c r="F94" s="49">
        <v>40179</v>
      </c>
      <c r="G94" s="52">
        <v>133.47</v>
      </c>
      <c r="H94"/>
      <c r="I94"/>
      <c r="J94" s="106">
        <v>1.328720756595321</v>
      </c>
      <c r="K94" s="53"/>
      <c r="L94" s="106">
        <v>1.328720756595321</v>
      </c>
      <c r="M94" s="15"/>
      <c r="N94" s="15"/>
      <c r="O94" s="15"/>
      <c r="P94" s="15"/>
      <c r="Q94" s="15"/>
      <c r="R94" s="15"/>
      <c r="S94" s="15"/>
      <c r="T94" s="15"/>
      <c r="U94" s="15"/>
    </row>
    <row r="95" spans="6:21" s="21" customFormat="1" ht="14.25" x14ac:dyDescent="0.45">
      <c r="F95" s="49">
        <v>40210</v>
      </c>
      <c r="G95" s="52">
        <v>135.16999999999999</v>
      </c>
      <c r="H95"/>
      <c r="I95"/>
      <c r="J95" s="106">
        <v>1.3456445993031356</v>
      </c>
      <c r="K95" s="53"/>
      <c r="L95" s="106">
        <v>1.3456445993031356</v>
      </c>
      <c r="M95" s="15"/>
      <c r="N95" s="15"/>
      <c r="O95" s="15"/>
      <c r="P95" s="15"/>
      <c r="Q95" s="15"/>
      <c r="R95" s="15"/>
      <c r="S95" s="15"/>
      <c r="T95" s="15"/>
      <c r="U95" s="15"/>
    </row>
    <row r="96" spans="6:21" s="21" customFormat="1" ht="14.25" x14ac:dyDescent="0.45">
      <c r="F96" s="49">
        <v>40238</v>
      </c>
      <c r="G96" s="52">
        <v>136.59</v>
      </c>
      <c r="H96"/>
      <c r="I96"/>
      <c r="J96" s="106">
        <v>1.3597809855649576</v>
      </c>
      <c r="K96" s="53"/>
      <c r="L96" s="106">
        <v>1.3597809855649576</v>
      </c>
      <c r="M96" s="15"/>
      <c r="N96" s="15"/>
      <c r="O96" s="15"/>
      <c r="P96" s="15"/>
      <c r="Q96" s="15"/>
      <c r="R96" s="15"/>
      <c r="S96" s="15"/>
      <c r="T96" s="15"/>
      <c r="U96" s="15"/>
    </row>
    <row r="97" spans="6:21" s="21" customFormat="1" ht="14.25" x14ac:dyDescent="0.45">
      <c r="F97" s="49">
        <v>40269</v>
      </c>
      <c r="G97" s="52">
        <v>137.05000000000001</v>
      </c>
      <c r="H97"/>
      <c r="I97"/>
      <c r="J97" s="106">
        <v>1.3643603782976605</v>
      </c>
      <c r="K97" s="53"/>
      <c r="L97" s="106">
        <v>1.3643603782976605</v>
      </c>
      <c r="M97" s="15"/>
      <c r="N97" s="15"/>
      <c r="O97" s="15"/>
      <c r="P97" s="15"/>
      <c r="Q97" s="15"/>
      <c r="R97" s="15"/>
      <c r="S97" s="15"/>
      <c r="T97" s="15"/>
      <c r="U97" s="15"/>
    </row>
    <row r="98" spans="6:21" s="21" customFormat="1" ht="14.25" x14ac:dyDescent="0.45">
      <c r="F98" s="49">
        <v>40299</v>
      </c>
      <c r="G98" s="52">
        <v>136.49</v>
      </c>
      <c r="H98"/>
      <c r="I98"/>
      <c r="J98" s="106">
        <v>1.3587854654056746</v>
      </c>
      <c r="K98" s="53"/>
      <c r="L98" s="106">
        <v>1.3587854654056746</v>
      </c>
      <c r="M98" s="15"/>
      <c r="N98" s="15"/>
      <c r="O98" s="15"/>
      <c r="P98" s="15"/>
      <c r="Q98" s="15"/>
      <c r="R98" s="15"/>
      <c r="S98" s="15"/>
      <c r="T98" s="15"/>
      <c r="U98" s="15"/>
    </row>
    <row r="99" spans="6:21" s="21" customFormat="1" ht="14.25" x14ac:dyDescent="0.45">
      <c r="F99" s="49">
        <v>40330</v>
      </c>
      <c r="G99" s="52">
        <v>136.22999999999999</v>
      </c>
      <c r="H99"/>
      <c r="I99"/>
      <c r="J99" s="106">
        <v>1.356197112991538</v>
      </c>
      <c r="K99" s="53"/>
      <c r="L99" s="106">
        <v>1.356197112991538</v>
      </c>
      <c r="M99" s="15"/>
      <c r="N99" s="15"/>
      <c r="O99" s="15"/>
      <c r="P99" s="15"/>
      <c r="Q99" s="15"/>
      <c r="R99" s="15"/>
      <c r="S99" s="15"/>
      <c r="T99" s="15"/>
      <c r="U99" s="15"/>
    </row>
    <row r="100" spans="6:21" s="21" customFormat="1" ht="14.25" x14ac:dyDescent="0.45">
      <c r="F100" s="49">
        <v>40360</v>
      </c>
      <c r="G100" s="52">
        <v>136.93</v>
      </c>
      <c r="H100"/>
      <c r="I100"/>
      <c r="J100" s="106">
        <v>1.3631657541065207</v>
      </c>
      <c r="K100" s="53"/>
      <c r="L100" s="106">
        <v>1.3631657541065207</v>
      </c>
      <c r="M100" s="15"/>
      <c r="N100" s="15"/>
      <c r="O100" s="15"/>
      <c r="P100" s="15"/>
      <c r="Q100" s="15"/>
      <c r="R100" s="15"/>
      <c r="S100" s="15"/>
      <c r="T100" s="15"/>
      <c r="U100" s="15"/>
    </row>
    <row r="101" spans="6:21" s="21" customFormat="1" ht="14.25" x14ac:dyDescent="0.45">
      <c r="F101" s="49">
        <v>40391</v>
      </c>
      <c r="G101" s="52">
        <v>137.66999999999999</v>
      </c>
      <c r="H101"/>
      <c r="I101"/>
      <c r="J101" s="106">
        <v>1.3705326032852163</v>
      </c>
      <c r="K101" s="53"/>
      <c r="L101" s="106">
        <v>1.3705326032852163</v>
      </c>
      <c r="M101" s="15"/>
      <c r="N101" s="15"/>
      <c r="O101" s="15"/>
      <c r="P101" s="15"/>
      <c r="Q101" s="15"/>
      <c r="R101" s="15"/>
      <c r="S101" s="15"/>
      <c r="T101" s="15"/>
      <c r="U101" s="15"/>
    </row>
    <row r="102" spans="6:21" s="21" customFormat="1" ht="14.25" x14ac:dyDescent="0.45">
      <c r="F102" s="49">
        <v>40422</v>
      </c>
      <c r="G102" s="52">
        <v>139.41</v>
      </c>
      <c r="H102"/>
      <c r="I102"/>
      <c r="J102" s="106">
        <v>1.3878546540567447</v>
      </c>
      <c r="K102" s="53"/>
      <c r="L102" s="106">
        <v>1.3878546540567447</v>
      </c>
      <c r="M102" s="15"/>
      <c r="N102" s="15"/>
      <c r="O102" s="15"/>
      <c r="P102" s="15"/>
      <c r="Q102" s="15"/>
      <c r="R102" s="15"/>
      <c r="S102" s="15"/>
      <c r="T102" s="15"/>
      <c r="U102" s="15"/>
    </row>
    <row r="103" spans="6:21" s="21" customFormat="1" ht="14.25" x14ac:dyDescent="0.45">
      <c r="F103" s="49">
        <v>40452</v>
      </c>
      <c r="G103" s="52">
        <v>138.72</v>
      </c>
      <c r="H103"/>
      <c r="I103"/>
      <c r="J103" s="106">
        <v>1.3809855649576903</v>
      </c>
      <c r="K103" s="53"/>
      <c r="L103" s="106">
        <v>1.3809855649576903</v>
      </c>
      <c r="M103" s="15"/>
      <c r="N103" s="15"/>
      <c r="O103" s="15"/>
      <c r="P103" s="15"/>
      <c r="Q103" s="15"/>
      <c r="R103" s="15"/>
      <c r="S103" s="15"/>
      <c r="T103" s="15"/>
      <c r="U103" s="15"/>
    </row>
    <row r="104" spans="6:21" s="21" customFormat="1" ht="14.25" x14ac:dyDescent="0.45">
      <c r="F104" s="49">
        <v>40483</v>
      </c>
      <c r="G104" s="52">
        <v>140.09</v>
      </c>
      <c r="H104"/>
      <c r="I104"/>
      <c r="J104" s="106">
        <v>1.3946241911398707</v>
      </c>
      <c r="K104" s="53"/>
      <c r="L104" s="106">
        <v>1.3946241911398707</v>
      </c>
      <c r="M104" s="15"/>
      <c r="N104" s="15"/>
      <c r="O104" s="15"/>
      <c r="P104" s="15"/>
      <c r="Q104" s="15"/>
      <c r="R104" s="15"/>
      <c r="S104" s="15"/>
      <c r="T104" s="15"/>
      <c r="U104" s="15"/>
    </row>
    <row r="105" spans="6:21" s="21" customFormat="1" ht="14.25" x14ac:dyDescent="0.45">
      <c r="F105" s="49">
        <v>40513</v>
      </c>
      <c r="G105" s="52">
        <v>138.29</v>
      </c>
      <c r="H105"/>
      <c r="I105"/>
      <c r="J105" s="106">
        <v>1.3767048282727723</v>
      </c>
      <c r="K105" s="53"/>
      <c r="L105" s="106">
        <v>1.3767048282727723</v>
      </c>
      <c r="M105" s="15"/>
      <c r="N105" s="15"/>
      <c r="O105" s="15"/>
      <c r="P105" s="15"/>
      <c r="Q105" s="15"/>
      <c r="R105" s="15"/>
      <c r="S105" s="15"/>
      <c r="T105" s="15"/>
      <c r="U105" s="15"/>
    </row>
    <row r="106" spans="6:21" s="21" customFormat="1" ht="14.25" x14ac:dyDescent="0.45">
      <c r="F106" s="49">
        <v>40544</v>
      </c>
      <c r="G106" s="52">
        <v>140.13999999999999</v>
      </c>
      <c r="H106"/>
      <c r="I106"/>
      <c r="J106" s="106">
        <v>1.3951219512195121</v>
      </c>
      <c r="K106" s="53"/>
      <c r="L106" s="106">
        <v>1.3951219512195121</v>
      </c>
      <c r="M106" s="15"/>
      <c r="N106" s="15"/>
      <c r="O106" s="15"/>
      <c r="P106" s="15"/>
      <c r="Q106" s="15"/>
      <c r="R106" s="15"/>
      <c r="S106" s="15"/>
      <c r="T106" s="15"/>
      <c r="U106" s="15"/>
    </row>
    <row r="107" spans="6:21" s="21" customFormat="1" ht="14.25" x14ac:dyDescent="0.45">
      <c r="F107" s="49">
        <v>40575</v>
      </c>
      <c r="G107" s="52">
        <v>140.72</v>
      </c>
      <c r="H107"/>
      <c r="I107"/>
      <c r="J107" s="106">
        <v>1.4008959681433548</v>
      </c>
      <c r="K107" s="53"/>
      <c r="L107" s="106">
        <v>1.4008959681433548</v>
      </c>
      <c r="M107" s="15"/>
      <c r="N107" s="15"/>
      <c r="O107" s="15"/>
      <c r="P107" s="15"/>
      <c r="Q107" s="15"/>
      <c r="R107" s="15"/>
      <c r="S107" s="15"/>
      <c r="T107" s="15"/>
      <c r="U107" s="15"/>
    </row>
    <row r="108" spans="6:21" s="21" customFormat="1" ht="14.25" x14ac:dyDescent="0.45">
      <c r="F108" s="49">
        <v>40603</v>
      </c>
      <c r="G108" s="52">
        <v>141.1</v>
      </c>
      <c r="H108"/>
      <c r="I108"/>
      <c r="J108" s="106">
        <v>1.404678944748631</v>
      </c>
      <c r="K108" s="53"/>
      <c r="L108" s="106">
        <v>1.404678944748631</v>
      </c>
      <c r="M108" s="15"/>
      <c r="N108" s="15"/>
      <c r="O108" s="15"/>
      <c r="P108" s="15"/>
      <c r="Q108" s="15"/>
      <c r="R108" s="15"/>
      <c r="S108" s="15"/>
      <c r="T108" s="15"/>
      <c r="U108" s="15"/>
    </row>
    <row r="109" spans="6:21" s="21" customFormat="1" ht="14.25" x14ac:dyDescent="0.45">
      <c r="F109" s="49">
        <v>40634</v>
      </c>
      <c r="G109" s="52">
        <v>140.84</v>
      </c>
      <c r="H109"/>
      <c r="I109"/>
      <c r="J109" s="106">
        <v>1.4020905923344948</v>
      </c>
      <c r="K109" s="53"/>
      <c r="L109" s="106">
        <v>1.4020905923344948</v>
      </c>
      <c r="M109" s="15"/>
      <c r="N109" s="15"/>
      <c r="O109" s="15"/>
      <c r="P109" s="15"/>
      <c r="Q109" s="15"/>
      <c r="R109" s="15"/>
      <c r="S109" s="15"/>
      <c r="T109" s="15"/>
      <c r="U109" s="15"/>
    </row>
    <row r="110" spans="6:21" s="21" customFormat="1" ht="14.25" x14ac:dyDescent="0.45">
      <c r="F110" s="49">
        <v>40664</v>
      </c>
      <c r="G110" s="52">
        <v>141.27000000000001</v>
      </c>
      <c r="H110"/>
      <c r="I110"/>
      <c r="J110" s="106">
        <v>1.4063713290194126</v>
      </c>
      <c r="K110" s="53"/>
      <c r="L110" s="106">
        <v>1.4063713290194126</v>
      </c>
      <c r="M110" s="15"/>
      <c r="N110" s="15"/>
      <c r="O110" s="15"/>
      <c r="P110" s="15"/>
      <c r="Q110" s="15"/>
      <c r="R110" s="15"/>
      <c r="S110" s="15"/>
      <c r="T110" s="15"/>
      <c r="U110" s="15"/>
    </row>
    <row r="111" spans="6:21" s="21" customFormat="1" ht="14.25" x14ac:dyDescent="0.45">
      <c r="F111" s="49">
        <v>40695</v>
      </c>
      <c r="G111" s="52">
        <v>142.22</v>
      </c>
      <c r="H111"/>
      <c r="I111"/>
      <c r="J111" s="106">
        <v>1.4158287705326031</v>
      </c>
      <c r="K111" s="53"/>
      <c r="L111" s="106">
        <v>1.4158287705326031</v>
      </c>
      <c r="M111" s="15"/>
      <c r="N111" s="15"/>
      <c r="O111" s="15"/>
      <c r="P111" s="15"/>
      <c r="Q111" s="15"/>
      <c r="R111" s="15"/>
      <c r="S111" s="15"/>
      <c r="T111" s="15"/>
      <c r="U111" s="15"/>
    </row>
    <row r="112" spans="6:21" s="21" customFormat="1" ht="14.25" x14ac:dyDescent="0.45">
      <c r="F112" s="49">
        <v>40725</v>
      </c>
      <c r="G112" s="52">
        <v>142.25</v>
      </c>
      <c r="H112"/>
      <c r="I112"/>
      <c r="J112" s="106">
        <v>1.4161274265803883</v>
      </c>
      <c r="K112" s="53"/>
      <c r="L112" s="106">
        <v>1.4161274265803883</v>
      </c>
      <c r="M112" s="15"/>
      <c r="N112" s="15"/>
      <c r="O112" s="15"/>
      <c r="P112" s="15"/>
      <c r="Q112" s="15"/>
      <c r="R112" s="15"/>
      <c r="S112" s="15"/>
      <c r="T112" s="15"/>
      <c r="U112" s="15"/>
    </row>
    <row r="113" spans="6:21" s="21" customFormat="1" ht="14.25" x14ac:dyDescent="0.45">
      <c r="F113" s="49">
        <v>40756</v>
      </c>
      <c r="G113" s="52">
        <v>141.96</v>
      </c>
      <c r="H113"/>
      <c r="I113"/>
      <c r="J113" s="106">
        <v>1.413240418118467</v>
      </c>
      <c r="K113" s="53"/>
      <c r="L113" s="106">
        <v>1.413240418118467</v>
      </c>
      <c r="M113" s="15"/>
      <c r="N113" s="15"/>
      <c r="O113" s="15"/>
      <c r="P113" s="15"/>
      <c r="Q113" s="15"/>
      <c r="R113" s="15"/>
      <c r="S113" s="15"/>
      <c r="T113" s="15"/>
      <c r="U113" s="15"/>
    </row>
    <row r="114" spans="6:21" s="21" customFormat="1" ht="14.25" x14ac:dyDescent="0.45">
      <c r="F114" s="49">
        <v>40787</v>
      </c>
      <c r="G114" s="52">
        <v>141.79</v>
      </c>
      <c r="H114"/>
      <c r="I114"/>
      <c r="J114" s="106">
        <v>1.4115480338476853</v>
      </c>
      <c r="K114" s="53"/>
      <c r="L114" s="106">
        <v>1.4115480338476853</v>
      </c>
      <c r="M114" s="15"/>
      <c r="N114" s="15"/>
      <c r="O114" s="15"/>
      <c r="P114" s="15"/>
      <c r="Q114" s="15"/>
      <c r="R114" s="15"/>
      <c r="S114" s="15"/>
      <c r="T114" s="15"/>
      <c r="U114" s="15"/>
    </row>
    <row r="115" spans="6:21" s="21" customFormat="1" ht="14.25" x14ac:dyDescent="0.45">
      <c r="F115" s="49">
        <v>40817</v>
      </c>
      <c r="G115" s="52">
        <v>141.58000000000001</v>
      </c>
      <c r="H115"/>
      <c r="I115"/>
      <c r="J115" s="106">
        <v>1.4094574415131906</v>
      </c>
      <c r="K115" s="53"/>
      <c r="L115" s="106">
        <v>1.4094574415131906</v>
      </c>
      <c r="M115" s="15"/>
      <c r="N115" s="15"/>
      <c r="O115" s="15"/>
      <c r="P115" s="15"/>
      <c r="Q115" s="15"/>
      <c r="R115" s="15"/>
      <c r="S115" s="15"/>
      <c r="T115" s="15"/>
      <c r="U115" s="15"/>
    </row>
    <row r="116" spans="6:21" s="21" customFormat="1" ht="14.25" x14ac:dyDescent="0.45">
      <c r="F116" s="49">
        <v>40848</v>
      </c>
      <c r="G116" s="52">
        <v>142.25</v>
      </c>
      <c r="H116"/>
      <c r="I116"/>
      <c r="J116" s="106">
        <v>1.4161274265803883</v>
      </c>
      <c r="K116" s="53"/>
      <c r="L116" s="106">
        <v>1.4161274265803883</v>
      </c>
      <c r="M116" s="15"/>
      <c r="N116" s="15"/>
      <c r="O116" s="15"/>
      <c r="P116" s="15"/>
      <c r="Q116" s="15"/>
      <c r="R116" s="15"/>
      <c r="S116" s="15"/>
      <c r="T116" s="15"/>
      <c r="U116" s="15"/>
    </row>
    <row r="117" spans="6:21" s="21" customFormat="1" ht="14.25" x14ac:dyDescent="0.45">
      <c r="F117" s="49">
        <v>40878</v>
      </c>
      <c r="G117" s="52">
        <v>140.44999999999999</v>
      </c>
      <c r="H117"/>
      <c r="I117"/>
      <c r="J117" s="106">
        <v>1.3982080637132901</v>
      </c>
      <c r="K117" s="53"/>
      <c r="L117" s="106">
        <v>1.3982080637132901</v>
      </c>
      <c r="M117" s="15"/>
      <c r="N117" s="15"/>
      <c r="O117" s="15"/>
      <c r="P117" s="15"/>
      <c r="Q117" s="15"/>
      <c r="R117" s="15"/>
      <c r="S117" s="15"/>
      <c r="T117" s="15"/>
      <c r="U117" s="15"/>
    </row>
    <row r="118" spans="6:21" s="21" customFormat="1" ht="14.25" x14ac:dyDescent="0.45">
      <c r="F118" s="49">
        <v>40909</v>
      </c>
      <c r="G118" s="52">
        <v>138.87</v>
      </c>
      <c r="H118"/>
      <c r="I118"/>
      <c r="J118" s="106">
        <v>1.3824788451966152</v>
      </c>
      <c r="K118" s="53"/>
      <c r="L118" s="106">
        <v>1.3824788451966152</v>
      </c>
      <c r="M118" s="15"/>
      <c r="N118" s="15"/>
      <c r="O118" s="15"/>
      <c r="P118" s="15"/>
      <c r="Q118" s="15"/>
      <c r="R118" s="15"/>
      <c r="S118" s="15"/>
      <c r="T118" s="15"/>
      <c r="U118" s="15"/>
    </row>
    <row r="119" spans="6:21" s="21" customFormat="1" ht="14.25" x14ac:dyDescent="0.45">
      <c r="F119" s="49">
        <v>40940</v>
      </c>
      <c r="G119" s="52">
        <v>140.49</v>
      </c>
      <c r="H119"/>
      <c r="I119"/>
      <c r="J119" s="106">
        <v>1.3986062717770036</v>
      </c>
      <c r="K119" s="53"/>
      <c r="L119" s="106">
        <v>1.3986062717770036</v>
      </c>
      <c r="M119" s="15"/>
      <c r="N119" s="15"/>
      <c r="O119" s="15"/>
      <c r="P119" s="15"/>
      <c r="Q119" s="15"/>
      <c r="R119" s="15"/>
      <c r="S119" s="15"/>
      <c r="T119" s="15"/>
      <c r="U119" s="15"/>
    </row>
    <row r="120" spans="6:21" s="21" customFormat="1" ht="14.25" x14ac:dyDescent="0.45">
      <c r="F120" s="49">
        <v>40969</v>
      </c>
      <c r="G120" s="52">
        <v>140.06</v>
      </c>
      <c r="H120"/>
      <c r="I120"/>
      <c r="J120" s="106">
        <v>1.3943255350920856</v>
      </c>
      <c r="K120" s="53"/>
      <c r="L120" s="106">
        <v>1.3943255350920856</v>
      </c>
      <c r="M120" s="15"/>
      <c r="N120" s="15"/>
      <c r="O120" s="15"/>
      <c r="P120" s="15"/>
      <c r="Q120" s="15"/>
      <c r="R120" s="15"/>
      <c r="S120" s="15"/>
      <c r="T120" s="15"/>
      <c r="U120" s="15"/>
    </row>
    <row r="121" spans="6:21" s="21" customFormat="1" ht="14.25" x14ac:dyDescent="0.45">
      <c r="F121" s="49">
        <v>41000</v>
      </c>
      <c r="G121" s="52">
        <v>141.04</v>
      </c>
      <c r="H121"/>
      <c r="I121"/>
      <c r="J121" s="106">
        <v>1.4040816326530612</v>
      </c>
      <c r="K121" s="53"/>
      <c r="L121" s="106">
        <v>1.4040816326530612</v>
      </c>
      <c r="M121" s="15"/>
      <c r="N121" s="15"/>
      <c r="O121" s="15"/>
      <c r="P121" s="15"/>
      <c r="Q121" s="15"/>
      <c r="R121" s="15"/>
      <c r="S121" s="15"/>
      <c r="T121" s="15"/>
      <c r="U121" s="15"/>
    </row>
    <row r="122" spans="6:21" s="21" customFormat="1" ht="14.25" x14ac:dyDescent="0.45">
      <c r="F122" s="49">
        <v>41030</v>
      </c>
      <c r="G122" s="52">
        <v>142.66999999999999</v>
      </c>
      <c r="H122"/>
      <c r="I122"/>
      <c r="J122" s="106">
        <v>1.4203086112493777</v>
      </c>
      <c r="K122" s="53"/>
      <c r="L122" s="106">
        <v>1.4203086112493777</v>
      </c>
      <c r="M122" s="15"/>
      <c r="N122" s="15"/>
      <c r="O122" s="15"/>
      <c r="P122" s="15"/>
      <c r="Q122" s="15"/>
      <c r="R122" s="15"/>
      <c r="S122" s="15"/>
      <c r="T122" s="15"/>
      <c r="U122" s="15"/>
    </row>
    <row r="123" spans="6:21" s="21" customFormat="1" ht="14.25" x14ac:dyDescent="0.45">
      <c r="F123" s="49">
        <v>41061</v>
      </c>
      <c r="G123" s="52">
        <v>143.56</v>
      </c>
      <c r="H123"/>
      <c r="I123"/>
      <c r="J123" s="106">
        <v>1.4291687406669984</v>
      </c>
      <c r="K123" s="53"/>
      <c r="L123" s="106">
        <v>1.4291687406669984</v>
      </c>
      <c r="M123" s="15"/>
      <c r="N123" s="15"/>
      <c r="O123" s="15"/>
      <c r="P123" s="15"/>
      <c r="Q123" s="15"/>
      <c r="R123" s="15"/>
      <c r="S123" s="15"/>
      <c r="T123" s="15"/>
      <c r="U123" s="15"/>
    </row>
    <row r="124" spans="6:21" s="21" customFormat="1" ht="14.25" x14ac:dyDescent="0.45">
      <c r="F124" s="49">
        <v>41091</v>
      </c>
      <c r="G124" s="52">
        <v>144.03</v>
      </c>
      <c r="H124"/>
      <c r="I124"/>
      <c r="J124" s="106">
        <v>1.4338476854156297</v>
      </c>
      <c r="K124" s="53"/>
      <c r="L124" s="106">
        <v>1.4338476854156297</v>
      </c>
      <c r="M124" s="15"/>
      <c r="N124" s="15"/>
      <c r="O124" s="15"/>
      <c r="P124" s="15"/>
      <c r="Q124" s="15"/>
      <c r="R124" s="15"/>
      <c r="S124" s="15"/>
      <c r="T124" s="15"/>
      <c r="U124" s="15"/>
    </row>
    <row r="125" spans="6:21" s="21" customFormat="1" ht="14.25" x14ac:dyDescent="0.45">
      <c r="F125" s="49">
        <v>41122</v>
      </c>
      <c r="G125" s="52">
        <v>144.35</v>
      </c>
      <c r="H125"/>
      <c r="I125"/>
      <c r="J125" s="106">
        <v>1.4370333499253358</v>
      </c>
      <c r="K125" s="53"/>
      <c r="L125" s="106">
        <v>1.4370333499253358</v>
      </c>
      <c r="M125" s="15"/>
      <c r="N125" s="15"/>
      <c r="O125" s="15"/>
      <c r="P125" s="15"/>
      <c r="Q125" s="15"/>
      <c r="R125" s="15"/>
      <c r="S125" s="15"/>
      <c r="T125" s="15"/>
      <c r="U125" s="15"/>
    </row>
    <row r="126" spans="6:21" s="21" customFormat="1" ht="14.25" x14ac:dyDescent="0.45">
      <c r="F126" s="49">
        <v>41153</v>
      </c>
      <c r="G126" s="52">
        <v>143.71</v>
      </c>
      <c r="H126"/>
      <c r="I126"/>
      <c r="J126" s="106">
        <v>1.4306620209059233</v>
      </c>
      <c r="K126" s="53"/>
      <c r="L126" s="106">
        <v>1.4306620209059233</v>
      </c>
      <c r="M126" s="15"/>
      <c r="N126" s="15"/>
      <c r="O126" s="15"/>
      <c r="P126" s="15"/>
      <c r="Q126" s="15"/>
      <c r="R126" s="15"/>
      <c r="S126" s="15"/>
      <c r="T126" s="15"/>
      <c r="U126" s="15"/>
    </row>
    <row r="127" spans="6:21" s="21" customFormat="1" ht="14.25" x14ac:dyDescent="0.45">
      <c r="F127" s="49">
        <v>41183</v>
      </c>
      <c r="G127" s="52">
        <v>144.86000000000001</v>
      </c>
      <c r="H127"/>
      <c r="I127"/>
      <c r="J127" s="106">
        <v>1.4421105027376806</v>
      </c>
      <c r="K127" s="53"/>
      <c r="L127" s="106">
        <v>1.4421105027376806</v>
      </c>
      <c r="M127" s="15"/>
      <c r="N127" s="15"/>
      <c r="O127" s="15"/>
      <c r="P127" s="15"/>
      <c r="Q127" s="15"/>
      <c r="R127" s="15"/>
      <c r="S127" s="15"/>
      <c r="T127" s="15"/>
      <c r="U127" s="15"/>
    </row>
    <row r="128" spans="6:21" s="21" customFormat="1" ht="14.25" x14ac:dyDescent="0.45">
      <c r="F128" s="49">
        <v>41214</v>
      </c>
      <c r="G128" s="52">
        <v>144.58000000000001</v>
      </c>
      <c r="H128"/>
      <c r="I128"/>
      <c r="J128" s="106">
        <v>1.4393230462916875</v>
      </c>
      <c r="K128" s="53"/>
      <c r="L128" s="106">
        <v>1.4393230462916875</v>
      </c>
      <c r="M128" s="15"/>
      <c r="N128" s="15"/>
      <c r="O128" s="15"/>
      <c r="P128" s="15"/>
      <c r="Q128" s="15"/>
      <c r="R128" s="15"/>
      <c r="S128" s="15"/>
      <c r="T128" s="15"/>
      <c r="U128" s="15"/>
    </row>
    <row r="129" spans="6:21" s="21" customFormat="1" ht="14.25" x14ac:dyDescent="0.45">
      <c r="F129" s="49">
        <v>41244</v>
      </c>
      <c r="G129" s="52">
        <v>144.16</v>
      </c>
      <c r="H129"/>
      <c r="I129"/>
      <c r="J129" s="106">
        <v>1.4351418616226979</v>
      </c>
      <c r="K129" s="53"/>
      <c r="L129" s="106">
        <v>1.4351418616226979</v>
      </c>
      <c r="M129" s="15"/>
      <c r="N129" s="15"/>
      <c r="O129" s="15"/>
      <c r="P129" s="15"/>
      <c r="Q129" s="15"/>
      <c r="R129" s="15"/>
      <c r="S129" s="15"/>
      <c r="T129" s="15"/>
      <c r="U129" s="15"/>
    </row>
    <row r="130" spans="6:21" s="21" customFormat="1" ht="14.25" x14ac:dyDescent="0.45">
      <c r="F130" s="49">
        <v>41275</v>
      </c>
      <c r="G130" s="52">
        <v>144.99</v>
      </c>
      <c r="H130"/>
      <c r="I130"/>
      <c r="J130" s="106">
        <v>1.4434046789447488</v>
      </c>
      <c r="K130" s="53"/>
      <c r="L130" s="106">
        <v>1.4434046789447488</v>
      </c>
      <c r="M130" s="15"/>
      <c r="N130" s="15"/>
      <c r="O130" s="15"/>
      <c r="P130" s="15"/>
      <c r="Q130" s="15"/>
      <c r="R130" s="15"/>
      <c r="S130" s="15"/>
      <c r="T130" s="15"/>
      <c r="U130" s="15"/>
    </row>
    <row r="131" spans="6:21" s="21" customFormat="1" ht="14.25" x14ac:dyDescent="0.45">
      <c r="F131" s="49">
        <v>41306</v>
      </c>
      <c r="G131" s="52">
        <v>143.77000000000001</v>
      </c>
      <c r="H131"/>
      <c r="I131"/>
      <c r="J131" s="106">
        <v>1.4312593330014933</v>
      </c>
      <c r="K131" s="53"/>
      <c r="L131" s="106">
        <v>1.4312593330014933</v>
      </c>
      <c r="M131" s="15"/>
      <c r="N131" s="15"/>
      <c r="O131" s="15"/>
      <c r="P131" s="15"/>
      <c r="Q131" s="15"/>
      <c r="R131" s="15"/>
      <c r="S131" s="15"/>
      <c r="T131" s="15"/>
      <c r="U131" s="15"/>
    </row>
    <row r="132" spans="6:21" s="21" customFormat="1" ht="14.25" x14ac:dyDescent="0.45">
      <c r="F132" s="49">
        <v>41334</v>
      </c>
      <c r="G132" s="52">
        <v>144.94999999999999</v>
      </c>
      <c r="H132"/>
      <c r="I132"/>
      <c r="J132" s="106">
        <v>1.4430064708810353</v>
      </c>
      <c r="K132" s="53"/>
      <c r="L132" s="106">
        <v>1.4430064708810353</v>
      </c>
      <c r="M132" s="15"/>
      <c r="N132" s="15"/>
      <c r="O132" s="15"/>
      <c r="P132" s="15"/>
      <c r="Q132" s="15"/>
      <c r="R132" s="15"/>
      <c r="S132" s="15"/>
      <c r="T132" s="15"/>
      <c r="U132" s="15"/>
    </row>
    <row r="133" spans="6:21" s="21" customFormat="1" ht="14.25" x14ac:dyDescent="0.45">
      <c r="F133" s="49">
        <v>41365</v>
      </c>
      <c r="G133" s="52">
        <v>146.24</v>
      </c>
      <c r="H133"/>
      <c r="I133"/>
      <c r="J133" s="106">
        <v>1.4558486809357889</v>
      </c>
      <c r="K133" s="53"/>
      <c r="L133" s="106">
        <v>1.4558486809357889</v>
      </c>
      <c r="M133" s="15"/>
      <c r="N133" s="15"/>
      <c r="O133" s="15"/>
      <c r="P133" s="15"/>
      <c r="Q133" s="15"/>
      <c r="R133" s="15"/>
      <c r="S133" s="15"/>
      <c r="T133" s="15"/>
      <c r="U133" s="15"/>
    </row>
    <row r="134" spans="6:21" s="21" customFormat="1" ht="14.25" x14ac:dyDescent="0.45">
      <c r="F134" s="49">
        <v>41395</v>
      </c>
      <c r="G134" s="52">
        <v>146.83000000000001</v>
      </c>
      <c r="H134"/>
      <c r="I134"/>
      <c r="J134" s="106">
        <v>1.46172224987556</v>
      </c>
      <c r="K134" s="53"/>
      <c r="L134" s="106">
        <v>1.46172224987556</v>
      </c>
      <c r="M134" s="15"/>
      <c r="N134" s="15"/>
      <c r="O134" s="15"/>
      <c r="P134" s="15"/>
      <c r="Q134" s="15"/>
      <c r="R134" s="15"/>
      <c r="S134" s="15"/>
      <c r="T134" s="15"/>
      <c r="U134" s="15"/>
    </row>
    <row r="135" spans="6:21" s="21" customFormat="1" ht="14.25" x14ac:dyDescent="0.45">
      <c r="F135" s="49">
        <v>41426</v>
      </c>
      <c r="G135" s="52">
        <v>146.35</v>
      </c>
      <c r="H135"/>
      <c r="I135"/>
      <c r="J135" s="106">
        <v>1.4569437531110003</v>
      </c>
      <c r="K135" s="53"/>
      <c r="L135" s="106">
        <v>1.4569437531110003</v>
      </c>
      <c r="M135" s="15"/>
      <c r="N135" s="15"/>
      <c r="O135" s="15"/>
      <c r="P135" s="15"/>
      <c r="Q135" s="15"/>
      <c r="R135" s="15"/>
      <c r="S135" s="15"/>
      <c r="T135" s="15"/>
      <c r="U135" s="15"/>
    </row>
    <row r="136" spans="6:21" s="21" customFormat="1" ht="14.25" x14ac:dyDescent="0.45">
      <c r="F136" s="49">
        <v>41456</v>
      </c>
      <c r="G136" s="52">
        <v>147.19</v>
      </c>
      <c r="H136"/>
      <c r="I136"/>
      <c r="J136" s="106">
        <v>1.4653061224489796</v>
      </c>
      <c r="K136" s="53"/>
      <c r="L136" s="106">
        <v>1.4653061224489796</v>
      </c>
      <c r="M136" s="15"/>
      <c r="N136" s="15"/>
      <c r="O136" s="15"/>
      <c r="P136" s="15"/>
      <c r="Q136" s="15"/>
      <c r="R136" s="15"/>
      <c r="S136" s="15"/>
      <c r="T136" s="15"/>
      <c r="U136" s="15"/>
    </row>
    <row r="137" spans="6:21" s="21" customFormat="1" ht="14.25" x14ac:dyDescent="0.45">
      <c r="F137" s="49">
        <v>41487</v>
      </c>
      <c r="G137" s="52">
        <v>147.11000000000001</v>
      </c>
      <c r="H137"/>
      <c r="I137"/>
      <c r="J137" s="106">
        <v>1.4645097063215531</v>
      </c>
      <c r="K137" s="53"/>
      <c r="L137" s="106">
        <v>1.4645097063215531</v>
      </c>
      <c r="M137" s="15"/>
      <c r="N137" s="15"/>
      <c r="O137" s="15"/>
      <c r="P137" s="15"/>
      <c r="Q137" s="15"/>
      <c r="R137" s="15"/>
      <c r="S137" s="15"/>
      <c r="T137" s="15"/>
      <c r="U137" s="15"/>
    </row>
    <row r="138" spans="6:21" s="21" customFormat="1" ht="14.25" x14ac:dyDescent="0.45">
      <c r="F138" s="49">
        <v>41518</v>
      </c>
      <c r="G138" s="52">
        <v>148.13999999999999</v>
      </c>
      <c r="H138"/>
      <c r="I138"/>
      <c r="J138" s="106">
        <v>1.4747635639621701</v>
      </c>
      <c r="K138" s="53"/>
      <c r="L138" s="106">
        <v>1.4747635639621701</v>
      </c>
      <c r="M138" s="15"/>
      <c r="N138" s="15"/>
      <c r="O138" s="15"/>
      <c r="P138" s="15"/>
      <c r="Q138" s="15"/>
      <c r="R138" s="15"/>
      <c r="S138" s="15"/>
      <c r="T138" s="15"/>
      <c r="U138" s="15"/>
    </row>
    <row r="139" spans="6:21" s="21" customFormat="1" ht="14.25" x14ac:dyDescent="0.45">
      <c r="F139" s="49">
        <v>41548</v>
      </c>
      <c r="G139" s="52">
        <v>147.99</v>
      </c>
      <c r="H139"/>
      <c r="I139"/>
      <c r="J139" s="106">
        <v>1.4732702837232454</v>
      </c>
      <c r="K139" s="53"/>
      <c r="L139" s="106">
        <v>1.4732702837232454</v>
      </c>
      <c r="M139" s="15"/>
      <c r="N139" s="15"/>
      <c r="O139" s="15"/>
      <c r="P139" s="15"/>
      <c r="Q139" s="15"/>
      <c r="R139" s="15"/>
      <c r="S139" s="15"/>
      <c r="T139" s="15"/>
      <c r="U139" s="15"/>
    </row>
    <row r="140" spans="6:21" s="21" customFormat="1" ht="14.25" x14ac:dyDescent="0.45">
      <c r="F140" s="49">
        <v>41579</v>
      </c>
      <c r="G140" s="52">
        <v>148.34</v>
      </c>
      <c r="H140"/>
      <c r="I140"/>
      <c r="J140" s="106">
        <v>1.4767546042807367</v>
      </c>
      <c r="K140" s="53"/>
      <c r="L140" s="106">
        <v>1.4767546042807367</v>
      </c>
      <c r="M140" s="15"/>
      <c r="N140" s="15"/>
      <c r="O140" s="15"/>
      <c r="P140" s="15"/>
      <c r="Q140" s="15"/>
      <c r="R140" s="15"/>
      <c r="S140" s="15"/>
      <c r="T140" s="15"/>
      <c r="U140" s="15"/>
    </row>
    <row r="141" spans="6:21" s="21" customFormat="1" ht="14.25" x14ac:dyDescent="0.45">
      <c r="F141" s="49">
        <v>41609</v>
      </c>
      <c r="G141" s="52">
        <v>148.61000000000001</v>
      </c>
      <c r="H141"/>
      <c r="I141"/>
      <c r="J141" s="106">
        <v>1.4794425087108014</v>
      </c>
      <c r="K141" s="53"/>
      <c r="L141" s="106">
        <v>1.4794425087108014</v>
      </c>
      <c r="M141" s="15"/>
      <c r="N141" s="15"/>
      <c r="O141" s="15"/>
      <c r="P141" s="15"/>
      <c r="Q141" s="15"/>
      <c r="R141" s="15"/>
      <c r="S141" s="15"/>
      <c r="T141" s="15"/>
      <c r="U141" s="15"/>
    </row>
    <row r="142" spans="6:21" s="21" customFormat="1" ht="14.25" x14ac:dyDescent="0.45">
      <c r="F142" s="49">
        <v>41640</v>
      </c>
      <c r="G142" s="52">
        <v>148.27000000000001</v>
      </c>
      <c r="H142"/>
      <c r="I142"/>
      <c r="J142" s="106">
        <v>1.4760577401692385</v>
      </c>
      <c r="K142" s="53"/>
      <c r="L142" s="106">
        <v>1.4760577401692385</v>
      </c>
      <c r="M142" s="15"/>
      <c r="N142" s="15"/>
      <c r="O142" s="15"/>
      <c r="P142" s="15"/>
      <c r="Q142" s="15"/>
      <c r="R142" s="15"/>
      <c r="S142" s="15"/>
      <c r="T142" s="15"/>
      <c r="U142" s="15"/>
    </row>
    <row r="143" spans="6:21" s="21" customFormat="1" ht="14.25" x14ac:dyDescent="0.45">
      <c r="F143" s="49">
        <v>41671</v>
      </c>
      <c r="G143" s="52">
        <v>147.85</v>
      </c>
      <c r="H143"/>
      <c r="I143"/>
      <c r="J143" s="106">
        <v>1.4718765555002489</v>
      </c>
      <c r="K143" s="53"/>
      <c r="L143" s="106">
        <v>1.4718765555002489</v>
      </c>
      <c r="M143" s="15"/>
      <c r="N143" s="15"/>
      <c r="O143" s="15"/>
      <c r="P143" s="15"/>
      <c r="Q143" s="15"/>
      <c r="R143" s="15"/>
      <c r="S143" s="15"/>
      <c r="T143" s="15"/>
      <c r="U143" s="15"/>
    </row>
    <row r="144" spans="6:21" s="21" customFormat="1" ht="14.25" x14ac:dyDescent="0.45">
      <c r="F144" s="49">
        <v>41699</v>
      </c>
      <c r="G144" s="52">
        <v>147.88999999999999</v>
      </c>
      <c r="H144"/>
      <c r="I144"/>
      <c r="J144" s="106">
        <v>1.4722747635639619</v>
      </c>
      <c r="K144" s="53"/>
      <c r="L144" s="106">
        <v>1.4722747635639619</v>
      </c>
      <c r="M144" s="15"/>
      <c r="N144" s="15"/>
      <c r="O144" s="15"/>
      <c r="P144" s="15"/>
      <c r="Q144" s="15"/>
      <c r="R144" s="15"/>
      <c r="S144" s="15"/>
      <c r="T144" s="15"/>
      <c r="U144" s="15"/>
    </row>
    <row r="145" spans="6:21" s="21" customFormat="1" ht="14.25" x14ac:dyDescent="0.45">
      <c r="F145" s="49">
        <v>41730</v>
      </c>
      <c r="G145" s="52">
        <v>146.88</v>
      </c>
      <c r="H145"/>
      <c r="I145"/>
      <c r="J145" s="106">
        <v>1.4622200099552014</v>
      </c>
      <c r="K145" s="53"/>
      <c r="L145" s="106">
        <v>1.4622200099552014</v>
      </c>
      <c r="M145" s="15"/>
      <c r="N145" s="15"/>
      <c r="O145" s="15"/>
      <c r="P145" s="15"/>
      <c r="Q145" s="15"/>
      <c r="R145" s="15"/>
      <c r="S145" s="15"/>
      <c r="T145" s="15"/>
      <c r="U145" s="15"/>
    </row>
    <row r="146" spans="6:21" s="21" customFormat="1" ht="14.25" x14ac:dyDescent="0.45">
      <c r="F146" s="49">
        <v>41760</v>
      </c>
      <c r="G146" s="52">
        <v>146.30000000000001</v>
      </c>
      <c r="H146"/>
      <c r="I146"/>
      <c r="J146" s="106">
        <v>1.4564459930313589</v>
      </c>
      <c r="K146" s="53"/>
      <c r="L146" s="106">
        <v>1.4564459930313589</v>
      </c>
      <c r="M146" s="15"/>
      <c r="N146" s="15"/>
      <c r="O146" s="15"/>
      <c r="P146" s="15"/>
      <c r="Q146" s="15"/>
      <c r="R146" s="15"/>
      <c r="S146" s="15"/>
      <c r="T146" s="15"/>
      <c r="U146" s="15"/>
    </row>
    <row r="147" spans="6:21" s="21" customFormat="1" ht="14.25" x14ac:dyDescent="0.45">
      <c r="F147" s="49">
        <v>41791</v>
      </c>
      <c r="G147" s="52">
        <v>143.61000000000001</v>
      </c>
      <c r="H147"/>
      <c r="I147"/>
      <c r="J147" s="106">
        <v>1.4296665007466403</v>
      </c>
      <c r="K147" s="53"/>
      <c r="L147" s="106">
        <v>1.4296665007466403</v>
      </c>
      <c r="M147" s="15"/>
      <c r="N147" s="15"/>
      <c r="O147" s="15"/>
      <c r="P147" s="15"/>
      <c r="Q147" s="15"/>
      <c r="R147" s="15"/>
      <c r="S147" s="15"/>
      <c r="T147" s="15"/>
      <c r="U147" s="15"/>
    </row>
    <row r="148" spans="6:21" s="21" customFormat="1" ht="14.25" x14ac:dyDescent="0.45">
      <c r="F148" s="49">
        <v>41821</v>
      </c>
      <c r="G148" s="52">
        <v>144.81</v>
      </c>
      <c r="H148"/>
      <c r="I148"/>
      <c r="J148" s="106">
        <v>1.4416127426580387</v>
      </c>
      <c r="K148" s="53"/>
      <c r="L148" s="106">
        <v>1.4416127426580387</v>
      </c>
      <c r="M148" s="15"/>
      <c r="N148" s="15"/>
      <c r="O148" s="15"/>
      <c r="P148" s="15"/>
      <c r="Q148" s="15"/>
      <c r="R148" s="15"/>
      <c r="S148" s="15"/>
      <c r="T148" s="15"/>
      <c r="U148" s="15"/>
    </row>
    <row r="149" spans="6:21" s="21" customFormat="1" ht="14.25" x14ac:dyDescent="0.45">
      <c r="F149" s="49">
        <v>41852</v>
      </c>
      <c r="G149" s="52">
        <v>145.58000000000001</v>
      </c>
      <c r="H149"/>
      <c r="I149"/>
      <c r="J149" s="106">
        <v>1.4492782478845196</v>
      </c>
      <c r="K149" s="53"/>
      <c r="L149" s="106">
        <v>1.4492782478845196</v>
      </c>
      <c r="M149" s="15"/>
      <c r="N149" s="15"/>
      <c r="O149" s="15"/>
      <c r="P149" s="15"/>
      <c r="Q149" s="15"/>
      <c r="R149" s="15"/>
      <c r="S149" s="15"/>
      <c r="T149" s="15"/>
      <c r="U149" s="15"/>
    </row>
    <row r="150" spans="6:21" s="21" customFormat="1" ht="14.25" x14ac:dyDescent="0.45">
      <c r="F150" s="49">
        <v>41883</v>
      </c>
      <c r="G150" s="52">
        <v>146.24</v>
      </c>
      <c r="H150"/>
      <c r="I150"/>
      <c r="J150" s="106">
        <v>1.4558486809357889</v>
      </c>
      <c r="K150" s="53"/>
      <c r="L150" s="106">
        <v>1.4558486809357889</v>
      </c>
      <c r="M150" s="15"/>
      <c r="N150" s="15"/>
      <c r="O150" s="15"/>
      <c r="P150" s="15"/>
      <c r="Q150" s="15"/>
      <c r="R150" s="15"/>
      <c r="S150" s="15"/>
      <c r="T150" s="15"/>
      <c r="U150" s="15"/>
    </row>
    <row r="151" spans="6:21" s="21" customFormat="1" ht="14.25" x14ac:dyDescent="0.45">
      <c r="F151" s="49">
        <v>41913</v>
      </c>
      <c r="G151" s="52">
        <v>145.41999999999999</v>
      </c>
      <c r="H151"/>
      <c r="I151"/>
      <c r="J151" s="106">
        <v>1.4476854156296664</v>
      </c>
      <c r="K151" s="53"/>
      <c r="L151" s="106">
        <v>1.4476854156296664</v>
      </c>
      <c r="M151" s="15"/>
      <c r="N151" s="15"/>
      <c r="O151" s="15"/>
      <c r="P151" s="15"/>
      <c r="Q151" s="15"/>
      <c r="R151" s="15"/>
      <c r="S151" s="15"/>
      <c r="T151" s="15"/>
      <c r="U151" s="15"/>
    </row>
    <row r="152" spans="6:21" s="21" customFormat="1" ht="14.25" x14ac:dyDescent="0.45">
      <c r="F152" s="49">
        <v>41944</v>
      </c>
      <c r="G152" s="52">
        <v>145.56</v>
      </c>
      <c r="H152"/>
      <c r="I152"/>
      <c r="J152" s="106">
        <v>1.4490791438526629</v>
      </c>
      <c r="K152" s="53"/>
      <c r="L152" s="106">
        <v>1.4490791438526629</v>
      </c>
      <c r="M152" s="15"/>
      <c r="N152" s="15"/>
      <c r="O152" s="15"/>
      <c r="P152" s="15"/>
      <c r="Q152" s="15"/>
      <c r="R152" s="15"/>
      <c r="S152" s="15"/>
      <c r="T152" s="15"/>
      <c r="U152" s="15"/>
    </row>
    <row r="153" spans="6:21" s="21" customFormat="1" ht="14.25" x14ac:dyDescent="0.45">
      <c r="F153" s="49">
        <v>41974</v>
      </c>
      <c r="G153" s="52">
        <v>146.21</v>
      </c>
      <c r="H153"/>
      <c r="I153"/>
      <c r="J153" s="106">
        <v>1.455550024888004</v>
      </c>
      <c r="K153" s="53"/>
      <c r="L153" s="106">
        <v>1.455550024888004</v>
      </c>
      <c r="M153" s="15"/>
      <c r="N153" s="15"/>
      <c r="O153" s="15"/>
      <c r="P153" s="15"/>
      <c r="Q153" s="15"/>
      <c r="R153" s="15"/>
      <c r="S153" s="15"/>
      <c r="T153" s="15"/>
      <c r="U153" s="15"/>
    </row>
    <row r="154" spans="6:21" s="21" customFormat="1" ht="14.25" x14ac:dyDescent="0.45">
      <c r="F154" s="49">
        <v>42005</v>
      </c>
      <c r="G154" s="52">
        <v>144.96</v>
      </c>
      <c r="H154"/>
      <c r="I154"/>
      <c r="J154" s="106">
        <v>1.4431060228969637</v>
      </c>
      <c r="K154" s="53"/>
      <c r="L154" s="106">
        <v>1.4431060228969637</v>
      </c>
      <c r="M154" s="15"/>
      <c r="N154" s="15"/>
      <c r="O154" s="15"/>
      <c r="P154" s="15"/>
      <c r="Q154" s="15"/>
      <c r="R154" s="15"/>
      <c r="S154" s="15"/>
      <c r="T154" s="15"/>
      <c r="U154" s="15"/>
    </row>
    <row r="155" spans="6:21" s="21" customFormat="1" ht="14.25" x14ac:dyDescent="0.45">
      <c r="F155" s="49">
        <v>42036</v>
      </c>
      <c r="G155" s="52">
        <v>143.97999999999999</v>
      </c>
      <c r="H155"/>
      <c r="I155"/>
      <c r="J155" s="106">
        <v>1.4333499253359878</v>
      </c>
      <c r="K155" s="53"/>
      <c r="L155" s="106">
        <v>1.4333499253359878</v>
      </c>
      <c r="M155" s="15"/>
      <c r="N155" s="15"/>
      <c r="O155" s="15"/>
      <c r="P155" s="15"/>
      <c r="Q155" s="15"/>
      <c r="R155" s="15"/>
      <c r="S155" s="15"/>
      <c r="T155" s="15"/>
      <c r="U155" s="15"/>
    </row>
    <row r="156" spans="6:21" s="21" customFormat="1" ht="14.25" x14ac:dyDescent="0.45">
      <c r="F156" s="49">
        <v>42064</v>
      </c>
      <c r="G156" s="52">
        <v>143.72999999999999</v>
      </c>
      <c r="H156"/>
      <c r="I156"/>
      <c r="J156" s="106">
        <v>1.4308611249377798</v>
      </c>
      <c r="K156" s="53"/>
      <c r="L156" s="106">
        <v>1.4308611249377798</v>
      </c>
      <c r="M156" s="15"/>
      <c r="N156" s="15"/>
      <c r="O156" s="15"/>
      <c r="P156" s="15"/>
      <c r="Q156" s="15"/>
      <c r="R156" s="15"/>
      <c r="S156" s="15"/>
      <c r="T156" s="15"/>
      <c r="U156" s="15"/>
    </row>
    <row r="157" spans="6:21" s="21" customFormat="1" ht="14.25" x14ac:dyDescent="0.45">
      <c r="F157" s="49">
        <v>42095</v>
      </c>
      <c r="G157" s="52">
        <v>142.38</v>
      </c>
      <c r="H157"/>
      <c r="I157"/>
      <c r="J157" s="106">
        <v>1.4174216027874564</v>
      </c>
      <c r="K157" s="53"/>
      <c r="L157" s="106">
        <v>1.4174216027874564</v>
      </c>
      <c r="M157" s="15"/>
      <c r="N157" s="15"/>
      <c r="O157" s="15"/>
      <c r="P157" s="15"/>
      <c r="Q157" s="15"/>
      <c r="R157" s="15"/>
      <c r="S157" s="15"/>
      <c r="T157" s="15"/>
      <c r="U157" s="15"/>
    </row>
    <row r="158" spans="6:21" s="21" customFormat="1" ht="14.25" x14ac:dyDescent="0.45">
      <c r="F158" s="49">
        <v>42125</v>
      </c>
      <c r="G158" s="52">
        <v>141.08000000000001</v>
      </c>
      <c r="H158"/>
      <c r="I158"/>
      <c r="J158" s="106">
        <v>1.4044798407167747</v>
      </c>
      <c r="K158" s="53"/>
      <c r="L158" s="106">
        <v>1.4044798407167747</v>
      </c>
      <c r="M158" s="15"/>
      <c r="N158" s="15"/>
      <c r="O158" s="15"/>
      <c r="P158" s="15"/>
      <c r="Q158" s="15"/>
      <c r="R158" s="15"/>
      <c r="S158" s="15"/>
      <c r="T158" s="15"/>
      <c r="U158" s="15"/>
    </row>
    <row r="159" spans="6:21" s="21" customFormat="1" ht="14.25" x14ac:dyDescent="0.45">
      <c r="F159" s="49">
        <v>42156</v>
      </c>
      <c r="G159" s="52">
        <v>139.58000000000001</v>
      </c>
      <c r="H159"/>
      <c r="I159"/>
      <c r="J159" s="106">
        <v>1.3895470383275261</v>
      </c>
      <c r="K159" s="53"/>
      <c r="L159" s="106">
        <v>1.3895470383275261</v>
      </c>
      <c r="M159" s="15"/>
      <c r="N159" s="15"/>
      <c r="O159" s="15"/>
      <c r="P159" s="15"/>
      <c r="Q159" s="15"/>
      <c r="R159" s="15"/>
      <c r="S159" s="15"/>
      <c r="T159" s="15"/>
      <c r="U159" s="15"/>
    </row>
    <row r="160" spans="6:21" s="21" customFormat="1" ht="14.25" x14ac:dyDescent="0.45">
      <c r="F160" s="49">
        <v>42186</v>
      </c>
      <c r="G160" s="52">
        <v>138.66999999999999</v>
      </c>
      <c r="H160"/>
      <c r="I160"/>
      <c r="J160" s="106">
        <v>1.3804878048780487</v>
      </c>
      <c r="K160" s="53"/>
      <c r="L160" s="106">
        <v>1.3804878048780487</v>
      </c>
      <c r="M160" s="15"/>
      <c r="N160" s="15"/>
      <c r="O160" s="15"/>
      <c r="P160" s="15"/>
      <c r="Q160" s="15"/>
      <c r="R160" s="15"/>
      <c r="S160" s="15"/>
      <c r="T160" s="15"/>
      <c r="U160" s="15"/>
    </row>
    <row r="161" spans="6:21" s="21" customFormat="1" ht="14.25" x14ac:dyDescent="0.45">
      <c r="F161" s="49">
        <v>42217</v>
      </c>
      <c r="G161" s="52">
        <v>138.93</v>
      </c>
      <c r="H161"/>
      <c r="I161"/>
      <c r="J161" s="106">
        <v>1.3830761572921852</v>
      </c>
      <c r="K161" s="53"/>
      <c r="L161" s="106">
        <v>1.3830761572921852</v>
      </c>
      <c r="M161" s="15"/>
      <c r="N161" s="15"/>
      <c r="O161" s="15"/>
      <c r="P161" s="15"/>
      <c r="Q161" s="15"/>
      <c r="R161" s="15"/>
      <c r="S161" s="15"/>
      <c r="T161" s="15"/>
      <c r="U161" s="15"/>
    </row>
    <row r="162" spans="6:21" s="21" customFormat="1" ht="14.25" x14ac:dyDescent="0.45">
      <c r="F162" s="49">
        <v>42248</v>
      </c>
      <c r="G162" s="52">
        <v>137.57</v>
      </c>
      <c r="H162"/>
      <c r="I162"/>
      <c r="J162" s="106">
        <v>1.3695370831259333</v>
      </c>
      <c r="K162" s="53"/>
      <c r="L162" s="106">
        <v>1.3695370831259333</v>
      </c>
      <c r="M162" s="15"/>
      <c r="N162" s="15"/>
      <c r="O162" s="15"/>
      <c r="P162" s="15"/>
      <c r="Q162" s="15"/>
      <c r="R162" s="15"/>
      <c r="S162" s="15"/>
      <c r="T162" s="15"/>
      <c r="U162" s="15"/>
    </row>
    <row r="163" spans="6:21" s="21" customFormat="1" ht="14.25" x14ac:dyDescent="0.45">
      <c r="F163" s="49">
        <v>42278</v>
      </c>
      <c r="G163" s="52">
        <v>138.51</v>
      </c>
      <c r="H163"/>
      <c r="I163"/>
      <c r="J163" s="106">
        <v>1.3788949726231954</v>
      </c>
      <c r="K163" s="53"/>
      <c r="L163" s="106">
        <v>1.3788949726231954</v>
      </c>
      <c r="M163" s="15"/>
      <c r="N163" s="15"/>
      <c r="O163" s="15"/>
      <c r="P163" s="15"/>
      <c r="Q163" s="15"/>
      <c r="R163" s="15"/>
      <c r="S163" s="15"/>
      <c r="T163" s="15"/>
      <c r="U163" s="15"/>
    </row>
    <row r="164" spans="6:21" s="21" customFormat="1" ht="14.25" x14ac:dyDescent="0.45">
      <c r="F164" s="49">
        <v>42309</v>
      </c>
      <c r="G164" s="52">
        <v>136.68</v>
      </c>
      <c r="H164"/>
      <c r="I164"/>
      <c r="J164" s="106">
        <v>1.3606769537083125</v>
      </c>
      <c r="K164" s="53"/>
      <c r="L164" s="106">
        <v>1.3606769537083125</v>
      </c>
      <c r="M164" s="15"/>
      <c r="N164" s="15"/>
      <c r="O164" s="15"/>
      <c r="P164" s="15"/>
      <c r="Q164" s="15"/>
      <c r="R164" s="15"/>
      <c r="S164" s="15"/>
      <c r="T164" s="15"/>
      <c r="U164" s="15"/>
    </row>
    <row r="165" spans="6:21" s="21" customFormat="1" ht="14.25" x14ac:dyDescent="0.45">
      <c r="F165" s="49">
        <v>42339</v>
      </c>
      <c r="G165" s="52">
        <v>136.31</v>
      </c>
      <c r="H165"/>
      <c r="I165"/>
      <c r="J165" s="106">
        <v>1.3569935291189645</v>
      </c>
      <c r="K165" s="53"/>
      <c r="L165" s="106">
        <v>1.3569935291189645</v>
      </c>
      <c r="M165" s="15"/>
      <c r="N165" s="15"/>
      <c r="O165" s="15"/>
      <c r="P165" s="15"/>
      <c r="Q165" s="15"/>
      <c r="R165" s="15"/>
      <c r="S165" s="15"/>
      <c r="T165" s="15"/>
      <c r="U165" s="15"/>
    </row>
    <row r="166" spans="6:21" s="21" customFormat="1" ht="14.25" x14ac:dyDescent="0.45">
      <c r="F166" s="49">
        <v>42370</v>
      </c>
      <c r="G166" s="52">
        <v>135.52000000000001</v>
      </c>
      <c r="H166"/>
      <c r="I166"/>
      <c r="J166" s="106">
        <v>1.3491289198606273</v>
      </c>
      <c r="K166" s="53"/>
      <c r="L166" s="106">
        <v>1.3491289198606273</v>
      </c>
      <c r="M166" s="15"/>
      <c r="N166" s="15"/>
      <c r="O166" s="15"/>
      <c r="P166" s="15"/>
      <c r="Q166" s="15"/>
      <c r="R166" s="15"/>
      <c r="S166" s="15"/>
      <c r="T166" s="15"/>
      <c r="U166" s="15"/>
    </row>
    <row r="167" spans="6:21" s="21" customFormat="1" ht="14.25" x14ac:dyDescent="0.45">
      <c r="F167" s="49">
        <v>42401</v>
      </c>
      <c r="G167" s="52">
        <v>135.51</v>
      </c>
      <c r="H167"/>
      <c r="I167"/>
      <c r="J167" s="106">
        <v>1.3490293678446987</v>
      </c>
      <c r="K167" s="53"/>
      <c r="L167" s="106">
        <v>1.3490293678446987</v>
      </c>
      <c r="M167" s="15"/>
      <c r="N167" s="15"/>
      <c r="O167" s="15"/>
      <c r="P167" s="15"/>
      <c r="Q167" s="15"/>
      <c r="R167" s="15"/>
      <c r="S167" s="15"/>
      <c r="T167" s="15"/>
      <c r="U167" s="15"/>
    </row>
    <row r="168" spans="6:21" s="21" customFormat="1" ht="14.25" x14ac:dyDescent="0.45">
      <c r="F168" s="49">
        <v>42430</v>
      </c>
      <c r="G168" s="52">
        <v>134.61000000000001</v>
      </c>
      <c r="H168"/>
      <c r="I168"/>
      <c r="J168" s="106">
        <v>1.3400696864111499</v>
      </c>
      <c r="K168" s="53"/>
      <c r="L168" s="106">
        <v>1.3400696864111499</v>
      </c>
      <c r="M168" s="15"/>
      <c r="N168" s="15"/>
      <c r="O168" s="15"/>
      <c r="P168" s="15"/>
      <c r="Q168" s="15"/>
      <c r="R168" s="15"/>
      <c r="S168" s="15"/>
      <c r="T168" s="15"/>
      <c r="U168" s="15"/>
    </row>
    <row r="169" spans="6:21" s="21" customFormat="1" ht="14.25" x14ac:dyDescent="0.45">
      <c r="F169" s="49">
        <v>42461</v>
      </c>
      <c r="G169" s="52">
        <v>134.72999999999999</v>
      </c>
      <c r="H169"/>
      <c r="I169"/>
      <c r="J169" s="106">
        <v>1.3412643106022895</v>
      </c>
      <c r="K169" s="53"/>
      <c r="L169" s="106">
        <v>1.3412643106022895</v>
      </c>
      <c r="M169" s="15"/>
      <c r="N169" s="15"/>
      <c r="O169" s="15"/>
      <c r="P169" s="15"/>
      <c r="Q169" s="15"/>
      <c r="R169" s="15"/>
      <c r="S169" s="15"/>
      <c r="T169" s="15"/>
      <c r="U169" s="15"/>
    </row>
    <row r="170" spans="6:21" s="21" customFormat="1" ht="14.25" x14ac:dyDescent="0.45">
      <c r="F170" s="49">
        <v>42491</v>
      </c>
      <c r="G170" s="52">
        <v>134.29</v>
      </c>
      <c r="H170"/>
      <c r="I170"/>
      <c r="J170" s="106">
        <v>1.3368840219014433</v>
      </c>
      <c r="K170" s="53"/>
      <c r="L170" s="106">
        <v>1.3368840219014433</v>
      </c>
      <c r="M170" s="15"/>
      <c r="N170" s="15"/>
      <c r="O170" s="15"/>
      <c r="P170" s="15"/>
      <c r="Q170" s="15"/>
      <c r="R170" s="15"/>
      <c r="S170" s="15"/>
      <c r="T170" s="15"/>
      <c r="U170" s="15"/>
    </row>
    <row r="171" spans="6:21" s="21" customFormat="1" ht="14.25" x14ac:dyDescent="0.45">
      <c r="F171" s="49">
        <v>42522</v>
      </c>
      <c r="G171" s="52">
        <v>134.84</v>
      </c>
      <c r="H171"/>
      <c r="I171"/>
      <c r="J171" s="106">
        <v>1.3423593827775013</v>
      </c>
      <c r="K171" s="53"/>
      <c r="L171" s="106">
        <v>1.3423593827775013</v>
      </c>
      <c r="M171" s="15"/>
      <c r="N171" s="15"/>
      <c r="O171" s="15"/>
      <c r="P171" s="15"/>
      <c r="Q171" s="15"/>
      <c r="R171" s="15"/>
      <c r="S171" s="15"/>
      <c r="T171" s="15"/>
      <c r="U171" s="15"/>
    </row>
    <row r="172" spans="6:21" s="21" customFormat="1" ht="14.25" x14ac:dyDescent="0.45">
      <c r="F172" s="49">
        <v>42552</v>
      </c>
      <c r="G172" s="52">
        <v>134.61000000000001</v>
      </c>
      <c r="H172"/>
      <c r="I172"/>
      <c r="J172" s="106">
        <v>1.3400696864111499</v>
      </c>
      <c r="K172" s="53"/>
      <c r="L172" s="106">
        <v>1.3400696864111499</v>
      </c>
      <c r="M172" s="15"/>
      <c r="N172" s="15"/>
      <c r="O172" s="15"/>
      <c r="P172" s="15"/>
      <c r="Q172" s="15"/>
      <c r="R172" s="15"/>
      <c r="S172" s="15"/>
      <c r="T172" s="15"/>
      <c r="U172" s="15"/>
    </row>
    <row r="173" spans="6:21" s="21" customFormat="1" ht="14.25" x14ac:dyDescent="0.45">
      <c r="F173" s="49">
        <v>42583</v>
      </c>
      <c r="G173" s="52">
        <v>134</v>
      </c>
      <c r="H173"/>
      <c r="I173"/>
      <c r="J173" s="106">
        <v>1.333997013439522</v>
      </c>
      <c r="K173" s="53"/>
      <c r="L173" s="106">
        <v>1.333997013439522</v>
      </c>
      <c r="M173" s="15"/>
      <c r="N173" s="15"/>
      <c r="O173" s="15"/>
      <c r="P173" s="15"/>
      <c r="Q173" s="15"/>
      <c r="R173" s="15"/>
      <c r="S173" s="15"/>
      <c r="T173" s="15"/>
      <c r="U173" s="15"/>
    </row>
    <row r="174" spans="6:21" s="21" customFormat="1" ht="14.25" x14ac:dyDescent="0.45">
      <c r="F174" s="49">
        <v>42614</v>
      </c>
      <c r="G174" s="52">
        <v>133.75</v>
      </c>
      <c r="H174"/>
      <c r="I174"/>
      <c r="J174" s="106">
        <v>1.3315082130413141</v>
      </c>
      <c r="K174" s="53"/>
      <c r="L174" s="106">
        <v>1.3315082130413141</v>
      </c>
      <c r="M174" s="15"/>
      <c r="N174" s="15"/>
      <c r="O174" s="15"/>
      <c r="P174" s="15"/>
      <c r="Q174" s="15"/>
      <c r="R174" s="15"/>
      <c r="S174" s="15"/>
      <c r="T174" s="15"/>
      <c r="U174" s="15"/>
    </row>
    <row r="175" spans="6:21" s="21" customFormat="1" ht="14.25" x14ac:dyDescent="0.45">
      <c r="F175" s="49">
        <v>42644</v>
      </c>
      <c r="G175" s="52">
        <v>133.30000000000001</v>
      </c>
      <c r="H175"/>
      <c r="I175"/>
      <c r="J175" s="106">
        <v>1.3270283723245397</v>
      </c>
      <c r="K175" s="53"/>
      <c r="L175" s="106">
        <v>1.3270283723245397</v>
      </c>
      <c r="M175" s="15"/>
      <c r="N175" s="15"/>
      <c r="O175" s="15"/>
      <c r="P175" s="15"/>
      <c r="Q175" s="15"/>
      <c r="R175" s="15"/>
      <c r="S175" s="15"/>
      <c r="T175" s="15"/>
      <c r="U175" s="15"/>
    </row>
    <row r="176" spans="6:21" s="21" customFormat="1" ht="14.25" x14ac:dyDescent="0.45">
      <c r="F176" s="49">
        <v>42675</v>
      </c>
      <c r="G176" s="52">
        <v>133.02000000000001</v>
      </c>
      <c r="H176"/>
      <c r="I176"/>
      <c r="J176" s="106">
        <v>1.3242409158785466</v>
      </c>
      <c r="K176" s="53"/>
      <c r="L176" s="106">
        <v>1.3242409158785466</v>
      </c>
      <c r="M176" s="15"/>
      <c r="N176" s="15"/>
      <c r="O176" s="15"/>
      <c r="P176" s="15"/>
      <c r="Q176" s="15"/>
      <c r="R176" s="15"/>
      <c r="S176" s="15"/>
      <c r="T176" s="15"/>
      <c r="U176" s="15"/>
    </row>
    <row r="177" spans="6:21" s="21" customFormat="1" ht="14.25" x14ac:dyDescent="0.45">
      <c r="F177" s="49">
        <v>42705</v>
      </c>
      <c r="G177" s="52">
        <v>132.36000000000001</v>
      </c>
      <c r="H177"/>
      <c r="I177"/>
      <c r="J177" s="106">
        <v>1.3176704828272774</v>
      </c>
      <c r="K177" s="53"/>
      <c r="L177" s="106">
        <v>1.3176704828272774</v>
      </c>
      <c r="M177" s="15"/>
      <c r="N177" s="15"/>
      <c r="O177" s="15"/>
      <c r="P177" s="15"/>
      <c r="Q177" s="15"/>
      <c r="R177" s="15"/>
      <c r="S177" s="15"/>
      <c r="T177" s="15"/>
      <c r="U177" s="15"/>
    </row>
    <row r="178" spans="6:21" s="21" customFormat="1" ht="14.25" x14ac:dyDescent="0.45">
      <c r="F178" s="49">
        <v>42736</v>
      </c>
      <c r="G178" s="52">
        <v>133.37</v>
      </c>
      <c r="H178"/>
      <c r="I178"/>
      <c r="J178" s="106">
        <v>1.3277252364360379</v>
      </c>
      <c r="K178" s="53"/>
      <c r="L178" s="106">
        <v>1.3277252364360379</v>
      </c>
      <c r="M178" s="15"/>
      <c r="N178" s="15"/>
      <c r="O178" s="15"/>
      <c r="P178" s="15"/>
      <c r="Q178" s="15"/>
      <c r="R178" s="15"/>
      <c r="S178" s="15"/>
      <c r="T178" s="15"/>
      <c r="U178" s="15"/>
    </row>
    <row r="179" spans="6:21" s="21" customFormat="1" ht="14.25" x14ac:dyDescent="0.45">
      <c r="F179" s="49">
        <v>42767</v>
      </c>
      <c r="G179" s="52">
        <v>135.4</v>
      </c>
      <c r="H179"/>
      <c r="I179"/>
      <c r="J179" s="106">
        <v>1.3479342956694873</v>
      </c>
      <c r="K179" s="53"/>
      <c r="L179" s="106">
        <v>1.3479342956694873</v>
      </c>
      <c r="M179" s="15"/>
      <c r="N179" s="15"/>
      <c r="O179" s="15"/>
      <c r="P179" s="15"/>
      <c r="Q179" s="15"/>
      <c r="R179" s="15"/>
      <c r="S179" s="15"/>
      <c r="T179" s="15"/>
      <c r="U179" s="15"/>
    </row>
    <row r="180" spans="6:21" s="21" customFormat="1" ht="14.25" x14ac:dyDescent="0.45">
      <c r="F180" s="49">
        <v>42795</v>
      </c>
      <c r="G180" s="52">
        <v>135.65</v>
      </c>
      <c r="H180"/>
      <c r="I180"/>
      <c r="J180" s="106">
        <v>1.3504230960676953</v>
      </c>
      <c r="K180" s="53"/>
      <c r="L180" s="106">
        <v>1.3504230960676953</v>
      </c>
      <c r="M180" s="15"/>
      <c r="N180" s="15"/>
      <c r="O180" s="15"/>
      <c r="P180" s="15"/>
      <c r="Q180" s="15"/>
      <c r="R180" s="15"/>
      <c r="S180" s="15"/>
      <c r="T180" s="15"/>
      <c r="U180" s="15"/>
    </row>
    <row r="181" spans="6:21" s="21" customFormat="1" ht="14.25" x14ac:dyDescent="0.45">
      <c r="F181" s="49">
        <v>42826</v>
      </c>
      <c r="G181" s="52">
        <v>135.77000000000001</v>
      </c>
      <c r="H181"/>
      <c r="I181"/>
      <c r="J181" s="106">
        <v>1.3516177202588353</v>
      </c>
      <c r="K181" s="53"/>
      <c r="L181" s="106">
        <v>1.3516177202588353</v>
      </c>
      <c r="M181" s="15"/>
      <c r="N181" s="15"/>
      <c r="O181" s="15"/>
      <c r="P181" s="15"/>
      <c r="Q181" s="15"/>
      <c r="R181" s="15"/>
      <c r="S181" s="15"/>
      <c r="T181" s="15"/>
      <c r="U181" s="15"/>
    </row>
    <row r="182" spans="6:21" s="21" customFormat="1" ht="14.25" x14ac:dyDescent="0.45">
      <c r="F182" s="49">
        <v>42856</v>
      </c>
      <c r="G182" s="52">
        <v>135.16999999999999</v>
      </c>
      <c r="H182"/>
      <c r="I182"/>
      <c r="J182" s="106">
        <v>1.3456445993031356</v>
      </c>
      <c r="K182" s="53"/>
      <c r="L182" s="106">
        <v>1.3456445993031356</v>
      </c>
      <c r="M182" s="15"/>
      <c r="N182" s="15"/>
      <c r="O182" s="15"/>
      <c r="P182" s="15"/>
      <c r="Q182" s="15"/>
      <c r="R182" s="15"/>
      <c r="S182" s="15"/>
      <c r="T182" s="15"/>
      <c r="U182" s="15"/>
    </row>
    <row r="183" spans="6:21" s="21" customFormat="1" ht="14.25" x14ac:dyDescent="0.45">
      <c r="F183" s="49">
        <v>42887</v>
      </c>
      <c r="G183" s="52">
        <v>136.04</v>
      </c>
      <c r="H183"/>
      <c r="I183"/>
      <c r="J183" s="106">
        <v>1.3543056246888998</v>
      </c>
      <c r="K183" s="53"/>
      <c r="L183" s="106">
        <v>1.3543056246888998</v>
      </c>
      <c r="M183" s="15"/>
      <c r="N183" s="15"/>
      <c r="O183" s="15"/>
      <c r="P183" s="15"/>
      <c r="Q183" s="15"/>
      <c r="R183" s="15"/>
      <c r="S183" s="15"/>
      <c r="T183" s="15"/>
      <c r="U183" s="15"/>
    </row>
    <row r="184" spans="6:21" s="21" customFormat="1" ht="14.25" x14ac:dyDescent="0.45">
      <c r="F184" s="49">
        <v>42917</v>
      </c>
      <c r="G184" s="52">
        <v>136.49</v>
      </c>
      <c r="H184"/>
      <c r="I184"/>
      <c r="J184" s="106">
        <v>1.3587854654056746</v>
      </c>
      <c r="K184" s="53"/>
      <c r="L184" s="106">
        <v>1.3587854654056746</v>
      </c>
      <c r="M184" s="15"/>
      <c r="N184" s="15"/>
      <c r="O184" s="15"/>
      <c r="P184" s="15"/>
      <c r="Q184" s="15"/>
      <c r="R184" s="15"/>
      <c r="S184" s="15"/>
      <c r="T184" s="15"/>
      <c r="U184" s="15"/>
    </row>
    <row r="185" spans="6:21" s="21" customFormat="1" ht="14.25" x14ac:dyDescent="0.45">
      <c r="F185" s="49">
        <v>42948</v>
      </c>
      <c r="G185" s="52">
        <v>135.81</v>
      </c>
      <c r="H185"/>
      <c r="I185"/>
      <c r="J185" s="106">
        <v>1.3520159283225486</v>
      </c>
      <c r="K185" s="53"/>
      <c r="L185" s="106">
        <v>1.3520159283225486</v>
      </c>
      <c r="M185" s="15"/>
      <c r="N185" s="15"/>
      <c r="O185" s="15"/>
      <c r="P185" s="15"/>
      <c r="Q185" s="15"/>
      <c r="R185" s="15"/>
      <c r="S185" s="15"/>
      <c r="T185" s="15"/>
      <c r="U185" s="15"/>
    </row>
    <row r="186" spans="6:21" s="21" customFormat="1" ht="14.25" x14ac:dyDescent="0.45">
      <c r="F186" s="49">
        <v>42979</v>
      </c>
      <c r="G186" s="52">
        <v>135.49</v>
      </c>
      <c r="H186"/>
      <c r="I186"/>
      <c r="J186" s="106">
        <v>1.3488302638128422</v>
      </c>
      <c r="K186" s="53"/>
      <c r="L186" s="106">
        <v>1.3488302638128422</v>
      </c>
      <c r="M186" s="15"/>
      <c r="N186" s="15"/>
      <c r="O186" s="15"/>
      <c r="P186" s="15"/>
      <c r="Q186" s="15"/>
      <c r="R186" s="15"/>
      <c r="S186" s="15"/>
      <c r="T186" s="15"/>
      <c r="U186" s="15"/>
    </row>
    <row r="187" spans="6:21" s="21" customFormat="1" ht="14.25" x14ac:dyDescent="0.45">
      <c r="F187" s="49">
        <v>43009</v>
      </c>
      <c r="G187" s="52">
        <v>135.77000000000001</v>
      </c>
      <c r="H187"/>
      <c r="I187"/>
      <c r="J187" s="106">
        <v>1.3516177202588353</v>
      </c>
      <c r="K187" s="53"/>
      <c r="L187" s="106">
        <v>1.3516177202588353</v>
      </c>
      <c r="M187" s="15"/>
      <c r="N187" s="15"/>
      <c r="O187" s="15"/>
      <c r="P187" s="15"/>
      <c r="Q187" s="15"/>
      <c r="R187" s="15"/>
      <c r="S187" s="15"/>
      <c r="T187" s="15"/>
      <c r="U187" s="15"/>
    </row>
    <row r="188" spans="6:21" s="21" customFormat="1" ht="14.25" x14ac:dyDescent="0.45">
      <c r="F188" s="49">
        <v>43040</v>
      </c>
      <c r="G188" s="52">
        <v>135.57</v>
      </c>
      <c r="H188"/>
      <c r="I188"/>
      <c r="J188" s="106">
        <v>1.3496266799402687</v>
      </c>
      <c r="K188" s="53"/>
      <c r="L188" s="106">
        <v>1.3496266799402687</v>
      </c>
      <c r="M188" s="15"/>
      <c r="N188" s="15"/>
      <c r="O188" s="15"/>
      <c r="P188" s="15"/>
      <c r="Q188" s="15"/>
      <c r="R188" s="15"/>
      <c r="S188" s="15"/>
      <c r="T188" s="15"/>
      <c r="U188" s="15"/>
    </row>
    <row r="189" spans="6:21" s="21" customFormat="1" ht="14.25" x14ac:dyDescent="0.45">
      <c r="F189" s="49">
        <v>43070</v>
      </c>
      <c r="G189" s="52">
        <v>137.43</v>
      </c>
      <c r="H189"/>
      <c r="I189"/>
      <c r="J189" s="106">
        <v>1.3681433549029367</v>
      </c>
      <c r="K189" s="53"/>
      <c r="L189" s="106">
        <v>1.3681433549029367</v>
      </c>
      <c r="M189" s="15"/>
      <c r="N189" s="15"/>
      <c r="O189" s="15"/>
      <c r="P189" s="15"/>
      <c r="Q189" s="15"/>
      <c r="R189" s="15"/>
      <c r="S189" s="15"/>
      <c r="T189" s="15"/>
      <c r="U189" s="15"/>
    </row>
    <row r="190" spans="6:21" s="21" customFormat="1" ht="14.25" x14ac:dyDescent="0.45">
      <c r="F190" s="49">
        <v>43101</v>
      </c>
      <c r="G190" s="52">
        <v>136.85</v>
      </c>
      <c r="H190"/>
      <c r="I190"/>
      <c r="J190" s="106">
        <v>1.362369337979094</v>
      </c>
      <c r="K190" s="53"/>
      <c r="L190" s="106">
        <v>1.362369337979094</v>
      </c>
      <c r="M190" s="15"/>
      <c r="N190" s="15"/>
      <c r="O190" s="15"/>
      <c r="P190" s="15"/>
      <c r="Q190" s="15"/>
      <c r="R190" s="15"/>
      <c r="S190" s="15"/>
      <c r="T190" s="15"/>
      <c r="U190" s="15"/>
    </row>
    <row r="191" spans="6:21" s="21" customFormat="1" ht="14.25" x14ac:dyDescent="0.45">
      <c r="F191" s="49">
        <v>43132</v>
      </c>
      <c r="G191" s="52">
        <v>136.63999999999999</v>
      </c>
      <c r="H191"/>
      <c r="I191"/>
      <c r="J191" s="106">
        <v>1.3602787456445991</v>
      </c>
      <c r="K191" s="53"/>
      <c r="L191" s="106">
        <v>1.3602787456445991</v>
      </c>
      <c r="M191" s="15"/>
      <c r="N191" s="15"/>
      <c r="O191" s="15"/>
      <c r="P191" s="15"/>
      <c r="Q191" s="15"/>
      <c r="R191" s="15"/>
      <c r="S191" s="15"/>
      <c r="T191" s="15"/>
      <c r="U191" s="15"/>
    </row>
    <row r="192" spans="6:21" s="21" customFormat="1" ht="14.25" x14ac:dyDescent="0.45">
      <c r="F192" s="49">
        <v>43160</v>
      </c>
      <c r="G192" s="52">
        <v>137.26</v>
      </c>
      <c r="H192"/>
      <c r="I192"/>
      <c r="J192" s="106">
        <v>1.3664509706321553</v>
      </c>
      <c r="K192" s="53"/>
      <c r="L192" s="106">
        <v>1.3664509706321553</v>
      </c>
      <c r="M192" s="15"/>
      <c r="N192" s="15"/>
      <c r="O192" s="15"/>
      <c r="P192" s="15"/>
      <c r="Q192" s="15"/>
      <c r="R192" s="15"/>
      <c r="S192" s="15"/>
      <c r="T192" s="15"/>
      <c r="U192" s="15"/>
    </row>
    <row r="193" spans="6:21" s="21" customFormat="1" ht="14.25" x14ac:dyDescent="0.45">
      <c r="F193" s="49">
        <v>43191</v>
      </c>
      <c r="G193" s="52">
        <v>138.36000000000001</v>
      </c>
      <c r="H193"/>
      <c r="I193"/>
      <c r="J193" s="106">
        <v>1.3774016923842709</v>
      </c>
      <c r="K193" s="53"/>
      <c r="L193" s="106">
        <v>1.3774016923842709</v>
      </c>
      <c r="M193" s="15"/>
      <c r="N193" s="15"/>
      <c r="O193" s="15"/>
      <c r="P193" s="15"/>
      <c r="Q193" s="15"/>
      <c r="R193" s="15"/>
      <c r="S193" s="15"/>
      <c r="T193" s="15"/>
      <c r="U193" s="15"/>
    </row>
    <row r="194" spans="6:21" s="21" customFormat="1" ht="14.25" x14ac:dyDescent="0.45">
      <c r="F194" s="49">
        <v>43221</v>
      </c>
      <c r="G194" s="52">
        <v>133.38999999999999</v>
      </c>
      <c r="H194"/>
      <c r="I194"/>
      <c r="J194" s="106">
        <v>1.3279243404678942</v>
      </c>
      <c r="K194" s="53"/>
      <c r="L194" s="106">
        <v>1.3279243404678942</v>
      </c>
      <c r="M194" s="15"/>
      <c r="N194" s="15"/>
      <c r="O194" s="15"/>
      <c r="P194" s="15"/>
      <c r="Q194" s="15"/>
      <c r="R194" s="15"/>
      <c r="S194" s="15"/>
      <c r="T194" s="15"/>
      <c r="U194" s="15"/>
    </row>
    <row r="195" spans="6:21" s="21" customFormat="1" ht="14.25" x14ac:dyDescent="0.45">
      <c r="F195" s="49">
        <v>43252</v>
      </c>
      <c r="G195" s="52">
        <v>137.44</v>
      </c>
      <c r="H195"/>
      <c r="I195"/>
      <c r="J195" s="106">
        <v>1.3682429069188651</v>
      </c>
      <c r="K195" s="53"/>
      <c r="L195" s="106">
        <v>1.3682429069188651</v>
      </c>
      <c r="M195" s="15"/>
      <c r="N195" s="15"/>
      <c r="O195" s="15"/>
      <c r="P195" s="15"/>
      <c r="Q195" s="15"/>
      <c r="R195" s="15"/>
      <c r="S195" s="15"/>
      <c r="T195" s="15"/>
      <c r="U195" s="15"/>
    </row>
    <row r="196" spans="6:21" s="21" customFormat="1" ht="14.25" x14ac:dyDescent="0.45">
      <c r="F196" s="49">
        <v>43282</v>
      </c>
      <c r="G196" s="52">
        <v>138.04</v>
      </c>
      <c r="H196"/>
      <c r="I196"/>
      <c r="J196" s="106">
        <v>1.3742160278745643</v>
      </c>
      <c r="K196" s="53"/>
      <c r="L196" s="106">
        <v>1.3742160278745643</v>
      </c>
      <c r="M196" s="15"/>
      <c r="N196" s="15"/>
      <c r="O196" s="15"/>
      <c r="P196" s="15"/>
      <c r="Q196" s="15"/>
      <c r="R196" s="15"/>
      <c r="S196" s="15"/>
      <c r="T196" s="15"/>
      <c r="U196" s="15"/>
    </row>
    <row r="197" spans="6:21" s="21" customFormat="1" ht="14.25" x14ac:dyDescent="0.45">
      <c r="F197" s="49">
        <v>43313</v>
      </c>
      <c r="G197" s="52">
        <v>139.32</v>
      </c>
      <c r="H197"/>
      <c r="I197"/>
      <c r="J197" s="106">
        <v>1.3869586859133896</v>
      </c>
      <c r="K197" s="53"/>
      <c r="L197" s="106">
        <v>1.3869586859133896</v>
      </c>
      <c r="M197" s="15"/>
      <c r="N197" s="15"/>
      <c r="O197" s="15"/>
      <c r="P197" s="15"/>
      <c r="Q197" s="15"/>
      <c r="R197" s="15"/>
      <c r="S197" s="15"/>
      <c r="T197" s="15"/>
      <c r="U197" s="15"/>
    </row>
    <row r="198" spans="6:21" s="21" customFormat="1" ht="14.25" x14ac:dyDescent="0.45">
      <c r="F198" s="49">
        <v>43344</v>
      </c>
      <c r="G198" s="52">
        <v>137.99</v>
      </c>
      <c r="H198"/>
      <c r="I198"/>
      <c r="J198" s="106">
        <v>1.3737182677949229</v>
      </c>
      <c r="K198" s="53"/>
      <c r="L198" s="106">
        <v>1.3737182677949229</v>
      </c>
      <c r="M198" s="15"/>
      <c r="N198" s="15"/>
      <c r="O198" s="15"/>
      <c r="P198" s="15"/>
      <c r="Q198" s="15"/>
      <c r="R198" s="15"/>
      <c r="S198" s="15"/>
      <c r="T198" s="15"/>
      <c r="U198" s="15"/>
    </row>
    <row r="199" spans="6:21" s="21" customFormat="1" ht="14.25" x14ac:dyDescent="0.45">
      <c r="F199" s="49">
        <v>43374</v>
      </c>
      <c r="G199" s="52">
        <v>138.06</v>
      </c>
      <c r="H199"/>
      <c r="I199"/>
      <c r="J199" s="106">
        <v>1.3744151319064211</v>
      </c>
      <c r="K199" s="53"/>
      <c r="L199" s="106">
        <v>1.3744151319064211</v>
      </c>
      <c r="M199" s="15"/>
      <c r="N199" s="15"/>
      <c r="O199" s="15"/>
      <c r="P199" s="15"/>
      <c r="Q199" s="15"/>
      <c r="R199" s="15"/>
      <c r="S199" s="15"/>
      <c r="T199" s="15"/>
      <c r="U199" s="15"/>
    </row>
    <row r="200" spans="6:21" s="21" customFormat="1" ht="14.25" x14ac:dyDescent="0.45">
      <c r="F200" s="49">
        <v>43405</v>
      </c>
      <c r="G200" s="52">
        <v>137.86000000000001</v>
      </c>
      <c r="H200"/>
      <c r="I200"/>
      <c r="J200" s="106">
        <v>1.3724240915878547</v>
      </c>
      <c r="K200" s="53"/>
      <c r="L200" s="106">
        <v>1.3724240915878547</v>
      </c>
      <c r="M200" s="15"/>
      <c r="N200" s="15"/>
      <c r="O200" s="15"/>
      <c r="P200" s="15"/>
      <c r="Q200" s="15"/>
      <c r="R200" s="15"/>
      <c r="S200" s="15"/>
      <c r="T200" s="15"/>
      <c r="U200" s="15"/>
    </row>
    <row r="201" spans="6:21" s="21" customFormat="1" ht="14.25" x14ac:dyDescent="0.45">
      <c r="F201" s="49">
        <v>43435</v>
      </c>
      <c r="G201" s="52">
        <v>138.53</v>
      </c>
      <c r="H201"/>
      <c r="I201"/>
      <c r="J201" s="106">
        <v>1.3790940766550523</v>
      </c>
      <c r="K201" s="53"/>
      <c r="L201" s="106">
        <v>1.3790940766550523</v>
      </c>
      <c r="M201" s="15"/>
      <c r="N201" s="15"/>
      <c r="O201" s="15"/>
      <c r="P201" s="15"/>
      <c r="Q201" s="15"/>
      <c r="R201" s="15"/>
      <c r="S201" s="15"/>
      <c r="T201" s="15"/>
      <c r="U201" s="15"/>
    </row>
    <row r="202" spans="6:21" s="21" customFormat="1" ht="14.25" x14ac:dyDescent="0.45">
      <c r="F202" s="49">
        <v>43466</v>
      </c>
      <c r="G202" s="52">
        <v>138.47999999999999</v>
      </c>
      <c r="H202"/>
      <c r="I202"/>
      <c r="J202" s="106">
        <v>1.3785963165754105</v>
      </c>
      <c r="K202" s="53"/>
      <c r="L202" s="106">
        <v>1.3785963165754105</v>
      </c>
      <c r="M202" s="15"/>
      <c r="N202" s="15"/>
      <c r="O202" s="15"/>
      <c r="P202" s="15"/>
      <c r="Q202" s="15"/>
      <c r="R202" s="15"/>
      <c r="S202" s="15"/>
      <c r="T202" s="15"/>
      <c r="U202" s="15"/>
    </row>
    <row r="203" spans="6:21" s="21" customFormat="1" ht="14.25" x14ac:dyDescent="0.45">
      <c r="F203" s="49">
        <v>43497</v>
      </c>
      <c r="G203" s="52">
        <v>137.38</v>
      </c>
      <c r="H203"/>
      <c r="I203"/>
      <c r="J203" s="106">
        <v>1.3676455948232951</v>
      </c>
      <c r="K203" s="53"/>
      <c r="L203" s="106">
        <v>1.3676455948232951</v>
      </c>
      <c r="M203" s="15"/>
      <c r="N203" s="15"/>
      <c r="O203" s="15"/>
      <c r="P203" s="15"/>
      <c r="Q203" s="15"/>
      <c r="R203" s="15"/>
      <c r="S203" s="15"/>
      <c r="T203" s="15"/>
      <c r="U203" s="15"/>
    </row>
    <row r="204" spans="6:21" s="21" customFormat="1" ht="14.25" x14ac:dyDescent="0.45">
      <c r="F204" s="49">
        <v>43525</v>
      </c>
      <c r="G204" s="52">
        <v>138.41999999999999</v>
      </c>
      <c r="H204"/>
      <c r="I204"/>
      <c r="J204" s="106">
        <v>1.3779990044798405</v>
      </c>
      <c r="K204" s="53"/>
      <c r="L204" s="106">
        <v>1.3779990044798405</v>
      </c>
      <c r="M204" s="15"/>
      <c r="N204" s="15"/>
      <c r="O204" s="15"/>
      <c r="P204" s="15"/>
      <c r="Q204" s="15"/>
      <c r="R204" s="15"/>
      <c r="S204" s="15"/>
      <c r="T204" s="15"/>
      <c r="U204" s="15"/>
    </row>
    <row r="205" spans="6:21" s="21" customFormat="1" ht="14.25" x14ac:dyDescent="0.45">
      <c r="F205" s="49">
        <v>43556</v>
      </c>
      <c r="G205" s="52">
        <v>138.09</v>
      </c>
      <c r="H205"/>
      <c r="I205"/>
      <c r="J205" s="106">
        <v>1.374713787954206</v>
      </c>
      <c r="K205" s="53"/>
      <c r="L205" s="106">
        <v>1.374713787954206</v>
      </c>
      <c r="M205" s="15"/>
      <c r="N205" s="15"/>
      <c r="O205" s="15"/>
      <c r="P205" s="15"/>
      <c r="Q205" s="15"/>
      <c r="R205" s="15"/>
      <c r="S205" s="15"/>
      <c r="T205" s="15"/>
      <c r="U205" s="15"/>
    </row>
    <row r="206" spans="6:21" s="21" customFormat="1" ht="14.25" x14ac:dyDescent="0.45">
      <c r="F206" s="49">
        <v>43586</v>
      </c>
      <c r="G206" s="52">
        <v>138.96</v>
      </c>
      <c r="H206"/>
      <c r="I206"/>
      <c r="J206" s="106">
        <v>1.3833748133399701</v>
      </c>
      <c r="K206" s="53"/>
      <c r="L206" s="106">
        <v>1.3833748133399701</v>
      </c>
      <c r="M206" s="15"/>
      <c r="N206" s="15"/>
      <c r="O206" s="15"/>
      <c r="P206" s="15"/>
      <c r="Q206" s="15"/>
      <c r="R206" s="15"/>
      <c r="S206" s="15"/>
      <c r="T206" s="15"/>
      <c r="U206" s="15"/>
    </row>
    <row r="207" spans="6:21" s="21" customFormat="1" ht="14.25" x14ac:dyDescent="0.45">
      <c r="F207" s="49">
        <v>43617</v>
      </c>
      <c r="G207" s="52">
        <v>138.99</v>
      </c>
      <c r="H207"/>
      <c r="I207"/>
      <c r="J207" s="106">
        <v>1.3836734693877553</v>
      </c>
      <c r="K207" s="53"/>
      <c r="L207" s="106">
        <v>1.3836734693877553</v>
      </c>
      <c r="M207" s="15"/>
      <c r="N207" s="15"/>
      <c r="O207" s="15"/>
      <c r="P207" s="15"/>
      <c r="Q207" s="15"/>
      <c r="R207" s="15"/>
      <c r="S207" s="15"/>
      <c r="T207" s="15"/>
      <c r="U207" s="15"/>
    </row>
    <row r="208" spans="6:21" s="21" customFormat="1" ht="14.25" x14ac:dyDescent="0.45">
      <c r="F208" s="49">
        <v>43647</v>
      </c>
      <c r="G208" s="52">
        <v>138.56</v>
      </c>
      <c r="H208"/>
      <c r="I208"/>
      <c r="J208" s="106">
        <v>1.3793927327028372</v>
      </c>
      <c r="K208" s="53"/>
      <c r="L208" s="106">
        <v>1.3793927327028372</v>
      </c>
      <c r="M208" s="15"/>
      <c r="N208" s="15"/>
      <c r="O208" s="15"/>
      <c r="P208" s="15"/>
      <c r="Q208" s="15"/>
      <c r="R208" s="15"/>
      <c r="S208" s="15"/>
      <c r="T208" s="15"/>
      <c r="U208" s="15"/>
    </row>
    <row r="209" spans="6:21" s="21" customFormat="1" ht="14.25" x14ac:dyDescent="0.45">
      <c r="F209" s="49">
        <v>43678</v>
      </c>
      <c r="G209" s="52">
        <v>138.59</v>
      </c>
      <c r="H209"/>
      <c r="I209"/>
      <c r="J209" s="106">
        <v>1.3796913887506221</v>
      </c>
      <c r="K209" s="53"/>
      <c r="L209" s="106">
        <v>1.3796913887506221</v>
      </c>
      <c r="M209" s="15"/>
      <c r="N209" s="15"/>
      <c r="O209" s="15"/>
      <c r="P209" s="15"/>
      <c r="Q209" s="15"/>
      <c r="R209" s="15"/>
      <c r="S209" s="15"/>
      <c r="T209" s="15"/>
      <c r="U209" s="15"/>
    </row>
    <row r="210" spans="6:21" s="21" customFormat="1" ht="14.25" x14ac:dyDescent="0.45">
      <c r="F210" s="49">
        <v>43709</v>
      </c>
      <c r="G210" s="52">
        <v>139.09</v>
      </c>
      <c r="H210"/>
      <c r="I210"/>
      <c r="J210" s="106">
        <v>1.3846689895470383</v>
      </c>
      <c r="K210" s="53"/>
      <c r="L210" s="106">
        <v>1.3846689895470383</v>
      </c>
      <c r="M210" s="15"/>
      <c r="N210" s="15"/>
      <c r="O210" s="15"/>
      <c r="P210" s="15"/>
      <c r="Q210" s="15"/>
      <c r="R210" s="15"/>
      <c r="S210" s="15"/>
      <c r="T210" s="15"/>
      <c r="U210" s="15"/>
    </row>
    <row r="211" spans="6:21" s="21" customFormat="1" ht="14.25" x14ac:dyDescent="0.45">
      <c r="F211" s="49">
        <v>43739</v>
      </c>
      <c r="G211" s="52">
        <v>139.96</v>
      </c>
      <c r="H211"/>
      <c r="I211"/>
      <c r="J211" s="106">
        <v>1.3933300149328025</v>
      </c>
      <c r="K211" s="53"/>
      <c r="L211" s="106">
        <v>1.3933300149328025</v>
      </c>
      <c r="M211" s="15"/>
      <c r="N211" s="15"/>
      <c r="O211" s="15"/>
      <c r="P211" s="15"/>
      <c r="Q211" s="15"/>
      <c r="R211" s="15"/>
      <c r="S211" s="15"/>
      <c r="T211" s="15"/>
      <c r="U211" s="15"/>
    </row>
    <row r="212" spans="6:21" s="21" customFormat="1" ht="14.25" x14ac:dyDescent="0.45">
      <c r="F212" s="49">
        <v>43770</v>
      </c>
      <c r="G212" s="52">
        <v>138.79</v>
      </c>
      <c r="H212"/>
      <c r="I212"/>
      <c r="J212" s="106">
        <v>1.3816824290691885</v>
      </c>
      <c r="K212" s="53"/>
      <c r="L212" s="106">
        <v>1.3816824290691885</v>
      </c>
      <c r="M212" s="15"/>
      <c r="N212" s="15"/>
      <c r="O212" s="15"/>
      <c r="P212" s="15"/>
      <c r="Q212" s="15"/>
      <c r="R212" s="15"/>
      <c r="S212" s="15"/>
      <c r="T212" s="15"/>
      <c r="U212" s="15"/>
    </row>
    <row r="213" spans="6:21" s="21" customFormat="1" ht="14.25" x14ac:dyDescent="0.45">
      <c r="F213" s="49">
        <v>43800</v>
      </c>
      <c r="G213" s="52">
        <v>138.09</v>
      </c>
      <c r="H213"/>
      <c r="I213"/>
      <c r="J213" s="106">
        <v>1.374713787954206</v>
      </c>
      <c r="K213" s="53"/>
      <c r="L213" s="106">
        <v>1.374713787954206</v>
      </c>
      <c r="M213" s="15"/>
      <c r="N213" s="15"/>
      <c r="O213" s="15"/>
      <c r="P213" s="15"/>
      <c r="Q213" s="15"/>
      <c r="R213" s="15"/>
      <c r="S213" s="15"/>
      <c r="T213" s="15"/>
      <c r="U213" s="15"/>
    </row>
    <row r="214" spans="6:21" s="21" customFormat="1" ht="14.25" x14ac:dyDescent="0.45">
      <c r="F214" s="49">
        <v>43831</v>
      </c>
      <c r="G214" s="52">
        <v>138.83000000000001</v>
      </c>
      <c r="H214"/>
      <c r="I214"/>
      <c r="J214" s="106">
        <v>1.382080637132902</v>
      </c>
      <c r="K214" s="53"/>
      <c r="L214" s="106">
        <v>1.382080637132902</v>
      </c>
      <c r="M214" s="15"/>
      <c r="N214" s="15"/>
      <c r="O214" s="15"/>
      <c r="P214" s="15"/>
      <c r="Q214" s="15"/>
      <c r="R214" s="15"/>
      <c r="S214" s="15"/>
      <c r="T214" s="15"/>
      <c r="U214" s="15"/>
    </row>
    <row r="215" spans="6:21" s="21" customFormat="1" ht="14.25" x14ac:dyDescent="0.45">
      <c r="F215" s="49">
        <v>43862</v>
      </c>
      <c r="G215" s="52">
        <v>139.36000000000001</v>
      </c>
      <c r="H215"/>
      <c r="I215"/>
      <c r="J215" s="106">
        <v>1.387356893977103</v>
      </c>
      <c r="K215" s="53"/>
      <c r="L215" s="106">
        <v>1.387356893977103</v>
      </c>
      <c r="M215" s="15"/>
      <c r="N215" s="15"/>
      <c r="O215" s="15"/>
      <c r="P215" s="15"/>
      <c r="Q215" s="15"/>
      <c r="R215" s="15"/>
      <c r="S215" s="15"/>
      <c r="T215" s="15"/>
      <c r="U215" s="15"/>
    </row>
    <row r="216" spans="6:21" s="21" customFormat="1" ht="14.25" x14ac:dyDescent="0.45">
      <c r="F216" s="49">
        <v>43891</v>
      </c>
      <c r="G216" s="52">
        <v>132.13</v>
      </c>
      <c r="H216"/>
      <c r="I216"/>
      <c r="J216" s="106">
        <v>1.3153807864609257</v>
      </c>
      <c r="K216" s="53"/>
      <c r="L216" s="106">
        <v>1.3153807864609257</v>
      </c>
      <c r="M216" s="15"/>
      <c r="N216" s="15"/>
      <c r="O216" s="15"/>
      <c r="P216" s="15"/>
      <c r="Q216" s="15"/>
      <c r="R216" s="15"/>
      <c r="S216" s="15"/>
      <c r="T216" s="15"/>
      <c r="U216" s="15"/>
    </row>
    <row r="217" spans="6:21" s="21" customFormat="1" ht="14.25" x14ac:dyDescent="0.45">
      <c r="F217" s="49">
        <v>43922</v>
      </c>
      <c r="G217" s="52">
        <v>118.98</v>
      </c>
      <c r="H217"/>
      <c r="I217"/>
      <c r="J217" s="106">
        <v>1.1844698855151816</v>
      </c>
      <c r="K217" s="53"/>
      <c r="L217" s="106">
        <v>1.1844698855151816</v>
      </c>
      <c r="M217" s="15"/>
      <c r="N217" s="15"/>
      <c r="O217" s="15"/>
      <c r="P217" s="15"/>
      <c r="Q217" s="15"/>
      <c r="R217" s="15"/>
      <c r="S217" s="15"/>
      <c r="T217" s="15"/>
      <c r="U217" s="15"/>
    </row>
    <row r="218" spans="6:21" s="21" customFormat="1" ht="14.25" x14ac:dyDescent="0.45">
      <c r="F218" s="49">
        <v>43952</v>
      </c>
      <c r="G218" s="52">
        <v>121.47</v>
      </c>
      <c r="H218"/>
      <c r="I218"/>
      <c r="J218" s="106">
        <v>1.2092583374813339</v>
      </c>
      <c r="K218" s="53"/>
      <c r="L218" s="106">
        <v>1.2092583374813339</v>
      </c>
      <c r="M218" s="15"/>
      <c r="N218" s="15"/>
      <c r="O218" s="15"/>
      <c r="P218" s="15"/>
      <c r="Q218" s="15"/>
      <c r="R218" s="15"/>
      <c r="S218" s="15"/>
      <c r="T218" s="15"/>
      <c r="U218" s="15"/>
    </row>
    <row r="219" spans="6:21" s="21" customFormat="1" ht="14.25" x14ac:dyDescent="0.45">
      <c r="F219" s="49">
        <v>43983</v>
      </c>
      <c r="G219" s="52">
        <v>127.62</v>
      </c>
      <c r="H219"/>
      <c r="I219"/>
      <c r="J219" s="106">
        <v>1.2704828272772524</v>
      </c>
      <c r="K219" s="53"/>
      <c r="L219" s="106">
        <v>1.2704828272772524</v>
      </c>
      <c r="M219" s="15"/>
      <c r="N219" s="15"/>
      <c r="O219" s="15"/>
      <c r="P219" s="15"/>
      <c r="Q219" s="15"/>
      <c r="R219" s="15"/>
      <c r="S219" s="15"/>
      <c r="T219" s="15"/>
      <c r="U219" s="15"/>
    </row>
    <row r="220" spans="6:21" s="21" customFormat="1" ht="14.25" x14ac:dyDescent="0.45">
      <c r="F220" s="49">
        <v>44013</v>
      </c>
      <c r="G220" s="52">
        <v>131.76</v>
      </c>
      <c r="H220"/>
      <c r="I220"/>
      <c r="J220" s="106">
        <v>1.3116973618715777</v>
      </c>
      <c r="K220" s="53"/>
      <c r="L220" s="106">
        <v>1.3116973618715777</v>
      </c>
      <c r="M220" s="15"/>
      <c r="N220" s="15"/>
      <c r="O220" s="15"/>
      <c r="P220" s="15"/>
      <c r="Q220" s="15"/>
      <c r="R220" s="15"/>
      <c r="S220" s="15"/>
      <c r="T220" s="15"/>
      <c r="U220" s="15"/>
    </row>
    <row r="221" spans="6:21" s="21" customFormat="1" ht="14.25" x14ac:dyDescent="0.45">
      <c r="F221" s="49">
        <v>44044</v>
      </c>
      <c r="G221" s="52">
        <v>134.5</v>
      </c>
      <c r="H221"/>
      <c r="I221"/>
      <c r="J221" s="106">
        <v>1.3389746142359382</v>
      </c>
      <c r="K221" s="53"/>
      <c r="L221" s="106">
        <v>1.3389746142359382</v>
      </c>
      <c r="M221" s="15"/>
      <c r="N221" s="15"/>
      <c r="O221" s="15"/>
      <c r="P221" s="15"/>
      <c r="Q221" s="15"/>
      <c r="R221" s="15"/>
      <c r="S221" s="15"/>
      <c r="T221" s="15"/>
      <c r="U221" s="15"/>
    </row>
    <row r="222" spans="6:21" s="21" customFormat="1" ht="14.25" x14ac:dyDescent="0.45">
      <c r="F222" s="49">
        <v>44075</v>
      </c>
      <c r="G222" s="52">
        <v>136.44</v>
      </c>
      <c r="H222"/>
      <c r="I222"/>
      <c r="J222" s="106">
        <v>1.3582877053260327</v>
      </c>
      <c r="K222" s="53"/>
      <c r="L222" s="106">
        <v>1.3582877053260327</v>
      </c>
      <c r="M222" s="15"/>
      <c r="N222" s="15"/>
      <c r="O222" s="15"/>
      <c r="P222" s="15"/>
      <c r="Q222" s="15"/>
      <c r="R222" s="15"/>
      <c r="S222" s="15"/>
      <c r="T222" s="15"/>
      <c r="U222" s="15"/>
    </row>
    <row r="223" spans="6:21" s="21" customFormat="1" ht="14.25" x14ac:dyDescent="0.45">
      <c r="F223" s="49">
        <v>44105</v>
      </c>
      <c r="G223" s="52">
        <v>138.36000000000001</v>
      </c>
      <c r="H223"/>
      <c r="I223"/>
      <c r="J223" s="106">
        <v>1.3774016923842709</v>
      </c>
      <c r="K223" s="53"/>
      <c r="L223" s="106">
        <v>1.3774016923842709</v>
      </c>
      <c r="M223" s="15"/>
      <c r="N223" s="15"/>
      <c r="O223" s="15"/>
      <c r="P223" s="15"/>
      <c r="Q223" s="15"/>
      <c r="R223" s="15"/>
      <c r="S223" s="15"/>
      <c r="T223" s="15"/>
      <c r="U223" s="15"/>
    </row>
    <row r="224" spans="6:21" s="21" customFormat="1" ht="14.25" x14ac:dyDescent="0.45">
      <c r="F224" s="49">
        <v>44136</v>
      </c>
      <c r="G224" s="52">
        <v>137.9</v>
      </c>
      <c r="H224"/>
      <c r="I224"/>
      <c r="J224" s="106">
        <v>1.372822299651568</v>
      </c>
      <c r="K224" s="53"/>
      <c r="L224" s="106">
        <v>1.372822299651568</v>
      </c>
      <c r="M224" s="15"/>
      <c r="N224" s="15"/>
      <c r="O224" s="15"/>
      <c r="P224" s="15"/>
      <c r="Q224" s="15"/>
      <c r="R224" s="15"/>
      <c r="S224" s="15"/>
      <c r="T224" s="15"/>
      <c r="U224" s="15"/>
    </row>
    <row r="225" spans="6:21" s="21" customFormat="1" ht="14.25" x14ac:dyDescent="0.45">
      <c r="F225" s="49">
        <v>44166</v>
      </c>
      <c r="G225" s="52">
        <v>138.19</v>
      </c>
      <c r="H225"/>
      <c r="I225"/>
      <c r="J225" s="106">
        <v>1.3757093081134892</v>
      </c>
      <c r="K225" s="53"/>
      <c r="L225" s="106">
        <v>1.3757093081134892</v>
      </c>
      <c r="M225" s="15"/>
      <c r="N225" s="15"/>
      <c r="O225" s="15"/>
      <c r="P225" s="15"/>
      <c r="Q225" s="15"/>
      <c r="R225" s="15"/>
      <c r="S225" s="15"/>
      <c r="T225" s="15"/>
      <c r="U225" s="15"/>
    </row>
    <row r="226" spans="6:21" s="21" customFormat="1" ht="14.25" x14ac:dyDescent="0.45">
      <c r="F226" s="49">
        <v>44197</v>
      </c>
      <c r="G226" s="52">
        <v>139.01</v>
      </c>
      <c r="H226"/>
      <c r="I226"/>
      <c r="J226" s="106">
        <v>1.3838725734196116</v>
      </c>
      <c r="K226" s="53"/>
      <c r="L226" s="106">
        <v>1.3838725734196116</v>
      </c>
      <c r="M226" s="15"/>
      <c r="N226" s="15"/>
      <c r="O226" s="15"/>
      <c r="P226" s="15"/>
      <c r="Q226" s="15"/>
      <c r="R226" s="15"/>
      <c r="S226" s="15"/>
      <c r="T226" s="15"/>
      <c r="U226" s="15"/>
    </row>
    <row r="227" spans="6:21" s="21" customFormat="1" ht="14.25" x14ac:dyDescent="0.45">
      <c r="F227" s="49">
        <v>44228</v>
      </c>
      <c r="G227" s="52">
        <v>141.1</v>
      </c>
      <c r="H227"/>
      <c r="I227"/>
      <c r="J227" s="106">
        <v>1.404678944748631</v>
      </c>
      <c r="K227" s="53"/>
      <c r="L227" s="106">
        <v>1.404678944748631</v>
      </c>
      <c r="M227" s="15"/>
      <c r="N227" s="15"/>
      <c r="O227" s="15"/>
      <c r="P227" s="15"/>
      <c r="Q227" s="15"/>
      <c r="R227" s="15"/>
      <c r="S227" s="15"/>
      <c r="T227" s="15"/>
      <c r="U227" s="15"/>
    </row>
    <row r="228" spans="6:21" s="21" customFormat="1" ht="14.25" x14ac:dyDescent="0.45">
      <c r="F228" s="49">
        <v>44256</v>
      </c>
      <c r="G228" s="52">
        <v>138.85</v>
      </c>
      <c r="H228"/>
      <c r="I228"/>
      <c r="J228" s="106">
        <v>1.3822797411647585</v>
      </c>
      <c r="K228" s="53"/>
      <c r="L228" s="106">
        <v>1.3822797411647585</v>
      </c>
      <c r="M228" s="15"/>
      <c r="N228" s="15"/>
      <c r="O228" s="15"/>
      <c r="P228" s="15"/>
      <c r="Q228" s="15"/>
      <c r="R228" s="15"/>
      <c r="S228" s="15"/>
      <c r="T228" s="15"/>
      <c r="U228" s="15"/>
    </row>
    <row r="229" spans="6:21" s="21" customFormat="1" ht="14.25" x14ac:dyDescent="0.45">
      <c r="F229" s="49">
        <v>44287</v>
      </c>
      <c r="G229" s="52">
        <v>139.22999999999999</v>
      </c>
      <c r="H229"/>
      <c r="I229"/>
      <c r="J229" s="106">
        <v>1.3860627177700346</v>
      </c>
      <c r="K229" s="53"/>
      <c r="L229" s="106">
        <v>1.3860627177700346</v>
      </c>
      <c r="M229" s="15"/>
      <c r="N229" s="15"/>
      <c r="O229" s="15"/>
      <c r="P229" s="15"/>
      <c r="Q229" s="15"/>
      <c r="R229" s="15"/>
      <c r="S229" s="15"/>
      <c r="T229" s="15"/>
      <c r="U229" s="15"/>
    </row>
    <row r="230" spans="6:21" s="21" customFormat="1" ht="14.25" x14ac:dyDescent="0.45">
      <c r="F230" s="49">
        <v>44317</v>
      </c>
      <c r="G230" s="52">
        <v>139.28</v>
      </c>
      <c r="H230"/>
      <c r="I230"/>
      <c r="J230" s="106">
        <v>1.3865604778496765</v>
      </c>
      <c r="K230" s="53"/>
      <c r="L230" s="106">
        <v>1.3865604778496765</v>
      </c>
      <c r="M230" s="15"/>
      <c r="N230" s="15"/>
      <c r="O230" s="15"/>
      <c r="P230" s="15"/>
      <c r="Q230" s="15"/>
      <c r="R230" s="15"/>
      <c r="S230" s="15"/>
      <c r="T230" s="15"/>
      <c r="U230" s="15"/>
    </row>
    <row r="231" spans="6:21" s="21" customFormat="1" ht="14.25" x14ac:dyDescent="0.45">
      <c r="F231" s="49">
        <v>44348</v>
      </c>
      <c r="G231" s="52">
        <v>139.53</v>
      </c>
      <c r="H231"/>
      <c r="I231"/>
      <c r="J231" s="106">
        <v>1.3890492782478845</v>
      </c>
      <c r="K231" s="53"/>
      <c r="L231" s="106">
        <v>1.3890492782478845</v>
      </c>
      <c r="M231" s="15"/>
      <c r="N231" s="15"/>
      <c r="O231" s="15"/>
      <c r="P231" s="15"/>
      <c r="Q231" s="15"/>
      <c r="R231" s="15"/>
      <c r="S231" s="15"/>
      <c r="T231" s="15"/>
      <c r="U231" s="15"/>
    </row>
    <row r="232" spans="6:21" s="21" customFormat="1" ht="14.25" x14ac:dyDescent="0.45">
      <c r="F232" s="49">
        <v>44378</v>
      </c>
      <c r="G232" s="52">
        <v>139.36000000000001</v>
      </c>
      <c r="H232"/>
      <c r="I232"/>
      <c r="J232" s="106">
        <v>1.387356893977103</v>
      </c>
      <c r="K232" s="53"/>
      <c r="L232" s="106">
        <v>1.387356893977103</v>
      </c>
      <c r="M232" s="15"/>
      <c r="N232" s="15"/>
      <c r="O232" s="15"/>
      <c r="P232" s="15"/>
      <c r="Q232" s="15"/>
      <c r="R232" s="15"/>
      <c r="S232" s="15"/>
      <c r="T232" s="15"/>
      <c r="U232" s="15"/>
    </row>
    <row r="233" spans="6:21" s="21" customFormat="1" ht="14.25" x14ac:dyDescent="0.45">
      <c r="F233" s="49">
        <v>44409</v>
      </c>
      <c r="G233" s="52">
        <v>139.5</v>
      </c>
      <c r="H233"/>
      <c r="I233"/>
      <c r="J233" s="106">
        <v>1.3887506222000996</v>
      </c>
      <c r="K233" s="53"/>
      <c r="L233" s="106">
        <v>1.3887506222000996</v>
      </c>
      <c r="M233" s="15"/>
      <c r="N233" s="15"/>
      <c r="O233" s="15"/>
      <c r="P233" s="15"/>
      <c r="Q233" s="15"/>
      <c r="R233" s="15"/>
      <c r="S233" s="15"/>
      <c r="T233" s="15"/>
      <c r="U233" s="15"/>
    </row>
    <row r="234" spans="6:21" s="21" customFormat="1" ht="14.25" x14ac:dyDescent="0.45">
      <c r="F234" s="49">
        <v>44440</v>
      </c>
      <c r="G234" s="52">
        <v>138.69999999999999</v>
      </c>
      <c r="H234"/>
      <c r="I234"/>
      <c r="J234" s="106">
        <v>1.3807864609258336</v>
      </c>
      <c r="K234" s="53"/>
      <c r="L234" s="106">
        <v>1.3807864609258336</v>
      </c>
      <c r="M234" s="15"/>
      <c r="N234" s="15"/>
      <c r="O234" s="15"/>
      <c r="P234" s="15"/>
      <c r="Q234" s="15"/>
      <c r="R234" s="15"/>
      <c r="S234" s="15"/>
      <c r="T234" s="15"/>
      <c r="U234" s="15"/>
    </row>
    <row r="235" spans="6:21" s="21" customFormat="1" ht="14.25" x14ac:dyDescent="0.45">
      <c r="F235" s="49">
        <v>44470</v>
      </c>
      <c r="G235" s="52">
        <v>138.77000000000001</v>
      </c>
      <c r="H235"/>
      <c r="I235"/>
      <c r="J235" s="106">
        <v>1.3814833250373322</v>
      </c>
      <c r="K235" s="53"/>
      <c r="L235" s="106">
        <v>1.3814833250373322</v>
      </c>
      <c r="M235" s="15"/>
      <c r="N235" s="15"/>
      <c r="O235" s="15"/>
      <c r="P235" s="15"/>
      <c r="Q235" s="15"/>
      <c r="R235" s="15"/>
      <c r="S235" s="15"/>
      <c r="T235" s="15"/>
      <c r="U235" s="15"/>
    </row>
    <row r="236" spans="6:21" s="21" customFormat="1" ht="14.25" x14ac:dyDescent="0.45">
      <c r="F236" s="49">
        <v>44501</v>
      </c>
      <c r="G236" s="52">
        <v>139.4</v>
      </c>
      <c r="H236"/>
      <c r="I236"/>
      <c r="J236" s="106">
        <v>1.3877551020408163</v>
      </c>
      <c r="K236" s="53"/>
      <c r="L236" s="106">
        <v>1.3877551020408163</v>
      </c>
      <c r="M236" s="15"/>
      <c r="N236" s="15"/>
      <c r="O236" s="15"/>
      <c r="P236" s="15"/>
      <c r="Q236" s="15"/>
      <c r="R236" s="15"/>
      <c r="S236" s="15"/>
      <c r="T236" s="15"/>
      <c r="U236" s="15"/>
    </row>
    <row r="237" spans="6:21" s="21" customFormat="1" ht="14.25" x14ac:dyDescent="0.45">
      <c r="F237" s="49">
        <v>44531</v>
      </c>
      <c r="G237" s="52">
        <v>139.85</v>
      </c>
      <c r="H237"/>
      <c r="I237"/>
      <c r="J237" s="106">
        <v>1.3922349427575909</v>
      </c>
      <c r="K237" s="53"/>
      <c r="L237" s="106">
        <v>1.3922349427575909</v>
      </c>
      <c r="M237" s="15"/>
      <c r="N237" s="15"/>
      <c r="O237" s="15"/>
      <c r="P237" s="15"/>
      <c r="Q237" s="15"/>
      <c r="R237" s="15"/>
      <c r="S237" s="15"/>
      <c r="T237" s="15"/>
      <c r="U237" s="15"/>
    </row>
    <row r="238" spans="6:21" s="21" customFormat="1" ht="14.25" x14ac:dyDescent="0.45">
      <c r="F238" s="49">
        <v>44562</v>
      </c>
      <c r="G238" s="52">
        <v>138.83000000000001</v>
      </c>
      <c r="H238"/>
      <c r="I238"/>
      <c r="J238" s="106">
        <v>1.382080637132902</v>
      </c>
      <c r="K238" s="53"/>
      <c r="L238" s="106">
        <v>1.382080637132902</v>
      </c>
      <c r="M238" s="15"/>
      <c r="N238" s="15"/>
      <c r="O238" s="15"/>
      <c r="P238" s="15"/>
      <c r="Q238" s="15"/>
      <c r="R238" s="15"/>
      <c r="S238" s="15"/>
      <c r="T238" s="15"/>
      <c r="U238" s="15"/>
    </row>
    <row r="239" spans="6:21" s="21" customFormat="1" ht="14.25" x14ac:dyDescent="0.45">
      <c r="F239" s="49">
        <v>44593</v>
      </c>
      <c r="G239" s="52">
        <v>139.30000000000001</v>
      </c>
      <c r="H239"/>
      <c r="I239"/>
      <c r="J239" s="106">
        <v>1.3867595818815333</v>
      </c>
      <c r="K239" s="53"/>
      <c r="L239" s="106">
        <v>1.3867595818815333</v>
      </c>
      <c r="M239" s="15"/>
      <c r="N239" s="15"/>
      <c r="O239" s="15"/>
      <c r="P239" s="15"/>
      <c r="Q239" s="15"/>
      <c r="R239" s="15"/>
      <c r="S239" s="15"/>
      <c r="T239" s="15"/>
      <c r="U239" s="15"/>
    </row>
  </sheetData>
  <mergeCells count="1">
    <mergeCell ref="D13:D14"/>
  </mergeCells>
  <pageMargins left="0.511811024" right="0.511811024" top="0.78740157499999996" bottom="0.78740157499999996" header="0.31496062000000002" footer="0.31496062000000002"/>
  <ignoredErrors>
    <ignoredError sqref="L10:L12" evalError="1"/>
  </ignoredErrors>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9606A-1B00-4CC0-925E-FE6387AA73A9}">
  <sheetPr codeName="Planilha47">
    <tabColor theme="9" tint="0.59999389629810485"/>
  </sheetPr>
  <dimension ref="A1:Z243"/>
  <sheetViews>
    <sheetView showGridLines="0" workbookViewId="0">
      <selection activeCell="H8" sqref="H8"/>
    </sheetView>
  </sheetViews>
  <sheetFormatPr defaultColWidth="8.796875" defaultRowHeight="18" x14ac:dyDescent="0.55000000000000004"/>
  <cols>
    <col min="1" max="1" width="19.1328125" style="17" customWidth="1"/>
    <col min="2" max="2" width="40.6640625" customWidth="1"/>
    <col min="4" max="4" width="25.33203125" customWidth="1"/>
    <col min="5" max="5" width="4.6640625" customWidth="1"/>
    <col min="6" max="8" width="7.1328125" bestFit="1" customWidth="1"/>
    <col min="9" max="9" width="10.6640625" customWidth="1"/>
    <col min="10" max="10" width="17.33203125" customWidth="1"/>
    <col min="11" max="11" width="10.6640625" customWidth="1"/>
    <col min="12" max="12" width="10.33203125" bestFit="1" customWidth="1"/>
    <col min="13" max="16" width="9" style="15" customWidth="1"/>
    <col min="17" max="26" width="8.796875" style="15"/>
  </cols>
  <sheetData>
    <row r="1" spans="1:26" x14ac:dyDescent="0.55000000000000004">
      <c r="A1" s="16" t="s">
        <v>501</v>
      </c>
      <c r="M1" s="14"/>
      <c r="N1" s="14"/>
      <c r="O1" s="14"/>
      <c r="P1" s="14"/>
      <c r="Q1" s="14"/>
      <c r="R1" s="14"/>
      <c r="S1" s="14"/>
      <c r="T1" s="14"/>
      <c r="U1" s="14"/>
      <c r="V1" s="14"/>
      <c r="W1" s="14"/>
      <c r="X1" s="14"/>
      <c r="Y1" s="14"/>
      <c r="Z1" s="14"/>
    </row>
    <row r="2" spans="1:26" x14ac:dyDescent="0.55000000000000004">
      <c r="A2" s="17" t="s">
        <v>502</v>
      </c>
      <c r="M2" s="14"/>
      <c r="N2" s="14"/>
      <c r="O2" s="14"/>
      <c r="P2" s="14"/>
      <c r="Q2" s="14"/>
      <c r="R2" s="14"/>
      <c r="S2" s="14"/>
      <c r="T2" s="14"/>
      <c r="U2" s="14"/>
      <c r="V2" s="14"/>
      <c r="W2" s="14"/>
      <c r="X2" s="14"/>
      <c r="Y2" s="14"/>
      <c r="Z2" s="14"/>
    </row>
    <row r="3" spans="1:26" x14ac:dyDescent="0.55000000000000004">
      <c r="Q3" s="107" t="s">
        <v>492</v>
      </c>
      <c r="R3" s="50" t="str">
        <f>"IBC-Br SA "&amp;$K$14</f>
        <v>IBC-Br SA IDX(37622)</v>
      </c>
      <c r="S3" s="50"/>
      <c r="T3" s="50"/>
      <c r="U3" s="50"/>
      <c r="V3" s="50"/>
      <c r="W3" s="50"/>
      <c r="X3" s="50"/>
      <c r="Y3" s="50"/>
      <c r="Z3" s="50"/>
    </row>
    <row r="4" spans="1:26" ht="15.75" x14ac:dyDescent="0.5">
      <c r="A4" s="2" t="s">
        <v>15</v>
      </c>
      <c r="B4" s="2" t="s">
        <v>16</v>
      </c>
    </row>
    <row r="5" spans="1:26" ht="31.5" x14ac:dyDescent="0.45">
      <c r="A5" s="23" t="s">
        <v>276</v>
      </c>
      <c r="B5" s="26" t="s">
        <v>1118</v>
      </c>
    </row>
    <row r="6" spans="1:26" ht="15.75" x14ac:dyDescent="0.45">
      <c r="A6" s="23" t="s">
        <v>503</v>
      </c>
      <c r="B6" s="26" t="s">
        <v>1117</v>
      </c>
    </row>
    <row r="7" spans="1:26" ht="31.5" x14ac:dyDescent="0.45">
      <c r="A7" s="23" t="s">
        <v>504</v>
      </c>
      <c r="B7" s="26" t="s">
        <v>1116</v>
      </c>
    </row>
    <row r="8" spans="1:26" ht="47.25" x14ac:dyDescent="0.45">
      <c r="A8" s="23" t="s">
        <v>505</v>
      </c>
      <c r="B8" s="26" t="s">
        <v>1119</v>
      </c>
    </row>
    <row r="9" spans="1:26" ht="47.25" x14ac:dyDescent="0.45">
      <c r="A9" s="23" t="s">
        <v>506</v>
      </c>
      <c r="B9" s="26" t="s">
        <v>1120</v>
      </c>
    </row>
    <row r="10" spans="1:26" ht="47.25" x14ac:dyDescent="0.45">
      <c r="A10" s="23" t="s">
        <v>507</v>
      </c>
      <c r="B10" s="26" t="s">
        <v>1121</v>
      </c>
    </row>
    <row r="11" spans="1:26" s="21" customFormat="1" x14ac:dyDescent="0.55000000000000004">
      <c r="A11" s="17"/>
      <c r="B11"/>
      <c r="C11"/>
      <c r="D11"/>
      <c r="E11"/>
      <c r="F11"/>
      <c r="G11"/>
      <c r="H11"/>
      <c r="I11"/>
      <c r="J11"/>
      <c r="K11"/>
      <c r="L11"/>
      <c r="M11" s="15"/>
      <c r="N11" s="15"/>
      <c r="O11" s="15"/>
      <c r="P11" s="15"/>
      <c r="Q11" s="15"/>
      <c r="R11" s="15"/>
      <c r="S11" s="15"/>
      <c r="T11" s="15"/>
      <c r="U11" s="15"/>
      <c r="V11" s="15"/>
      <c r="W11" s="15"/>
      <c r="X11" s="15"/>
      <c r="Y11" s="15"/>
      <c r="Z11" s="15"/>
    </row>
    <row r="12" spans="1:26" s="21" customFormat="1" x14ac:dyDescent="0.55000000000000004">
      <c r="A12" s="17"/>
      <c r="B12"/>
      <c r="C12"/>
      <c r="D12"/>
      <c r="E12"/>
      <c r="F12"/>
      <c r="G12"/>
      <c r="H12"/>
      <c r="I12"/>
      <c r="J12"/>
      <c r="K12"/>
      <c r="L12"/>
      <c r="M12" s="15"/>
      <c r="N12" s="15"/>
      <c r="O12" s="15"/>
      <c r="P12" s="15"/>
      <c r="Q12" s="15"/>
      <c r="R12" s="15"/>
      <c r="S12" s="15"/>
      <c r="T12" s="15"/>
      <c r="U12" s="15"/>
      <c r="V12" s="15"/>
      <c r="W12" s="15"/>
      <c r="X12" s="15"/>
      <c r="Y12" s="15"/>
      <c r="Z12" s="15"/>
    </row>
    <row r="13" spans="1:26" s="21" customFormat="1" x14ac:dyDescent="0.55000000000000004">
      <c r="A13" s="17"/>
      <c r="B13"/>
      <c r="C13"/>
      <c r="D13" s="1" t="s">
        <v>17</v>
      </c>
      <c r="E13"/>
      <c r="F13"/>
      <c r="G13" s="171" t="s">
        <v>165</v>
      </c>
      <c r="H13" s="170"/>
      <c r="I13" s="13" t="s">
        <v>503</v>
      </c>
      <c r="J13" s="13" t="s">
        <v>1129</v>
      </c>
      <c r="K13" s="13" t="s">
        <v>505</v>
      </c>
      <c r="L13"/>
      <c r="M13" s="15" t="s">
        <v>192</v>
      </c>
      <c r="N13" s="15"/>
      <c r="O13" s="15"/>
      <c r="P13" s="50" t="s">
        <v>1130</v>
      </c>
      <c r="Q13" s="15"/>
      <c r="R13" s="15"/>
      <c r="S13" s="15"/>
      <c r="T13" s="15"/>
      <c r="U13" s="15"/>
      <c r="V13" s="15"/>
      <c r="W13" s="15"/>
      <c r="X13" s="15"/>
      <c r="Y13" s="15"/>
      <c r="Z13" s="15"/>
    </row>
    <row r="14" spans="1:26" s="21" customFormat="1" x14ac:dyDescent="0.55000000000000004">
      <c r="A14" s="17"/>
      <c r="B14"/>
      <c r="C14"/>
      <c r="D14" t="s">
        <v>195</v>
      </c>
      <c r="E14"/>
      <c r="F14" s="49">
        <v>37622</v>
      </c>
      <c r="G14" s="52">
        <v>100.45</v>
      </c>
      <c r="H14" s="52">
        <v>107</v>
      </c>
      <c r="I14" s="148"/>
      <c r="J14" s="140">
        <v>2</v>
      </c>
      <c r="K14" s="80" t="str">
        <f>"IDX(" &amp; DATE(2003,1,1) &amp; ")"</f>
        <v>IDX(37622)</v>
      </c>
      <c r="L14"/>
      <c r="M14" s="106" cm="1">
        <f t="array" ref="M14:N243">_xlfn.LAMBDA(_xlpm.array,_xlpm.func,_xlpm.paramArrayPos,_xlop.param1,_xlop.param2,_xlop.param3,
_xlfn.LET(
_xlpm.nParams, NOT(_xlfn.ISOMITTED(_xlpm.param1)) + NOT(_xlfn.ISOMITTED(_xlpm.param2)) + NOT(_xlfn.ISOMITTED(_xlpm.param3)),
_xlpm.nCols, COLUMNS(_xlpm.array),
_xlpm.colVals, INDEX(_xlpm.array,0,1),
_xlpm.fcol, _xlfn.SWITCH( _xlpm.nParams,
0, _xlpm.func(_xlpm.colVals),
1,  _xlfn.SWITCH( _xlpm.paramArrayPos, 1, _xlpm.func(_xlpm.colVals, _xlpm.param1), 2, _xlpm.func(_xlpm.param1, _xlpm.colVals)),
2,  _xlfn.SWITCH( _xlpm.paramArrayPos, 1, _xlpm.func(_xlpm.colVals, _xlpm.param1, _xlpm.param2), 2, _xlpm.func(_xlpm.param1, _xlpm.colVals, _xlpm.param2)),
3,  _xlfn.SWITCH( _xlpm.paramArrayPos, 1, _xlpm.func(_xlpm.colVals, _xlpm.param1, _xlpm.param2, _xlpm.param3), 2, _xlpm.func(_xlpm.param1, _xlpm.colVals, _xlpm.param2, _xlpm.param3), 3, _xlpm.func(_xlpm.param1, _xlpm.param2, _xlpm.colVals))
),
IF(_xlpm.nCols = 1, _xlpm.fcol, _xlfn.HSTACK( _xlpm.fcol, APPLYCOLS(_xlfn.DROP(_xlpm.array,0,1), _xlpm.func, _xlpm.paramArrayPos, _xlpm.param1, _xlpm.param2, _xlpm.param3)))
))($G$14:$H$243,_xlfn.LAMBDA(_xlpm.datas,_xlpm.valores,_xlpm.operacao, TSOPER(_xlpm.datas, _xlpm.valores, _xlpm.operacao)),$J$14,$F$14:$F$243,$K$14)</f>
        <v>1</v>
      </c>
      <c r="N14" s="106">
        <v>1</v>
      </c>
      <c r="O14" s="106"/>
      <c r="P14" s="106" cm="1">
        <f t="array" ref="P14:Q243">APPLYCOLS($G$14:$H$243,_xlfn.LAMBDA(_xlpm.datas,_xlpm.valores,_xlpm.operacao, TSOPER(_xlpm.datas, _xlpm.valores, _xlpm.operacao)),$J$14,$F$14:$F$243,$K$14)</f>
        <v>1</v>
      </c>
      <c r="Q14" s="106">
        <v>1</v>
      </c>
      <c r="R14" s="15"/>
      <c r="S14" s="15"/>
      <c r="T14" s="15"/>
      <c r="U14" s="15"/>
      <c r="V14" s="15"/>
      <c r="W14" s="15"/>
      <c r="X14" s="15"/>
      <c r="Y14" s="15"/>
      <c r="Z14" s="15"/>
    </row>
    <row r="15" spans="1:26" s="21" customFormat="1" x14ac:dyDescent="0.55000000000000004">
      <c r="A15" s="17"/>
      <c r="B15"/>
      <c r="C15"/>
      <c r="D15" t="s">
        <v>196</v>
      </c>
      <c r="E15"/>
      <c r="F15" s="49">
        <v>37653</v>
      </c>
      <c r="G15" s="52">
        <v>101.95</v>
      </c>
      <c r="H15" s="52">
        <v>101.95</v>
      </c>
      <c r="I15"/>
      <c r="J15"/>
      <c r="K15"/>
      <c r="L15"/>
      <c r="M15" s="106">
        <v>1.0149328023892483</v>
      </c>
      <c r="N15" s="106">
        <v>0.952803738317757</v>
      </c>
      <c r="O15" s="106"/>
      <c r="P15" s="106">
        <v>1.0149328023892483</v>
      </c>
      <c r="Q15" s="106">
        <v>0.952803738317757</v>
      </c>
      <c r="R15" s="15"/>
      <c r="S15" s="15"/>
      <c r="T15" s="15"/>
      <c r="U15" s="15"/>
      <c r="V15" s="15"/>
      <c r="W15" s="15"/>
      <c r="X15" s="15"/>
      <c r="Y15" s="15"/>
      <c r="Z15" s="15"/>
    </row>
    <row r="16" spans="1:26" s="21" customFormat="1" x14ac:dyDescent="0.55000000000000004">
      <c r="A16" s="17"/>
      <c r="B16"/>
      <c r="C16"/>
      <c r="D16"/>
      <c r="E16"/>
      <c r="F16" s="49">
        <v>37681</v>
      </c>
      <c r="G16" s="52">
        <v>102.03</v>
      </c>
      <c r="H16" s="52">
        <v>102.03</v>
      </c>
      <c r="I16"/>
      <c r="J16"/>
      <c r="K16"/>
      <c r="L16"/>
      <c r="M16" s="106">
        <v>1.0157292185166749</v>
      </c>
      <c r="N16" s="106">
        <v>0.95355140186915888</v>
      </c>
      <c r="O16" s="106"/>
      <c r="P16" s="106">
        <v>1.0157292185166749</v>
      </c>
      <c r="Q16" s="106">
        <v>0.95355140186915888</v>
      </c>
      <c r="R16" s="15"/>
      <c r="S16" s="15"/>
      <c r="T16" s="15"/>
      <c r="U16" s="15"/>
      <c r="V16" s="15"/>
      <c r="W16" s="15"/>
      <c r="X16" s="15"/>
      <c r="Y16" s="15"/>
      <c r="Z16" s="15"/>
    </row>
    <row r="17" spans="4:26" s="21" customFormat="1" ht="14.25" x14ac:dyDescent="0.45">
      <c r="D17" s="175"/>
      <c r="E17"/>
      <c r="F17" s="49">
        <v>37712</v>
      </c>
      <c r="G17" s="52">
        <v>100.92</v>
      </c>
      <c r="H17" s="52">
        <v>100.92</v>
      </c>
      <c r="I17"/>
      <c r="J17"/>
      <c r="K17"/>
      <c r="L17"/>
      <c r="M17" s="106">
        <v>1.0046789447486311</v>
      </c>
      <c r="N17" s="106">
        <v>0.94317757009345793</v>
      </c>
      <c r="O17" s="106"/>
      <c r="P17" s="106">
        <v>1.0046789447486311</v>
      </c>
      <c r="Q17" s="106">
        <v>0.94317757009345793</v>
      </c>
      <c r="R17" s="15"/>
      <c r="S17" s="15"/>
      <c r="T17" s="15"/>
      <c r="U17" s="15"/>
      <c r="V17" s="15"/>
      <c r="W17" s="15"/>
      <c r="X17" s="15"/>
      <c r="Y17" s="15"/>
      <c r="Z17" s="15"/>
    </row>
    <row r="18" spans="4:26" s="21" customFormat="1" ht="14.25" x14ac:dyDescent="0.45">
      <c r="D18" s="175"/>
      <c r="E18"/>
      <c r="F18" s="49">
        <v>37742</v>
      </c>
      <c r="G18" s="52">
        <v>99.89</v>
      </c>
      <c r="H18" s="52">
        <v>99.89</v>
      </c>
      <c r="I18"/>
      <c r="J18"/>
      <c r="K18"/>
      <c r="L18"/>
      <c r="M18" s="106">
        <v>0.99442508710801392</v>
      </c>
      <c r="N18" s="106">
        <v>0.93355140186915886</v>
      </c>
      <c r="O18" s="106"/>
      <c r="P18" s="106">
        <v>0.99442508710801392</v>
      </c>
      <c r="Q18" s="106">
        <v>0.93355140186915886</v>
      </c>
      <c r="R18" s="15"/>
      <c r="S18" s="15"/>
      <c r="T18" s="15"/>
      <c r="U18" s="15"/>
      <c r="V18" s="15"/>
      <c r="W18" s="15"/>
      <c r="X18" s="15"/>
      <c r="Y18" s="15"/>
      <c r="Z18" s="15"/>
    </row>
    <row r="19" spans="4:26" s="21" customFormat="1" ht="14.25" x14ac:dyDescent="0.45">
      <c r="D19" s="46"/>
      <c r="E19"/>
      <c r="F19" s="49">
        <v>37773</v>
      </c>
      <c r="G19" s="52">
        <v>100.28</v>
      </c>
      <c r="H19" s="52">
        <v>100.28</v>
      </c>
      <c r="I19"/>
      <c r="J19"/>
      <c r="K19"/>
      <c r="L19"/>
      <c r="M19" s="106">
        <v>0.99830761572921844</v>
      </c>
      <c r="N19" s="106">
        <v>0.93719626168224301</v>
      </c>
      <c r="O19" s="106"/>
      <c r="P19" s="106">
        <v>0.99830761572921844</v>
      </c>
      <c r="Q19" s="106">
        <v>0.93719626168224301</v>
      </c>
      <c r="R19" s="15"/>
      <c r="S19" s="15"/>
      <c r="T19" s="15"/>
      <c r="U19" s="15"/>
      <c r="V19" s="15"/>
      <c r="W19" s="15"/>
      <c r="X19" s="15"/>
      <c r="Y19" s="15"/>
      <c r="Z19" s="15"/>
    </row>
    <row r="20" spans="4:26" s="21" customFormat="1" ht="14.25" x14ac:dyDescent="0.45">
      <c r="D20"/>
      <c r="E20"/>
      <c r="F20" s="49">
        <v>37803</v>
      </c>
      <c r="G20" s="52">
        <v>99.07</v>
      </c>
      <c r="H20" s="52">
        <v>99.07</v>
      </c>
      <c r="I20"/>
      <c r="J20"/>
      <c r="K20"/>
      <c r="L20"/>
      <c r="M20" s="106">
        <v>0.98626182180189137</v>
      </c>
      <c r="N20" s="106">
        <v>0.92588785046728961</v>
      </c>
      <c r="O20" s="106"/>
      <c r="P20" s="106">
        <v>0.98626182180189137</v>
      </c>
      <c r="Q20" s="106">
        <v>0.92588785046728961</v>
      </c>
      <c r="R20" s="15"/>
      <c r="S20" s="15"/>
      <c r="T20" s="15"/>
      <c r="U20" s="15"/>
      <c r="V20" s="15"/>
      <c r="W20" s="15"/>
      <c r="X20" s="15"/>
      <c r="Y20" s="15"/>
      <c r="Z20" s="15"/>
    </row>
    <row r="21" spans="4:26" s="21" customFormat="1" ht="14.25" x14ac:dyDescent="0.45">
      <c r="D21"/>
      <c r="E21"/>
      <c r="F21" s="49">
        <v>37834</v>
      </c>
      <c r="G21" s="52">
        <v>99.73</v>
      </c>
      <c r="H21" s="52">
        <v>99.73</v>
      </c>
      <c r="I21"/>
      <c r="J21"/>
      <c r="K21"/>
      <c r="L21"/>
      <c r="M21" s="106">
        <v>0.99283225485316073</v>
      </c>
      <c r="N21" s="106">
        <v>0.93205607476635521</v>
      </c>
      <c r="O21" s="106"/>
      <c r="P21" s="106">
        <v>0.99283225485316073</v>
      </c>
      <c r="Q21" s="106">
        <v>0.93205607476635521</v>
      </c>
      <c r="R21" s="15"/>
      <c r="S21" s="15"/>
      <c r="T21" s="15"/>
      <c r="U21" s="15"/>
      <c r="V21" s="15"/>
      <c r="W21" s="15"/>
      <c r="X21" s="15"/>
      <c r="Y21" s="15"/>
      <c r="Z21" s="15"/>
    </row>
    <row r="22" spans="4:26" s="21" customFormat="1" ht="14.25" x14ac:dyDescent="0.45">
      <c r="D22"/>
      <c r="E22"/>
      <c r="F22" s="49">
        <v>37865</v>
      </c>
      <c r="G22" s="52">
        <v>101.71</v>
      </c>
      <c r="H22" s="52">
        <v>101.71</v>
      </c>
      <c r="I22"/>
      <c r="J22"/>
      <c r="K22"/>
      <c r="L22"/>
      <c r="M22" s="106">
        <v>1.0125435540069685</v>
      </c>
      <c r="N22" s="106">
        <v>0.95056074766355136</v>
      </c>
      <c r="O22" s="106"/>
      <c r="P22" s="106">
        <v>1.0125435540069685</v>
      </c>
      <c r="Q22" s="106">
        <v>0.95056074766355136</v>
      </c>
      <c r="R22" s="15"/>
      <c r="S22" s="15"/>
      <c r="T22" s="15"/>
      <c r="U22" s="15"/>
      <c r="V22" s="15"/>
      <c r="W22" s="15"/>
      <c r="X22" s="15"/>
      <c r="Y22" s="15"/>
      <c r="Z22" s="15"/>
    </row>
    <row r="23" spans="4:26" s="21" customFormat="1" ht="14.25" x14ac:dyDescent="0.45">
      <c r="D23"/>
      <c r="E23"/>
      <c r="F23" s="49">
        <v>37895</v>
      </c>
      <c r="G23" s="52">
        <v>101.88</v>
      </c>
      <c r="H23" s="52">
        <v>101.88</v>
      </c>
      <c r="I23"/>
      <c r="J23"/>
      <c r="K23"/>
      <c r="L23"/>
      <c r="M23" s="106">
        <v>1.0142359382777502</v>
      </c>
      <c r="N23" s="106">
        <v>0.95214953271028036</v>
      </c>
      <c r="O23" s="106"/>
      <c r="P23" s="106">
        <v>1.0142359382777502</v>
      </c>
      <c r="Q23" s="106">
        <v>0.95214953271028036</v>
      </c>
      <c r="R23" s="15"/>
      <c r="S23" s="15"/>
      <c r="T23" s="15"/>
      <c r="U23" s="15"/>
      <c r="V23" s="15"/>
      <c r="W23" s="15"/>
      <c r="X23" s="15"/>
      <c r="Y23" s="15"/>
      <c r="Z23" s="15"/>
    </row>
    <row r="24" spans="4:26" s="21" customFormat="1" ht="14.25" x14ac:dyDescent="0.45">
      <c r="D24"/>
      <c r="E24"/>
      <c r="F24" s="49">
        <v>37926</v>
      </c>
      <c r="G24" s="52">
        <v>101.97</v>
      </c>
      <c r="H24" s="52">
        <v>101.97</v>
      </c>
      <c r="I24"/>
      <c r="J24"/>
      <c r="K24"/>
      <c r="L24"/>
      <c r="M24" s="106">
        <v>1.0151319064211051</v>
      </c>
      <c r="N24" s="106">
        <v>0.95299065420560747</v>
      </c>
      <c r="O24" s="106"/>
      <c r="P24" s="106">
        <v>1.0151319064211051</v>
      </c>
      <c r="Q24" s="106">
        <v>0.95299065420560747</v>
      </c>
      <c r="R24" s="15"/>
      <c r="S24" s="15"/>
      <c r="T24" s="15"/>
      <c r="U24" s="15"/>
      <c r="V24" s="15"/>
      <c r="W24" s="15"/>
      <c r="X24" s="15"/>
      <c r="Y24" s="15"/>
      <c r="Z24" s="15"/>
    </row>
    <row r="25" spans="4:26" s="21" customFormat="1" ht="14.25" x14ac:dyDescent="0.45">
      <c r="D25"/>
      <c r="E25"/>
      <c r="F25" s="49">
        <v>37956</v>
      </c>
      <c r="G25" s="52">
        <v>101.58</v>
      </c>
      <c r="H25" s="52">
        <v>101.58</v>
      </c>
      <c r="I25"/>
      <c r="J25"/>
      <c r="K25"/>
      <c r="L25"/>
      <c r="M25" s="106">
        <v>1.0112493777999003</v>
      </c>
      <c r="N25" s="106">
        <v>0.94934579439252331</v>
      </c>
      <c r="O25" s="106"/>
      <c r="P25" s="106">
        <v>1.0112493777999003</v>
      </c>
      <c r="Q25" s="106">
        <v>0.94934579439252331</v>
      </c>
      <c r="R25" s="15"/>
      <c r="S25" s="15"/>
      <c r="T25" s="15"/>
      <c r="U25" s="15"/>
      <c r="V25" s="15"/>
      <c r="W25" s="15"/>
      <c r="X25" s="15"/>
      <c r="Y25" s="15"/>
      <c r="Z25" s="15"/>
    </row>
    <row r="26" spans="4:26" s="21" customFormat="1" ht="14.25" x14ac:dyDescent="0.45">
      <c r="D26"/>
      <c r="E26"/>
      <c r="F26" s="49">
        <v>37987</v>
      </c>
      <c r="G26" s="52">
        <v>103.57</v>
      </c>
      <c r="H26" s="52">
        <v>103.57</v>
      </c>
      <c r="I26"/>
      <c r="J26"/>
      <c r="K26"/>
      <c r="L26"/>
      <c r="M26" s="106">
        <v>1.0310602289696364</v>
      </c>
      <c r="N26" s="106">
        <v>0.96794392523364481</v>
      </c>
      <c r="O26" s="106"/>
      <c r="P26" s="106">
        <v>1.0310602289696364</v>
      </c>
      <c r="Q26" s="106">
        <v>0.96794392523364481</v>
      </c>
      <c r="R26" s="15"/>
      <c r="S26" s="15"/>
      <c r="T26" s="15"/>
      <c r="U26" s="15"/>
      <c r="V26" s="15"/>
      <c r="W26" s="15"/>
      <c r="X26" s="15"/>
      <c r="Y26" s="15"/>
      <c r="Z26" s="15"/>
    </row>
    <row r="27" spans="4:26" s="21" customFormat="1" ht="14.25" x14ac:dyDescent="0.45">
      <c r="D27"/>
      <c r="E27"/>
      <c r="F27" s="49">
        <v>38018</v>
      </c>
      <c r="G27" s="52">
        <v>104.49</v>
      </c>
      <c r="H27" s="52">
        <v>104.49</v>
      </c>
      <c r="I27"/>
      <c r="J27"/>
      <c r="K27"/>
      <c r="L27"/>
      <c r="M27" s="106">
        <v>1.0402190144350423</v>
      </c>
      <c r="N27" s="106">
        <v>0.9765420560747663</v>
      </c>
      <c r="O27" s="106"/>
      <c r="P27" s="106">
        <v>1.0402190144350423</v>
      </c>
      <c r="Q27" s="106">
        <v>0.9765420560747663</v>
      </c>
      <c r="R27" s="15"/>
      <c r="S27" s="15"/>
      <c r="T27" s="15"/>
      <c r="U27" s="15"/>
      <c r="V27" s="15"/>
      <c r="W27" s="15"/>
      <c r="X27" s="15"/>
      <c r="Y27" s="15"/>
      <c r="Z27" s="15"/>
    </row>
    <row r="28" spans="4:26" s="21" customFormat="1" ht="14.25" x14ac:dyDescent="0.45">
      <c r="D28"/>
      <c r="E28"/>
      <c r="F28" s="49">
        <v>38047</v>
      </c>
      <c r="G28" s="52">
        <v>105.98</v>
      </c>
      <c r="H28" s="52">
        <v>105.98</v>
      </c>
      <c r="I28"/>
      <c r="J28"/>
      <c r="K28"/>
      <c r="L28"/>
      <c r="M28" s="106">
        <v>1.0550522648083624</v>
      </c>
      <c r="N28" s="106">
        <v>0.99046728971962616</v>
      </c>
      <c r="O28" s="106"/>
      <c r="P28" s="106">
        <v>1.0550522648083624</v>
      </c>
      <c r="Q28" s="106">
        <v>0.99046728971962616</v>
      </c>
      <c r="R28" s="15"/>
      <c r="S28" s="15"/>
      <c r="T28" s="15"/>
      <c r="U28" s="15"/>
      <c r="V28" s="15"/>
      <c r="W28" s="15"/>
      <c r="X28" s="15"/>
      <c r="Y28" s="15"/>
      <c r="Z28" s="15"/>
    </row>
    <row r="29" spans="4:26" s="21" customFormat="1" ht="14.25" x14ac:dyDescent="0.45">
      <c r="D29"/>
      <c r="E29"/>
      <c r="F29" s="49">
        <v>38078</v>
      </c>
      <c r="G29" s="52">
        <v>106.41</v>
      </c>
      <c r="H29" s="52">
        <v>106.41</v>
      </c>
      <c r="I29"/>
      <c r="J29"/>
      <c r="K29"/>
      <c r="L29"/>
      <c r="M29" s="106">
        <v>1.0593330014932802</v>
      </c>
      <c r="N29" s="106">
        <v>0.99448598130841115</v>
      </c>
      <c r="O29" s="106"/>
      <c r="P29" s="106">
        <v>1.0593330014932802</v>
      </c>
      <c r="Q29" s="106">
        <v>0.99448598130841115</v>
      </c>
      <c r="R29" s="15"/>
      <c r="S29" s="15"/>
      <c r="T29" s="15"/>
      <c r="U29" s="15"/>
      <c r="V29" s="15"/>
      <c r="W29" s="15"/>
      <c r="X29" s="15"/>
      <c r="Y29" s="15"/>
      <c r="Z29" s="15"/>
    </row>
    <row r="30" spans="4:26" s="21" customFormat="1" ht="14.25" x14ac:dyDescent="0.45">
      <c r="D30"/>
      <c r="E30"/>
      <c r="F30" s="49">
        <v>38108</v>
      </c>
      <c r="G30" s="52">
        <v>106.44</v>
      </c>
      <c r="H30" s="52">
        <v>106.44</v>
      </c>
      <c r="I30"/>
      <c r="J30"/>
      <c r="K30"/>
      <c r="L30"/>
      <c r="M30" s="106">
        <v>1.0596316575410651</v>
      </c>
      <c r="N30" s="106">
        <v>0.99476635514018685</v>
      </c>
      <c r="O30" s="106"/>
      <c r="P30" s="106">
        <v>1.0596316575410651</v>
      </c>
      <c r="Q30" s="106">
        <v>0.99476635514018685</v>
      </c>
      <c r="R30" s="15"/>
      <c r="S30" s="15"/>
      <c r="T30" s="15"/>
      <c r="U30" s="15"/>
      <c r="V30" s="15"/>
      <c r="W30" s="15"/>
      <c r="X30" s="15"/>
      <c r="Y30" s="15"/>
      <c r="Z30" s="15"/>
    </row>
    <row r="31" spans="4:26" s="21" customFormat="1" ht="14.25" x14ac:dyDescent="0.45">
      <c r="D31"/>
      <c r="E31"/>
      <c r="F31" s="49">
        <v>38139</v>
      </c>
      <c r="G31" s="52">
        <v>107.22</v>
      </c>
      <c r="H31" s="52">
        <v>107.22</v>
      </c>
      <c r="I31"/>
      <c r="J31"/>
      <c r="K31"/>
      <c r="L31"/>
      <c r="M31" s="106">
        <v>1.0673967147834744</v>
      </c>
      <c r="N31" s="106">
        <v>1.0020560747663552</v>
      </c>
      <c r="O31" s="106"/>
      <c r="P31" s="106">
        <v>1.0673967147834744</v>
      </c>
      <c r="Q31" s="106">
        <v>1.0020560747663552</v>
      </c>
      <c r="R31" s="15"/>
      <c r="S31" s="15"/>
      <c r="T31" s="15"/>
      <c r="U31" s="15"/>
      <c r="V31" s="15"/>
      <c r="W31" s="15"/>
      <c r="X31" s="15"/>
      <c r="Y31" s="15"/>
      <c r="Z31" s="15"/>
    </row>
    <row r="32" spans="4:26" s="21" customFormat="1" ht="14.25" x14ac:dyDescent="0.45">
      <c r="D32"/>
      <c r="E32"/>
      <c r="F32" s="49">
        <v>38169</v>
      </c>
      <c r="G32" s="52">
        <v>107.82</v>
      </c>
      <c r="H32" s="52">
        <v>107.82</v>
      </c>
      <c r="I32"/>
      <c r="J32"/>
      <c r="K32"/>
      <c r="L32"/>
      <c r="M32" s="106">
        <v>1.0733698357391737</v>
      </c>
      <c r="N32" s="106">
        <v>1.007663551401869</v>
      </c>
      <c r="O32" s="106"/>
      <c r="P32" s="106">
        <v>1.0733698357391737</v>
      </c>
      <c r="Q32" s="106">
        <v>1.007663551401869</v>
      </c>
      <c r="R32" s="15"/>
      <c r="S32" s="15"/>
      <c r="T32" s="15"/>
      <c r="U32" s="15"/>
      <c r="V32" s="15"/>
      <c r="W32" s="15"/>
      <c r="X32" s="15"/>
      <c r="Y32" s="15"/>
      <c r="Z32" s="15"/>
    </row>
    <row r="33" spans="6:26" s="21" customFormat="1" ht="14.25" x14ac:dyDescent="0.45">
      <c r="F33" s="49">
        <v>38200</v>
      </c>
      <c r="G33" s="52">
        <v>108.19</v>
      </c>
      <c r="H33" s="52">
        <v>108.19</v>
      </c>
      <c r="I33"/>
      <c r="J33"/>
      <c r="K33"/>
      <c r="L33"/>
      <c r="M33" s="106">
        <v>1.0770532603285217</v>
      </c>
      <c r="N33" s="106">
        <v>1.0111214953271028</v>
      </c>
      <c r="O33" s="106"/>
      <c r="P33" s="106">
        <v>1.0770532603285217</v>
      </c>
      <c r="Q33" s="106">
        <v>1.0111214953271028</v>
      </c>
      <c r="R33" s="15"/>
      <c r="S33" s="15"/>
      <c r="T33" s="15"/>
      <c r="U33" s="15"/>
      <c r="V33" s="15"/>
      <c r="W33" s="15"/>
      <c r="X33" s="15"/>
      <c r="Y33" s="15"/>
      <c r="Z33" s="15"/>
    </row>
    <row r="34" spans="6:26" s="21" customFormat="1" ht="14.25" x14ac:dyDescent="0.45">
      <c r="F34" s="49">
        <v>38231</v>
      </c>
      <c r="G34" s="52">
        <v>109.46</v>
      </c>
      <c r="H34" s="52">
        <v>109.46</v>
      </c>
      <c r="I34"/>
      <c r="J34"/>
      <c r="K34"/>
      <c r="L34"/>
      <c r="M34" s="106">
        <v>1.0896963663514185</v>
      </c>
      <c r="N34" s="106">
        <v>1.0229906542056073</v>
      </c>
      <c r="O34" s="106"/>
      <c r="P34" s="106">
        <v>1.0896963663514185</v>
      </c>
      <c r="Q34" s="106">
        <v>1.0229906542056073</v>
      </c>
      <c r="R34" s="15"/>
      <c r="S34" s="15"/>
      <c r="T34" s="15"/>
      <c r="U34" s="15"/>
      <c r="V34" s="15"/>
      <c r="W34" s="15"/>
      <c r="X34" s="15"/>
      <c r="Y34" s="15"/>
      <c r="Z34" s="15"/>
    </row>
    <row r="35" spans="6:26" s="21" customFormat="1" ht="14.25" x14ac:dyDescent="0.45">
      <c r="F35" s="49">
        <v>38261</v>
      </c>
      <c r="G35" s="52">
        <v>108.73</v>
      </c>
      <c r="H35" s="52">
        <v>108.73</v>
      </c>
      <c r="I35"/>
      <c r="J35"/>
      <c r="K35"/>
      <c r="L35"/>
      <c r="M35" s="106">
        <v>1.0824290691886511</v>
      </c>
      <c r="N35" s="106">
        <v>1.0161682242990655</v>
      </c>
      <c r="O35" s="106"/>
      <c r="P35" s="106">
        <v>1.0824290691886511</v>
      </c>
      <c r="Q35" s="106">
        <v>1.0161682242990655</v>
      </c>
      <c r="R35" s="15"/>
      <c r="S35" s="15"/>
      <c r="T35" s="15"/>
      <c r="U35" s="15"/>
      <c r="V35" s="15"/>
      <c r="W35" s="15"/>
      <c r="X35" s="15"/>
      <c r="Y35" s="15"/>
      <c r="Z35" s="15"/>
    </row>
    <row r="36" spans="6:26" s="21" customFormat="1" ht="14.25" x14ac:dyDescent="0.45">
      <c r="F36" s="49">
        <v>38292</v>
      </c>
      <c r="G36" s="52">
        <v>109.62</v>
      </c>
      <c r="H36" s="52">
        <v>109.62</v>
      </c>
      <c r="I36"/>
      <c r="J36"/>
      <c r="K36"/>
      <c r="L36"/>
      <c r="M36" s="106">
        <v>1.0912891986062718</v>
      </c>
      <c r="N36" s="106">
        <v>1.0244859813084113</v>
      </c>
      <c r="O36" s="106"/>
      <c r="P36" s="106">
        <v>1.0912891986062718</v>
      </c>
      <c r="Q36" s="106">
        <v>1.0244859813084113</v>
      </c>
      <c r="R36" s="15"/>
      <c r="S36" s="15"/>
      <c r="T36" s="15"/>
      <c r="U36" s="15"/>
      <c r="V36" s="15"/>
      <c r="W36" s="15"/>
      <c r="X36" s="15"/>
      <c r="Y36" s="15"/>
      <c r="Z36" s="15"/>
    </row>
    <row r="37" spans="6:26" s="21" customFormat="1" ht="14.25" x14ac:dyDescent="0.45">
      <c r="F37" s="49">
        <v>38322</v>
      </c>
      <c r="G37" s="52">
        <v>108.79</v>
      </c>
      <c r="H37" s="52">
        <v>108.79</v>
      </c>
      <c r="I37"/>
      <c r="J37"/>
      <c r="K37"/>
      <c r="L37"/>
      <c r="M37" s="106">
        <v>1.0830263812842211</v>
      </c>
      <c r="N37" s="106">
        <v>1.0167289719626169</v>
      </c>
      <c r="O37" s="106"/>
      <c r="P37" s="106">
        <v>1.0830263812842211</v>
      </c>
      <c r="Q37" s="106">
        <v>1.0167289719626169</v>
      </c>
      <c r="R37" s="15"/>
      <c r="S37" s="15"/>
      <c r="T37" s="15"/>
      <c r="U37" s="15"/>
      <c r="V37" s="15"/>
      <c r="W37" s="15"/>
      <c r="X37" s="15"/>
      <c r="Y37" s="15"/>
      <c r="Z37" s="15"/>
    </row>
    <row r="38" spans="6:26" s="21" customFormat="1" ht="14.25" x14ac:dyDescent="0.45">
      <c r="F38" s="49">
        <v>38353</v>
      </c>
      <c r="G38" s="52">
        <v>109.62</v>
      </c>
      <c r="H38" s="52">
        <v>109.62</v>
      </c>
      <c r="I38"/>
      <c r="J38"/>
      <c r="K38"/>
      <c r="L38"/>
      <c r="M38" s="106">
        <v>1.0912891986062718</v>
      </c>
      <c r="N38" s="106">
        <v>1.0244859813084113</v>
      </c>
      <c r="O38" s="106"/>
      <c r="P38" s="106">
        <v>1.0912891986062718</v>
      </c>
      <c r="Q38" s="106">
        <v>1.0244859813084113</v>
      </c>
      <c r="R38" s="15"/>
      <c r="S38" s="15"/>
      <c r="T38" s="15"/>
      <c r="U38" s="15"/>
      <c r="V38" s="15"/>
      <c r="W38" s="15"/>
      <c r="X38" s="15"/>
      <c r="Y38" s="15"/>
      <c r="Z38" s="15"/>
    </row>
    <row r="39" spans="6:26" s="21" customFormat="1" ht="14.25" x14ac:dyDescent="0.45">
      <c r="F39" s="49">
        <v>38384</v>
      </c>
      <c r="G39" s="52">
        <v>110.14</v>
      </c>
      <c r="H39" s="52">
        <v>110.14</v>
      </c>
      <c r="I39"/>
      <c r="J39"/>
      <c r="K39"/>
      <c r="L39"/>
      <c r="M39" s="106">
        <v>1.0964659034345445</v>
      </c>
      <c r="N39" s="106">
        <v>1.0293457943925233</v>
      </c>
      <c r="O39" s="106"/>
      <c r="P39" s="106">
        <v>1.0964659034345445</v>
      </c>
      <c r="Q39" s="106">
        <v>1.0293457943925233</v>
      </c>
      <c r="R39" s="15"/>
      <c r="S39" s="15"/>
      <c r="T39" s="15"/>
      <c r="U39" s="15"/>
      <c r="V39" s="15"/>
      <c r="W39" s="15"/>
      <c r="X39" s="15"/>
      <c r="Y39" s="15"/>
      <c r="Z39" s="15"/>
    </row>
    <row r="40" spans="6:26" s="21" customFormat="1" ht="14.25" x14ac:dyDescent="0.45">
      <c r="F40" s="49">
        <v>38412</v>
      </c>
      <c r="G40" s="52">
        <v>110.43</v>
      </c>
      <c r="H40" s="52">
        <v>110.43</v>
      </c>
      <c r="I40"/>
      <c r="J40"/>
      <c r="K40"/>
      <c r="L40"/>
      <c r="M40" s="106">
        <v>1.099352911896466</v>
      </c>
      <c r="N40" s="106">
        <v>1.0320560747663552</v>
      </c>
      <c r="O40" s="106"/>
      <c r="P40" s="106">
        <v>1.099352911896466</v>
      </c>
      <c r="Q40" s="106">
        <v>1.0320560747663552</v>
      </c>
      <c r="R40" s="15"/>
      <c r="S40" s="15"/>
      <c r="T40" s="15"/>
      <c r="U40" s="15"/>
      <c r="V40" s="15"/>
      <c r="W40" s="15"/>
      <c r="X40" s="15"/>
      <c r="Y40" s="15"/>
      <c r="Z40" s="15"/>
    </row>
    <row r="41" spans="6:26" s="21" customFormat="1" ht="14.25" x14ac:dyDescent="0.45">
      <c r="F41" s="49">
        <v>38443</v>
      </c>
      <c r="G41" s="52">
        <v>110.95</v>
      </c>
      <c r="H41" s="52">
        <v>110.95</v>
      </c>
      <c r="I41"/>
      <c r="J41"/>
      <c r="K41"/>
      <c r="L41"/>
      <c r="M41" s="106">
        <v>1.1045296167247387</v>
      </c>
      <c r="N41" s="106">
        <v>1.0369158878504674</v>
      </c>
      <c r="O41" s="106"/>
      <c r="P41" s="106">
        <v>1.1045296167247387</v>
      </c>
      <c r="Q41" s="106">
        <v>1.0369158878504674</v>
      </c>
      <c r="R41" s="15"/>
      <c r="S41" s="15"/>
      <c r="T41" s="15"/>
      <c r="U41" s="15"/>
      <c r="V41" s="15"/>
      <c r="W41" s="15"/>
      <c r="X41" s="15"/>
      <c r="Y41" s="15"/>
      <c r="Z41" s="15"/>
    </row>
    <row r="42" spans="6:26" s="21" customFormat="1" ht="14.25" x14ac:dyDescent="0.45">
      <c r="F42" s="49">
        <v>38473</v>
      </c>
      <c r="G42" s="52">
        <v>110.99</v>
      </c>
      <c r="H42" s="52">
        <v>110.99</v>
      </c>
      <c r="I42"/>
      <c r="J42"/>
      <c r="K42"/>
      <c r="L42"/>
      <c r="M42" s="106">
        <v>1.104927824788452</v>
      </c>
      <c r="N42" s="106">
        <v>1.0372897196261681</v>
      </c>
      <c r="O42" s="106"/>
      <c r="P42" s="106">
        <v>1.104927824788452</v>
      </c>
      <c r="Q42" s="106">
        <v>1.0372897196261681</v>
      </c>
      <c r="R42" s="15"/>
      <c r="S42" s="15"/>
      <c r="T42" s="15"/>
      <c r="U42" s="15"/>
      <c r="V42" s="15"/>
      <c r="W42" s="15"/>
      <c r="X42" s="15"/>
      <c r="Y42" s="15"/>
      <c r="Z42" s="15"/>
    </row>
    <row r="43" spans="6:26" s="21" customFormat="1" ht="14.25" x14ac:dyDescent="0.45">
      <c r="F43" s="49">
        <v>38504</v>
      </c>
      <c r="G43" s="52">
        <v>110.63</v>
      </c>
      <c r="H43" s="52">
        <v>110.63</v>
      </c>
      <c r="I43"/>
      <c r="J43"/>
      <c r="K43"/>
      <c r="L43"/>
      <c r="M43" s="106">
        <v>1.1013439522150323</v>
      </c>
      <c r="N43" s="106">
        <v>1.0339252336448597</v>
      </c>
      <c r="O43" s="106"/>
      <c r="P43" s="106">
        <v>1.1013439522150323</v>
      </c>
      <c r="Q43" s="106">
        <v>1.0339252336448597</v>
      </c>
      <c r="R43" s="15"/>
      <c r="S43" s="15"/>
      <c r="T43" s="15"/>
      <c r="U43" s="15"/>
      <c r="V43" s="15"/>
      <c r="W43" s="15"/>
      <c r="X43" s="15"/>
      <c r="Y43" s="15"/>
      <c r="Z43" s="15"/>
    </row>
    <row r="44" spans="6:26" s="21" customFormat="1" ht="14.25" x14ac:dyDescent="0.45">
      <c r="F44" s="49">
        <v>38534</v>
      </c>
      <c r="G44" s="52">
        <v>110.63</v>
      </c>
      <c r="H44" s="52">
        <v>110.63</v>
      </c>
      <c r="I44"/>
      <c r="J44"/>
      <c r="K44"/>
      <c r="L44"/>
      <c r="M44" s="106">
        <v>1.1013439522150323</v>
      </c>
      <c r="N44" s="106">
        <v>1.0339252336448597</v>
      </c>
      <c r="O44" s="106"/>
      <c r="P44" s="106">
        <v>1.1013439522150323</v>
      </c>
      <c r="Q44" s="106">
        <v>1.0339252336448597</v>
      </c>
      <c r="R44" s="15"/>
      <c r="S44" s="15"/>
      <c r="T44" s="15"/>
      <c r="U44" s="15"/>
      <c r="V44" s="15"/>
      <c r="W44" s="15"/>
      <c r="X44" s="15"/>
      <c r="Y44" s="15"/>
      <c r="Z44" s="15"/>
    </row>
    <row r="45" spans="6:26" s="21" customFormat="1" ht="14.25" x14ac:dyDescent="0.45">
      <c r="F45" s="49">
        <v>38565</v>
      </c>
      <c r="G45" s="52">
        <v>111.29</v>
      </c>
      <c r="H45" s="52">
        <v>111.29</v>
      </c>
      <c r="I45"/>
      <c r="J45"/>
      <c r="K45"/>
      <c r="L45"/>
      <c r="M45" s="106">
        <v>1.1079143852663016</v>
      </c>
      <c r="N45" s="106">
        <v>1.0400934579439254</v>
      </c>
      <c r="O45" s="106"/>
      <c r="P45" s="106">
        <v>1.1079143852663016</v>
      </c>
      <c r="Q45" s="106">
        <v>1.0400934579439254</v>
      </c>
      <c r="R45" s="15"/>
      <c r="S45" s="15"/>
      <c r="T45" s="15"/>
      <c r="U45" s="15"/>
      <c r="V45" s="15"/>
      <c r="W45" s="15"/>
      <c r="X45" s="15"/>
      <c r="Y45" s="15"/>
      <c r="Z45" s="15"/>
    </row>
    <row r="46" spans="6:26" s="21" customFormat="1" ht="14.25" x14ac:dyDescent="0.45">
      <c r="F46" s="49">
        <v>38596</v>
      </c>
      <c r="G46" s="52">
        <v>110.86</v>
      </c>
      <c r="H46" s="52">
        <v>110.86</v>
      </c>
      <c r="I46"/>
      <c r="J46"/>
      <c r="K46"/>
      <c r="L46"/>
      <c r="M46" s="106">
        <v>1.1036336485813838</v>
      </c>
      <c r="N46" s="106">
        <v>1.0360747663551402</v>
      </c>
      <c r="O46" s="106"/>
      <c r="P46" s="106">
        <v>1.1036336485813838</v>
      </c>
      <c r="Q46" s="106">
        <v>1.0360747663551402</v>
      </c>
      <c r="R46" s="15"/>
      <c r="S46" s="15"/>
      <c r="T46" s="15"/>
      <c r="U46" s="15"/>
      <c r="V46" s="15"/>
      <c r="W46" s="15"/>
      <c r="X46" s="15"/>
      <c r="Y46" s="15"/>
      <c r="Z46" s="15"/>
    </row>
    <row r="47" spans="6:26" s="21" customFormat="1" ht="14.25" x14ac:dyDescent="0.45">
      <c r="F47" s="49">
        <v>38626</v>
      </c>
      <c r="G47" s="52">
        <v>111.05</v>
      </c>
      <c r="H47" s="52">
        <v>111.05</v>
      </c>
      <c r="I47"/>
      <c r="J47"/>
      <c r="K47"/>
      <c r="L47"/>
      <c r="M47" s="106">
        <v>1.1055251368840218</v>
      </c>
      <c r="N47" s="106">
        <v>1.0378504672897195</v>
      </c>
      <c r="O47" s="106"/>
      <c r="P47" s="106">
        <v>1.1055251368840218</v>
      </c>
      <c r="Q47" s="106">
        <v>1.0378504672897195</v>
      </c>
      <c r="R47" s="15"/>
      <c r="S47" s="15"/>
      <c r="T47" s="15"/>
      <c r="U47" s="15"/>
      <c r="V47" s="15"/>
      <c r="W47" s="15"/>
      <c r="X47" s="15"/>
      <c r="Y47" s="15"/>
      <c r="Z47" s="15"/>
    </row>
    <row r="48" spans="6:26" s="21" customFormat="1" ht="14.25" x14ac:dyDescent="0.45">
      <c r="F48" s="49">
        <v>38657</v>
      </c>
      <c r="G48" s="52">
        <v>111.81</v>
      </c>
      <c r="H48" s="52">
        <v>111.81</v>
      </c>
      <c r="I48"/>
      <c r="J48"/>
      <c r="K48"/>
      <c r="L48"/>
      <c r="M48" s="106">
        <v>1.1130910900945743</v>
      </c>
      <c r="N48" s="106">
        <v>1.0449532710280374</v>
      </c>
      <c r="O48" s="106"/>
      <c r="P48" s="106">
        <v>1.1130910900945743</v>
      </c>
      <c r="Q48" s="106">
        <v>1.0449532710280374</v>
      </c>
      <c r="R48" s="15"/>
      <c r="S48" s="15"/>
      <c r="T48" s="15"/>
      <c r="U48" s="15"/>
      <c r="V48" s="15"/>
      <c r="W48" s="15"/>
      <c r="X48" s="15"/>
      <c r="Y48" s="15"/>
      <c r="Z48" s="15"/>
    </row>
    <row r="49" spans="6:26" s="21" customFormat="1" ht="14.25" x14ac:dyDescent="0.45">
      <c r="F49" s="49">
        <v>38687</v>
      </c>
      <c r="G49" s="52">
        <v>112.32</v>
      </c>
      <c r="H49" s="52">
        <v>112.32</v>
      </c>
      <c r="I49"/>
      <c r="J49"/>
      <c r="K49"/>
      <c r="L49"/>
      <c r="M49" s="106">
        <v>1.1181682429069189</v>
      </c>
      <c r="N49" s="106">
        <v>1.0497196261682242</v>
      </c>
      <c r="O49" s="106"/>
      <c r="P49" s="106">
        <v>1.1181682429069189</v>
      </c>
      <c r="Q49" s="106">
        <v>1.0497196261682242</v>
      </c>
      <c r="R49" s="15"/>
      <c r="S49" s="15"/>
      <c r="T49" s="15"/>
      <c r="U49" s="15"/>
      <c r="V49" s="15"/>
      <c r="W49" s="15"/>
      <c r="X49" s="15"/>
      <c r="Y49" s="15"/>
      <c r="Z49" s="15"/>
    </row>
    <row r="50" spans="6:26" s="21" customFormat="1" ht="14.25" x14ac:dyDescent="0.45">
      <c r="F50" s="49">
        <v>38718</v>
      </c>
      <c r="G50" s="52">
        <v>113.38</v>
      </c>
      <c r="H50" s="52">
        <v>113.38</v>
      </c>
      <c r="I50"/>
      <c r="J50"/>
      <c r="K50"/>
      <c r="L50"/>
      <c r="M50" s="106">
        <v>1.128720756595321</v>
      </c>
      <c r="N50" s="106">
        <v>1.0596261682242991</v>
      </c>
      <c r="O50" s="106"/>
      <c r="P50" s="106">
        <v>1.128720756595321</v>
      </c>
      <c r="Q50" s="106">
        <v>1.0596261682242991</v>
      </c>
      <c r="R50" s="15"/>
      <c r="S50" s="15"/>
      <c r="T50" s="15"/>
      <c r="U50" s="15"/>
      <c r="V50" s="15"/>
      <c r="W50" s="15"/>
      <c r="X50" s="15"/>
      <c r="Y50" s="15"/>
      <c r="Z50" s="15"/>
    </row>
    <row r="51" spans="6:26" s="21" customFormat="1" ht="14.25" x14ac:dyDescent="0.45">
      <c r="F51" s="49">
        <v>38749</v>
      </c>
      <c r="G51" s="52">
        <v>113.61</v>
      </c>
      <c r="H51" s="52">
        <v>113.61</v>
      </c>
      <c r="I51"/>
      <c r="J51"/>
      <c r="K51"/>
      <c r="L51"/>
      <c r="M51" s="106">
        <v>1.1310104529616725</v>
      </c>
      <c r="N51" s="106">
        <v>1.0617757009345794</v>
      </c>
      <c r="O51" s="106"/>
      <c r="P51" s="106">
        <v>1.1310104529616725</v>
      </c>
      <c r="Q51" s="106">
        <v>1.0617757009345794</v>
      </c>
      <c r="R51" s="15"/>
      <c r="S51" s="15"/>
      <c r="T51" s="15"/>
      <c r="U51" s="15"/>
      <c r="V51" s="15"/>
      <c r="W51" s="15"/>
      <c r="X51" s="15"/>
      <c r="Y51" s="15"/>
      <c r="Z51" s="15"/>
    </row>
    <row r="52" spans="6:26" s="21" customFormat="1" ht="14.25" x14ac:dyDescent="0.45">
      <c r="F52" s="49">
        <v>38777</v>
      </c>
      <c r="G52" s="52">
        <v>113.55</v>
      </c>
      <c r="H52" s="52">
        <v>113.55</v>
      </c>
      <c r="I52"/>
      <c r="J52"/>
      <c r="K52"/>
      <c r="L52"/>
      <c r="M52" s="106">
        <v>1.1304131408661025</v>
      </c>
      <c r="N52" s="106">
        <v>1.061214953271028</v>
      </c>
      <c r="O52" s="106"/>
      <c r="P52" s="106">
        <v>1.1304131408661025</v>
      </c>
      <c r="Q52" s="106">
        <v>1.061214953271028</v>
      </c>
      <c r="R52" s="15"/>
      <c r="S52" s="15"/>
      <c r="T52" s="15"/>
      <c r="U52" s="15"/>
      <c r="V52" s="15"/>
      <c r="W52" s="15"/>
      <c r="X52" s="15"/>
      <c r="Y52" s="15"/>
      <c r="Z52" s="15"/>
    </row>
    <row r="53" spans="6:26" s="21" customFormat="1" ht="14.25" x14ac:dyDescent="0.45">
      <c r="F53" s="49">
        <v>38808</v>
      </c>
      <c r="G53" s="52">
        <v>114.23</v>
      </c>
      <c r="H53" s="52">
        <v>114.23</v>
      </c>
      <c r="I53"/>
      <c r="J53"/>
      <c r="K53"/>
      <c r="L53"/>
      <c r="M53" s="106">
        <v>1.1371826779492284</v>
      </c>
      <c r="N53" s="106">
        <v>1.067570093457944</v>
      </c>
      <c r="O53" s="106"/>
      <c r="P53" s="106">
        <v>1.1371826779492284</v>
      </c>
      <c r="Q53" s="106">
        <v>1.067570093457944</v>
      </c>
      <c r="R53" s="15"/>
      <c r="S53" s="15"/>
      <c r="T53" s="15"/>
      <c r="U53" s="15"/>
      <c r="V53" s="15"/>
      <c r="W53" s="15"/>
      <c r="X53" s="15"/>
      <c r="Y53" s="15"/>
      <c r="Z53" s="15"/>
    </row>
    <row r="54" spans="6:26" s="21" customFormat="1" ht="14.25" x14ac:dyDescent="0.45">
      <c r="F54" s="49">
        <v>38838</v>
      </c>
      <c r="G54" s="52">
        <v>115.66</v>
      </c>
      <c r="H54" s="52">
        <v>115.66</v>
      </c>
      <c r="I54"/>
      <c r="J54"/>
      <c r="K54"/>
      <c r="L54"/>
      <c r="M54" s="106">
        <v>1.1514186162269786</v>
      </c>
      <c r="N54" s="106">
        <v>1.0809345794392522</v>
      </c>
      <c r="O54" s="106"/>
      <c r="P54" s="106">
        <v>1.1514186162269786</v>
      </c>
      <c r="Q54" s="106">
        <v>1.0809345794392522</v>
      </c>
      <c r="R54" s="15"/>
      <c r="S54" s="15"/>
      <c r="T54" s="15"/>
      <c r="U54" s="15"/>
      <c r="V54" s="15"/>
      <c r="W54" s="15"/>
      <c r="X54" s="15"/>
      <c r="Y54" s="15"/>
      <c r="Z54" s="15"/>
    </row>
    <row r="55" spans="6:26" s="21" customFormat="1" ht="14.25" x14ac:dyDescent="0.45">
      <c r="F55" s="49">
        <v>38869</v>
      </c>
      <c r="G55" s="52">
        <v>114.72</v>
      </c>
      <c r="H55" s="52">
        <v>114.72</v>
      </c>
      <c r="I55"/>
      <c r="J55"/>
      <c r="K55"/>
      <c r="L55"/>
      <c r="M55" s="106">
        <v>1.1420607267297163</v>
      </c>
      <c r="N55" s="106">
        <v>1.0721495327102804</v>
      </c>
      <c r="O55" s="106"/>
      <c r="P55" s="106">
        <v>1.1420607267297163</v>
      </c>
      <c r="Q55" s="106">
        <v>1.0721495327102804</v>
      </c>
      <c r="R55" s="15"/>
      <c r="S55" s="15"/>
      <c r="T55" s="15"/>
      <c r="U55" s="15"/>
      <c r="V55" s="15"/>
      <c r="W55" s="15"/>
      <c r="X55" s="15"/>
      <c r="Y55" s="15"/>
      <c r="Z55" s="15"/>
    </row>
    <row r="56" spans="6:26" s="21" customFormat="1" ht="14.25" x14ac:dyDescent="0.45">
      <c r="F56" s="49">
        <v>38899</v>
      </c>
      <c r="G56" s="52">
        <v>116.94</v>
      </c>
      <c r="H56" s="52">
        <v>116.94</v>
      </c>
      <c r="I56"/>
      <c r="J56"/>
      <c r="K56"/>
      <c r="L56"/>
      <c r="M56" s="106">
        <v>1.1641612742658038</v>
      </c>
      <c r="N56" s="106">
        <v>1.0928971962616822</v>
      </c>
      <c r="O56" s="106"/>
      <c r="P56" s="106">
        <v>1.1641612742658038</v>
      </c>
      <c r="Q56" s="106">
        <v>1.0928971962616822</v>
      </c>
      <c r="R56" s="15"/>
      <c r="S56" s="15"/>
      <c r="T56" s="15"/>
      <c r="U56" s="15"/>
      <c r="V56" s="15"/>
      <c r="W56" s="15"/>
      <c r="X56" s="15"/>
      <c r="Y56" s="15"/>
      <c r="Z56" s="15"/>
    </row>
    <row r="57" spans="6:26" s="21" customFormat="1" ht="14.25" x14ac:dyDescent="0.45">
      <c r="F57" s="49">
        <v>38930</v>
      </c>
      <c r="G57" s="52">
        <v>116.62</v>
      </c>
      <c r="H57" s="52">
        <v>116.62</v>
      </c>
      <c r="I57"/>
      <c r="J57"/>
      <c r="K57"/>
      <c r="L57"/>
      <c r="M57" s="106">
        <v>1.1609756097560975</v>
      </c>
      <c r="N57" s="106">
        <v>1.0899065420560747</v>
      </c>
      <c r="O57" s="106"/>
      <c r="P57" s="106">
        <v>1.1609756097560975</v>
      </c>
      <c r="Q57" s="106">
        <v>1.0899065420560747</v>
      </c>
      <c r="R57" s="15"/>
      <c r="S57" s="15"/>
      <c r="T57" s="15"/>
      <c r="U57" s="15"/>
      <c r="V57" s="15"/>
      <c r="W57" s="15"/>
      <c r="X57" s="15"/>
      <c r="Y57" s="15"/>
      <c r="Z57" s="15"/>
    </row>
    <row r="58" spans="6:26" s="21" customFormat="1" ht="14.25" x14ac:dyDescent="0.45">
      <c r="F58" s="49">
        <v>38961</v>
      </c>
      <c r="G58" s="52">
        <v>116.82</v>
      </c>
      <c r="H58" s="52">
        <v>116.82</v>
      </c>
      <c r="I58"/>
      <c r="J58"/>
      <c r="K58"/>
      <c r="L58"/>
      <c r="M58" s="106">
        <v>1.1629666500746638</v>
      </c>
      <c r="N58" s="106">
        <v>1.0917757009345794</v>
      </c>
      <c r="O58" s="106"/>
      <c r="P58" s="106">
        <v>1.1629666500746638</v>
      </c>
      <c r="Q58" s="106">
        <v>1.0917757009345794</v>
      </c>
      <c r="R58" s="15"/>
      <c r="S58" s="15"/>
      <c r="T58" s="15"/>
      <c r="U58" s="15"/>
      <c r="V58" s="15"/>
      <c r="W58" s="15"/>
      <c r="X58" s="15"/>
      <c r="Y58" s="15"/>
      <c r="Z58" s="15"/>
    </row>
    <row r="59" spans="6:26" s="21" customFormat="1" ht="14.25" x14ac:dyDescent="0.45">
      <c r="F59" s="49">
        <v>38991</v>
      </c>
      <c r="G59" s="52">
        <v>118.07</v>
      </c>
      <c r="H59" s="52">
        <v>118.07</v>
      </c>
      <c r="I59"/>
      <c r="J59"/>
      <c r="K59"/>
      <c r="L59"/>
      <c r="M59" s="106">
        <v>1.1754106520657042</v>
      </c>
      <c r="N59" s="106">
        <v>1.1034579439252337</v>
      </c>
      <c r="O59" s="106"/>
      <c r="P59" s="106">
        <v>1.1754106520657042</v>
      </c>
      <c r="Q59" s="106">
        <v>1.1034579439252337</v>
      </c>
      <c r="R59" s="15"/>
      <c r="S59" s="15"/>
      <c r="T59" s="15"/>
      <c r="U59" s="15"/>
      <c r="V59" s="15"/>
      <c r="W59" s="15"/>
      <c r="X59" s="15"/>
      <c r="Y59" s="15"/>
      <c r="Z59" s="15"/>
    </row>
    <row r="60" spans="6:26" s="21" customFormat="1" ht="14.25" x14ac:dyDescent="0.45">
      <c r="F60" s="49">
        <v>39022</v>
      </c>
      <c r="G60" s="52">
        <v>118.87</v>
      </c>
      <c r="H60" s="52">
        <v>118.87</v>
      </c>
      <c r="I60"/>
      <c r="J60"/>
      <c r="K60"/>
      <c r="L60"/>
      <c r="M60" s="106">
        <v>1.1833748133399702</v>
      </c>
      <c r="N60" s="106">
        <v>1.1109345794392524</v>
      </c>
      <c r="O60" s="106"/>
      <c r="P60" s="106">
        <v>1.1833748133399702</v>
      </c>
      <c r="Q60" s="106">
        <v>1.1109345794392524</v>
      </c>
      <c r="R60" s="15"/>
      <c r="S60" s="15"/>
      <c r="T60" s="15"/>
      <c r="U60" s="15"/>
      <c r="V60" s="15"/>
      <c r="W60" s="15"/>
      <c r="X60" s="15"/>
      <c r="Y60" s="15"/>
      <c r="Z60" s="15"/>
    </row>
    <row r="61" spans="6:26" s="21" customFormat="1" ht="14.25" x14ac:dyDescent="0.45">
      <c r="F61" s="49">
        <v>39052</v>
      </c>
      <c r="G61" s="52">
        <v>119.87</v>
      </c>
      <c r="H61" s="52">
        <v>119.87</v>
      </c>
      <c r="I61"/>
      <c r="J61"/>
      <c r="K61"/>
      <c r="L61"/>
      <c r="M61" s="106">
        <v>1.1933300149328023</v>
      </c>
      <c r="N61" s="106">
        <v>1.1202803738317757</v>
      </c>
      <c r="O61" s="106"/>
      <c r="P61" s="106">
        <v>1.1933300149328023</v>
      </c>
      <c r="Q61" s="106">
        <v>1.1202803738317757</v>
      </c>
      <c r="R61" s="15"/>
      <c r="S61" s="15"/>
      <c r="T61" s="15"/>
      <c r="U61" s="15"/>
      <c r="V61" s="15"/>
      <c r="W61" s="15"/>
      <c r="X61" s="15"/>
      <c r="Y61" s="15"/>
      <c r="Z61" s="15"/>
    </row>
    <row r="62" spans="6:26" s="21" customFormat="1" ht="14.25" x14ac:dyDescent="0.45">
      <c r="F62" s="49">
        <v>39083</v>
      </c>
      <c r="G62" s="52">
        <v>119.66</v>
      </c>
      <c r="H62" s="52">
        <v>119.66</v>
      </c>
      <c r="I62"/>
      <c r="J62"/>
      <c r="K62"/>
      <c r="L62"/>
      <c r="M62" s="106">
        <v>1.1912394225983076</v>
      </c>
      <c r="N62" s="106">
        <v>1.1183177570093457</v>
      </c>
      <c r="O62" s="106"/>
      <c r="P62" s="106">
        <v>1.1912394225983076</v>
      </c>
      <c r="Q62" s="106">
        <v>1.1183177570093457</v>
      </c>
      <c r="R62" s="15"/>
      <c r="S62" s="15"/>
      <c r="T62" s="15"/>
      <c r="U62" s="15"/>
      <c r="V62" s="15"/>
      <c r="W62" s="15"/>
      <c r="X62" s="15"/>
      <c r="Y62" s="15"/>
      <c r="Z62" s="15"/>
    </row>
    <row r="63" spans="6:26" s="21" customFormat="1" ht="14.25" x14ac:dyDescent="0.45">
      <c r="F63" s="49">
        <v>39114</v>
      </c>
      <c r="G63" s="52">
        <v>120.17</v>
      </c>
      <c r="H63" s="52">
        <v>120.17</v>
      </c>
      <c r="I63"/>
      <c r="J63"/>
      <c r="K63"/>
      <c r="L63"/>
      <c r="M63" s="106">
        <v>1.196316575410652</v>
      </c>
      <c r="N63" s="106">
        <v>1.1230841121495327</v>
      </c>
      <c r="O63" s="106"/>
      <c r="P63" s="106">
        <v>1.196316575410652</v>
      </c>
      <c r="Q63" s="106">
        <v>1.1230841121495327</v>
      </c>
      <c r="R63" s="15"/>
      <c r="S63" s="15"/>
      <c r="T63" s="15"/>
      <c r="U63" s="15"/>
      <c r="V63" s="15"/>
      <c r="W63" s="15"/>
      <c r="X63" s="15"/>
      <c r="Y63" s="15"/>
      <c r="Z63" s="15"/>
    </row>
    <row r="64" spans="6:26" s="21" customFormat="1" ht="14.25" x14ac:dyDescent="0.45">
      <c r="F64" s="49">
        <v>39142</v>
      </c>
      <c r="G64" s="52">
        <v>119.4</v>
      </c>
      <c r="H64" s="52">
        <v>119.4</v>
      </c>
      <c r="I64"/>
      <c r="J64"/>
      <c r="K64"/>
      <c r="L64"/>
      <c r="M64" s="106">
        <v>1.1886510701841713</v>
      </c>
      <c r="N64" s="106">
        <v>1.1158878504672898</v>
      </c>
      <c r="O64" s="106"/>
      <c r="P64" s="106">
        <v>1.1886510701841713</v>
      </c>
      <c r="Q64" s="106">
        <v>1.1158878504672898</v>
      </c>
      <c r="R64" s="15"/>
      <c r="S64" s="15"/>
      <c r="T64" s="15"/>
      <c r="U64" s="15"/>
      <c r="V64" s="15"/>
      <c r="W64" s="15"/>
      <c r="X64" s="15"/>
      <c r="Y64" s="15"/>
      <c r="Z64" s="15"/>
    </row>
    <row r="65" spans="6:26" s="21" customFormat="1" ht="14.25" x14ac:dyDescent="0.45">
      <c r="F65" s="49">
        <v>39173</v>
      </c>
      <c r="G65" s="52">
        <v>121.18</v>
      </c>
      <c r="H65" s="52">
        <v>121.18</v>
      </c>
      <c r="I65"/>
      <c r="J65"/>
      <c r="K65"/>
      <c r="L65"/>
      <c r="M65" s="106">
        <v>1.2063713290194127</v>
      </c>
      <c r="N65" s="106">
        <v>1.1325233644859813</v>
      </c>
      <c r="O65" s="106"/>
      <c r="P65" s="106">
        <v>1.2063713290194127</v>
      </c>
      <c r="Q65" s="106">
        <v>1.1325233644859813</v>
      </c>
      <c r="R65" s="15"/>
      <c r="S65" s="15"/>
      <c r="T65" s="15"/>
      <c r="U65" s="15"/>
      <c r="V65" s="15"/>
      <c r="W65" s="15"/>
      <c r="X65" s="15"/>
      <c r="Y65" s="15"/>
      <c r="Z65" s="15"/>
    </row>
    <row r="66" spans="6:26" s="21" customFormat="1" ht="14.25" x14ac:dyDescent="0.45">
      <c r="F66" s="49">
        <v>39203</v>
      </c>
      <c r="G66" s="52">
        <v>122.38</v>
      </c>
      <c r="H66" s="52">
        <v>122.38</v>
      </c>
      <c r="I66"/>
      <c r="J66"/>
      <c r="K66"/>
      <c r="L66"/>
      <c r="M66" s="106">
        <v>1.2183175709308112</v>
      </c>
      <c r="N66" s="106">
        <v>1.1437383177570093</v>
      </c>
      <c r="O66" s="106"/>
      <c r="P66" s="106">
        <v>1.2183175709308112</v>
      </c>
      <c r="Q66" s="106">
        <v>1.1437383177570093</v>
      </c>
      <c r="R66" s="15"/>
      <c r="S66" s="15"/>
      <c r="T66" s="15"/>
      <c r="U66" s="15"/>
      <c r="V66" s="15"/>
      <c r="W66" s="15"/>
      <c r="X66" s="15"/>
      <c r="Y66" s="15"/>
      <c r="Z66" s="15"/>
    </row>
    <row r="67" spans="6:26" s="21" customFormat="1" ht="14.25" x14ac:dyDescent="0.45">
      <c r="F67" s="49">
        <v>39234</v>
      </c>
      <c r="G67" s="52">
        <v>123.41</v>
      </c>
      <c r="H67" s="52">
        <v>123.41</v>
      </c>
      <c r="I67"/>
      <c r="J67"/>
      <c r="K67"/>
      <c r="L67"/>
      <c r="M67" s="106">
        <v>1.2285714285714284</v>
      </c>
      <c r="N67" s="106">
        <v>1.1533644859813084</v>
      </c>
      <c r="O67" s="106"/>
      <c r="P67" s="106">
        <v>1.2285714285714284</v>
      </c>
      <c r="Q67" s="106">
        <v>1.1533644859813084</v>
      </c>
      <c r="R67" s="15"/>
      <c r="S67" s="15"/>
      <c r="T67" s="15"/>
      <c r="U67" s="15"/>
      <c r="V67" s="15"/>
      <c r="W67" s="15"/>
      <c r="X67" s="15"/>
      <c r="Y67" s="15"/>
      <c r="Z67" s="15"/>
    </row>
    <row r="68" spans="6:26" s="21" customFormat="1" ht="14.25" x14ac:dyDescent="0.45">
      <c r="F68" s="49">
        <v>39264</v>
      </c>
      <c r="G68" s="52">
        <v>124.23</v>
      </c>
      <c r="H68" s="52">
        <v>124.23</v>
      </c>
      <c r="I68"/>
      <c r="J68"/>
      <c r="K68"/>
      <c r="L68"/>
      <c r="M68" s="106">
        <v>1.236734693877551</v>
      </c>
      <c r="N68" s="106">
        <v>1.1610280373831776</v>
      </c>
      <c r="O68" s="106"/>
      <c r="P68" s="106">
        <v>1.236734693877551</v>
      </c>
      <c r="Q68" s="106">
        <v>1.1610280373831776</v>
      </c>
      <c r="R68" s="15"/>
      <c r="S68" s="15"/>
      <c r="T68" s="15"/>
      <c r="U68" s="15"/>
      <c r="V68" s="15"/>
      <c r="W68" s="15"/>
      <c r="X68" s="15"/>
      <c r="Y68" s="15"/>
      <c r="Z68" s="15"/>
    </row>
    <row r="69" spans="6:26" s="21" customFormat="1" ht="14.25" x14ac:dyDescent="0.45">
      <c r="F69" s="49">
        <v>39295</v>
      </c>
      <c r="G69" s="52">
        <v>124.34</v>
      </c>
      <c r="H69" s="52">
        <v>124.34</v>
      </c>
      <c r="I69"/>
      <c r="J69"/>
      <c r="K69"/>
      <c r="L69"/>
      <c r="M69" s="106">
        <v>1.2378297660527626</v>
      </c>
      <c r="N69" s="106">
        <v>1.1620560747663551</v>
      </c>
      <c r="O69" s="106"/>
      <c r="P69" s="106">
        <v>1.2378297660527626</v>
      </c>
      <c r="Q69" s="106">
        <v>1.1620560747663551</v>
      </c>
      <c r="R69" s="15"/>
      <c r="S69" s="15"/>
      <c r="T69" s="15"/>
      <c r="U69" s="15"/>
      <c r="V69" s="15"/>
      <c r="W69" s="15"/>
      <c r="X69" s="15"/>
      <c r="Y69" s="15"/>
      <c r="Z69" s="15"/>
    </row>
    <row r="70" spans="6:26" s="21" customFormat="1" ht="14.25" x14ac:dyDescent="0.45">
      <c r="F70" s="49">
        <v>39326</v>
      </c>
      <c r="G70" s="52">
        <v>125.35</v>
      </c>
      <c r="H70" s="52">
        <v>125.35</v>
      </c>
      <c r="I70"/>
      <c r="J70"/>
      <c r="K70"/>
      <c r="L70"/>
      <c r="M70" s="106">
        <v>1.2478845196615231</v>
      </c>
      <c r="N70" s="106">
        <v>1.1714953271028037</v>
      </c>
      <c r="O70" s="106"/>
      <c r="P70" s="106">
        <v>1.2478845196615231</v>
      </c>
      <c r="Q70" s="106">
        <v>1.1714953271028037</v>
      </c>
      <c r="R70" s="15"/>
      <c r="S70" s="15"/>
      <c r="T70" s="15"/>
      <c r="U70" s="15"/>
      <c r="V70" s="15"/>
      <c r="W70" s="15"/>
      <c r="X70" s="15"/>
      <c r="Y70" s="15"/>
      <c r="Z70" s="15"/>
    </row>
    <row r="71" spans="6:26" s="21" customFormat="1" ht="14.25" x14ac:dyDescent="0.45">
      <c r="F71" s="49">
        <v>39356</v>
      </c>
      <c r="G71" s="52">
        <v>126.32</v>
      </c>
      <c r="H71" s="52">
        <v>126.32</v>
      </c>
      <c r="I71"/>
      <c r="J71"/>
      <c r="K71"/>
      <c r="L71"/>
      <c r="M71" s="106">
        <v>1.2575410652065704</v>
      </c>
      <c r="N71" s="106">
        <v>1.1805607476635513</v>
      </c>
      <c r="O71" s="106"/>
      <c r="P71" s="106">
        <v>1.2575410652065704</v>
      </c>
      <c r="Q71" s="106">
        <v>1.1805607476635513</v>
      </c>
      <c r="R71" s="15"/>
      <c r="S71" s="15"/>
      <c r="T71" s="15"/>
      <c r="U71" s="15"/>
      <c r="V71" s="15"/>
      <c r="W71" s="15"/>
      <c r="X71" s="15"/>
      <c r="Y71" s="15"/>
      <c r="Z71" s="15"/>
    </row>
    <row r="72" spans="6:26" s="21" customFormat="1" ht="14.25" x14ac:dyDescent="0.45">
      <c r="F72" s="49">
        <v>39387</v>
      </c>
      <c r="G72" s="52">
        <v>126.17</v>
      </c>
      <c r="H72" s="52">
        <v>126.17</v>
      </c>
      <c r="I72"/>
      <c r="J72"/>
      <c r="K72"/>
      <c r="L72"/>
      <c r="M72" s="106">
        <v>1.2560477849676457</v>
      </c>
      <c r="N72" s="106">
        <v>1.1791588785046729</v>
      </c>
      <c r="O72" s="106"/>
      <c r="P72" s="106">
        <v>1.2560477849676457</v>
      </c>
      <c r="Q72" s="106">
        <v>1.1791588785046729</v>
      </c>
      <c r="R72" s="15"/>
      <c r="S72" s="15"/>
      <c r="T72" s="15"/>
      <c r="U72" s="15"/>
      <c r="V72" s="15"/>
      <c r="W72" s="15"/>
      <c r="X72" s="15"/>
      <c r="Y72" s="15"/>
      <c r="Z72" s="15"/>
    </row>
    <row r="73" spans="6:26" s="21" customFormat="1" ht="14.25" x14ac:dyDescent="0.45">
      <c r="F73" s="49">
        <v>39417</v>
      </c>
      <c r="G73" s="52">
        <v>126.96</v>
      </c>
      <c r="H73" s="52">
        <v>126.96</v>
      </c>
      <c r="I73"/>
      <c r="J73"/>
      <c r="K73"/>
      <c r="L73"/>
      <c r="M73" s="106">
        <v>1.2639123942259829</v>
      </c>
      <c r="N73" s="106">
        <v>1.1865420560747664</v>
      </c>
      <c r="O73" s="106"/>
      <c r="P73" s="106">
        <v>1.2639123942259829</v>
      </c>
      <c r="Q73" s="106">
        <v>1.1865420560747664</v>
      </c>
      <c r="R73" s="15"/>
      <c r="S73" s="15"/>
      <c r="T73" s="15"/>
      <c r="U73" s="15"/>
      <c r="V73" s="15"/>
      <c r="W73" s="15"/>
      <c r="X73" s="15"/>
      <c r="Y73" s="15"/>
      <c r="Z73" s="15"/>
    </row>
    <row r="74" spans="6:26" s="21" customFormat="1" ht="14.25" x14ac:dyDescent="0.45">
      <c r="F74" s="49">
        <v>39448</v>
      </c>
      <c r="G74" s="52">
        <v>127.22</v>
      </c>
      <c r="H74" s="52">
        <v>127.22</v>
      </c>
      <c r="I74"/>
      <c r="J74"/>
      <c r="K74"/>
      <c r="L74"/>
      <c r="M74" s="106">
        <v>1.2665007466401195</v>
      </c>
      <c r="N74" s="106">
        <v>1.1889719626168225</v>
      </c>
      <c r="O74" s="106"/>
      <c r="P74" s="106">
        <v>1.2665007466401195</v>
      </c>
      <c r="Q74" s="106">
        <v>1.1889719626168225</v>
      </c>
      <c r="R74" s="15"/>
      <c r="S74" s="15"/>
      <c r="T74" s="15"/>
      <c r="U74" s="15"/>
      <c r="V74" s="15"/>
      <c r="W74" s="15"/>
      <c r="X74" s="15"/>
      <c r="Y74" s="15"/>
      <c r="Z74" s="15"/>
    </row>
    <row r="75" spans="6:26" s="21" customFormat="1" ht="14.25" x14ac:dyDescent="0.45">
      <c r="F75" s="49">
        <v>39479</v>
      </c>
      <c r="G75" s="52">
        <v>126.83</v>
      </c>
      <c r="H75" s="52">
        <v>126.83</v>
      </c>
      <c r="I75"/>
      <c r="J75"/>
      <c r="K75"/>
      <c r="L75"/>
      <c r="M75" s="106">
        <v>1.2626182180189149</v>
      </c>
      <c r="N75" s="106">
        <v>1.1853271028037382</v>
      </c>
      <c r="O75" s="106"/>
      <c r="P75" s="106">
        <v>1.2626182180189149</v>
      </c>
      <c r="Q75" s="106">
        <v>1.1853271028037382</v>
      </c>
      <c r="R75" s="15"/>
      <c r="S75" s="15"/>
      <c r="T75" s="15"/>
      <c r="U75" s="15"/>
      <c r="V75" s="15"/>
      <c r="W75" s="15"/>
      <c r="X75" s="15"/>
      <c r="Y75" s="15"/>
      <c r="Z75" s="15"/>
    </row>
    <row r="76" spans="6:26" s="21" customFormat="1" ht="14.25" x14ac:dyDescent="0.45">
      <c r="F76" s="49">
        <v>39508</v>
      </c>
      <c r="G76" s="52">
        <v>126.44</v>
      </c>
      <c r="H76" s="52">
        <v>126.44</v>
      </c>
      <c r="I76"/>
      <c r="J76"/>
      <c r="K76"/>
      <c r="L76"/>
      <c r="M76" s="106">
        <v>1.2587356893977102</v>
      </c>
      <c r="N76" s="106">
        <v>1.1816822429906542</v>
      </c>
      <c r="O76" s="106"/>
      <c r="P76" s="106">
        <v>1.2587356893977102</v>
      </c>
      <c r="Q76" s="106">
        <v>1.1816822429906542</v>
      </c>
      <c r="R76" s="15"/>
      <c r="S76" s="15"/>
      <c r="T76" s="15"/>
      <c r="U76" s="15"/>
      <c r="V76" s="15"/>
      <c r="W76" s="15"/>
      <c r="X76" s="15"/>
      <c r="Y76" s="15"/>
      <c r="Z76" s="15"/>
    </row>
    <row r="77" spans="6:26" s="21" customFormat="1" ht="14.25" x14ac:dyDescent="0.45">
      <c r="F77" s="49">
        <v>39539</v>
      </c>
      <c r="G77" s="52">
        <v>127.7</v>
      </c>
      <c r="H77" s="52">
        <v>127.7</v>
      </c>
      <c r="I77"/>
      <c r="J77"/>
      <c r="K77"/>
      <c r="L77"/>
      <c r="M77" s="106">
        <v>1.2712792434046789</v>
      </c>
      <c r="N77" s="106">
        <v>1.1934579439252337</v>
      </c>
      <c r="O77" s="106"/>
      <c r="P77" s="106">
        <v>1.2712792434046789</v>
      </c>
      <c r="Q77" s="106">
        <v>1.1934579439252337</v>
      </c>
      <c r="R77" s="15"/>
      <c r="S77" s="15"/>
      <c r="T77" s="15"/>
      <c r="U77" s="15"/>
      <c r="V77" s="15"/>
      <c r="W77" s="15"/>
      <c r="X77" s="15"/>
      <c r="Y77" s="15"/>
      <c r="Z77" s="15"/>
    </row>
    <row r="78" spans="6:26" s="21" customFormat="1" ht="14.25" x14ac:dyDescent="0.45">
      <c r="F78" s="49">
        <v>39569</v>
      </c>
      <c r="G78" s="52">
        <v>129.4</v>
      </c>
      <c r="H78" s="52">
        <v>129.4</v>
      </c>
      <c r="I78"/>
      <c r="J78"/>
      <c r="K78"/>
      <c r="L78"/>
      <c r="M78" s="106">
        <v>1.2882030861124938</v>
      </c>
      <c r="N78" s="106">
        <v>1.2093457943925234</v>
      </c>
      <c r="O78" s="106"/>
      <c r="P78" s="106">
        <v>1.2882030861124938</v>
      </c>
      <c r="Q78" s="106">
        <v>1.2093457943925234</v>
      </c>
      <c r="R78" s="15"/>
      <c r="S78" s="15"/>
      <c r="T78" s="15"/>
      <c r="U78" s="15"/>
      <c r="V78" s="15"/>
      <c r="W78" s="15"/>
      <c r="X78" s="15"/>
      <c r="Y78" s="15"/>
      <c r="Z78" s="15"/>
    </row>
    <row r="79" spans="6:26" s="21" customFormat="1" ht="14.25" x14ac:dyDescent="0.45">
      <c r="F79" s="49">
        <v>39600</v>
      </c>
      <c r="G79" s="52">
        <v>131.19</v>
      </c>
      <c r="H79" s="52">
        <v>131.19</v>
      </c>
      <c r="I79"/>
      <c r="J79"/>
      <c r="K79"/>
      <c r="L79"/>
      <c r="M79" s="106">
        <v>1.3060228969636634</v>
      </c>
      <c r="N79" s="106">
        <v>1.2260747663551401</v>
      </c>
      <c r="O79" s="106"/>
      <c r="P79" s="106">
        <v>1.3060228969636634</v>
      </c>
      <c r="Q79" s="106">
        <v>1.2260747663551401</v>
      </c>
      <c r="R79" s="15"/>
      <c r="S79" s="15"/>
      <c r="T79" s="15"/>
      <c r="U79" s="15"/>
      <c r="V79" s="15"/>
      <c r="W79" s="15"/>
      <c r="X79" s="15"/>
      <c r="Y79" s="15"/>
      <c r="Z79" s="15"/>
    </row>
    <row r="80" spans="6:26" s="21" customFormat="1" ht="14.25" x14ac:dyDescent="0.45">
      <c r="F80" s="49">
        <v>39630</v>
      </c>
      <c r="G80" s="52">
        <v>130.93</v>
      </c>
      <c r="H80" s="52">
        <v>130.93</v>
      </c>
      <c r="I80"/>
      <c r="J80"/>
      <c r="K80"/>
      <c r="L80"/>
      <c r="M80" s="106">
        <v>1.3034345445495272</v>
      </c>
      <c r="N80" s="106">
        <v>1.2236448598130842</v>
      </c>
      <c r="O80" s="106"/>
      <c r="P80" s="106">
        <v>1.3034345445495272</v>
      </c>
      <c r="Q80" s="106">
        <v>1.2236448598130842</v>
      </c>
      <c r="R80" s="15"/>
      <c r="S80" s="15"/>
      <c r="T80" s="15"/>
      <c r="U80" s="15"/>
      <c r="V80" s="15"/>
      <c r="W80" s="15"/>
      <c r="X80" s="15"/>
      <c r="Y80" s="15"/>
      <c r="Z80" s="15"/>
    </row>
    <row r="81" spans="6:26" s="21" customFormat="1" ht="14.25" x14ac:dyDescent="0.45">
      <c r="F81" s="49">
        <v>39661</v>
      </c>
      <c r="G81" s="52">
        <v>130.99</v>
      </c>
      <c r="H81" s="52">
        <v>130.99</v>
      </c>
      <c r="I81"/>
      <c r="J81"/>
      <c r="K81"/>
      <c r="L81"/>
      <c r="M81" s="106">
        <v>1.304031856645097</v>
      </c>
      <c r="N81" s="106">
        <v>1.2242056074766356</v>
      </c>
      <c r="O81" s="106"/>
      <c r="P81" s="106">
        <v>1.304031856645097</v>
      </c>
      <c r="Q81" s="106">
        <v>1.2242056074766356</v>
      </c>
      <c r="R81" s="15"/>
      <c r="S81" s="15"/>
      <c r="T81" s="15"/>
      <c r="U81" s="15"/>
      <c r="V81" s="15"/>
      <c r="W81" s="15"/>
      <c r="X81" s="15"/>
      <c r="Y81" s="15"/>
      <c r="Z81" s="15"/>
    </row>
    <row r="82" spans="6:26" s="21" customFormat="1" ht="14.25" x14ac:dyDescent="0.45">
      <c r="F82" s="49">
        <v>39692</v>
      </c>
      <c r="G82" s="52">
        <v>130.93</v>
      </c>
      <c r="H82" s="52">
        <v>130.93</v>
      </c>
      <c r="I82"/>
      <c r="J82"/>
      <c r="K82"/>
      <c r="L82"/>
      <c r="M82" s="106">
        <v>1.3034345445495272</v>
      </c>
      <c r="N82" s="106">
        <v>1.2236448598130842</v>
      </c>
      <c r="O82" s="106"/>
      <c r="P82" s="106">
        <v>1.3034345445495272</v>
      </c>
      <c r="Q82" s="106">
        <v>1.2236448598130842</v>
      </c>
      <c r="R82" s="15"/>
      <c r="S82" s="15"/>
      <c r="T82" s="15"/>
      <c r="U82" s="15"/>
      <c r="V82" s="15"/>
      <c r="W82" s="15"/>
      <c r="X82" s="15"/>
      <c r="Y82" s="15"/>
      <c r="Z82" s="15"/>
    </row>
    <row r="83" spans="6:26" s="21" customFormat="1" ht="14.25" x14ac:dyDescent="0.45">
      <c r="F83" s="49">
        <v>39722</v>
      </c>
      <c r="G83" s="52">
        <v>128.19</v>
      </c>
      <c r="H83" s="52">
        <v>128.19</v>
      </c>
      <c r="I83"/>
      <c r="J83"/>
      <c r="K83"/>
      <c r="L83"/>
      <c r="M83" s="106">
        <v>1.2761572921851667</v>
      </c>
      <c r="N83" s="106">
        <v>1.1980373831775701</v>
      </c>
      <c r="O83" s="106"/>
      <c r="P83" s="106">
        <v>1.2761572921851667</v>
      </c>
      <c r="Q83" s="106">
        <v>1.1980373831775701</v>
      </c>
      <c r="R83" s="15"/>
      <c r="S83" s="15"/>
      <c r="T83" s="15"/>
      <c r="U83" s="15"/>
      <c r="V83" s="15"/>
      <c r="W83" s="15"/>
      <c r="X83" s="15"/>
      <c r="Y83" s="15"/>
      <c r="Z83" s="15"/>
    </row>
    <row r="84" spans="6:26" s="21" customFormat="1" ht="14.25" x14ac:dyDescent="0.45">
      <c r="F84" s="49">
        <v>39753</v>
      </c>
      <c r="G84" s="52">
        <v>124.95</v>
      </c>
      <c r="H84" s="52">
        <v>124.95</v>
      </c>
      <c r="I84"/>
      <c r="J84"/>
      <c r="K84"/>
      <c r="L84"/>
      <c r="M84" s="106">
        <v>1.2439024390243902</v>
      </c>
      <c r="N84" s="106">
        <v>1.1677570093457945</v>
      </c>
      <c r="O84" s="106"/>
      <c r="P84" s="106">
        <v>1.2439024390243902</v>
      </c>
      <c r="Q84" s="106">
        <v>1.1677570093457945</v>
      </c>
      <c r="R84" s="15"/>
      <c r="S84" s="15"/>
      <c r="T84" s="15"/>
      <c r="U84" s="15"/>
      <c r="V84" s="15"/>
      <c r="W84" s="15"/>
      <c r="X84" s="15"/>
      <c r="Y84" s="15"/>
      <c r="Z84" s="15"/>
    </row>
    <row r="85" spans="6:26" s="21" customFormat="1" ht="14.25" x14ac:dyDescent="0.45">
      <c r="F85" s="49">
        <v>39783</v>
      </c>
      <c r="G85" s="52">
        <v>120.93</v>
      </c>
      <c r="H85" s="52">
        <v>120.93</v>
      </c>
      <c r="I85"/>
      <c r="J85"/>
      <c r="K85"/>
      <c r="L85"/>
      <c r="M85" s="106">
        <v>1.2038825286212047</v>
      </c>
      <c r="N85" s="106">
        <v>1.1301869158878506</v>
      </c>
      <c r="O85" s="106"/>
      <c r="P85" s="106">
        <v>1.2038825286212047</v>
      </c>
      <c r="Q85" s="106">
        <v>1.1301869158878506</v>
      </c>
      <c r="R85" s="15"/>
      <c r="S85" s="15"/>
      <c r="T85" s="15"/>
      <c r="U85" s="15"/>
      <c r="V85" s="15"/>
      <c r="W85" s="15"/>
      <c r="X85" s="15"/>
      <c r="Y85" s="15"/>
      <c r="Z85" s="15"/>
    </row>
    <row r="86" spans="6:26" s="21" customFormat="1" ht="14.25" x14ac:dyDescent="0.45">
      <c r="F86" s="49">
        <v>39814</v>
      </c>
      <c r="G86" s="52">
        <v>120.82</v>
      </c>
      <c r="H86" s="52">
        <v>120.82</v>
      </c>
      <c r="I86"/>
      <c r="J86"/>
      <c r="K86"/>
      <c r="L86"/>
      <c r="M86" s="106">
        <v>1.2027874564459928</v>
      </c>
      <c r="N86" s="106">
        <v>1.1291588785046729</v>
      </c>
      <c r="O86" s="106"/>
      <c r="P86" s="106">
        <v>1.2027874564459928</v>
      </c>
      <c r="Q86" s="106">
        <v>1.1291588785046729</v>
      </c>
      <c r="R86" s="15"/>
      <c r="S86" s="15"/>
      <c r="T86" s="15"/>
      <c r="U86" s="15"/>
      <c r="V86" s="15"/>
      <c r="W86" s="15"/>
      <c r="X86" s="15"/>
      <c r="Y86" s="15"/>
      <c r="Z86" s="15"/>
    </row>
    <row r="87" spans="6:26" s="21" customFormat="1" ht="14.25" x14ac:dyDescent="0.45">
      <c r="F87" s="49">
        <v>39845</v>
      </c>
      <c r="G87" s="52">
        <v>122.19</v>
      </c>
      <c r="H87" s="52">
        <v>122.19</v>
      </c>
      <c r="I87"/>
      <c r="J87"/>
      <c r="K87"/>
      <c r="L87"/>
      <c r="M87" s="106">
        <v>1.2164260826281732</v>
      </c>
      <c r="N87" s="106">
        <v>1.1419626168224299</v>
      </c>
      <c r="O87" s="106"/>
      <c r="P87" s="106">
        <v>1.2164260826281732</v>
      </c>
      <c r="Q87" s="106">
        <v>1.1419626168224299</v>
      </c>
      <c r="R87" s="15"/>
      <c r="S87" s="15"/>
      <c r="T87" s="15"/>
      <c r="U87" s="15"/>
      <c r="V87" s="15"/>
      <c r="W87" s="15"/>
      <c r="X87" s="15"/>
      <c r="Y87" s="15"/>
      <c r="Z87" s="15"/>
    </row>
    <row r="88" spans="6:26" s="21" customFormat="1" ht="14.25" x14ac:dyDescent="0.45">
      <c r="F88" s="49">
        <v>39873</v>
      </c>
      <c r="G88" s="52">
        <v>122.97</v>
      </c>
      <c r="H88" s="52">
        <v>122.97</v>
      </c>
      <c r="I88"/>
      <c r="J88"/>
      <c r="K88"/>
      <c r="L88"/>
      <c r="M88" s="106">
        <v>1.2241911398705823</v>
      </c>
      <c r="N88" s="106">
        <v>1.149252336448598</v>
      </c>
      <c r="O88" s="106"/>
      <c r="P88" s="106">
        <v>1.2241911398705823</v>
      </c>
      <c r="Q88" s="106">
        <v>1.149252336448598</v>
      </c>
      <c r="R88" s="15"/>
      <c r="S88" s="15"/>
      <c r="T88" s="15"/>
      <c r="U88" s="15"/>
      <c r="V88" s="15"/>
      <c r="W88" s="15"/>
      <c r="X88" s="15"/>
      <c r="Y88" s="15"/>
      <c r="Z88" s="15"/>
    </row>
    <row r="89" spans="6:26" s="21" customFormat="1" ht="14.25" x14ac:dyDescent="0.45">
      <c r="F89" s="49">
        <v>39904</v>
      </c>
      <c r="G89" s="52">
        <v>123.64</v>
      </c>
      <c r="H89" s="52">
        <v>123.64</v>
      </c>
      <c r="I89"/>
      <c r="J89"/>
      <c r="K89"/>
      <c r="L89"/>
      <c r="M89" s="106">
        <v>1.2308611249377799</v>
      </c>
      <c r="N89" s="106">
        <v>1.1555140186915889</v>
      </c>
      <c r="O89" s="106"/>
      <c r="P89" s="106">
        <v>1.2308611249377799</v>
      </c>
      <c r="Q89" s="106">
        <v>1.1555140186915889</v>
      </c>
      <c r="R89" s="15"/>
      <c r="S89" s="15"/>
      <c r="T89" s="15"/>
      <c r="U89" s="15"/>
      <c r="V89" s="15"/>
      <c r="W89" s="15"/>
      <c r="X89" s="15"/>
      <c r="Y89" s="15"/>
      <c r="Z89" s="15"/>
    </row>
    <row r="90" spans="6:26" s="21" customFormat="1" ht="14.25" x14ac:dyDescent="0.45">
      <c r="F90" s="49">
        <v>39934</v>
      </c>
      <c r="G90" s="52">
        <v>124.87</v>
      </c>
      <c r="H90" s="52">
        <v>124.87</v>
      </c>
      <c r="I90"/>
      <c r="J90"/>
      <c r="K90"/>
      <c r="L90"/>
      <c r="M90" s="106">
        <v>1.2431060228969637</v>
      </c>
      <c r="N90" s="106">
        <v>1.1670093457943926</v>
      </c>
      <c r="O90" s="106"/>
      <c r="P90" s="106">
        <v>1.2431060228969637</v>
      </c>
      <c r="Q90" s="106">
        <v>1.1670093457943926</v>
      </c>
      <c r="R90" s="15"/>
      <c r="S90" s="15"/>
      <c r="T90" s="15"/>
      <c r="U90" s="15"/>
      <c r="V90" s="15"/>
      <c r="W90" s="15"/>
      <c r="X90" s="15"/>
      <c r="Y90" s="15"/>
      <c r="Z90" s="15"/>
    </row>
    <row r="91" spans="6:26" s="21" customFormat="1" ht="14.25" x14ac:dyDescent="0.45">
      <c r="F91" s="49">
        <v>39965</v>
      </c>
      <c r="G91" s="52">
        <v>125.93</v>
      </c>
      <c r="H91" s="52">
        <v>125.93</v>
      </c>
      <c r="I91"/>
      <c r="J91"/>
      <c r="K91"/>
      <c r="L91"/>
      <c r="M91" s="106">
        <v>1.2536585365853659</v>
      </c>
      <c r="N91" s="106">
        <v>1.1769158878504673</v>
      </c>
      <c r="O91" s="106"/>
      <c r="P91" s="106">
        <v>1.2536585365853659</v>
      </c>
      <c r="Q91" s="106">
        <v>1.1769158878504673</v>
      </c>
      <c r="R91" s="15"/>
      <c r="S91" s="15"/>
      <c r="T91" s="15"/>
      <c r="U91" s="15"/>
      <c r="V91" s="15"/>
      <c r="W91" s="15"/>
      <c r="X91" s="15"/>
      <c r="Y91" s="15"/>
      <c r="Z91" s="15"/>
    </row>
    <row r="92" spans="6:26" s="21" customFormat="1" ht="14.25" x14ac:dyDescent="0.45">
      <c r="F92" s="49">
        <v>39995</v>
      </c>
      <c r="G92" s="52">
        <v>126.29</v>
      </c>
      <c r="H92" s="52">
        <v>126.29</v>
      </c>
      <c r="I92"/>
      <c r="J92"/>
      <c r="K92"/>
      <c r="L92"/>
      <c r="M92" s="106">
        <v>1.2572424091587855</v>
      </c>
      <c r="N92" s="106">
        <v>1.1802803738317758</v>
      </c>
      <c r="O92" s="106"/>
      <c r="P92" s="106">
        <v>1.2572424091587855</v>
      </c>
      <c r="Q92" s="106">
        <v>1.1802803738317758</v>
      </c>
      <c r="R92" s="15"/>
      <c r="S92" s="15"/>
      <c r="T92" s="15"/>
      <c r="U92" s="15"/>
      <c r="V92" s="15"/>
      <c r="W92" s="15"/>
      <c r="X92" s="15"/>
      <c r="Y92" s="15"/>
      <c r="Z92" s="15"/>
    </row>
    <row r="93" spans="6:26" s="21" customFormat="1" ht="14.25" x14ac:dyDescent="0.45">
      <c r="F93" s="49">
        <v>40026</v>
      </c>
      <c r="G93" s="52">
        <v>128.09</v>
      </c>
      <c r="H93" s="52">
        <v>128.09</v>
      </c>
      <c r="I93"/>
      <c r="J93"/>
      <c r="K93"/>
      <c r="L93"/>
      <c r="M93" s="106">
        <v>1.2751617720258834</v>
      </c>
      <c r="N93" s="106">
        <v>1.1971028037383178</v>
      </c>
      <c r="O93" s="106"/>
      <c r="P93" s="106">
        <v>1.2751617720258834</v>
      </c>
      <c r="Q93" s="106">
        <v>1.1971028037383178</v>
      </c>
      <c r="R93" s="15"/>
      <c r="S93" s="15"/>
      <c r="T93" s="15"/>
      <c r="U93" s="15"/>
      <c r="V93" s="15"/>
      <c r="W93" s="15"/>
      <c r="X93" s="15"/>
      <c r="Y93" s="15"/>
      <c r="Z93" s="15"/>
    </row>
    <row r="94" spans="6:26" s="21" customFormat="1" ht="14.25" x14ac:dyDescent="0.45">
      <c r="F94" s="49">
        <v>40057</v>
      </c>
      <c r="G94" s="52">
        <v>129.12</v>
      </c>
      <c r="H94" s="52">
        <v>129.12</v>
      </c>
      <c r="I94"/>
      <c r="J94"/>
      <c r="K94"/>
      <c r="L94"/>
      <c r="M94" s="106">
        <v>1.2854156296665007</v>
      </c>
      <c r="N94" s="106">
        <v>1.2067289719626169</v>
      </c>
      <c r="O94" s="106"/>
      <c r="P94" s="106">
        <v>1.2854156296665007</v>
      </c>
      <c r="Q94" s="106">
        <v>1.2067289719626169</v>
      </c>
      <c r="R94" s="15"/>
      <c r="S94" s="15"/>
      <c r="T94" s="15"/>
      <c r="U94" s="15"/>
      <c r="V94" s="15"/>
      <c r="W94" s="15"/>
      <c r="X94" s="15"/>
      <c r="Y94" s="15"/>
      <c r="Z94" s="15"/>
    </row>
    <row r="95" spans="6:26" s="21" customFormat="1" ht="14.25" x14ac:dyDescent="0.45">
      <c r="F95" s="49">
        <v>40087</v>
      </c>
      <c r="G95" s="52">
        <v>129.79</v>
      </c>
      <c r="H95" s="52">
        <v>129.79</v>
      </c>
      <c r="I95"/>
      <c r="J95"/>
      <c r="K95"/>
      <c r="L95"/>
      <c r="M95" s="106">
        <v>1.2920856147336983</v>
      </c>
      <c r="N95" s="106">
        <v>1.2129906542056075</v>
      </c>
      <c r="O95" s="106"/>
      <c r="P95" s="106">
        <v>1.2920856147336983</v>
      </c>
      <c r="Q95" s="106">
        <v>1.2129906542056075</v>
      </c>
      <c r="R95" s="15"/>
      <c r="S95" s="15"/>
      <c r="T95" s="15"/>
      <c r="U95" s="15"/>
      <c r="V95" s="15"/>
      <c r="W95" s="15"/>
      <c r="X95" s="15"/>
      <c r="Y95" s="15"/>
      <c r="Z95" s="15"/>
    </row>
    <row r="96" spans="6:26" s="21" customFormat="1" ht="14.25" x14ac:dyDescent="0.45">
      <c r="F96" s="49">
        <v>40118</v>
      </c>
      <c r="G96" s="52">
        <v>130.02000000000001</v>
      </c>
      <c r="H96" s="52">
        <v>130.02000000000001</v>
      </c>
      <c r="I96"/>
      <c r="J96"/>
      <c r="K96"/>
      <c r="L96"/>
      <c r="M96" s="106">
        <v>1.2943753111000498</v>
      </c>
      <c r="N96" s="106">
        <v>1.215140186915888</v>
      </c>
      <c r="O96" s="106"/>
      <c r="P96" s="106">
        <v>1.2943753111000498</v>
      </c>
      <c r="Q96" s="106">
        <v>1.215140186915888</v>
      </c>
      <c r="R96" s="15"/>
      <c r="S96" s="15"/>
      <c r="T96" s="15"/>
      <c r="U96" s="15"/>
      <c r="V96" s="15"/>
      <c r="W96" s="15"/>
      <c r="X96" s="15"/>
      <c r="Y96" s="15"/>
      <c r="Z96" s="15"/>
    </row>
    <row r="97" spans="6:26" s="21" customFormat="1" ht="14.25" x14ac:dyDescent="0.45">
      <c r="F97" s="49">
        <v>40148</v>
      </c>
      <c r="G97" s="52">
        <v>131.30000000000001</v>
      </c>
      <c r="H97" s="52">
        <v>131.30000000000001</v>
      </c>
      <c r="I97"/>
      <c r="J97"/>
      <c r="K97"/>
      <c r="L97"/>
      <c r="M97" s="106">
        <v>1.3071179691388752</v>
      </c>
      <c r="N97" s="106">
        <v>1.2271028037383178</v>
      </c>
      <c r="O97" s="106"/>
      <c r="P97" s="106">
        <v>1.3071179691388752</v>
      </c>
      <c r="Q97" s="106">
        <v>1.2271028037383178</v>
      </c>
      <c r="R97" s="15"/>
      <c r="S97" s="15"/>
      <c r="T97" s="15"/>
      <c r="U97" s="15"/>
      <c r="V97" s="15"/>
      <c r="W97" s="15"/>
      <c r="X97" s="15"/>
      <c r="Y97" s="15"/>
      <c r="Z97" s="15"/>
    </row>
    <row r="98" spans="6:26" s="21" customFormat="1" ht="14.25" x14ac:dyDescent="0.45">
      <c r="F98" s="49">
        <v>40179</v>
      </c>
      <c r="G98" s="52">
        <v>133.47</v>
      </c>
      <c r="H98" s="52">
        <v>133.47</v>
      </c>
      <c r="I98"/>
      <c r="J98"/>
      <c r="K98"/>
      <c r="L98"/>
      <c r="M98" s="106">
        <v>1.328720756595321</v>
      </c>
      <c r="N98" s="106">
        <v>1.2473831775700934</v>
      </c>
      <c r="O98" s="106"/>
      <c r="P98" s="106">
        <v>1.328720756595321</v>
      </c>
      <c r="Q98" s="106">
        <v>1.2473831775700934</v>
      </c>
      <c r="R98" s="15"/>
      <c r="S98" s="15"/>
      <c r="T98" s="15"/>
      <c r="U98" s="15"/>
      <c r="V98" s="15"/>
      <c r="W98" s="15"/>
      <c r="X98" s="15"/>
      <c r="Y98" s="15"/>
      <c r="Z98" s="15"/>
    </row>
    <row r="99" spans="6:26" s="21" customFormat="1" ht="14.25" x14ac:dyDescent="0.45">
      <c r="F99" s="49">
        <v>40210</v>
      </c>
      <c r="G99" s="52">
        <v>135.16999999999999</v>
      </c>
      <c r="H99" s="52">
        <v>135.16999999999999</v>
      </c>
      <c r="I99"/>
      <c r="J99"/>
      <c r="K99"/>
      <c r="L99"/>
      <c r="M99" s="106">
        <v>1.3456445993031356</v>
      </c>
      <c r="N99" s="106">
        <v>1.2632710280373831</v>
      </c>
      <c r="O99" s="106"/>
      <c r="P99" s="106">
        <v>1.3456445993031356</v>
      </c>
      <c r="Q99" s="106">
        <v>1.2632710280373831</v>
      </c>
      <c r="R99" s="15"/>
      <c r="S99" s="15"/>
      <c r="T99" s="15"/>
      <c r="U99" s="15"/>
      <c r="V99" s="15"/>
      <c r="W99" s="15"/>
      <c r="X99" s="15"/>
      <c r="Y99" s="15"/>
      <c r="Z99" s="15"/>
    </row>
    <row r="100" spans="6:26" s="21" customFormat="1" ht="14.25" x14ac:dyDescent="0.45">
      <c r="F100" s="49">
        <v>40238</v>
      </c>
      <c r="G100" s="52">
        <v>136.59</v>
      </c>
      <c r="H100" s="52">
        <v>136.59</v>
      </c>
      <c r="I100"/>
      <c r="J100"/>
      <c r="K100"/>
      <c r="L100"/>
      <c r="M100" s="106">
        <v>1.3597809855649576</v>
      </c>
      <c r="N100" s="106">
        <v>1.2765420560747665</v>
      </c>
      <c r="O100" s="106"/>
      <c r="P100" s="106">
        <v>1.3597809855649576</v>
      </c>
      <c r="Q100" s="106">
        <v>1.2765420560747665</v>
      </c>
      <c r="R100" s="15"/>
      <c r="S100" s="15"/>
      <c r="T100" s="15"/>
      <c r="U100" s="15"/>
      <c r="V100" s="15"/>
      <c r="W100" s="15"/>
      <c r="X100" s="15"/>
      <c r="Y100" s="15"/>
      <c r="Z100" s="15"/>
    </row>
    <row r="101" spans="6:26" s="21" customFormat="1" ht="14.25" x14ac:dyDescent="0.45">
      <c r="F101" s="49">
        <v>40269</v>
      </c>
      <c r="G101" s="52">
        <v>137.05000000000001</v>
      </c>
      <c r="H101" s="52">
        <v>137.05000000000001</v>
      </c>
      <c r="I101"/>
      <c r="J101"/>
      <c r="K101"/>
      <c r="L101"/>
      <c r="M101" s="106">
        <v>1.3643603782976605</v>
      </c>
      <c r="N101" s="106">
        <v>1.2808411214953273</v>
      </c>
      <c r="O101" s="106"/>
      <c r="P101" s="106">
        <v>1.3643603782976605</v>
      </c>
      <c r="Q101" s="106">
        <v>1.2808411214953273</v>
      </c>
      <c r="R101" s="15"/>
      <c r="S101" s="15"/>
      <c r="T101" s="15"/>
      <c r="U101" s="15"/>
      <c r="V101" s="15"/>
      <c r="W101" s="15"/>
      <c r="X101" s="15"/>
      <c r="Y101" s="15"/>
      <c r="Z101" s="15"/>
    </row>
    <row r="102" spans="6:26" s="21" customFormat="1" ht="14.25" x14ac:dyDescent="0.45">
      <c r="F102" s="49">
        <v>40299</v>
      </c>
      <c r="G102" s="52">
        <v>136.49</v>
      </c>
      <c r="H102" s="52">
        <v>136.49</v>
      </c>
      <c r="I102"/>
      <c r="J102"/>
      <c r="K102"/>
      <c r="L102"/>
      <c r="M102" s="106">
        <v>1.3587854654056746</v>
      </c>
      <c r="N102" s="106">
        <v>1.2756074766355141</v>
      </c>
      <c r="O102" s="106"/>
      <c r="P102" s="106">
        <v>1.3587854654056746</v>
      </c>
      <c r="Q102" s="106">
        <v>1.2756074766355141</v>
      </c>
      <c r="R102" s="15"/>
      <c r="S102" s="15"/>
      <c r="T102" s="15"/>
      <c r="U102" s="15"/>
      <c r="V102" s="15"/>
      <c r="W102" s="15"/>
      <c r="X102" s="15"/>
      <c r="Y102" s="15"/>
      <c r="Z102" s="15"/>
    </row>
    <row r="103" spans="6:26" s="21" customFormat="1" ht="14.25" x14ac:dyDescent="0.45">
      <c r="F103" s="49">
        <v>40330</v>
      </c>
      <c r="G103" s="52">
        <v>136.22999999999999</v>
      </c>
      <c r="H103" s="52">
        <v>136.22999999999999</v>
      </c>
      <c r="I103"/>
      <c r="J103"/>
      <c r="K103"/>
      <c r="L103"/>
      <c r="M103" s="106">
        <v>1.356197112991538</v>
      </c>
      <c r="N103" s="106">
        <v>1.2731775700934578</v>
      </c>
      <c r="O103" s="106"/>
      <c r="P103" s="106">
        <v>1.356197112991538</v>
      </c>
      <c r="Q103" s="106">
        <v>1.2731775700934578</v>
      </c>
      <c r="R103" s="15"/>
      <c r="S103" s="15"/>
      <c r="T103" s="15"/>
      <c r="U103" s="15"/>
      <c r="V103" s="15"/>
      <c r="W103" s="15"/>
      <c r="X103" s="15"/>
      <c r="Y103" s="15"/>
      <c r="Z103" s="15"/>
    </row>
    <row r="104" spans="6:26" s="21" customFormat="1" ht="14.25" x14ac:dyDescent="0.45">
      <c r="F104" s="49">
        <v>40360</v>
      </c>
      <c r="G104" s="52">
        <v>136.93</v>
      </c>
      <c r="H104" s="52">
        <v>136.93</v>
      </c>
      <c r="I104"/>
      <c r="J104"/>
      <c r="K104"/>
      <c r="L104"/>
      <c r="M104" s="106">
        <v>1.3631657541065207</v>
      </c>
      <c r="N104" s="106">
        <v>1.2797196261682244</v>
      </c>
      <c r="O104" s="106"/>
      <c r="P104" s="106">
        <v>1.3631657541065207</v>
      </c>
      <c r="Q104" s="106">
        <v>1.2797196261682244</v>
      </c>
      <c r="R104" s="15"/>
      <c r="S104" s="15"/>
      <c r="T104" s="15"/>
      <c r="U104" s="15"/>
      <c r="V104" s="15"/>
      <c r="W104" s="15"/>
      <c r="X104" s="15"/>
      <c r="Y104" s="15"/>
      <c r="Z104" s="15"/>
    </row>
    <row r="105" spans="6:26" s="21" customFormat="1" ht="14.25" x14ac:dyDescent="0.45">
      <c r="F105" s="49">
        <v>40391</v>
      </c>
      <c r="G105" s="52">
        <v>137.66999999999999</v>
      </c>
      <c r="H105" s="52">
        <v>137.66999999999999</v>
      </c>
      <c r="I105"/>
      <c r="J105"/>
      <c r="K105"/>
      <c r="L105"/>
      <c r="M105" s="106">
        <v>1.3705326032852163</v>
      </c>
      <c r="N105" s="106">
        <v>1.2866355140186914</v>
      </c>
      <c r="O105" s="106"/>
      <c r="P105" s="106">
        <v>1.3705326032852163</v>
      </c>
      <c r="Q105" s="106">
        <v>1.2866355140186914</v>
      </c>
      <c r="R105" s="15"/>
      <c r="S105" s="15"/>
      <c r="T105" s="15"/>
      <c r="U105" s="15"/>
      <c r="V105" s="15"/>
      <c r="W105" s="15"/>
      <c r="X105" s="15"/>
      <c r="Y105" s="15"/>
      <c r="Z105" s="15"/>
    </row>
    <row r="106" spans="6:26" s="21" customFormat="1" ht="14.25" x14ac:dyDescent="0.45">
      <c r="F106" s="49">
        <v>40422</v>
      </c>
      <c r="G106" s="52">
        <v>139.41</v>
      </c>
      <c r="H106" s="52">
        <v>139.41</v>
      </c>
      <c r="I106"/>
      <c r="J106"/>
      <c r="K106"/>
      <c r="L106"/>
      <c r="M106" s="106">
        <v>1.3878546540567447</v>
      </c>
      <c r="N106" s="106">
        <v>1.3028971962616822</v>
      </c>
      <c r="O106" s="106"/>
      <c r="P106" s="106">
        <v>1.3878546540567447</v>
      </c>
      <c r="Q106" s="106">
        <v>1.3028971962616822</v>
      </c>
      <c r="R106" s="15"/>
      <c r="S106" s="15"/>
      <c r="T106" s="15"/>
      <c r="U106" s="15"/>
      <c r="V106" s="15"/>
      <c r="W106" s="15"/>
      <c r="X106" s="15"/>
      <c r="Y106" s="15"/>
      <c r="Z106" s="15"/>
    </row>
    <row r="107" spans="6:26" s="21" customFormat="1" ht="14.25" x14ac:dyDescent="0.45">
      <c r="F107" s="49">
        <v>40452</v>
      </c>
      <c r="G107" s="52">
        <v>138.72</v>
      </c>
      <c r="H107" s="52">
        <v>138.72</v>
      </c>
      <c r="I107"/>
      <c r="J107"/>
      <c r="K107"/>
      <c r="L107"/>
      <c r="M107" s="106">
        <v>1.3809855649576903</v>
      </c>
      <c r="N107" s="106">
        <v>1.2964485981308411</v>
      </c>
      <c r="O107" s="106"/>
      <c r="P107" s="106">
        <v>1.3809855649576903</v>
      </c>
      <c r="Q107" s="106">
        <v>1.2964485981308411</v>
      </c>
      <c r="R107" s="15"/>
      <c r="S107" s="15"/>
      <c r="T107" s="15"/>
      <c r="U107" s="15"/>
      <c r="V107" s="15"/>
      <c r="W107" s="15"/>
      <c r="X107" s="15"/>
      <c r="Y107" s="15"/>
      <c r="Z107" s="15"/>
    </row>
    <row r="108" spans="6:26" s="21" customFormat="1" ht="14.25" x14ac:dyDescent="0.45">
      <c r="F108" s="49">
        <v>40483</v>
      </c>
      <c r="G108" s="52">
        <v>140.09</v>
      </c>
      <c r="H108" s="52">
        <v>140.09</v>
      </c>
      <c r="I108"/>
      <c r="J108"/>
      <c r="K108"/>
      <c r="L108"/>
      <c r="M108" s="106">
        <v>1.3946241911398707</v>
      </c>
      <c r="N108" s="106">
        <v>1.3092523364485982</v>
      </c>
      <c r="O108" s="106"/>
      <c r="P108" s="106">
        <v>1.3946241911398707</v>
      </c>
      <c r="Q108" s="106">
        <v>1.3092523364485982</v>
      </c>
      <c r="R108" s="15"/>
      <c r="S108" s="15"/>
      <c r="T108" s="15"/>
      <c r="U108" s="15"/>
      <c r="V108" s="15"/>
      <c r="W108" s="15"/>
      <c r="X108" s="15"/>
      <c r="Y108" s="15"/>
      <c r="Z108" s="15"/>
    </row>
    <row r="109" spans="6:26" s="21" customFormat="1" ht="14.25" x14ac:dyDescent="0.45">
      <c r="F109" s="49">
        <v>40513</v>
      </c>
      <c r="G109" s="52">
        <v>138.29</v>
      </c>
      <c r="H109" s="52">
        <v>138.29</v>
      </c>
      <c r="I109"/>
      <c r="J109"/>
      <c r="K109"/>
      <c r="L109"/>
      <c r="M109" s="106">
        <v>1.3767048282727723</v>
      </c>
      <c r="N109" s="106">
        <v>1.2924299065420559</v>
      </c>
      <c r="O109" s="106"/>
      <c r="P109" s="106">
        <v>1.3767048282727723</v>
      </c>
      <c r="Q109" s="106">
        <v>1.2924299065420559</v>
      </c>
      <c r="R109" s="15"/>
      <c r="S109" s="15"/>
      <c r="T109" s="15"/>
      <c r="U109" s="15"/>
      <c r="V109" s="15"/>
      <c r="W109" s="15"/>
      <c r="X109" s="15"/>
      <c r="Y109" s="15"/>
      <c r="Z109" s="15"/>
    </row>
    <row r="110" spans="6:26" s="21" customFormat="1" ht="14.25" x14ac:dyDescent="0.45">
      <c r="F110" s="49">
        <v>40544</v>
      </c>
      <c r="G110" s="52">
        <v>140.13999999999999</v>
      </c>
      <c r="H110" s="52">
        <v>140.13999999999999</v>
      </c>
      <c r="I110"/>
      <c r="J110"/>
      <c r="K110"/>
      <c r="L110"/>
      <c r="M110" s="106">
        <v>1.3951219512195121</v>
      </c>
      <c r="N110" s="106">
        <v>1.3097196261682242</v>
      </c>
      <c r="O110" s="106"/>
      <c r="P110" s="106">
        <v>1.3951219512195121</v>
      </c>
      <c r="Q110" s="106">
        <v>1.3097196261682242</v>
      </c>
      <c r="R110" s="15"/>
      <c r="S110" s="15"/>
      <c r="T110" s="15"/>
      <c r="U110" s="15"/>
      <c r="V110" s="15"/>
      <c r="W110" s="15"/>
      <c r="X110" s="15"/>
      <c r="Y110" s="15"/>
      <c r="Z110" s="15"/>
    </row>
    <row r="111" spans="6:26" s="21" customFormat="1" ht="14.25" x14ac:dyDescent="0.45">
      <c r="F111" s="49">
        <v>40575</v>
      </c>
      <c r="G111" s="52">
        <v>140.72</v>
      </c>
      <c r="H111" s="52">
        <v>140.72</v>
      </c>
      <c r="I111"/>
      <c r="J111"/>
      <c r="K111"/>
      <c r="L111"/>
      <c r="M111" s="106">
        <v>1.4008959681433548</v>
      </c>
      <c r="N111" s="106">
        <v>1.3151401869158879</v>
      </c>
      <c r="O111" s="106"/>
      <c r="P111" s="106">
        <v>1.4008959681433548</v>
      </c>
      <c r="Q111" s="106">
        <v>1.3151401869158879</v>
      </c>
      <c r="R111" s="15"/>
      <c r="S111" s="15"/>
      <c r="T111" s="15"/>
      <c r="U111" s="15"/>
      <c r="V111" s="15"/>
      <c r="W111" s="15"/>
      <c r="X111" s="15"/>
      <c r="Y111" s="15"/>
      <c r="Z111" s="15"/>
    </row>
    <row r="112" spans="6:26" s="21" customFormat="1" ht="14.25" x14ac:dyDescent="0.45">
      <c r="F112" s="49">
        <v>40603</v>
      </c>
      <c r="G112" s="52">
        <v>141.1</v>
      </c>
      <c r="H112" s="52">
        <v>141.1</v>
      </c>
      <c r="I112"/>
      <c r="J112"/>
      <c r="K112"/>
      <c r="L112"/>
      <c r="M112" s="106">
        <v>1.404678944748631</v>
      </c>
      <c r="N112" s="106">
        <v>1.3186915887850468</v>
      </c>
      <c r="O112" s="106"/>
      <c r="P112" s="106">
        <v>1.404678944748631</v>
      </c>
      <c r="Q112" s="106">
        <v>1.3186915887850468</v>
      </c>
      <c r="R112" s="15"/>
      <c r="S112" s="15"/>
      <c r="T112" s="15"/>
      <c r="U112" s="15"/>
      <c r="V112" s="15"/>
      <c r="W112" s="15"/>
      <c r="X112" s="15"/>
      <c r="Y112" s="15"/>
      <c r="Z112" s="15"/>
    </row>
    <row r="113" spans="6:26" s="21" customFormat="1" ht="14.25" x14ac:dyDescent="0.45">
      <c r="F113" s="49">
        <v>40634</v>
      </c>
      <c r="G113" s="52">
        <v>140.84</v>
      </c>
      <c r="H113" s="52">
        <v>140.84</v>
      </c>
      <c r="I113"/>
      <c r="J113"/>
      <c r="K113"/>
      <c r="L113"/>
      <c r="M113" s="106">
        <v>1.4020905923344948</v>
      </c>
      <c r="N113" s="106">
        <v>1.3162616822429907</v>
      </c>
      <c r="O113" s="106"/>
      <c r="P113" s="106">
        <v>1.4020905923344948</v>
      </c>
      <c r="Q113" s="106">
        <v>1.3162616822429907</v>
      </c>
      <c r="R113" s="15"/>
      <c r="S113" s="15"/>
      <c r="T113" s="15"/>
      <c r="U113" s="15"/>
      <c r="V113" s="15"/>
      <c r="W113" s="15"/>
      <c r="X113" s="15"/>
      <c r="Y113" s="15"/>
      <c r="Z113" s="15"/>
    </row>
    <row r="114" spans="6:26" s="21" customFormat="1" ht="14.25" x14ac:dyDescent="0.45">
      <c r="F114" s="49">
        <v>40664</v>
      </c>
      <c r="G114" s="52">
        <v>141.27000000000001</v>
      </c>
      <c r="H114" s="52">
        <v>141.27000000000001</v>
      </c>
      <c r="I114"/>
      <c r="J114"/>
      <c r="K114"/>
      <c r="L114"/>
      <c r="M114" s="106">
        <v>1.4063713290194126</v>
      </c>
      <c r="N114" s="106">
        <v>1.3202803738317759</v>
      </c>
      <c r="O114" s="106"/>
      <c r="P114" s="106">
        <v>1.4063713290194126</v>
      </c>
      <c r="Q114" s="106">
        <v>1.3202803738317759</v>
      </c>
      <c r="R114" s="15"/>
      <c r="S114" s="15"/>
      <c r="T114" s="15"/>
      <c r="U114" s="15"/>
      <c r="V114" s="15"/>
      <c r="W114" s="15"/>
      <c r="X114" s="15"/>
      <c r="Y114" s="15"/>
      <c r="Z114" s="15"/>
    </row>
    <row r="115" spans="6:26" s="21" customFormat="1" ht="14.25" x14ac:dyDescent="0.45">
      <c r="F115" s="49">
        <v>40695</v>
      </c>
      <c r="G115" s="52">
        <v>142.22</v>
      </c>
      <c r="H115" s="52">
        <v>142.22</v>
      </c>
      <c r="I115"/>
      <c r="J115"/>
      <c r="K115"/>
      <c r="L115"/>
      <c r="M115" s="106">
        <v>1.4158287705326031</v>
      </c>
      <c r="N115" s="106">
        <v>1.3291588785046728</v>
      </c>
      <c r="O115" s="106"/>
      <c r="P115" s="106">
        <v>1.4158287705326031</v>
      </c>
      <c r="Q115" s="106">
        <v>1.3291588785046728</v>
      </c>
      <c r="R115" s="15"/>
      <c r="S115" s="15"/>
      <c r="T115" s="15"/>
      <c r="U115" s="15"/>
      <c r="V115" s="15"/>
      <c r="W115" s="15"/>
      <c r="X115" s="15"/>
      <c r="Y115" s="15"/>
      <c r="Z115" s="15"/>
    </row>
    <row r="116" spans="6:26" s="21" customFormat="1" ht="14.25" x14ac:dyDescent="0.45">
      <c r="F116" s="49">
        <v>40725</v>
      </c>
      <c r="G116" s="52">
        <v>142.25</v>
      </c>
      <c r="H116" s="52">
        <v>142.25</v>
      </c>
      <c r="I116"/>
      <c r="J116"/>
      <c r="K116"/>
      <c r="L116"/>
      <c r="M116" s="106">
        <v>1.4161274265803883</v>
      </c>
      <c r="N116" s="106">
        <v>1.3294392523364487</v>
      </c>
      <c r="O116" s="106"/>
      <c r="P116" s="106">
        <v>1.4161274265803883</v>
      </c>
      <c r="Q116" s="106">
        <v>1.3294392523364487</v>
      </c>
      <c r="R116" s="15"/>
      <c r="S116" s="15"/>
      <c r="T116" s="15"/>
      <c r="U116" s="15"/>
      <c r="V116" s="15"/>
      <c r="W116" s="15"/>
      <c r="X116" s="15"/>
      <c r="Y116" s="15"/>
      <c r="Z116" s="15"/>
    </row>
    <row r="117" spans="6:26" s="21" customFormat="1" ht="14.25" x14ac:dyDescent="0.45">
      <c r="F117" s="49">
        <v>40756</v>
      </c>
      <c r="G117" s="52">
        <v>141.96</v>
      </c>
      <c r="H117" s="52">
        <v>141.96</v>
      </c>
      <c r="I117"/>
      <c r="J117"/>
      <c r="K117"/>
      <c r="L117"/>
      <c r="M117" s="106">
        <v>1.413240418118467</v>
      </c>
      <c r="N117" s="106">
        <v>1.326728971962617</v>
      </c>
      <c r="O117" s="106"/>
      <c r="P117" s="106">
        <v>1.413240418118467</v>
      </c>
      <c r="Q117" s="106">
        <v>1.326728971962617</v>
      </c>
      <c r="R117" s="15"/>
      <c r="S117" s="15"/>
      <c r="T117" s="15"/>
      <c r="U117" s="15"/>
      <c r="V117" s="15"/>
      <c r="W117" s="15"/>
      <c r="X117" s="15"/>
      <c r="Y117" s="15"/>
      <c r="Z117" s="15"/>
    </row>
    <row r="118" spans="6:26" s="21" customFormat="1" ht="14.25" x14ac:dyDescent="0.45">
      <c r="F118" s="49">
        <v>40787</v>
      </c>
      <c r="G118" s="52">
        <v>141.79</v>
      </c>
      <c r="H118" s="52">
        <v>141.79</v>
      </c>
      <c r="I118"/>
      <c r="J118"/>
      <c r="K118"/>
      <c r="L118"/>
      <c r="M118" s="106">
        <v>1.4115480338476853</v>
      </c>
      <c r="N118" s="106">
        <v>1.3251401869158879</v>
      </c>
      <c r="O118" s="106"/>
      <c r="P118" s="106">
        <v>1.4115480338476853</v>
      </c>
      <c r="Q118" s="106">
        <v>1.3251401869158879</v>
      </c>
      <c r="R118" s="15"/>
      <c r="S118" s="15"/>
      <c r="T118" s="15"/>
      <c r="U118" s="15"/>
      <c r="V118" s="15"/>
      <c r="W118" s="15"/>
      <c r="X118" s="15"/>
      <c r="Y118" s="15"/>
      <c r="Z118" s="15"/>
    </row>
    <row r="119" spans="6:26" s="21" customFormat="1" ht="14.25" x14ac:dyDescent="0.45">
      <c r="F119" s="49">
        <v>40817</v>
      </c>
      <c r="G119" s="52">
        <v>141.58000000000001</v>
      </c>
      <c r="H119" s="52">
        <v>141.58000000000001</v>
      </c>
      <c r="I119"/>
      <c r="J119"/>
      <c r="K119"/>
      <c r="L119"/>
      <c r="M119" s="106">
        <v>1.4094574415131906</v>
      </c>
      <c r="N119" s="106">
        <v>1.323177570093458</v>
      </c>
      <c r="O119" s="106"/>
      <c r="P119" s="106">
        <v>1.4094574415131906</v>
      </c>
      <c r="Q119" s="106">
        <v>1.323177570093458</v>
      </c>
      <c r="R119" s="15"/>
      <c r="S119" s="15"/>
      <c r="T119" s="15"/>
      <c r="U119" s="15"/>
      <c r="V119" s="15"/>
      <c r="W119" s="15"/>
      <c r="X119" s="15"/>
      <c r="Y119" s="15"/>
      <c r="Z119" s="15"/>
    </row>
    <row r="120" spans="6:26" s="21" customFormat="1" ht="14.25" x14ac:dyDescent="0.45">
      <c r="F120" s="49">
        <v>40848</v>
      </c>
      <c r="G120" s="52">
        <v>142.25</v>
      </c>
      <c r="H120" s="52">
        <v>142.25</v>
      </c>
      <c r="I120"/>
      <c r="J120"/>
      <c r="K120"/>
      <c r="L120"/>
      <c r="M120" s="106">
        <v>1.4161274265803883</v>
      </c>
      <c r="N120" s="106">
        <v>1.3294392523364487</v>
      </c>
      <c r="O120" s="106"/>
      <c r="P120" s="106">
        <v>1.4161274265803883</v>
      </c>
      <c r="Q120" s="106">
        <v>1.3294392523364487</v>
      </c>
      <c r="R120" s="15"/>
      <c r="S120" s="15"/>
      <c r="T120" s="15"/>
      <c r="U120" s="15"/>
      <c r="V120" s="15"/>
      <c r="W120" s="15"/>
      <c r="X120" s="15"/>
      <c r="Y120" s="15"/>
      <c r="Z120" s="15"/>
    </row>
    <row r="121" spans="6:26" s="21" customFormat="1" ht="14.25" x14ac:dyDescent="0.45">
      <c r="F121" s="49">
        <v>40878</v>
      </c>
      <c r="G121" s="52">
        <v>140.44999999999999</v>
      </c>
      <c r="H121" s="52">
        <v>140.44999999999999</v>
      </c>
      <c r="I121"/>
      <c r="J121"/>
      <c r="K121"/>
      <c r="L121"/>
      <c r="M121" s="106">
        <v>1.3982080637132901</v>
      </c>
      <c r="N121" s="106">
        <v>1.3126168224299064</v>
      </c>
      <c r="O121" s="106"/>
      <c r="P121" s="106">
        <v>1.3982080637132901</v>
      </c>
      <c r="Q121" s="106">
        <v>1.3126168224299064</v>
      </c>
      <c r="R121" s="15"/>
      <c r="S121" s="15"/>
      <c r="T121" s="15"/>
      <c r="U121" s="15"/>
      <c r="V121" s="15"/>
      <c r="W121" s="15"/>
      <c r="X121" s="15"/>
      <c r="Y121" s="15"/>
      <c r="Z121" s="15"/>
    </row>
    <row r="122" spans="6:26" s="21" customFormat="1" ht="14.25" x14ac:dyDescent="0.45">
      <c r="F122" s="49">
        <v>40909</v>
      </c>
      <c r="G122" s="52">
        <v>138.87</v>
      </c>
      <c r="H122" s="52">
        <v>138.87</v>
      </c>
      <c r="I122"/>
      <c r="J122"/>
      <c r="K122"/>
      <c r="L122"/>
      <c r="M122" s="106">
        <v>1.3824788451966152</v>
      </c>
      <c r="N122" s="106">
        <v>1.2978504672897198</v>
      </c>
      <c r="O122" s="106"/>
      <c r="P122" s="106">
        <v>1.3824788451966152</v>
      </c>
      <c r="Q122" s="106">
        <v>1.2978504672897198</v>
      </c>
      <c r="R122" s="15"/>
      <c r="S122" s="15"/>
      <c r="T122" s="15"/>
      <c r="U122" s="15"/>
      <c r="V122" s="15"/>
      <c r="W122" s="15"/>
      <c r="X122" s="15"/>
      <c r="Y122" s="15"/>
      <c r="Z122" s="15"/>
    </row>
    <row r="123" spans="6:26" s="21" customFormat="1" ht="14.25" x14ac:dyDescent="0.45">
      <c r="F123" s="49">
        <v>40940</v>
      </c>
      <c r="G123" s="52">
        <v>140.49</v>
      </c>
      <c r="H123" s="52">
        <v>140.49</v>
      </c>
      <c r="I123"/>
      <c r="J123"/>
      <c r="K123"/>
      <c r="L123"/>
      <c r="M123" s="106">
        <v>1.3986062717770036</v>
      </c>
      <c r="N123" s="106">
        <v>1.3129906542056076</v>
      </c>
      <c r="O123" s="106"/>
      <c r="P123" s="106">
        <v>1.3986062717770036</v>
      </c>
      <c r="Q123" s="106">
        <v>1.3129906542056076</v>
      </c>
      <c r="R123" s="15"/>
      <c r="S123" s="15"/>
      <c r="T123" s="15"/>
      <c r="U123" s="15"/>
      <c r="V123" s="15"/>
      <c r="W123" s="15"/>
      <c r="X123" s="15"/>
      <c r="Y123" s="15"/>
      <c r="Z123" s="15"/>
    </row>
    <row r="124" spans="6:26" s="21" customFormat="1" ht="14.25" x14ac:dyDescent="0.45">
      <c r="F124" s="49">
        <v>40969</v>
      </c>
      <c r="G124" s="52">
        <v>140.06</v>
      </c>
      <c r="H124" s="52">
        <v>140.06</v>
      </c>
      <c r="I124"/>
      <c r="J124"/>
      <c r="K124"/>
      <c r="L124"/>
      <c r="M124" s="106">
        <v>1.3943255350920856</v>
      </c>
      <c r="N124" s="106">
        <v>1.3089719626168224</v>
      </c>
      <c r="O124" s="106"/>
      <c r="P124" s="106">
        <v>1.3943255350920856</v>
      </c>
      <c r="Q124" s="106">
        <v>1.3089719626168224</v>
      </c>
      <c r="R124" s="15"/>
      <c r="S124" s="15"/>
      <c r="T124" s="15"/>
      <c r="U124" s="15"/>
      <c r="V124" s="15"/>
      <c r="W124" s="15"/>
      <c r="X124" s="15"/>
      <c r="Y124" s="15"/>
      <c r="Z124" s="15"/>
    </row>
    <row r="125" spans="6:26" s="21" customFormat="1" ht="14.25" x14ac:dyDescent="0.45">
      <c r="F125" s="49">
        <v>41000</v>
      </c>
      <c r="G125" s="52">
        <v>141.04</v>
      </c>
      <c r="H125" s="52">
        <v>141.04</v>
      </c>
      <c r="I125"/>
      <c r="J125"/>
      <c r="K125"/>
      <c r="L125"/>
      <c r="M125" s="106">
        <v>1.4040816326530612</v>
      </c>
      <c r="N125" s="106">
        <v>1.3181308411214951</v>
      </c>
      <c r="O125" s="106"/>
      <c r="P125" s="106">
        <v>1.4040816326530612</v>
      </c>
      <c r="Q125" s="106">
        <v>1.3181308411214951</v>
      </c>
      <c r="R125" s="15"/>
      <c r="S125" s="15"/>
      <c r="T125" s="15"/>
      <c r="U125" s="15"/>
      <c r="V125" s="15"/>
      <c r="W125" s="15"/>
      <c r="X125" s="15"/>
      <c r="Y125" s="15"/>
      <c r="Z125" s="15"/>
    </row>
    <row r="126" spans="6:26" s="21" customFormat="1" ht="14.25" x14ac:dyDescent="0.45">
      <c r="F126" s="49">
        <v>41030</v>
      </c>
      <c r="G126" s="52">
        <v>142.66999999999999</v>
      </c>
      <c r="H126" s="52">
        <v>142.66999999999999</v>
      </c>
      <c r="I126"/>
      <c r="J126"/>
      <c r="K126"/>
      <c r="L126"/>
      <c r="M126" s="106">
        <v>1.4203086112493777</v>
      </c>
      <c r="N126" s="106">
        <v>1.3333644859813083</v>
      </c>
      <c r="O126" s="106"/>
      <c r="P126" s="106">
        <v>1.4203086112493777</v>
      </c>
      <c r="Q126" s="106">
        <v>1.3333644859813083</v>
      </c>
      <c r="R126" s="15"/>
      <c r="S126" s="15"/>
      <c r="T126" s="15"/>
      <c r="U126" s="15"/>
      <c r="V126" s="15"/>
      <c r="W126" s="15"/>
      <c r="X126" s="15"/>
      <c r="Y126" s="15"/>
      <c r="Z126" s="15"/>
    </row>
    <row r="127" spans="6:26" s="21" customFormat="1" ht="14.25" x14ac:dyDescent="0.45">
      <c r="F127" s="49">
        <v>41061</v>
      </c>
      <c r="G127" s="52">
        <v>143.56</v>
      </c>
      <c r="H127" s="52">
        <v>143.56</v>
      </c>
      <c r="I127"/>
      <c r="J127"/>
      <c r="K127"/>
      <c r="L127"/>
      <c r="M127" s="106">
        <v>1.4291687406669984</v>
      </c>
      <c r="N127" s="106">
        <v>1.3416822429906543</v>
      </c>
      <c r="O127" s="106"/>
      <c r="P127" s="106">
        <v>1.4291687406669984</v>
      </c>
      <c r="Q127" s="106">
        <v>1.3416822429906543</v>
      </c>
      <c r="R127" s="15"/>
      <c r="S127" s="15"/>
      <c r="T127" s="15"/>
      <c r="U127" s="15"/>
      <c r="V127" s="15"/>
      <c r="W127" s="15"/>
      <c r="X127" s="15"/>
      <c r="Y127" s="15"/>
      <c r="Z127" s="15"/>
    </row>
    <row r="128" spans="6:26" s="21" customFormat="1" ht="14.25" x14ac:dyDescent="0.45">
      <c r="F128" s="49">
        <v>41091</v>
      </c>
      <c r="G128" s="52">
        <v>144.03</v>
      </c>
      <c r="H128" s="52">
        <v>144.03</v>
      </c>
      <c r="I128"/>
      <c r="J128"/>
      <c r="K128"/>
      <c r="L128"/>
      <c r="M128" s="106">
        <v>1.4338476854156297</v>
      </c>
      <c r="N128" s="106">
        <v>1.3460747663551402</v>
      </c>
      <c r="O128" s="106"/>
      <c r="P128" s="106">
        <v>1.4338476854156297</v>
      </c>
      <c r="Q128" s="106">
        <v>1.3460747663551402</v>
      </c>
      <c r="R128" s="15"/>
      <c r="S128" s="15"/>
      <c r="T128" s="15"/>
      <c r="U128" s="15"/>
      <c r="V128" s="15"/>
      <c r="W128" s="15"/>
      <c r="X128" s="15"/>
      <c r="Y128" s="15"/>
      <c r="Z128" s="15"/>
    </row>
    <row r="129" spans="6:26" s="21" customFormat="1" ht="14.25" x14ac:dyDescent="0.45">
      <c r="F129" s="49">
        <v>41122</v>
      </c>
      <c r="G129" s="52">
        <v>144.35</v>
      </c>
      <c r="H129" s="52">
        <v>144.35</v>
      </c>
      <c r="I129"/>
      <c r="J129"/>
      <c r="K129"/>
      <c r="L129"/>
      <c r="M129" s="106">
        <v>1.4370333499253358</v>
      </c>
      <c r="N129" s="106">
        <v>1.3490654205607475</v>
      </c>
      <c r="O129" s="106"/>
      <c r="P129" s="106">
        <v>1.4370333499253358</v>
      </c>
      <c r="Q129" s="106">
        <v>1.3490654205607475</v>
      </c>
      <c r="R129" s="15"/>
      <c r="S129" s="15"/>
      <c r="T129" s="15"/>
      <c r="U129" s="15"/>
      <c r="V129" s="15"/>
      <c r="W129" s="15"/>
      <c r="X129" s="15"/>
      <c r="Y129" s="15"/>
      <c r="Z129" s="15"/>
    </row>
    <row r="130" spans="6:26" s="21" customFormat="1" ht="14.25" x14ac:dyDescent="0.45">
      <c r="F130" s="49">
        <v>41153</v>
      </c>
      <c r="G130" s="52">
        <v>143.71</v>
      </c>
      <c r="H130" s="52">
        <v>143.71</v>
      </c>
      <c r="I130"/>
      <c r="J130"/>
      <c r="K130"/>
      <c r="L130"/>
      <c r="M130" s="106">
        <v>1.4306620209059233</v>
      </c>
      <c r="N130" s="106">
        <v>1.3430841121495327</v>
      </c>
      <c r="O130" s="106"/>
      <c r="P130" s="106">
        <v>1.4306620209059233</v>
      </c>
      <c r="Q130" s="106">
        <v>1.3430841121495327</v>
      </c>
      <c r="R130" s="15"/>
      <c r="S130" s="15"/>
      <c r="T130" s="15"/>
      <c r="U130" s="15"/>
      <c r="V130" s="15"/>
      <c r="W130" s="15"/>
      <c r="X130" s="15"/>
      <c r="Y130" s="15"/>
      <c r="Z130" s="15"/>
    </row>
    <row r="131" spans="6:26" s="21" customFormat="1" ht="14.25" x14ac:dyDescent="0.45">
      <c r="F131" s="49">
        <v>41183</v>
      </c>
      <c r="G131" s="52">
        <v>144.86000000000001</v>
      </c>
      <c r="H131" s="52">
        <v>144.86000000000001</v>
      </c>
      <c r="I131"/>
      <c r="J131"/>
      <c r="K131"/>
      <c r="L131"/>
      <c r="M131" s="106">
        <v>1.4421105027376806</v>
      </c>
      <c r="N131" s="106">
        <v>1.3538317757009346</v>
      </c>
      <c r="O131" s="106"/>
      <c r="P131" s="106">
        <v>1.4421105027376806</v>
      </c>
      <c r="Q131" s="106">
        <v>1.3538317757009346</v>
      </c>
      <c r="R131" s="15"/>
      <c r="S131" s="15"/>
      <c r="T131" s="15"/>
      <c r="U131" s="15"/>
      <c r="V131" s="15"/>
      <c r="W131" s="15"/>
      <c r="X131" s="15"/>
      <c r="Y131" s="15"/>
      <c r="Z131" s="15"/>
    </row>
    <row r="132" spans="6:26" s="21" customFormat="1" ht="14.25" x14ac:dyDescent="0.45">
      <c r="F132" s="49">
        <v>41214</v>
      </c>
      <c r="G132" s="52">
        <v>144.58000000000001</v>
      </c>
      <c r="H132" s="52">
        <v>144.58000000000001</v>
      </c>
      <c r="I132"/>
      <c r="J132"/>
      <c r="K132"/>
      <c r="L132"/>
      <c r="M132" s="106">
        <v>1.4393230462916875</v>
      </c>
      <c r="N132" s="106">
        <v>1.3512149532710283</v>
      </c>
      <c r="O132" s="106"/>
      <c r="P132" s="106">
        <v>1.4393230462916875</v>
      </c>
      <c r="Q132" s="106">
        <v>1.3512149532710283</v>
      </c>
      <c r="R132" s="15"/>
      <c r="S132" s="15"/>
      <c r="T132" s="15"/>
      <c r="U132" s="15"/>
      <c r="V132" s="15"/>
      <c r="W132" s="15"/>
      <c r="X132" s="15"/>
      <c r="Y132" s="15"/>
      <c r="Z132" s="15"/>
    </row>
    <row r="133" spans="6:26" s="21" customFormat="1" ht="14.25" x14ac:dyDescent="0.45">
      <c r="F133" s="49">
        <v>41244</v>
      </c>
      <c r="G133" s="52">
        <v>144.16</v>
      </c>
      <c r="H133" s="52">
        <v>144.16</v>
      </c>
      <c r="I133"/>
      <c r="J133"/>
      <c r="K133"/>
      <c r="L133"/>
      <c r="M133" s="106">
        <v>1.4351418616226979</v>
      </c>
      <c r="N133" s="106">
        <v>1.3472897196261682</v>
      </c>
      <c r="O133" s="106"/>
      <c r="P133" s="106">
        <v>1.4351418616226979</v>
      </c>
      <c r="Q133" s="106">
        <v>1.3472897196261682</v>
      </c>
      <c r="R133" s="15"/>
      <c r="S133" s="15"/>
      <c r="T133" s="15"/>
      <c r="U133" s="15"/>
      <c r="V133" s="15"/>
      <c r="W133" s="15"/>
      <c r="X133" s="15"/>
      <c r="Y133" s="15"/>
      <c r="Z133" s="15"/>
    </row>
    <row r="134" spans="6:26" s="21" customFormat="1" ht="14.25" x14ac:dyDescent="0.45">
      <c r="F134" s="49">
        <v>41275</v>
      </c>
      <c r="G134" s="52">
        <v>144.99</v>
      </c>
      <c r="H134" s="52">
        <v>144.99</v>
      </c>
      <c r="I134"/>
      <c r="J134"/>
      <c r="K134"/>
      <c r="L134"/>
      <c r="M134" s="106">
        <v>1.4434046789447488</v>
      </c>
      <c r="N134" s="106">
        <v>1.3550467289719628</v>
      </c>
      <c r="O134" s="106"/>
      <c r="P134" s="106">
        <v>1.4434046789447488</v>
      </c>
      <c r="Q134" s="106">
        <v>1.3550467289719628</v>
      </c>
      <c r="R134" s="15"/>
      <c r="S134" s="15"/>
      <c r="T134" s="15"/>
      <c r="U134" s="15"/>
      <c r="V134" s="15"/>
      <c r="W134" s="15"/>
      <c r="X134" s="15"/>
      <c r="Y134" s="15"/>
      <c r="Z134" s="15"/>
    </row>
    <row r="135" spans="6:26" s="21" customFormat="1" ht="14.25" x14ac:dyDescent="0.45">
      <c r="F135" s="49">
        <v>41306</v>
      </c>
      <c r="G135" s="52">
        <v>143.77000000000001</v>
      </c>
      <c r="H135" s="52">
        <v>143.77000000000001</v>
      </c>
      <c r="I135"/>
      <c r="J135"/>
      <c r="K135"/>
      <c r="L135"/>
      <c r="M135" s="106">
        <v>1.4312593330014933</v>
      </c>
      <c r="N135" s="106">
        <v>1.3436448598130841</v>
      </c>
      <c r="O135" s="106"/>
      <c r="P135" s="106">
        <v>1.4312593330014933</v>
      </c>
      <c r="Q135" s="106">
        <v>1.3436448598130841</v>
      </c>
      <c r="R135" s="15"/>
      <c r="S135" s="15"/>
      <c r="T135" s="15"/>
      <c r="U135" s="15"/>
      <c r="V135" s="15"/>
      <c r="W135" s="15"/>
      <c r="X135" s="15"/>
      <c r="Y135" s="15"/>
      <c r="Z135" s="15"/>
    </row>
    <row r="136" spans="6:26" s="21" customFormat="1" ht="14.25" x14ac:dyDescent="0.45">
      <c r="F136" s="49">
        <v>41334</v>
      </c>
      <c r="G136" s="52">
        <v>144.94999999999999</v>
      </c>
      <c r="H136" s="52">
        <v>144.94999999999999</v>
      </c>
      <c r="I136"/>
      <c r="J136"/>
      <c r="K136"/>
      <c r="L136"/>
      <c r="M136" s="106">
        <v>1.4430064708810353</v>
      </c>
      <c r="N136" s="106">
        <v>1.3546728971962616</v>
      </c>
      <c r="O136" s="106"/>
      <c r="P136" s="106">
        <v>1.4430064708810353</v>
      </c>
      <c r="Q136" s="106">
        <v>1.3546728971962616</v>
      </c>
      <c r="R136" s="15"/>
      <c r="S136" s="15"/>
      <c r="T136" s="15"/>
      <c r="U136" s="15"/>
      <c r="V136" s="15"/>
      <c r="W136" s="15"/>
      <c r="X136" s="15"/>
      <c r="Y136" s="15"/>
      <c r="Z136" s="15"/>
    </row>
    <row r="137" spans="6:26" s="21" customFormat="1" ht="14.25" x14ac:dyDescent="0.45">
      <c r="F137" s="49">
        <v>41365</v>
      </c>
      <c r="G137" s="52">
        <v>146.24</v>
      </c>
      <c r="H137" s="52">
        <v>146.24</v>
      </c>
      <c r="I137"/>
      <c r="J137"/>
      <c r="K137"/>
      <c r="L137"/>
      <c r="M137" s="106">
        <v>1.4558486809357889</v>
      </c>
      <c r="N137" s="106">
        <v>1.366728971962617</v>
      </c>
      <c r="O137" s="106"/>
      <c r="P137" s="106">
        <v>1.4558486809357889</v>
      </c>
      <c r="Q137" s="106">
        <v>1.366728971962617</v>
      </c>
      <c r="R137" s="15"/>
      <c r="S137" s="15"/>
      <c r="T137" s="15"/>
      <c r="U137" s="15"/>
      <c r="V137" s="15"/>
      <c r="W137" s="15"/>
      <c r="X137" s="15"/>
      <c r="Y137" s="15"/>
      <c r="Z137" s="15"/>
    </row>
    <row r="138" spans="6:26" s="21" customFormat="1" ht="14.25" x14ac:dyDescent="0.45">
      <c r="F138" s="49">
        <v>41395</v>
      </c>
      <c r="G138" s="52">
        <v>146.83000000000001</v>
      </c>
      <c r="H138" s="52">
        <v>146.83000000000001</v>
      </c>
      <c r="I138"/>
      <c r="J138"/>
      <c r="K138"/>
      <c r="L138"/>
      <c r="M138" s="106">
        <v>1.46172224987556</v>
      </c>
      <c r="N138" s="106">
        <v>1.3722429906542057</v>
      </c>
      <c r="O138" s="106"/>
      <c r="P138" s="106">
        <v>1.46172224987556</v>
      </c>
      <c r="Q138" s="106">
        <v>1.3722429906542057</v>
      </c>
      <c r="R138" s="15"/>
      <c r="S138" s="15"/>
      <c r="T138" s="15"/>
      <c r="U138" s="15"/>
      <c r="V138" s="15"/>
      <c r="W138" s="15"/>
      <c r="X138" s="15"/>
      <c r="Y138" s="15"/>
      <c r="Z138" s="15"/>
    </row>
    <row r="139" spans="6:26" s="21" customFormat="1" ht="14.25" x14ac:dyDescent="0.45">
      <c r="F139" s="49">
        <v>41426</v>
      </c>
      <c r="G139" s="52">
        <v>146.35</v>
      </c>
      <c r="H139" s="52">
        <v>146.35</v>
      </c>
      <c r="I139"/>
      <c r="J139"/>
      <c r="K139"/>
      <c r="L139"/>
      <c r="M139" s="106">
        <v>1.4569437531110003</v>
      </c>
      <c r="N139" s="106">
        <v>1.3677570093457943</v>
      </c>
      <c r="O139" s="106"/>
      <c r="P139" s="106">
        <v>1.4569437531110003</v>
      </c>
      <c r="Q139" s="106">
        <v>1.3677570093457943</v>
      </c>
      <c r="R139" s="15"/>
      <c r="S139" s="15"/>
      <c r="T139" s="15"/>
      <c r="U139" s="15"/>
      <c r="V139" s="15"/>
      <c r="W139" s="15"/>
      <c r="X139" s="15"/>
      <c r="Y139" s="15"/>
      <c r="Z139" s="15"/>
    </row>
    <row r="140" spans="6:26" s="21" customFormat="1" ht="14.25" x14ac:dyDescent="0.45">
      <c r="F140" s="49">
        <v>41456</v>
      </c>
      <c r="G140" s="52">
        <v>147.19</v>
      </c>
      <c r="H140" s="52">
        <v>147.19</v>
      </c>
      <c r="I140"/>
      <c r="J140"/>
      <c r="K140"/>
      <c r="L140"/>
      <c r="M140" s="106">
        <v>1.4653061224489796</v>
      </c>
      <c r="N140" s="106">
        <v>1.375607476635514</v>
      </c>
      <c r="O140" s="106"/>
      <c r="P140" s="106">
        <v>1.4653061224489796</v>
      </c>
      <c r="Q140" s="106">
        <v>1.375607476635514</v>
      </c>
      <c r="R140" s="15"/>
      <c r="S140" s="15"/>
      <c r="T140" s="15"/>
      <c r="U140" s="15"/>
      <c r="V140" s="15"/>
      <c r="W140" s="15"/>
      <c r="X140" s="15"/>
      <c r="Y140" s="15"/>
      <c r="Z140" s="15"/>
    </row>
    <row r="141" spans="6:26" s="21" customFormat="1" ht="14.25" x14ac:dyDescent="0.45">
      <c r="F141" s="49">
        <v>41487</v>
      </c>
      <c r="G141" s="52">
        <v>147.11000000000001</v>
      </c>
      <c r="H141" s="52">
        <v>147.11000000000001</v>
      </c>
      <c r="I141"/>
      <c r="J141"/>
      <c r="K141"/>
      <c r="L141"/>
      <c r="M141" s="106">
        <v>1.4645097063215531</v>
      </c>
      <c r="N141" s="106">
        <v>1.3748598130841123</v>
      </c>
      <c r="O141" s="106"/>
      <c r="P141" s="106">
        <v>1.4645097063215531</v>
      </c>
      <c r="Q141" s="106">
        <v>1.3748598130841123</v>
      </c>
      <c r="R141" s="15"/>
      <c r="S141" s="15"/>
      <c r="T141" s="15"/>
      <c r="U141" s="15"/>
      <c r="V141" s="15"/>
      <c r="W141" s="15"/>
      <c r="X141" s="15"/>
      <c r="Y141" s="15"/>
      <c r="Z141" s="15"/>
    </row>
    <row r="142" spans="6:26" s="21" customFormat="1" ht="14.25" x14ac:dyDescent="0.45">
      <c r="F142" s="49">
        <v>41518</v>
      </c>
      <c r="G142" s="52">
        <v>148.13999999999999</v>
      </c>
      <c r="H142" s="52">
        <v>148.13999999999999</v>
      </c>
      <c r="I142"/>
      <c r="J142"/>
      <c r="K142"/>
      <c r="L142"/>
      <c r="M142" s="106">
        <v>1.4747635639621701</v>
      </c>
      <c r="N142" s="106">
        <v>1.3844859813084112</v>
      </c>
      <c r="O142" s="106"/>
      <c r="P142" s="106">
        <v>1.4747635639621701</v>
      </c>
      <c r="Q142" s="106">
        <v>1.3844859813084112</v>
      </c>
      <c r="R142" s="15"/>
      <c r="S142" s="15"/>
      <c r="T142" s="15"/>
      <c r="U142" s="15"/>
      <c r="V142" s="15"/>
      <c r="W142" s="15"/>
      <c r="X142" s="15"/>
      <c r="Y142" s="15"/>
      <c r="Z142" s="15"/>
    </row>
    <row r="143" spans="6:26" s="21" customFormat="1" ht="14.25" x14ac:dyDescent="0.45">
      <c r="F143" s="49">
        <v>41548</v>
      </c>
      <c r="G143" s="52">
        <v>147.99</v>
      </c>
      <c r="H143" s="52">
        <v>147.99</v>
      </c>
      <c r="I143"/>
      <c r="J143"/>
      <c r="K143"/>
      <c r="L143"/>
      <c r="M143" s="106">
        <v>1.4732702837232454</v>
      </c>
      <c r="N143" s="106">
        <v>1.3830841121495328</v>
      </c>
      <c r="O143" s="106"/>
      <c r="P143" s="106">
        <v>1.4732702837232454</v>
      </c>
      <c r="Q143" s="106">
        <v>1.3830841121495328</v>
      </c>
      <c r="R143" s="15"/>
      <c r="S143" s="15"/>
      <c r="T143" s="15"/>
      <c r="U143" s="15"/>
      <c r="V143" s="15"/>
      <c r="W143" s="15"/>
      <c r="X143" s="15"/>
      <c r="Y143" s="15"/>
      <c r="Z143" s="15"/>
    </row>
    <row r="144" spans="6:26" s="21" customFormat="1" ht="14.25" x14ac:dyDescent="0.45">
      <c r="F144" s="49">
        <v>41579</v>
      </c>
      <c r="G144" s="52">
        <v>148.34</v>
      </c>
      <c r="H144" s="52">
        <v>148.34</v>
      </c>
      <c r="I144"/>
      <c r="J144"/>
      <c r="K144"/>
      <c r="L144"/>
      <c r="M144" s="106">
        <v>1.4767546042807367</v>
      </c>
      <c r="N144" s="106">
        <v>1.3863551401869159</v>
      </c>
      <c r="O144" s="106"/>
      <c r="P144" s="106">
        <v>1.4767546042807367</v>
      </c>
      <c r="Q144" s="106">
        <v>1.3863551401869159</v>
      </c>
      <c r="R144" s="15"/>
      <c r="S144" s="15"/>
      <c r="T144" s="15"/>
      <c r="U144" s="15"/>
      <c r="V144" s="15"/>
      <c r="W144" s="15"/>
      <c r="X144" s="15"/>
      <c r="Y144" s="15"/>
      <c r="Z144" s="15"/>
    </row>
    <row r="145" spans="6:26" s="21" customFormat="1" ht="14.25" x14ac:dyDescent="0.45">
      <c r="F145" s="49">
        <v>41609</v>
      </c>
      <c r="G145" s="52">
        <v>148.61000000000001</v>
      </c>
      <c r="H145" s="52">
        <v>148.61000000000001</v>
      </c>
      <c r="I145"/>
      <c r="J145"/>
      <c r="K145"/>
      <c r="L145"/>
      <c r="M145" s="106">
        <v>1.4794425087108014</v>
      </c>
      <c r="N145" s="106">
        <v>1.3888785046728973</v>
      </c>
      <c r="O145" s="106"/>
      <c r="P145" s="106">
        <v>1.4794425087108014</v>
      </c>
      <c r="Q145" s="106">
        <v>1.3888785046728973</v>
      </c>
      <c r="R145" s="15"/>
      <c r="S145" s="15"/>
      <c r="T145" s="15"/>
      <c r="U145" s="15"/>
      <c r="V145" s="15"/>
      <c r="W145" s="15"/>
      <c r="X145" s="15"/>
      <c r="Y145" s="15"/>
      <c r="Z145" s="15"/>
    </row>
    <row r="146" spans="6:26" s="21" customFormat="1" ht="14.25" x14ac:dyDescent="0.45">
      <c r="F146" s="49">
        <v>41640</v>
      </c>
      <c r="G146" s="52">
        <v>148.27000000000001</v>
      </c>
      <c r="H146" s="52">
        <v>148.27000000000001</v>
      </c>
      <c r="I146"/>
      <c r="J146"/>
      <c r="K146"/>
      <c r="L146"/>
      <c r="M146" s="106">
        <v>1.4760577401692385</v>
      </c>
      <c r="N146" s="106">
        <v>1.3857009345794393</v>
      </c>
      <c r="O146" s="106"/>
      <c r="P146" s="106">
        <v>1.4760577401692385</v>
      </c>
      <c r="Q146" s="106">
        <v>1.3857009345794393</v>
      </c>
      <c r="R146" s="15"/>
      <c r="S146" s="15"/>
      <c r="T146" s="15"/>
      <c r="U146" s="15"/>
      <c r="V146" s="15"/>
      <c r="W146" s="15"/>
      <c r="X146" s="15"/>
      <c r="Y146" s="15"/>
      <c r="Z146" s="15"/>
    </row>
    <row r="147" spans="6:26" s="21" customFormat="1" ht="14.25" x14ac:dyDescent="0.45">
      <c r="F147" s="49">
        <v>41671</v>
      </c>
      <c r="G147" s="52">
        <v>147.85</v>
      </c>
      <c r="H147" s="52">
        <v>147.85</v>
      </c>
      <c r="I147"/>
      <c r="J147"/>
      <c r="K147"/>
      <c r="L147"/>
      <c r="M147" s="106">
        <v>1.4718765555002489</v>
      </c>
      <c r="N147" s="106">
        <v>1.3817757009345795</v>
      </c>
      <c r="O147" s="106"/>
      <c r="P147" s="106">
        <v>1.4718765555002489</v>
      </c>
      <c r="Q147" s="106">
        <v>1.3817757009345795</v>
      </c>
      <c r="R147" s="15"/>
      <c r="S147" s="15"/>
      <c r="T147" s="15"/>
      <c r="U147" s="15"/>
      <c r="V147" s="15"/>
      <c r="W147" s="15"/>
      <c r="X147" s="15"/>
      <c r="Y147" s="15"/>
      <c r="Z147" s="15"/>
    </row>
    <row r="148" spans="6:26" s="21" customFormat="1" ht="14.25" x14ac:dyDescent="0.45">
      <c r="F148" s="49">
        <v>41699</v>
      </c>
      <c r="G148" s="52">
        <v>147.88999999999999</v>
      </c>
      <c r="H148" s="52">
        <v>147.88999999999999</v>
      </c>
      <c r="I148"/>
      <c r="J148"/>
      <c r="K148"/>
      <c r="L148"/>
      <c r="M148" s="106">
        <v>1.4722747635639619</v>
      </c>
      <c r="N148" s="106">
        <v>1.3821495327102802</v>
      </c>
      <c r="O148" s="106"/>
      <c r="P148" s="106">
        <v>1.4722747635639619</v>
      </c>
      <c r="Q148" s="106">
        <v>1.3821495327102802</v>
      </c>
      <c r="R148" s="15"/>
      <c r="S148" s="15"/>
      <c r="T148" s="15"/>
      <c r="U148" s="15"/>
      <c r="V148" s="15"/>
      <c r="W148" s="15"/>
      <c r="X148" s="15"/>
      <c r="Y148" s="15"/>
      <c r="Z148" s="15"/>
    </row>
    <row r="149" spans="6:26" s="21" customFormat="1" ht="14.25" x14ac:dyDescent="0.45">
      <c r="F149" s="49">
        <v>41730</v>
      </c>
      <c r="G149" s="52">
        <v>146.88</v>
      </c>
      <c r="H149" s="52">
        <v>146.88</v>
      </c>
      <c r="I149"/>
      <c r="J149"/>
      <c r="K149"/>
      <c r="L149"/>
      <c r="M149" s="106">
        <v>1.4622200099552014</v>
      </c>
      <c r="N149" s="106">
        <v>1.3727102803738318</v>
      </c>
      <c r="O149" s="106"/>
      <c r="P149" s="106">
        <v>1.4622200099552014</v>
      </c>
      <c r="Q149" s="106">
        <v>1.3727102803738318</v>
      </c>
      <c r="R149" s="15"/>
      <c r="S149" s="15"/>
      <c r="T149" s="15"/>
      <c r="U149" s="15"/>
      <c r="V149" s="15"/>
      <c r="W149" s="15"/>
      <c r="X149" s="15"/>
      <c r="Y149" s="15"/>
      <c r="Z149" s="15"/>
    </row>
    <row r="150" spans="6:26" s="21" customFormat="1" ht="14.25" x14ac:dyDescent="0.45">
      <c r="F150" s="49">
        <v>41760</v>
      </c>
      <c r="G150" s="52">
        <v>146.30000000000001</v>
      </c>
      <c r="H150" s="52">
        <v>146.30000000000001</v>
      </c>
      <c r="I150"/>
      <c r="J150"/>
      <c r="K150"/>
      <c r="L150"/>
      <c r="M150" s="106">
        <v>1.4564459930313589</v>
      </c>
      <c r="N150" s="106">
        <v>1.3672897196261684</v>
      </c>
      <c r="O150" s="106"/>
      <c r="P150" s="106">
        <v>1.4564459930313589</v>
      </c>
      <c r="Q150" s="106">
        <v>1.3672897196261684</v>
      </c>
      <c r="R150" s="15"/>
      <c r="S150" s="15"/>
      <c r="T150" s="15"/>
      <c r="U150" s="15"/>
      <c r="V150" s="15"/>
      <c r="W150" s="15"/>
      <c r="X150" s="15"/>
      <c r="Y150" s="15"/>
      <c r="Z150" s="15"/>
    </row>
    <row r="151" spans="6:26" s="21" customFormat="1" ht="14.25" x14ac:dyDescent="0.45">
      <c r="F151" s="49">
        <v>41791</v>
      </c>
      <c r="G151" s="52">
        <v>143.61000000000001</v>
      </c>
      <c r="H151" s="52">
        <v>143.61000000000001</v>
      </c>
      <c r="I151"/>
      <c r="J151"/>
      <c r="K151"/>
      <c r="L151"/>
      <c r="M151" s="106">
        <v>1.4296665007466403</v>
      </c>
      <c r="N151" s="106">
        <v>1.3421495327102806</v>
      </c>
      <c r="O151" s="106"/>
      <c r="P151" s="106">
        <v>1.4296665007466403</v>
      </c>
      <c r="Q151" s="106">
        <v>1.3421495327102806</v>
      </c>
      <c r="R151" s="15"/>
      <c r="S151" s="15"/>
      <c r="T151" s="15"/>
      <c r="U151" s="15"/>
      <c r="V151" s="15"/>
      <c r="W151" s="15"/>
      <c r="X151" s="15"/>
      <c r="Y151" s="15"/>
      <c r="Z151" s="15"/>
    </row>
    <row r="152" spans="6:26" s="21" customFormat="1" ht="14.25" x14ac:dyDescent="0.45">
      <c r="F152" s="49">
        <v>41821</v>
      </c>
      <c r="G152" s="52">
        <v>144.81</v>
      </c>
      <c r="H152" s="52">
        <v>144.81</v>
      </c>
      <c r="I152"/>
      <c r="J152"/>
      <c r="K152"/>
      <c r="L152"/>
      <c r="M152" s="106">
        <v>1.4416127426580387</v>
      </c>
      <c r="N152" s="106">
        <v>1.3533644859813085</v>
      </c>
      <c r="O152" s="106"/>
      <c r="P152" s="106">
        <v>1.4416127426580387</v>
      </c>
      <c r="Q152" s="106">
        <v>1.3533644859813085</v>
      </c>
      <c r="R152" s="15"/>
      <c r="S152" s="15"/>
      <c r="T152" s="15"/>
      <c r="U152" s="15"/>
      <c r="V152" s="15"/>
      <c r="W152" s="15"/>
      <c r="X152" s="15"/>
      <c r="Y152" s="15"/>
      <c r="Z152" s="15"/>
    </row>
    <row r="153" spans="6:26" s="21" customFormat="1" ht="14.25" x14ac:dyDescent="0.45">
      <c r="F153" s="49">
        <v>41852</v>
      </c>
      <c r="G153" s="52">
        <v>145.58000000000001</v>
      </c>
      <c r="H153" s="52">
        <v>145.58000000000001</v>
      </c>
      <c r="I153"/>
      <c r="J153"/>
      <c r="K153"/>
      <c r="L153"/>
      <c r="M153" s="106">
        <v>1.4492782478845196</v>
      </c>
      <c r="N153" s="106">
        <v>1.3605607476635515</v>
      </c>
      <c r="O153" s="106"/>
      <c r="P153" s="106">
        <v>1.4492782478845196</v>
      </c>
      <c r="Q153" s="106">
        <v>1.3605607476635515</v>
      </c>
      <c r="R153" s="15"/>
      <c r="S153" s="15"/>
      <c r="T153" s="15"/>
      <c r="U153" s="15"/>
      <c r="V153" s="15"/>
      <c r="W153" s="15"/>
      <c r="X153" s="15"/>
      <c r="Y153" s="15"/>
      <c r="Z153" s="15"/>
    </row>
    <row r="154" spans="6:26" s="21" customFormat="1" ht="14.25" x14ac:dyDescent="0.45">
      <c r="F154" s="49">
        <v>41883</v>
      </c>
      <c r="G154" s="52">
        <v>146.24</v>
      </c>
      <c r="H154" s="52">
        <v>146.24</v>
      </c>
      <c r="I154"/>
      <c r="J154"/>
      <c r="K154"/>
      <c r="L154"/>
      <c r="M154" s="106">
        <v>1.4558486809357889</v>
      </c>
      <c r="N154" s="106">
        <v>1.366728971962617</v>
      </c>
      <c r="O154" s="106"/>
      <c r="P154" s="106">
        <v>1.4558486809357889</v>
      </c>
      <c r="Q154" s="106">
        <v>1.366728971962617</v>
      </c>
      <c r="R154" s="15"/>
      <c r="S154" s="15"/>
      <c r="T154" s="15"/>
      <c r="U154" s="15"/>
      <c r="V154" s="15"/>
      <c r="W154" s="15"/>
      <c r="X154" s="15"/>
      <c r="Y154" s="15"/>
      <c r="Z154" s="15"/>
    </row>
    <row r="155" spans="6:26" s="21" customFormat="1" ht="14.25" x14ac:dyDescent="0.45">
      <c r="F155" s="49">
        <v>41913</v>
      </c>
      <c r="G155" s="52">
        <v>145.41999999999999</v>
      </c>
      <c r="H155" s="52">
        <v>145.41999999999999</v>
      </c>
      <c r="I155"/>
      <c r="J155"/>
      <c r="K155"/>
      <c r="L155"/>
      <c r="M155" s="106">
        <v>1.4476854156296664</v>
      </c>
      <c r="N155" s="106">
        <v>1.3590654205607475</v>
      </c>
      <c r="O155" s="106"/>
      <c r="P155" s="106">
        <v>1.4476854156296664</v>
      </c>
      <c r="Q155" s="106">
        <v>1.3590654205607475</v>
      </c>
      <c r="R155" s="15"/>
      <c r="S155" s="15"/>
      <c r="T155" s="15"/>
      <c r="U155" s="15"/>
      <c r="V155" s="15"/>
      <c r="W155" s="15"/>
      <c r="X155" s="15"/>
      <c r="Y155" s="15"/>
      <c r="Z155" s="15"/>
    </row>
    <row r="156" spans="6:26" s="21" customFormat="1" ht="14.25" x14ac:dyDescent="0.45">
      <c r="F156" s="49">
        <v>41944</v>
      </c>
      <c r="G156" s="52">
        <v>145.56</v>
      </c>
      <c r="H156" s="52">
        <v>145.56</v>
      </c>
      <c r="I156"/>
      <c r="J156"/>
      <c r="K156"/>
      <c r="L156"/>
      <c r="M156" s="106">
        <v>1.4490791438526629</v>
      </c>
      <c r="N156" s="106">
        <v>1.360373831775701</v>
      </c>
      <c r="O156" s="106"/>
      <c r="P156" s="106">
        <v>1.4490791438526629</v>
      </c>
      <c r="Q156" s="106">
        <v>1.360373831775701</v>
      </c>
      <c r="R156" s="15"/>
      <c r="S156" s="15"/>
      <c r="T156" s="15"/>
      <c r="U156" s="15"/>
      <c r="V156" s="15"/>
      <c r="W156" s="15"/>
      <c r="X156" s="15"/>
      <c r="Y156" s="15"/>
      <c r="Z156" s="15"/>
    </row>
    <row r="157" spans="6:26" s="21" customFormat="1" ht="14.25" x14ac:dyDescent="0.45">
      <c r="F157" s="49">
        <v>41974</v>
      </c>
      <c r="G157" s="52">
        <v>146.21</v>
      </c>
      <c r="H157" s="52">
        <v>146.21</v>
      </c>
      <c r="I157"/>
      <c r="J157"/>
      <c r="K157"/>
      <c r="L157"/>
      <c r="M157" s="106">
        <v>1.455550024888004</v>
      </c>
      <c r="N157" s="106">
        <v>1.3664485981308412</v>
      </c>
      <c r="O157" s="106"/>
      <c r="P157" s="106">
        <v>1.455550024888004</v>
      </c>
      <c r="Q157" s="106">
        <v>1.3664485981308412</v>
      </c>
      <c r="R157" s="15"/>
      <c r="S157" s="15"/>
      <c r="T157" s="15"/>
      <c r="U157" s="15"/>
      <c r="V157" s="15"/>
      <c r="W157" s="15"/>
      <c r="X157" s="15"/>
      <c r="Y157" s="15"/>
      <c r="Z157" s="15"/>
    </row>
    <row r="158" spans="6:26" s="21" customFormat="1" ht="14.25" x14ac:dyDescent="0.45">
      <c r="F158" s="49">
        <v>42005</v>
      </c>
      <c r="G158" s="52">
        <v>144.96</v>
      </c>
      <c r="H158" s="52">
        <v>144.96</v>
      </c>
      <c r="I158"/>
      <c r="J158"/>
      <c r="K158"/>
      <c r="L158"/>
      <c r="M158" s="106">
        <v>1.4431060228969637</v>
      </c>
      <c r="N158" s="106">
        <v>1.354766355140187</v>
      </c>
      <c r="O158" s="106"/>
      <c r="P158" s="106">
        <v>1.4431060228969637</v>
      </c>
      <c r="Q158" s="106">
        <v>1.354766355140187</v>
      </c>
      <c r="R158" s="15"/>
      <c r="S158" s="15"/>
      <c r="T158" s="15"/>
      <c r="U158" s="15"/>
      <c r="V158" s="15"/>
      <c r="W158" s="15"/>
      <c r="X158" s="15"/>
      <c r="Y158" s="15"/>
      <c r="Z158" s="15"/>
    </row>
    <row r="159" spans="6:26" s="21" customFormat="1" ht="14.25" x14ac:dyDescent="0.45">
      <c r="F159" s="49">
        <v>42036</v>
      </c>
      <c r="G159" s="52">
        <v>143.97999999999999</v>
      </c>
      <c r="H159" s="52">
        <v>143.97999999999999</v>
      </c>
      <c r="I159"/>
      <c r="J159"/>
      <c r="K159"/>
      <c r="L159"/>
      <c r="M159" s="106">
        <v>1.4333499253359878</v>
      </c>
      <c r="N159" s="106">
        <v>1.3456074766355139</v>
      </c>
      <c r="O159" s="106"/>
      <c r="P159" s="106">
        <v>1.4333499253359878</v>
      </c>
      <c r="Q159" s="106">
        <v>1.3456074766355139</v>
      </c>
      <c r="R159" s="15"/>
      <c r="S159" s="15"/>
      <c r="T159" s="15"/>
      <c r="U159" s="15"/>
      <c r="V159" s="15"/>
      <c r="W159" s="15"/>
      <c r="X159" s="15"/>
      <c r="Y159" s="15"/>
      <c r="Z159" s="15"/>
    </row>
    <row r="160" spans="6:26" s="21" customFormat="1" ht="14.25" x14ac:dyDescent="0.45">
      <c r="F160" s="49">
        <v>42064</v>
      </c>
      <c r="G160" s="52">
        <v>143.72999999999999</v>
      </c>
      <c r="H160" s="52">
        <v>143.72999999999999</v>
      </c>
      <c r="I160"/>
      <c r="J160"/>
      <c r="K160"/>
      <c r="L160"/>
      <c r="M160" s="106">
        <v>1.4308611249377798</v>
      </c>
      <c r="N160" s="106">
        <v>1.3432710280373832</v>
      </c>
      <c r="O160" s="106"/>
      <c r="P160" s="106">
        <v>1.4308611249377798</v>
      </c>
      <c r="Q160" s="106">
        <v>1.3432710280373832</v>
      </c>
      <c r="R160" s="15"/>
      <c r="S160" s="15"/>
      <c r="T160" s="15"/>
      <c r="U160" s="15"/>
      <c r="V160" s="15"/>
      <c r="W160" s="15"/>
      <c r="X160" s="15"/>
      <c r="Y160" s="15"/>
      <c r="Z160" s="15"/>
    </row>
    <row r="161" spans="6:26" s="21" customFormat="1" ht="14.25" x14ac:dyDescent="0.45">
      <c r="F161" s="49">
        <v>42095</v>
      </c>
      <c r="G161" s="52">
        <v>142.38</v>
      </c>
      <c r="H161" s="52">
        <v>142.38</v>
      </c>
      <c r="I161"/>
      <c r="J161"/>
      <c r="K161"/>
      <c r="L161"/>
      <c r="M161" s="106">
        <v>1.4174216027874564</v>
      </c>
      <c r="N161" s="106">
        <v>1.3306542056074766</v>
      </c>
      <c r="O161" s="106"/>
      <c r="P161" s="106">
        <v>1.4174216027874564</v>
      </c>
      <c r="Q161" s="106">
        <v>1.3306542056074766</v>
      </c>
      <c r="R161" s="15"/>
      <c r="S161" s="15"/>
      <c r="T161" s="15"/>
      <c r="U161" s="15"/>
      <c r="V161" s="15"/>
      <c r="W161" s="15"/>
      <c r="X161" s="15"/>
      <c r="Y161" s="15"/>
      <c r="Z161" s="15"/>
    </row>
    <row r="162" spans="6:26" s="21" customFormat="1" ht="14.25" x14ac:dyDescent="0.45">
      <c r="F162" s="49">
        <v>42125</v>
      </c>
      <c r="G162" s="52">
        <v>141.08000000000001</v>
      </c>
      <c r="H162" s="52">
        <v>141.08000000000001</v>
      </c>
      <c r="I162"/>
      <c r="J162"/>
      <c r="K162"/>
      <c r="L162"/>
      <c r="M162" s="106">
        <v>1.4044798407167747</v>
      </c>
      <c r="N162" s="106">
        <v>1.3185046728971963</v>
      </c>
      <c r="O162" s="106"/>
      <c r="P162" s="106">
        <v>1.4044798407167747</v>
      </c>
      <c r="Q162" s="106">
        <v>1.3185046728971963</v>
      </c>
      <c r="R162" s="15"/>
      <c r="S162" s="15"/>
      <c r="T162" s="15"/>
      <c r="U162" s="15"/>
      <c r="V162" s="15"/>
      <c r="W162" s="15"/>
      <c r="X162" s="15"/>
      <c r="Y162" s="15"/>
      <c r="Z162" s="15"/>
    </row>
    <row r="163" spans="6:26" s="21" customFormat="1" ht="14.25" x14ac:dyDescent="0.45">
      <c r="F163" s="49">
        <v>42156</v>
      </c>
      <c r="G163" s="52">
        <v>139.58000000000001</v>
      </c>
      <c r="H163" s="52">
        <v>139.58000000000001</v>
      </c>
      <c r="I163"/>
      <c r="J163"/>
      <c r="K163"/>
      <c r="L163"/>
      <c r="M163" s="106">
        <v>1.3895470383275261</v>
      </c>
      <c r="N163" s="106">
        <v>1.3044859813084113</v>
      </c>
      <c r="O163" s="106"/>
      <c r="P163" s="106">
        <v>1.3895470383275261</v>
      </c>
      <c r="Q163" s="106">
        <v>1.3044859813084113</v>
      </c>
      <c r="R163" s="15"/>
      <c r="S163" s="15"/>
      <c r="T163" s="15"/>
      <c r="U163" s="15"/>
      <c r="V163" s="15"/>
      <c r="W163" s="15"/>
      <c r="X163" s="15"/>
      <c r="Y163" s="15"/>
      <c r="Z163" s="15"/>
    </row>
    <row r="164" spans="6:26" s="21" customFormat="1" ht="14.25" x14ac:dyDescent="0.45">
      <c r="F164" s="49">
        <v>42186</v>
      </c>
      <c r="G164" s="52">
        <v>138.66999999999999</v>
      </c>
      <c r="H164" s="52">
        <v>138.66999999999999</v>
      </c>
      <c r="I164"/>
      <c r="J164"/>
      <c r="K164"/>
      <c r="L164"/>
      <c r="M164" s="106">
        <v>1.3804878048780487</v>
      </c>
      <c r="N164" s="106">
        <v>1.2959813084112148</v>
      </c>
      <c r="O164" s="106"/>
      <c r="P164" s="106">
        <v>1.3804878048780487</v>
      </c>
      <c r="Q164" s="106">
        <v>1.2959813084112148</v>
      </c>
      <c r="R164" s="15"/>
      <c r="S164" s="15"/>
      <c r="T164" s="15"/>
      <c r="U164" s="15"/>
      <c r="V164" s="15"/>
      <c r="W164" s="15"/>
      <c r="X164" s="15"/>
      <c r="Y164" s="15"/>
      <c r="Z164" s="15"/>
    </row>
    <row r="165" spans="6:26" s="21" customFormat="1" ht="14.25" x14ac:dyDescent="0.45">
      <c r="F165" s="49">
        <v>42217</v>
      </c>
      <c r="G165" s="52">
        <v>138.93</v>
      </c>
      <c r="H165" s="52">
        <v>138.93</v>
      </c>
      <c r="I165"/>
      <c r="J165"/>
      <c r="K165"/>
      <c r="L165"/>
      <c r="M165" s="106">
        <v>1.3830761572921852</v>
      </c>
      <c r="N165" s="106">
        <v>1.2984112149532712</v>
      </c>
      <c r="O165" s="106"/>
      <c r="P165" s="106">
        <v>1.3830761572921852</v>
      </c>
      <c r="Q165" s="106">
        <v>1.2984112149532712</v>
      </c>
      <c r="R165" s="15"/>
      <c r="S165" s="15"/>
      <c r="T165" s="15"/>
      <c r="U165" s="15"/>
      <c r="V165" s="15"/>
      <c r="W165" s="15"/>
      <c r="X165" s="15"/>
      <c r="Y165" s="15"/>
      <c r="Z165" s="15"/>
    </row>
    <row r="166" spans="6:26" s="21" customFormat="1" ht="14.25" x14ac:dyDescent="0.45">
      <c r="F166" s="49">
        <v>42248</v>
      </c>
      <c r="G166" s="52">
        <v>137.57</v>
      </c>
      <c r="H166" s="52">
        <v>137.57</v>
      </c>
      <c r="I166"/>
      <c r="J166"/>
      <c r="K166"/>
      <c r="L166"/>
      <c r="M166" s="106">
        <v>1.3695370831259333</v>
      </c>
      <c r="N166" s="106">
        <v>1.2857009345794392</v>
      </c>
      <c r="O166" s="106"/>
      <c r="P166" s="106">
        <v>1.3695370831259333</v>
      </c>
      <c r="Q166" s="106">
        <v>1.2857009345794392</v>
      </c>
      <c r="R166" s="15"/>
      <c r="S166" s="15"/>
      <c r="T166" s="15"/>
      <c r="U166" s="15"/>
      <c r="V166" s="15"/>
      <c r="W166" s="15"/>
      <c r="X166" s="15"/>
      <c r="Y166" s="15"/>
      <c r="Z166" s="15"/>
    </row>
    <row r="167" spans="6:26" s="21" customFormat="1" ht="14.25" x14ac:dyDescent="0.45">
      <c r="F167" s="49">
        <v>42278</v>
      </c>
      <c r="G167" s="52">
        <v>138.51</v>
      </c>
      <c r="H167" s="52">
        <v>138.51</v>
      </c>
      <c r="I167"/>
      <c r="J167"/>
      <c r="K167"/>
      <c r="L167"/>
      <c r="M167" s="106">
        <v>1.3788949726231954</v>
      </c>
      <c r="N167" s="106">
        <v>1.2944859813084111</v>
      </c>
      <c r="O167" s="106"/>
      <c r="P167" s="106">
        <v>1.3788949726231954</v>
      </c>
      <c r="Q167" s="106">
        <v>1.2944859813084111</v>
      </c>
      <c r="R167" s="15"/>
      <c r="S167" s="15"/>
      <c r="T167" s="15"/>
      <c r="U167" s="15"/>
      <c r="V167" s="15"/>
      <c r="W167" s="15"/>
      <c r="X167" s="15"/>
      <c r="Y167" s="15"/>
      <c r="Z167" s="15"/>
    </row>
    <row r="168" spans="6:26" s="21" customFormat="1" ht="14.25" x14ac:dyDescent="0.45">
      <c r="F168" s="49">
        <v>42309</v>
      </c>
      <c r="G168" s="52">
        <v>136.68</v>
      </c>
      <c r="H168" s="52">
        <v>136.68</v>
      </c>
      <c r="I168"/>
      <c r="J168"/>
      <c r="K168"/>
      <c r="L168"/>
      <c r="M168" s="106">
        <v>1.3606769537083125</v>
      </c>
      <c r="N168" s="106">
        <v>1.2773831775700935</v>
      </c>
      <c r="O168" s="106"/>
      <c r="P168" s="106">
        <v>1.3606769537083125</v>
      </c>
      <c r="Q168" s="106">
        <v>1.2773831775700935</v>
      </c>
      <c r="R168" s="15"/>
      <c r="S168" s="15"/>
      <c r="T168" s="15"/>
      <c r="U168" s="15"/>
      <c r="V168" s="15"/>
      <c r="W168" s="15"/>
      <c r="X168" s="15"/>
      <c r="Y168" s="15"/>
      <c r="Z168" s="15"/>
    </row>
    <row r="169" spans="6:26" s="21" customFormat="1" ht="14.25" x14ac:dyDescent="0.45">
      <c r="F169" s="49">
        <v>42339</v>
      </c>
      <c r="G169" s="52">
        <v>136.31</v>
      </c>
      <c r="H169" s="52">
        <v>136.31</v>
      </c>
      <c r="I169"/>
      <c r="J169"/>
      <c r="K169"/>
      <c r="L169"/>
      <c r="M169" s="106">
        <v>1.3569935291189645</v>
      </c>
      <c r="N169" s="106">
        <v>1.2739252336448599</v>
      </c>
      <c r="O169" s="106"/>
      <c r="P169" s="106">
        <v>1.3569935291189645</v>
      </c>
      <c r="Q169" s="106">
        <v>1.2739252336448599</v>
      </c>
      <c r="R169" s="15"/>
      <c r="S169" s="15"/>
      <c r="T169" s="15"/>
      <c r="U169" s="15"/>
      <c r="V169" s="15"/>
      <c r="W169" s="15"/>
      <c r="X169" s="15"/>
      <c r="Y169" s="15"/>
      <c r="Z169" s="15"/>
    </row>
    <row r="170" spans="6:26" s="21" customFormat="1" ht="14.25" x14ac:dyDescent="0.45">
      <c r="F170" s="49">
        <v>42370</v>
      </c>
      <c r="G170" s="52">
        <v>135.52000000000001</v>
      </c>
      <c r="H170" s="52">
        <v>135.52000000000001</v>
      </c>
      <c r="I170"/>
      <c r="J170"/>
      <c r="K170"/>
      <c r="L170"/>
      <c r="M170" s="106">
        <v>1.3491289198606273</v>
      </c>
      <c r="N170" s="106">
        <v>1.2665420560747664</v>
      </c>
      <c r="O170" s="106"/>
      <c r="P170" s="106">
        <v>1.3491289198606273</v>
      </c>
      <c r="Q170" s="106">
        <v>1.2665420560747664</v>
      </c>
      <c r="R170" s="15"/>
      <c r="S170" s="15"/>
      <c r="T170" s="15"/>
      <c r="U170" s="15"/>
      <c r="V170" s="15"/>
      <c r="W170" s="15"/>
      <c r="X170" s="15"/>
      <c r="Y170" s="15"/>
      <c r="Z170" s="15"/>
    </row>
    <row r="171" spans="6:26" s="21" customFormat="1" ht="14.25" x14ac:dyDescent="0.45">
      <c r="F171" s="49">
        <v>42401</v>
      </c>
      <c r="G171" s="52">
        <v>135.51</v>
      </c>
      <c r="H171" s="52">
        <v>135.51</v>
      </c>
      <c r="I171"/>
      <c r="J171"/>
      <c r="K171"/>
      <c r="L171"/>
      <c r="M171" s="106">
        <v>1.3490293678446987</v>
      </c>
      <c r="N171" s="106">
        <v>1.2664485981308411</v>
      </c>
      <c r="O171" s="106"/>
      <c r="P171" s="106">
        <v>1.3490293678446987</v>
      </c>
      <c r="Q171" s="106">
        <v>1.2664485981308411</v>
      </c>
      <c r="R171" s="15"/>
      <c r="S171" s="15"/>
      <c r="T171" s="15"/>
      <c r="U171" s="15"/>
      <c r="V171" s="15"/>
      <c r="W171" s="15"/>
      <c r="X171" s="15"/>
      <c r="Y171" s="15"/>
      <c r="Z171" s="15"/>
    </row>
    <row r="172" spans="6:26" s="21" customFormat="1" ht="14.25" x14ac:dyDescent="0.45">
      <c r="F172" s="49">
        <v>42430</v>
      </c>
      <c r="G172" s="52">
        <v>134.61000000000001</v>
      </c>
      <c r="H172" s="52">
        <v>134.61000000000001</v>
      </c>
      <c r="I172"/>
      <c r="J172"/>
      <c r="K172"/>
      <c r="L172"/>
      <c r="M172" s="106">
        <v>1.3400696864111499</v>
      </c>
      <c r="N172" s="106">
        <v>1.2580373831775702</v>
      </c>
      <c r="O172" s="106"/>
      <c r="P172" s="106">
        <v>1.3400696864111499</v>
      </c>
      <c r="Q172" s="106">
        <v>1.2580373831775702</v>
      </c>
      <c r="R172" s="15"/>
      <c r="S172" s="15"/>
      <c r="T172" s="15"/>
      <c r="U172" s="15"/>
      <c r="V172" s="15"/>
      <c r="W172" s="15"/>
      <c r="X172" s="15"/>
      <c r="Y172" s="15"/>
      <c r="Z172" s="15"/>
    </row>
    <row r="173" spans="6:26" s="21" customFormat="1" ht="14.25" x14ac:dyDescent="0.45">
      <c r="F173" s="49">
        <v>42461</v>
      </c>
      <c r="G173" s="52">
        <v>134.72999999999999</v>
      </c>
      <c r="H173" s="52">
        <v>134.72999999999999</v>
      </c>
      <c r="I173"/>
      <c r="J173"/>
      <c r="K173"/>
      <c r="L173"/>
      <c r="M173" s="106">
        <v>1.3412643106022895</v>
      </c>
      <c r="N173" s="106">
        <v>1.2591588785046728</v>
      </c>
      <c r="O173" s="106"/>
      <c r="P173" s="106">
        <v>1.3412643106022895</v>
      </c>
      <c r="Q173" s="106">
        <v>1.2591588785046728</v>
      </c>
      <c r="R173" s="15"/>
      <c r="S173" s="15"/>
      <c r="T173" s="15"/>
      <c r="U173" s="15"/>
      <c r="V173" s="15"/>
      <c r="W173" s="15"/>
      <c r="X173" s="15"/>
      <c r="Y173" s="15"/>
      <c r="Z173" s="15"/>
    </row>
    <row r="174" spans="6:26" s="21" customFormat="1" ht="14.25" x14ac:dyDescent="0.45">
      <c r="F174" s="49">
        <v>42491</v>
      </c>
      <c r="G174" s="52">
        <v>134.29</v>
      </c>
      <c r="H174" s="52">
        <v>134.29</v>
      </c>
      <c r="I174"/>
      <c r="J174"/>
      <c r="K174"/>
      <c r="L174"/>
      <c r="M174" s="106">
        <v>1.3368840219014433</v>
      </c>
      <c r="N174" s="106">
        <v>1.2550467289719625</v>
      </c>
      <c r="O174" s="106"/>
      <c r="P174" s="106">
        <v>1.3368840219014433</v>
      </c>
      <c r="Q174" s="106">
        <v>1.2550467289719625</v>
      </c>
      <c r="R174" s="15"/>
      <c r="S174" s="15"/>
      <c r="T174" s="15"/>
      <c r="U174" s="15"/>
      <c r="V174" s="15"/>
      <c r="W174" s="15"/>
      <c r="X174" s="15"/>
      <c r="Y174" s="15"/>
      <c r="Z174" s="15"/>
    </row>
    <row r="175" spans="6:26" s="21" customFormat="1" ht="14.25" x14ac:dyDescent="0.45">
      <c r="F175" s="49">
        <v>42522</v>
      </c>
      <c r="G175" s="52">
        <v>134.84</v>
      </c>
      <c r="H175" s="52">
        <v>134.84</v>
      </c>
      <c r="I175"/>
      <c r="J175"/>
      <c r="K175"/>
      <c r="L175"/>
      <c r="M175" s="106">
        <v>1.3423593827775013</v>
      </c>
      <c r="N175" s="106">
        <v>1.2601869158878505</v>
      </c>
      <c r="O175" s="106"/>
      <c r="P175" s="106">
        <v>1.3423593827775013</v>
      </c>
      <c r="Q175" s="106">
        <v>1.2601869158878505</v>
      </c>
      <c r="R175" s="15"/>
      <c r="S175" s="15"/>
      <c r="T175" s="15"/>
      <c r="U175" s="15"/>
      <c r="V175" s="15"/>
      <c r="W175" s="15"/>
      <c r="X175" s="15"/>
      <c r="Y175" s="15"/>
      <c r="Z175" s="15"/>
    </row>
    <row r="176" spans="6:26" s="21" customFormat="1" ht="14.25" x14ac:dyDescent="0.45">
      <c r="F176" s="49">
        <v>42552</v>
      </c>
      <c r="G176" s="52">
        <v>134.61000000000001</v>
      </c>
      <c r="H176" s="52">
        <v>134.61000000000001</v>
      </c>
      <c r="I176"/>
      <c r="J176"/>
      <c r="K176"/>
      <c r="L176"/>
      <c r="M176" s="106">
        <v>1.3400696864111499</v>
      </c>
      <c r="N176" s="106">
        <v>1.2580373831775702</v>
      </c>
      <c r="O176" s="106"/>
      <c r="P176" s="106">
        <v>1.3400696864111499</v>
      </c>
      <c r="Q176" s="106">
        <v>1.2580373831775702</v>
      </c>
      <c r="R176" s="15"/>
      <c r="S176" s="15"/>
      <c r="T176" s="15"/>
      <c r="U176" s="15"/>
      <c r="V176" s="15"/>
      <c r="W176" s="15"/>
      <c r="X176" s="15"/>
      <c r="Y176" s="15"/>
      <c r="Z176" s="15"/>
    </row>
    <row r="177" spans="6:26" s="21" customFormat="1" ht="14.25" x14ac:dyDescent="0.45">
      <c r="F177" s="49">
        <v>42583</v>
      </c>
      <c r="G177" s="52">
        <v>134</v>
      </c>
      <c r="H177" s="52">
        <v>134</v>
      </c>
      <c r="I177"/>
      <c r="J177"/>
      <c r="K177"/>
      <c r="L177"/>
      <c r="M177" s="106">
        <v>1.333997013439522</v>
      </c>
      <c r="N177" s="106">
        <v>1.2523364485981308</v>
      </c>
      <c r="O177" s="106"/>
      <c r="P177" s="106">
        <v>1.333997013439522</v>
      </c>
      <c r="Q177" s="106">
        <v>1.2523364485981308</v>
      </c>
      <c r="R177" s="15"/>
      <c r="S177" s="15"/>
      <c r="T177" s="15"/>
      <c r="U177" s="15"/>
      <c r="V177" s="15"/>
      <c r="W177" s="15"/>
      <c r="X177" s="15"/>
      <c r="Y177" s="15"/>
      <c r="Z177" s="15"/>
    </row>
    <row r="178" spans="6:26" s="21" customFormat="1" ht="14.25" x14ac:dyDescent="0.45">
      <c r="F178" s="49">
        <v>42614</v>
      </c>
      <c r="G178" s="52">
        <v>133.75</v>
      </c>
      <c r="H178" s="52">
        <v>133.75</v>
      </c>
      <c r="I178"/>
      <c r="J178"/>
      <c r="K178"/>
      <c r="L178"/>
      <c r="M178" s="106">
        <v>1.3315082130413141</v>
      </c>
      <c r="N178" s="106">
        <v>1.25</v>
      </c>
      <c r="O178" s="106"/>
      <c r="P178" s="106">
        <v>1.3315082130413141</v>
      </c>
      <c r="Q178" s="106">
        <v>1.25</v>
      </c>
      <c r="R178" s="15"/>
      <c r="S178" s="15"/>
      <c r="T178" s="15"/>
      <c r="U178" s="15"/>
      <c r="V178" s="15"/>
      <c r="W178" s="15"/>
      <c r="X178" s="15"/>
      <c r="Y178" s="15"/>
      <c r="Z178" s="15"/>
    </row>
    <row r="179" spans="6:26" s="21" customFormat="1" ht="14.25" x14ac:dyDescent="0.45">
      <c r="F179" s="49">
        <v>42644</v>
      </c>
      <c r="G179" s="52">
        <v>133.30000000000001</v>
      </c>
      <c r="H179" s="52">
        <v>133.30000000000001</v>
      </c>
      <c r="I179"/>
      <c r="J179"/>
      <c r="K179"/>
      <c r="L179"/>
      <c r="M179" s="106">
        <v>1.3270283723245397</v>
      </c>
      <c r="N179" s="106">
        <v>1.2457943925233645</v>
      </c>
      <c r="O179" s="106"/>
      <c r="P179" s="106">
        <v>1.3270283723245397</v>
      </c>
      <c r="Q179" s="106">
        <v>1.2457943925233645</v>
      </c>
      <c r="R179" s="15"/>
      <c r="S179" s="15"/>
      <c r="T179" s="15"/>
      <c r="U179" s="15"/>
      <c r="V179" s="15"/>
      <c r="W179" s="15"/>
      <c r="X179" s="15"/>
      <c r="Y179" s="15"/>
      <c r="Z179" s="15"/>
    </row>
    <row r="180" spans="6:26" s="21" customFormat="1" ht="14.25" x14ac:dyDescent="0.45">
      <c r="F180" s="49">
        <v>42675</v>
      </c>
      <c r="G180" s="52">
        <v>133.02000000000001</v>
      </c>
      <c r="H180" s="52">
        <v>133.02000000000001</v>
      </c>
      <c r="I180"/>
      <c r="J180"/>
      <c r="K180"/>
      <c r="L180"/>
      <c r="M180" s="106">
        <v>1.3242409158785466</v>
      </c>
      <c r="N180" s="106">
        <v>1.243177570093458</v>
      </c>
      <c r="O180" s="106"/>
      <c r="P180" s="106">
        <v>1.3242409158785466</v>
      </c>
      <c r="Q180" s="106">
        <v>1.243177570093458</v>
      </c>
      <c r="R180" s="15"/>
      <c r="S180" s="15"/>
      <c r="T180" s="15"/>
      <c r="U180" s="15"/>
      <c r="V180" s="15"/>
      <c r="W180" s="15"/>
      <c r="X180" s="15"/>
      <c r="Y180" s="15"/>
      <c r="Z180" s="15"/>
    </row>
    <row r="181" spans="6:26" s="21" customFormat="1" ht="14.25" x14ac:dyDescent="0.45">
      <c r="F181" s="49">
        <v>42705</v>
      </c>
      <c r="G181" s="52">
        <v>132.36000000000001</v>
      </c>
      <c r="H181" s="52">
        <v>132.36000000000001</v>
      </c>
      <c r="I181"/>
      <c r="J181"/>
      <c r="K181"/>
      <c r="L181"/>
      <c r="M181" s="106">
        <v>1.3176704828272774</v>
      </c>
      <c r="N181" s="106">
        <v>1.2370093457943927</v>
      </c>
      <c r="O181" s="106"/>
      <c r="P181" s="106">
        <v>1.3176704828272774</v>
      </c>
      <c r="Q181" s="106">
        <v>1.2370093457943927</v>
      </c>
      <c r="R181" s="15"/>
      <c r="S181" s="15"/>
      <c r="T181" s="15"/>
      <c r="U181" s="15"/>
      <c r="V181" s="15"/>
      <c r="W181" s="15"/>
      <c r="X181" s="15"/>
      <c r="Y181" s="15"/>
      <c r="Z181" s="15"/>
    </row>
    <row r="182" spans="6:26" s="21" customFormat="1" ht="14.25" x14ac:dyDescent="0.45">
      <c r="F182" s="49">
        <v>42736</v>
      </c>
      <c r="G182" s="52">
        <v>133.37</v>
      </c>
      <c r="H182" s="52">
        <v>133.37</v>
      </c>
      <c r="I182"/>
      <c r="J182"/>
      <c r="K182"/>
      <c r="L182"/>
      <c r="M182" s="106">
        <v>1.3277252364360379</v>
      </c>
      <c r="N182" s="106">
        <v>1.2464485981308411</v>
      </c>
      <c r="O182" s="106"/>
      <c r="P182" s="106">
        <v>1.3277252364360379</v>
      </c>
      <c r="Q182" s="106">
        <v>1.2464485981308411</v>
      </c>
      <c r="R182" s="15"/>
      <c r="S182" s="15"/>
      <c r="T182" s="15"/>
      <c r="U182" s="15"/>
      <c r="V182" s="15"/>
      <c r="W182" s="15"/>
      <c r="X182" s="15"/>
      <c r="Y182" s="15"/>
      <c r="Z182" s="15"/>
    </row>
    <row r="183" spans="6:26" s="21" customFormat="1" ht="14.25" x14ac:dyDescent="0.45">
      <c r="F183" s="49">
        <v>42767</v>
      </c>
      <c r="G183" s="52">
        <v>135.4</v>
      </c>
      <c r="H183" s="52">
        <v>135.4</v>
      </c>
      <c r="I183"/>
      <c r="J183"/>
      <c r="K183"/>
      <c r="L183"/>
      <c r="M183" s="106">
        <v>1.3479342956694873</v>
      </c>
      <c r="N183" s="106">
        <v>1.2654205607476636</v>
      </c>
      <c r="O183" s="106"/>
      <c r="P183" s="106">
        <v>1.3479342956694873</v>
      </c>
      <c r="Q183" s="106">
        <v>1.2654205607476636</v>
      </c>
      <c r="R183" s="15"/>
      <c r="S183" s="15"/>
      <c r="T183" s="15"/>
      <c r="U183" s="15"/>
      <c r="V183" s="15"/>
      <c r="W183" s="15"/>
      <c r="X183" s="15"/>
      <c r="Y183" s="15"/>
      <c r="Z183" s="15"/>
    </row>
    <row r="184" spans="6:26" s="21" customFormat="1" ht="14.25" x14ac:dyDescent="0.45">
      <c r="F184" s="49">
        <v>42795</v>
      </c>
      <c r="G184" s="52">
        <v>135.65</v>
      </c>
      <c r="H184" s="52">
        <v>135.65</v>
      </c>
      <c r="I184"/>
      <c r="J184"/>
      <c r="K184"/>
      <c r="L184"/>
      <c r="M184" s="106">
        <v>1.3504230960676953</v>
      </c>
      <c r="N184" s="106">
        <v>1.2677570093457944</v>
      </c>
      <c r="O184" s="106"/>
      <c r="P184" s="106">
        <v>1.3504230960676953</v>
      </c>
      <c r="Q184" s="106">
        <v>1.2677570093457944</v>
      </c>
      <c r="R184" s="15"/>
      <c r="S184" s="15"/>
      <c r="T184" s="15"/>
      <c r="U184" s="15"/>
      <c r="V184" s="15"/>
      <c r="W184" s="15"/>
      <c r="X184" s="15"/>
      <c r="Y184" s="15"/>
      <c r="Z184" s="15"/>
    </row>
    <row r="185" spans="6:26" s="21" customFormat="1" ht="14.25" x14ac:dyDescent="0.45">
      <c r="F185" s="49">
        <v>42826</v>
      </c>
      <c r="G185" s="52">
        <v>135.77000000000001</v>
      </c>
      <c r="H185" s="52">
        <v>135.77000000000001</v>
      </c>
      <c r="I185"/>
      <c r="J185"/>
      <c r="K185"/>
      <c r="L185"/>
      <c r="M185" s="106">
        <v>1.3516177202588353</v>
      </c>
      <c r="N185" s="106">
        <v>1.2688785046728972</v>
      </c>
      <c r="O185" s="106"/>
      <c r="P185" s="106">
        <v>1.3516177202588353</v>
      </c>
      <c r="Q185" s="106">
        <v>1.2688785046728972</v>
      </c>
      <c r="R185" s="15"/>
      <c r="S185" s="15"/>
      <c r="T185" s="15"/>
      <c r="U185" s="15"/>
      <c r="V185" s="15"/>
      <c r="W185" s="15"/>
      <c r="X185" s="15"/>
      <c r="Y185" s="15"/>
      <c r="Z185" s="15"/>
    </row>
    <row r="186" spans="6:26" s="21" customFormat="1" ht="14.25" x14ac:dyDescent="0.45">
      <c r="F186" s="49">
        <v>42856</v>
      </c>
      <c r="G186" s="52">
        <v>135.16999999999999</v>
      </c>
      <c r="H186" s="52">
        <v>135.16999999999999</v>
      </c>
      <c r="I186"/>
      <c r="J186"/>
      <c r="K186"/>
      <c r="L186"/>
      <c r="M186" s="106">
        <v>1.3456445993031356</v>
      </c>
      <c r="N186" s="106">
        <v>1.2632710280373831</v>
      </c>
      <c r="O186" s="106"/>
      <c r="P186" s="106">
        <v>1.3456445993031356</v>
      </c>
      <c r="Q186" s="106">
        <v>1.2632710280373831</v>
      </c>
      <c r="R186" s="15"/>
      <c r="S186" s="15"/>
      <c r="T186" s="15"/>
      <c r="U186" s="15"/>
      <c r="V186" s="15"/>
      <c r="W186" s="15"/>
      <c r="X186" s="15"/>
      <c r="Y186" s="15"/>
      <c r="Z186" s="15"/>
    </row>
    <row r="187" spans="6:26" s="21" customFormat="1" ht="14.25" x14ac:dyDescent="0.45">
      <c r="F187" s="49">
        <v>42887</v>
      </c>
      <c r="G187" s="52">
        <v>136.04</v>
      </c>
      <c r="H187" s="52">
        <v>136.04</v>
      </c>
      <c r="I187"/>
      <c r="J187"/>
      <c r="K187"/>
      <c r="L187"/>
      <c r="M187" s="106">
        <v>1.3543056246888998</v>
      </c>
      <c r="N187" s="106">
        <v>1.2714018691588784</v>
      </c>
      <c r="O187" s="106"/>
      <c r="P187" s="106">
        <v>1.3543056246888998</v>
      </c>
      <c r="Q187" s="106">
        <v>1.2714018691588784</v>
      </c>
      <c r="R187" s="15"/>
      <c r="S187" s="15"/>
      <c r="T187" s="15"/>
      <c r="U187" s="15"/>
      <c r="V187" s="15"/>
      <c r="W187" s="15"/>
      <c r="X187" s="15"/>
      <c r="Y187" s="15"/>
      <c r="Z187" s="15"/>
    </row>
    <row r="188" spans="6:26" s="21" customFormat="1" ht="14.25" x14ac:dyDescent="0.45">
      <c r="F188" s="49">
        <v>42917</v>
      </c>
      <c r="G188" s="52">
        <v>136.49</v>
      </c>
      <c r="H188" s="52">
        <v>136.49</v>
      </c>
      <c r="I188"/>
      <c r="J188"/>
      <c r="K188"/>
      <c r="L188"/>
      <c r="M188" s="106">
        <v>1.3587854654056746</v>
      </c>
      <c r="N188" s="106">
        <v>1.2756074766355141</v>
      </c>
      <c r="O188" s="106"/>
      <c r="P188" s="106">
        <v>1.3587854654056746</v>
      </c>
      <c r="Q188" s="106">
        <v>1.2756074766355141</v>
      </c>
      <c r="R188" s="15"/>
      <c r="S188" s="15"/>
      <c r="T188" s="15"/>
      <c r="U188" s="15"/>
      <c r="V188" s="15"/>
      <c r="W188" s="15"/>
      <c r="X188" s="15"/>
      <c r="Y188" s="15"/>
      <c r="Z188" s="15"/>
    </row>
    <row r="189" spans="6:26" s="21" customFormat="1" ht="14.25" x14ac:dyDescent="0.45">
      <c r="F189" s="49">
        <v>42948</v>
      </c>
      <c r="G189" s="52">
        <v>135.81</v>
      </c>
      <c r="H189" s="52">
        <v>135.81</v>
      </c>
      <c r="I189"/>
      <c r="J189"/>
      <c r="K189"/>
      <c r="L189"/>
      <c r="M189" s="106">
        <v>1.3520159283225486</v>
      </c>
      <c r="N189" s="106">
        <v>1.2692523364485981</v>
      </c>
      <c r="O189" s="106"/>
      <c r="P189" s="106">
        <v>1.3520159283225486</v>
      </c>
      <c r="Q189" s="106">
        <v>1.2692523364485981</v>
      </c>
      <c r="R189" s="15"/>
      <c r="S189" s="15"/>
      <c r="T189" s="15"/>
      <c r="U189" s="15"/>
      <c r="V189" s="15"/>
      <c r="W189" s="15"/>
      <c r="X189" s="15"/>
      <c r="Y189" s="15"/>
      <c r="Z189" s="15"/>
    </row>
    <row r="190" spans="6:26" s="21" customFormat="1" ht="14.25" x14ac:dyDescent="0.45">
      <c r="F190" s="49">
        <v>42979</v>
      </c>
      <c r="G190" s="52">
        <v>135.49</v>
      </c>
      <c r="H190" s="52">
        <v>135.49</v>
      </c>
      <c r="I190"/>
      <c r="J190"/>
      <c r="K190"/>
      <c r="L190"/>
      <c r="M190" s="106">
        <v>1.3488302638128422</v>
      </c>
      <c r="N190" s="106">
        <v>1.2662616822429908</v>
      </c>
      <c r="O190" s="106"/>
      <c r="P190" s="106">
        <v>1.3488302638128422</v>
      </c>
      <c r="Q190" s="106">
        <v>1.2662616822429908</v>
      </c>
      <c r="R190" s="15"/>
      <c r="S190" s="15"/>
      <c r="T190" s="15"/>
      <c r="U190" s="15"/>
      <c r="V190" s="15"/>
      <c r="W190" s="15"/>
      <c r="X190" s="15"/>
      <c r="Y190" s="15"/>
      <c r="Z190" s="15"/>
    </row>
    <row r="191" spans="6:26" s="21" customFormat="1" ht="14.25" x14ac:dyDescent="0.45">
      <c r="F191" s="49">
        <v>43009</v>
      </c>
      <c r="G191" s="52">
        <v>135.77000000000001</v>
      </c>
      <c r="H191" s="52">
        <v>135.77000000000001</v>
      </c>
      <c r="I191"/>
      <c r="J191"/>
      <c r="K191"/>
      <c r="L191"/>
      <c r="M191" s="106">
        <v>1.3516177202588353</v>
      </c>
      <c r="N191" s="106">
        <v>1.2688785046728972</v>
      </c>
      <c r="O191" s="106"/>
      <c r="P191" s="106">
        <v>1.3516177202588353</v>
      </c>
      <c r="Q191" s="106">
        <v>1.2688785046728972</v>
      </c>
      <c r="R191" s="15"/>
      <c r="S191" s="15"/>
      <c r="T191" s="15"/>
      <c r="U191" s="15"/>
      <c r="V191" s="15"/>
      <c r="W191" s="15"/>
      <c r="X191" s="15"/>
      <c r="Y191" s="15"/>
      <c r="Z191" s="15"/>
    </row>
    <row r="192" spans="6:26" s="21" customFormat="1" ht="14.25" x14ac:dyDescent="0.45">
      <c r="F192" s="49">
        <v>43040</v>
      </c>
      <c r="G192" s="52">
        <v>135.57</v>
      </c>
      <c r="H192" s="52">
        <v>135.57</v>
      </c>
      <c r="I192"/>
      <c r="J192"/>
      <c r="K192"/>
      <c r="L192"/>
      <c r="M192" s="106">
        <v>1.3496266799402687</v>
      </c>
      <c r="N192" s="106">
        <v>1.2670093457943925</v>
      </c>
      <c r="O192" s="106"/>
      <c r="P192" s="106">
        <v>1.3496266799402687</v>
      </c>
      <c r="Q192" s="106">
        <v>1.2670093457943925</v>
      </c>
      <c r="R192" s="15"/>
      <c r="S192" s="15"/>
      <c r="T192" s="15"/>
      <c r="U192" s="15"/>
      <c r="V192" s="15"/>
      <c r="W192" s="15"/>
      <c r="X192" s="15"/>
      <c r="Y192" s="15"/>
      <c r="Z192" s="15"/>
    </row>
    <row r="193" spans="6:26" s="21" customFormat="1" ht="14.25" x14ac:dyDescent="0.45">
      <c r="F193" s="49">
        <v>43070</v>
      </c>
      <c r="G193" s="52">
        <v>137.43</v>
      </c>
      <c r="H193" s="52">
        <v>137.43</v>
      </c>
      <c r="I193"/>
      <c r="J193"/>
      <c r="K193"/>
      <c r="L193"/>
      <c r="M193" s="106">
        <v>1.3681433549029367</v>
      </c>
      <c r="N193" s="106">
        <v>1.2843925233644859</v>
      </c>
      <c r="O193" s="106"/>
      <c r="P193" s="106">
        <v>1.3681433549029367</v>
      </c>
      <c r="Q193" s="106">
        <v>1.2843925233644859</v>
      </c>
      <c r="R193" s="15"/>
      <c r="S193" s="15"/>
      <c r="T193" s="15"/>
      <c r="U193" s="15"/>
      <c r="V193" s="15"/>
      <c r="W193" s="15"/>
      <c r="X193" s="15"/>
      <c r="Y193" s="15"/>
      <c r="Z193" s="15"/>
    </row>
    <row r="194" spans="6:26" s="21" customFormat="1" ht="14.25" x14ac:dyDescent="0.45">
      <c r="F194" s="49">
        <v>43101</v>
      </c>
      <c r="G194" s="52">
        <v>136.85</v>
      </c>
      <c r="H194" s="52">
        <v>136.85</v>
      </c>
      <c r="I194"/>
      <c r="J194"/>
      <c r="K194"/>
      <c r="L194"/>
      <c r="M194" s="106">
        <v>1.362369337979094</v>
      </c>
      <c r="N194" s="106">
        <v>1.2789719626168223</v>
      </c>
      <c r="O194" s="106"/>
      <c r="P194" s="106">
        <v>1.362369337979094</v>
      </c>
      <c r="Q194" s="106">
        <v>1.2789719626168223</v>
      </c>
      <c r="R194" s="15"/>
      <c r="S194" s="15"/>
      <c r="T194" s="15"/>
      <c r="U194" s="15"/>
      <c r="V194" s="15"/>
      <c r="W194" s="15"/>
      <c r="X194" s="15"/>
      <c r="Y194" s="15"/>
      <c r="Z194" s="15"/>
    </row>
    <row r="195" spans="6:26" s="21" customFormat="1" ht="14.25" x14ac:dyDescent="0.45">
      <c r="F195" s="49">
        <v>43132</v>
      </c>
      <c r="G195" s="52">
        <v>136.63999999999999</v>
      </c>
      <c r="H195" s="52">
        <v>136.63999999999999</v>
      </c>
      <c r="I195"/>
      <c r="J195"/>
      <c r="K195"/>
      <c r="L195"/>
      <c r="M195" s="106">
        <v>1.3602787456445991</v>
      </c>
      <c r="N195" s="106">
        <v>1.2770093457943923</v>
      </c>
      <c r="O195" s="106"/>
      <c r="P195" s="106">
        <v>1.3602787456445991</v>
      </c>
      <c r="Q195" s="106">
        <v>1.2770093457943923</v>
      </c>
      <c r="R195" s="15"/>
      <c r="S195" s="15"/>
      <c r="T195" s="15"/>
      <c r="U195" s="15"/>
      <c r="V195" s="15"/>
      <c r="W195" s="15"/>
      <c r="X195" s="15"/>
      <c r="Y195" s="15"/>
      <c r="Z195" s="15"/>
    </row>
    <row r="196" spans="6:26" s="21" customFormat="1" ht="14.25" x14ac:dyDescent="0.45">
      <c r="F196" s="49">
        <v>43160</v>
      </c>
      <c r="G196" s="52">
        <v>137.26</v>
      </c>
      <c r="H196" s="52">
        <v>137.26</v>
      </c>
      <c r="I196"/>
      <c r="J196"/>
      <c r="K196"/>
      <c r="L196"/>
      <c r="M196" s="106">
        <v>1.3664509706321553</v>
      </c>
      <c r="N196" s="106">
        <v>1.2828037383177568</v>
      </c>
      <c r="O196" s="106"/>
      <c r="P196" s="106">
        <v>1.3664509706321553</v>
      </c>
      <c r="Q196" s="106">
        <v>1.2828037383177568</v>
      </c>
      <c r="R196" s="15"/>
      <c r="S196" s="15"/>
      <c r="T196" s="15"/>
      <c r="U196" s="15"/>
      <c r="V196" s="15"/>
      <c r="W196" s="15"/>
      <c r="X196" s="15"/>
      <c r="Y196" s="15"/>
      <c r="Z196" s="15"/>
    </row>
    <row r="197" spans="6:26" s="21" customFormat="1" ht="14.25" x14ac:dyDescent="0.45">
      <c r="F197" s="49">
        <v>43191</v>
      </c>
      <c r="G197" s="52">
        <v>138.36000000000001</v>
      </c>
      <c r="H197" s="52">
        <v>138.36000000000001</v>
      </c>
      <c r="I197"/>
      <c r="J197"/>
      <c r="K197"/>
      <c r="L197"/>
      <c r="M197" s="106">
        <v>1.3774016923842709</v>
      </c>
      <c r="N197" s="106">
        <v>1.2930841121495329</v>
      </c>
      <c r="O197" s="106"/>
      <c r="P197" s="106">
        <v>1.3774016923842709</v>
      </c>
      <c r="Q197" s="106">
        <v>1.2930841121495329</v>
      </c>
      <c r="R197" s="15"/>
      <c r="S197" s="15"/>
      <c r="T197" s="15"/>
      <c r="U197" s="15"/>
      <c r="V197" s="15"/>
      <c r="W197" s="15"/>
      <c r="X197" s="15"/>
      <c r="Y197" s="15"/>
      <c r="Z197" s="15"/>
    </row>
    <row r="198" spans="6:26" s="21" customFormat="1" ht="14.25" x14ac:dyDescent="0.45">
      <c r="F198" s="49">
        <v>43221</v>
      </c>
      <c r="G198" s="52">
        <v>133.38999999999999</v>
      </c>
      <c r="H198" s="52">
        <v>133.38999999999999</v>
      </c>
      <c r="I198"/>
      <c r="J198"/>
      <c r="K198"/>
      <c r="L198"/>
      <c r="M198" s="106">
        <v>1.3279243404678942</v>
      </c>
      <c r="N198" s="106">
        <v>1.2466355140186915</v>
      </c>
      <c r="O198" s="106"/>
      <c r="P198" s="106">
        <v>1.3279243404678942</v>
      </c>
      <c r="Q198" s="106">
        <v>1.2466355140186915</v>
      </c>
      <c r="R198" s="15"/>
      <c r="S198" s="15"/>
      <c r="T198" s="15"/>
      <c r="U198" s="15"/>
      <c r="V198" s="15"/>
      <c r="W198" s="15"/>
      <c r="X198" s="15"/>
      <c r="Y198" s="15"/>
      <c r="Z198" s="15"/>
    </row>
    <row r="199" spans="6:26" s="21" customFormat="1" ht="14.25" x14ac:dyDescent="0.45">
      <c r="F199" s="49">
        <v>43252</v>
      </c>
      <c r="G199" s="52">
        <v>137.44</v>
      </c>
      <c r="H199" s="52">
        <v>137.44</v>
      </c>
      <c r="I199"/>
      <c r="J199"/>
      <c r="K199"/>
      <c r="L199"/>
      <c r="M199" s="106">
        <v>1.3682429069188651</v>
      </c>
      <c r="N199" s="106">
        <v>1.2844859813084113</v>
      </c>
      <c r="O199" s="106"/>
      <c r="P199" s="106">
        <v>1.3682429069188651</v>
      </c>
      <c r="Q199" s="106">
        <v>1.2844859813084113</v>
      </c>
      <c r="R199" s="15"/>
      <c r="S199" s="15"/>
      <c r="T199" s="15"/>
      <c r="U199" s="15"/>
      <c r="V199" s="15"/>
      <c r="W199" s="15"/>
      <c r="X199" s="15"/>
      <c r="Y199" s="15"/>
      <c r="Z199" s="15"/>
    </row>
    <row r="200" spans="6:26" s="21" customFormat="1" ht="14.25" x14ac:dyDescent="0.45">
      <c r="F200" s="49">
        <v>43282</v>
      </c>
      <c r="G200" s="52">
        <v>138.04</v>
      </c>
      <c r="H200" s="52">
        <v>138.04</v>
      </c>
      <c r="I200"/>
      <c r="J200"/>
      <c r="K200"/>
      <c r="L200"/>
      <c r="M200" s="106">
        <v>1.3742160278745643</v>
      </c>
      <c r="N200" s="106">
        <v>1.2900934579439252</v>
      </c>
      <c r="O200" s="106"/>
      <c r="P200" s="106">
        <v>1.3742160278745643</v>
      </c>
      <c r="Q200" s="106">
        <v>1.2900934579439252</v>
      </c>
      <c r="R200" s="15"/>
      <c r="S200" s="15"/>
      <c r="T200" s="15"/>
      <c r="U200" s="15"/>
      <c r="V200" s="15"/>
      <c r="W200" s="15"/>
      <c r="X200" s="15"/>
      <c r="Y200" s="15"/>
      <c r="Z200" s="15"/>
    </row>
    <row r="201" spans="6:26" s="21" customFormat="1" ht="14.25" x14ac:dyDescent="0.45">
      <c r="F201" s="49">
        <v>43313</v>
      </c>
      <c r="G201" s="52">
        <v>139.32</v>
      </c>
      <c r="H201" s="52">
        <v>139.32</v>
      </c>
      <c r="I201"/>
      <c r="J201"/>
      <c r="K201"/>
      <c r="L201"/>
      <c r="M201" s="106">
        <v>1.3869586859133896</v>
      </c>
      <c r="N201" s="106">
        <v>1.302056074766355</v>
      </c>
      <c r="O201" s="106"/>
      <c r="P201" s="106">
        <v>1.3869586859133896</v>
      </c>
      <c r="Q201" s="106">
        <v>1.302056074766355</v>
      </c>
      <c r="R201" s="15"/>
      <c r="S201" s="15"/>
      <c r="T201" s="15"/>
      <c r="U201" s="15"/>
      <c r="V201" s="15"/>
      <c r="W201" s="15"/>
      <c r="X201" s="15"/>
      <c r="Y201" s="15"/>
      <c r="Z201" s="15"/>
    </row>
    <row r="202" spans="6:26" s="21" customFormat="1" ht="14.25" x14ac:dyDescent="0.45">
      <c r="F202" s="49">
        <v>43344</v>
      </c>
      <c r="G202" s="52">
        <v>137.99</v>
      </c>
      <c r="H202" s="52">
        <v>137.99</v>
      </c>
      <c r="I202"/>
      <c r="J202"/>
      <c r="K202"/>
      <c r="L202"/>
      <c r="M202" s="106">
        <v>1.3737182677949229</v>
      </c>
      <c r="N202" s="106">
        <v>1.2896261682242991</v>
      </c>
      <c r="O202" s="106"/>
      <c r="P202" s="106">
        <v>1.3737182677949229</v>
      </c>
      <c r="Q202" s="106">
        <v>1.2896261682242991</v>
      </c>
      <c r="R202" s="15"/>
      <c r="S202" s="15"/>
      <c r="T202" s="15"/>
      <c r="U202" s="15"/>
      <c r="V202" s="15"/>
      <c r="W202" s="15"/>
      <c r="X202" s="15"/>
      <c r="Y202" s="15"/>
      <c r="Z202" s="15"/>
    </row>
    <row r="203" spans="6:26" s="21" customFormat="1" ht="14.25" x14ac:dyDescent="0.45">
      <c r="F203" s="49">
        <v>43374</v>
      </c>
      <c r="G203" s="52">
        <v>138.06</v>
      </c>
      <c r="H203" s="52">
        <v>138.06</v>
      </c>
      <c r="I203"/>
      <c r="J203"/>
      <c r="K203"/>
      <c r="L203"/>
      <c r="M203" s="106">
        <v>1.3744151319064211</v>
      </c>
      <c r="N203" s="106">
        <v>1.2902803738317756</v>
      </c>
      <c r="O203" s="106"/>
      <c r="P203" s="106">
        <v>1.3744151319064211</v>
      </c>
      <c r="Q203" s="106">
        <v>1.2902803738317756</v>
      </c>
      <c r="R203" s="15"/>
      <c r="S203" s="15"/>
      <c r="T203" s="15"/>
      <c r="U203" s="15"/>
      <c r="V203" s="15"/>
      <c r="W203" s="15"/>
      <c r="X203" s="15"/>
      <c r="Y203" s="15"/>
      <c r="Z203" s="15"/>
    </row>
    <row r="204" spans="6:26" s="21" customFormat="1" ht="14.25" x14ac:dyDescent="0.45">
      <c r="F204" s="49">
        <v>43405</v>
      </c>
      <c r="G204" s="52">
        <v>137.86000000000001</v>
      </c>
      <c r="H204" s="52">
        <v>137.86000000000001</v>
      </c>
      <c r="I204"/>
      <c r="J204"/>
      <c r="K204"/>
      <c r="L204"/>
      <c r="M204" s="106">
        <v>1.3724240915878547</v>
      </c>
      <c r="N204" s="106">
        <v>1.2884112149532712</v>
      </c>
      <c r="O204" s="106"/>
      <c r="P204" s="106">
        <v>1.3724240915878547</v>
      </c>
      <c r="Q204" s="106">
        <v>1.2884112149532712</v>
      </c>
      <c r="R204" s="15"/>
      <c r="S204" s="15"/>
      <c r="T204" s="15"/>
      <c r="U204" s="15"/>
      <c r="V204" s="15"/>
      <c r="W204" s="15"/>
      <c r="X204" s="15"/>
      <c r="Y204" s="15"/>
      <c r="Z204" s="15"/>
    </row>
    <row r="205" spans="6:26" s="21" customFormat="1" ht="14.25" x14ac:dyDescent="0.45">
      <c r="F205" s="49">
        <v>43435</v>
      </c>
      <c r="G205" s="52">
        <v>138.53</v>
      </c>
      <c r="H205" s="52">
        <v>138.53</v>
      </c>
      <c r="I205"/>
      <c r="J205"/>
      <c r="K205"/>
      <c r="L205"/>
      <c r="M205" s="106">
        <v>1.3790940766550523</v>
      </c>
      <c r="N205" s="106">
        <v>1.2946728971962618</v>
      </c>
      <c r="O205" s="106"/>
      <c r="P205" s="106">
        <v>1.3790940766550523</v>
      </c>
      <c r="Q205" s="106">
        <v>1.2946728971962618</v>
      </c>
      <c r="R205" s="15"/>
      <c r="S205" s="15"/>
      <c r="T205" s="15"/>
      <c r="U205" s="15"/>
      <c r="V205" s="15"/>
      <c r="W205" s="15"/>
      <c r="X205" s="15"/>
      <c r="Y205" s="15"/>
      <c r="Z205" s="15"/>
    </row>
    <row r="206" spans="6:26" s="21" customFormat="1" ht="14.25" x14ac:dyDescent="0.45">
      <c r="F206" s="49">
        <v>43466</v>
      </c>
      <c r="G206" s="52">
        <v>138.47999999999999</v>
      </c>
      <c r="H206" s="52">
        <v>138.47999999999999</v>
      </c>
      <c r="I206"/>
      <c r="J206"/>
      <c r="K206"/>
      <c r="L206"/>
      <c r="M206" s="106">
        <v>1.3785963165754105</v>
      </c>
      <c r="N206" s="106">
        <v>1.2942056074766355</v>
      </c>
      <c r="O206" s="106"/>
      <c r="P206" s="106">
        <v>1.3785963165754105</v>
      </c>
      <c r="Q206" s="106">
        <v>1.2942056074766355</v>
      </c>
      <c r="R206" s="15"/>
      <c r="S206" s="15"/>
      <c r="T206" s="15"/>
      <c r="U206" s="15"/>
      <c r="V206" s="15"/>
      <c r="W206" s="15"/>
      <c r="X206" s="15"/>
      <c r="Y206" s="15"/>
      <c r="Z206" s="15"/>
    </row>
    <row r="207" spans="6:26" s="21" customFormat="1" ht="14.25" x14ac:dyDescent="0.45">
      <c r="F207" s="49">
        <v>43497</v>
      </c>
      <c r="G207" s="52">
        <v>137.38</v>
      </c>
      <c r="H207" s="52">
        <v>137.38</v>
      </c>
      <c r="I207"/>
      <c r="J207"/>
      <c r="K207"/>
      <c r="L207"/>
      <c r="M207" s="106">
        <v>1.3676455948232951</v>
      </c>
      <c r="N207" s="106">
        <v>1.2839252336448597</v>
      </c>
      <c r="O207" s="106"/>
      <c r="P207" s="106">
        <v>1.3676455948232951</v>
      </c>
      <c r="Q207" s="106">
        <v>1.2839252336448597</v>
      </c>
      <c r="R207" s="15"/>
      <c r="S207" s="15"/>
      <c r="T207" s="15"/>
      <c r="U207" s="15"/>
      <c r="V207" s="15"/>
      <c r="W207" s="15"/>
      <c r="X207" s="15"/>
      <c r="Y207" s="15"/>
      <c r="Z207" s="15"/>
    </row>
    <row r="208" spans="6:26" s="21" customFormat="1" ht="14.25" x14ac:dyDescent="0.45">
      <c r="F208" s="49">
        <v>43525</v>
      </c>
      <c r="G208" s="52">
        <v>138.41999999999999</v>
      </c>
      <c r="H208" s="52">
        <v>138.41999999999999</v>
      </c>
      <c r="I208"/>
      <c r="J208"/>
      <c r="K208"/>
      <c r="L208"/>
      <c r="M208" s="106">
        <v>1.3779990044798405</v>
      </c>
      <c r="N208" s="106">
        <v>1.2936448598130841</v>
      </c>
      <c r="O208" s="106"/>
      <c r="P208" s="106">
        <v>1.3779990044798405</v>
      </c>
      <c r="Q208" s="106">
        <v>1.2936448598130841</v>
      </c>
      <c r="R208" s="15"/>
      <c r="S208" s="15"/>
      <c r="T208" s="15"/>
      <c r="U208" s="15"/>
      <c r="V208" s="15"/>
      <c r="W208" s="15"/>
      <c r="X208" s="15"/>
      <c r="Y208" s="15"/>
      <c r="Z208" s="15"/>
    </row>
    <row r="209" spans="6:26" s="21" customFormat="1" ht="14.25" x14ac:dyDescent="0.45">
      <c r="F209" s="49">
        <v>43556</v>
      </c>
      <c r="G209" s="52">
        <v>138.09</v>
      </c>
      <c r="H209" s="52">
        <v>138.09</v>
      </c>
      <c r="I209"/>
      <c r="J209"/>
      <c r="K209"/>
      <c r="L209"/>
      <c r="M209" s="106">
        <v>1.374713787954206</v>
      </c>
      <c r="N209" s="106">
        <v>1.2905607476635514</v>
      </c>
      <c r="O209" s="106"/>
      <c r="P209" s="106">
        <v>1.374713787954206</v>
      </c>
      <c r="Q209" s="106">
        <v>1.2905607476635514</v>
      </c>
      <c r="R209" s="15"/>
      <c r="S209" s="15"/>
      <c r="T209" s="15"/>
      <c r="U209" s="15"/>
      <c r="V209" s="15"/>
      <c r="W209" s="15"/>
      <c r="X209" s="15"/>
      <c r="Y209" s="15"/>
      <c r="Z209" s="15"/>
    </row>
    <row r="210" spans="6:26" s="21" customFormat="1" ht="14.25" x14ac:dyDescent="0.45">
      <c r="F210" s="49">
        <v>43586</v>
      </c>
      <c r="G210" s="52">
        <v>138.96</v>
      </c>
      <c r="H210" s="52">
        <v>138.96</v>
      </c>
      <c r="I210"/>
      <c r="J210"/>
      <c r="K210"/>
      <c r="L210"/>
      <c r="M210" s="106">
        <v>1.3833748133399701</v>
      </c>
      <c r="N210" s="106">
        <v>1.2986915887850468</v>
      </c>
      <c r="O210" s="106"/>
      <c r="P210" s="106">
        <v>1.3833748133399701</v>
      </c>
      <c r="Q210" s="106">
        <v>1.2986915887850468</v>
      </c>
      <c r="R210" s="15"/>
      <c r="S210" s="15"/>
      <c r="T210" s="15"/>
      <c r="U210" s="15"/>
      <c r="V210" s="15"/>
      <c r="W210" s="15"/>
      <c r="X210" s="15"/>
      <c r="Y210" s="15"/>
      <c r="Z210" s="15"/>
    </row>
    <row r="211" spans="6:26" s="21" customFormat="1" ht="14.25" x14ac:dyDescent="0.45">
      <c r="F211" s="49">
        <v>43617</v>
      </c>
      <c r="G211" s="52">
        <v>138.99</v>
      </c>
      <c r="H211" s="52">
        <v>138.99</v>
      </c>
      <c r="I211"/>
      <c r="J211"/>
      <c r="K211"/>
      <c r="L211"/>
      <c r="M211" s="106">
        <v>1.3836734693877553</v>
      </c>
      <c r="N211" s="106">
        <v>1.2989719626168226</v>
      </c>
      <c r="O211" s="106"/>
      <c r="P211" s="106">
        <v>1.3836734693877553</v>
      </c>
      <c r="Q211" s="106">
        <v>1.2989719626168226</v>
      </c>
      <c r="R211" s="15"/>
      <c r="S211" s="15"/>
      <c r="T211" s="15"/>
      <c r="U211" s="15"/>
      <c r="V211" s="15"/>
      <c r="W211" s="15"/>
      <c r="X211" s="15"/>
      <c r="Y211" s="15"/>
      <c r="Z211" s="15"/>
    </row>
    <row r="212" spans="6:26" s="21" customFormat="1" ht="14.25" x14ac:dyDescent="0.45">
      <c r="F212" s="49">
        <v>43647</v>
      </c>
      <c r="G212" s="52">
        <v>138.56</v>
      </c>
      <c r="H212" s="52">
        <v>138.56</v>
      </c>
      <c r="I212"/>
      <c r="J212"/>
      <c r="K212"/>
      <c r="L212"/>
      <c r="M212" s="106">
        <v>1.3793927327028372</v>
      </c>
      <c r="N212" s="106">
        <v>1.2949532710280374</v>
      </c>
      <c r="O212" s="106"/>
      <c r="P212" s="106">
        <v>1.3793927327028372</v>
      </c>
      <c r="Q212" s="106">
        <v>1.2949532710280374</v>
      </c>
      <c r="R212" s="15"/>
      <c r="S212" s="15"/>
      <c r="T212" s="15"/>
      <c r="U212" s="15"/>
      <c r="V212" s="15"/>
      <c r="W212" s="15"/>
      <c r="X212" s="15"/>
      <c r="Y212" s="15"/>
      <c r="Z212" s="15"/>
    </row>
    <row r="213" spans="6:26" s="21" customFormat="1" ht="14.25" x14ac:dyDescent="0.45">
      <c r="F213" s="49">
        <v>43678</v>
      </c>
      <c r="G213" s="52">
        <v>138.59</v>
      </c>
      <c r="H213" s="52">
        <v>138.59</v>
      </c>
      <c r="I213"/>
      <c r="J213"/>
      <c r="K213"/>
      <c r="L213"/>
      <c r="M213" s="106">
        <v>1.3796913887506221</v>
      </c>
      <c r="N213" s="106">
        <v>1.2952336448598132</v>
      </c>
      <c r="O213" s="106"/>
      <c r="P213" s="106">
        <v>1.3796913887506221</v>
      </c>
      <c r="Q213" s="106">
        <v>1.2952336448598132</v>
      </c>
      <c r="R213" s="15"/>
      <c r="S213" s="15"/>
      <c r="T213" s="15"/>
      <c r="U213" s="15"/>
      <c r="V213" s="15"/>
      <c r="W213" s="15"/>
      <c r="X213" s="15"/>
      <c r="Y213" s="15"/>
      <c r="Z213" s="15"/>
    </row>
    <row r="214" spans="6:26" s="21" customFormat="1" ht="14.25" x14ac:dyDescent="0.45">
      <c r="F214" s="49">
        <v>43709</v>
      </c>
      <c r="G214" s="52">
        <v>139.09</v>
      </c>
      <c r="H214" s="52">
        <v>139.09</v>
      </c>
      <c r="I214"/>
      <c r="J214"/>
      <c r="K214"/>
      <c r="L214"/>
      <c r="M214" s="106">
        <v>1.3846689895470383</v>
      </c>
      <c r="N214" s="106">
        <v>1.2999065420560747</v>
      </c>
      <c r="O214" s="106"/>
      <c r="P214" s="106">
        <v>1.3846689895470383</v>
      </c>
      <c r="Q214" s="106">
        <v>1.2999065420560747</v>
      </c>
      <c r="R214" s="15"/>
      <c r="S214" s="15"/>
      <c r="T214" s="15"/>
      <c r="U214" s="15"/>
      <c r="V214" s="15"/>
      <c r="W214" s="15"/>
      <c r="X214" s="15"/>
      <c r="Y214" s="15"/>
      <c r="Z214" s="15"/>
    </row>
    <row r="215" spans="6:26" s="21" customFormat="1" ht="14.25" x14ac:dyDescent="0.45">
      <c r="F215" s="49">
        <v>43739</v>
      </c>
      <c r="G215" s="52">
        <v>139.96</v>
      </c>
      <c r="H215" s="52">
        <v>139.96</v>
      </c>
      <c r="I215"/>
      <c r="J215"/>
      <c r="K215"/>
      <c r="L215"/>
      <c r="M215" s="106">
        <v>1.3933300149328025</v>
      </c>
      <c r="N215" s="106">
        <v>1.3080373831775702</v>
      </c>
      <c r="O215" s="106"/>
      <c r="P215" s="106">
        <v>1.3933300149328025</v>
      </c>
      <c r="Q215" s="106">
        <v>1.3080373831775702</v>
      </c>
      <c r="R215" s="15"/>
      <c r="S215" s="15"/>
      <c r="T215" s="15"/>
      <c r="U215" s="15"/>
      <c r="V215" s="15"/>
      <c r="W215" s="15"/>
      <c r="X215" s="15"/>
      <c r="Y215" s="15"/>
      <c r="Z215" s="15"/>
    </row>
    <row r="216" spans="6:26" s="21" customFormat="1" ht="14.25" x14ac:dyDescent="0.45">
      <c r="F216" s="49">
        <v>43770</v>
      </c>
      <c r="G216" s="52">
        <v>138.79</v>
      </c>
      <c r="H216" s="52">
        <v>138.79</v>
      </c>
      <c r="I216"/>
      <c r="J216"/>
      <c r="K216"/>
      <c r="L216"/>
      <c r="M216" s="106">
        <v>1.3816824290691885</v>
      </c>
      <c r="N216" s="106">
        <v>1.2971028037383177</v>
      </c>
      <c r="O216" s="106"/>
      <c r="P216" s="106">
        <v>1.3816824290691885</v>
      </c>
      <c r="Q216" s="106">
        <v>1.2971028037383177</v>
      </c>
      <c r="R216" s="15"/>
      <c r="S216" s="15"/>
      <c r="T216" s="15"/>
      <c r="U216" s="15"/>
      <c r="V216" s="15"/>
      <c r="W216" s="15"/>
      <c r="X216" s="15"/>
      <c r="Y216" s="15"/>
      <c r="Z216" s="15"/>
    </row>
    <row r="217" spans="6:26" s="21" customFormat="1" ht="14.25" x14ac:dyDescent="0.45">
      <c r="F217" s="49">
        <v>43800</v>
      </c>
      <c r="G217" s="52">
        <v>138.09</v>
      </c>
      <c r="H217" s="52">
        <v>138.09</v>
      </c>
      <c r="I217"/>
      <c r="J217"/>
      <c r="K217"/>
      <c r="L217"/>
      <c r="M217" s="106">
        <v>1.374713787954206</v>
      </c>
      <c r="N217" s="106">
        <v>1.2905607476635514</v>
      </c>
      <c r="O217" s="106"/>
      <c r="P217" s="106">
        <v>1.374713787954206</v>
      </c>
      <c r="Q217" s="106">
        <v>1.2905607476635514</v>
      </c>
      <c r="R217" s="15"/>
      <c r="S217" s="15"/>
      <c r="T217" s="15"/>
      <c r="U217" s="15"/>
      <c r="V217" s="15"/>
      <c r="W217" s="15"/>
      <c r="X217" s="15"/>
      <c r="Y217" s="15"/>
      <c r="Z217" s="15"/>
    </row>
    <row r="218" spans="6:26" s="21" customFormat="1" ht="14.25" x14ac:dyDescent="0.45">
      <c r="F218" s="49">
        <v>43831</v>
      </c>
      <c r="G218" s="52">
        <v>138.83000000000001</v>
      </c>
      <c r="H218" s="52">
        <v>138.83000000000001</v>
      </c>
      <c r="I218"/>
      <c r="J218"/>
      <c r="K218"/>
      <c r="L218"/>
      <c r="M218" s="106">
        <v>1.382080637132902</v>
      </c>
      <c r="N218" s="106">
        <v>1.2974766355140188</v>
      </c>
      <c r="O218" s="106"/>
      <c r="P218" s="106">
        <v>1.382080637132902</v>
      </c>
      <c r="Q218" s="106">
        <v>1.2974766355140188</v>
      </c>
      <c r="R218" s="15"/>
      <c r="S218" s="15"/>
      <c r="T218" s="15"/>
      <c r="U218" s="15"/>
      <c r="V218" s="15"/>
      <c r="W218" s="15"/>
      <c r="X218" s="15"/>
      <c r="Y218" s="15"/>
      <c r="Z218" s="15"/>
    </row>
    <row r="219" spans="6:26" s="21" customFormat="1" ht="14.25" x14ac:dyDescent="0.45">
      <c r="F219" s="49">
        <v>43862</v>
      </c>
      <c r="G219" s="52">
        <v>139.36000000000001</v>
      </c>
      <c r="H219" s="52">
        <v>139.36000000000001</v>
      </c>
      <c r="I219"/>
      <c r="J219"/>
      <c r="K219"/>
      <c r="L219"/>
      <c r="M219" s="106">
        <v>1.387356893977103</v>
      </c>
      <c r="N219" s="106">
        <v>1.3024299065420561</v>
      </c>
      <c r="O219" s="106"/>
      <c r="P219" s="106">
        <v>1.387356893977103</v>
      </c>
      <c r="Q219" s="106">
        <v>1.3024299065420561</v>
      </c>
      <c r="R219" s="15"/>
      <c r="S219" s="15"/>
      <c r="T219" s="15"/>
      <c r="U219" s="15"/>
      <c r="V219" s="15"/>
      <c r="W219" s="15"/>
      <c r="X219" s="15"/>
      <c r="Y219" s="15"/>
      <c r="Z219" s="15"/>
    </row>
    <row r="220" spans="6:26" s="21" customFormat="1" ht="14.25" x14ac:dyDescent="0.45">
      <c r="F220" s="49">
        <v>43891</v>
      </c>
      <c r="G220" s="52">
        <v>132.13</v>
      </c>
      <c r="H220" s="52">
        <v>132.13</v>
      </c>
      <c r="I220"/>
      <c r="J220"/>
      <c r="K220"/>
      <c r="L220"/>
      <c r="M220" s="106">
        <v>1.3153807864609257</v>
      </c>
      <c r="N220" s="106">
        <v>1.2348598130841122</v>
      </c>
      <c r="O220" s="106"/>
      <c r="P220" s="106">
        <v>1.3153807864609257</v>
      </c>
      <c r="Q220" s="106">
        <v>1.2348598130841122</v>
      </c>
      <c r="R220" s="15"/>
      <c r="S220" s="15"/>
      <c r="T220" s="15"/>
      <c r="U220" s="15"/>
      <c r="V220" s="15"/>
      <c r="W220" s="15"/>
      <c r="X220" s="15"/>
      <c r="Y220" s="15"/>
      <c r="Z220" s="15"/>
    </row>
    <row r="221" spans="6:26" s="21" customFormat="1" ht="14.25" x14ac:dyDescent="0.45">
      <c r="F221" s="49">
        <v>43922</v>
      </c>
      <c r="G221" s="52">
        <v>118.98</v>
      </c>
      <c r="H221" s="52">
        <v>118.98</v>
      </c>
      <c r="I221"/>
      <c r="J221"/>
      <c r="K221"/>
      <c r="L221"/>
      <c r="M221" s="106">
        <v>1.1844698855151816</v>
      </c>
      <c r="N221" s="106">
        <v>1.1119626168224299</v>
      </c>
      <c r="O221" s="106"/>
      <c r="P221" s="106">
        <v>1.1844698855151816</v>
      </c>
      <c r="Q221" s="106">
        <v>1.1119626168224299</v>
      </c>
      <c r="R221" s="15"/>
      <c r="S221" s="15"/>
      <c r="T221" s="15"/>
      <c r="U221" s="15"/>
      <c r="V221" s="15"/>
      <c r="W221" s="15"/>
      <c r="X221" s="15"/>
      <c r="Y221" s="15"/>
      <c r="Z221" s="15"/>
    </row>
    <row r="222" spans="6:26" s="21" customFormat="1" ht="14.25" x14ac:dyDescent="0.45">
      <c r="F222" s="49">
        <v>43952</v>
      </c>
      <c r="G222" s="52">
        <v>121.47</v>
      </c>
      <c r="H222" s="52">
        <v>121.47</v>
      </c>
      <c r="I222"/>
      <c r="J222"/>
      <c r="K222"/>
      <c r="L222"/>
      <c r="M222" s="106">
        <v>1.2092583374813339</v>
      </c>
      <c r="N222" s="106">
        <v>1.135233644859813</v>
      </c>
      <c r="O222" s="106"/>
      <c r="P222" s="106">
        <v>1.2092583374813339</v>
      </c>
      <c r="Q222" s="106">
        <v>1.135233644859813</v>
      </c>
      <c r="R222" s="15"/>
      <c r="S222" s="15"/>
      <c r="T222" s="15"/>
      <c r="U222" s="15"/>
      <c r="V222" s="15"/>
      <c r="W222" s="15"/>
      <c r="X222" s="15"/>
      <c r="Y222" s="15"/>
      <c r="Z222" s="15"/>
    </row>
    <row r="223" spans="6:26" s="21" customFormat="1" ht="14.25" x14ac:dyDescent="0.45">
      <c r="F223" s="49">
        <v>43983</v>
      </c>
      <c r="G223" s="52">
        <v>127.62</v>
      </c>
      <c r="H223" s="52">
        <v>127.62</v>
      </c>
      <c r="I223"/>
      <c r="J223"/>
      <c r="K223"/>
      <c r="L223"/>
      <c r="M223" s="106">
        <v>1.2704828272772524</v>
      </c>
      <c r="N223" s="106">
        <v>1.1927102803738319</v>
      </c>
      <c r="O223" s="106"/>
      <c r="P223" s="106">
        <v>1.2704828272772524</v>
      </c>
      <c r="Q223" s="106">
        <v>1.1927102803738319</v>
      </c>
      <c r="R223" s="15"/>
      <c r="S223" s="15"/>
      <c r="T223" s="15"/>
      <c r="U223" s="15"/>
      <c r="V223" s="15"/>
      <c r="W223" s="15"/>
      <c r="X223" s="15"/>
      <c r="Y223" s="15"/>
      <c r="Z223" s="15"/>
    </row>
    <row r="224" spans="6:26" s="21" customFormat="1" ht="14.25" x14ac:dyDescent="0.45">
      <c r="F224" s="49">
        <v>44013</v>
      </c>
      <c r="G224" s="52">
        <v>131.76</v>
      </c>
      <c r="H224" s="52">
        <v>131.76</v>
      </c>
      <c r="I224"/>
      <c r="J224"/>
      <c r="K224"/>
      <c r="L224"/>
      <c r="M224" s="106">
        <v>1.3116973618715777</v>
      </c>
      <c r="N224" s="106">
        <v>1.2314018691588784</v>
      </c>
      <c r="O224" s="106"/>
      <c r="P224" s="106">
        <v>1.3116973618715777</v>
      </c>
      <c r="Q224" s="106">
        <v>1.2314018691588784</v>
      </c>
      <c r="R224" s="15"/>
      <c r="S224" s="15"/>
      <c r="T224" s="15"/>
      <c r="U224" s="15"/>
      <c r="V224" s="15"/>
      <c r="W224" s="15"/>
      <c r="X224" s="15"/>
      <c r="Y224" s="15"/>
      <c r="Z224" s="15"/>
    </row>
    <row r="225" spans="6:26" s="21" customFormat="1" ht="14.25" x14ac:dyDescent="0.45">
      <c r="F225" s="49">
        <v>44044</v>
      </c>
      <c r="G225" s="52">
        <v>134.5</v>
      </c>
      <c r="H225" s="52">
        <v>134.5</v>
      </c>
      <c r="I225"/>
      <c r="J225"/>
      <c r="K225"/>
      <c r="L225"/>
      <c r="M225" s="106">
        <v>1.3389746142359382</v>
      </c>
      <c r="N225" s="106">
        <v>1.2570093457943925</v>
      </c>
      <c r="O225" s="106"/>
      <c r="P225" s="106">
        <v>1.3389746142359382</v>
      </c>
      <c r="Q225" s="106">
        <v>1.2570093457943925</v>
      </c>
      <c r="R225" s="15"/>
      <c r="S225" s="15"/>
      <c r="T225" s="15"/>
      <c r="U225" s="15"/>
      <c r="V225" s="15"/>
      <c r="W225" s="15"/>
      <c r="X225" s="15"/>
      <c r="Y225" s="15"/>
      <c r="Z225" s="15"/>
    </row>
    <row r="226" spans="6:26" s="21" customFormat="1" ht="14.25" x14ac:dyDescent="0.45">
      <c r="F226" s="49">
        <v>44075</v>
      </c>
      <c r="G226" s="52">
        <v>136.44</v>
      </c>
      <c r="H226" s="52">
        <v>136.44</v>
      </c>
      <c r="I226"/>
      <c r="J226"/>
      <c r="K226"/>
      <c r="L226"/>
      <c r="M226" s="106">
        <v>1.3582877053260327</v>
      </c>
      <c r="N226" s="106">
        <v>1.2751401869158878</v>
      </c>
      <c r="O226" s="106"/>
      <c r="P226" s="106">
        <v>1.3582877053260327</v>
      </c>
      <c r="Q226" s="106">
        <v>1.2751401869158878</v>
      </c>
      <c r="R226" s="15"/>
      <c r="S226" s="15"/>
      <c r="T226" s="15"/>
      <c r="U226" s="15"/>
      <c r="V226" s="15"/>
      <c r="W226" s="15"/>
      <c r="X226" s="15"/>
      <c r="Y226" s="15"/>
      <c r="Z226" s="15"/>
    </row>
    <row r="227" spans="6:26" s="21" customFormat="1" ht="14.25" x14ac:dyDescent="0.45">
      <c r="F227" s="49">
        <v>44105</v>
      </c>
      <c r="G227" s="52">
        <v>138.36000000000001</v>
      </c>
      <c r="H227" s="52">
        <v>138.36000000000001</v>
      </c>
      <c r="I227"/>
      <c r="J227"/>
      <c r="K227"/>
      <c r="L227"/>
      <c r="M227" s="106">
        <v>1.3774016923842709</v>
      </c>
      <c r="N227" s="106">
        <v>1.2930841121495329</v>
      </c>
      <c r="O227" s="106"/>
      <c r="P227" s="106">
        <v>1.3774016923842709</v>
      </c>
      <c r="Q227" s="106">
        <v>1.2930841121495329</v>
      </c>
      <c r="R227" s="15"/>
      <c r="S227" s="15"/>
      <c r="T227" s="15"/>
      <c r="U227" s="15"/>
      <c r="V227" s="15"/>
      <c r="W227" s="15"/>
      <c r="X227" s="15"/>
      <c r="Y227" s="15"/>
      <c r="Z227" s="15"/>
    </row>
    <row r="228" spans="6:26" s="21" customFormat="1" ht="14.25" x14ac:dyDescent="0.45">
      <c r="F228" s="49">
        <v>44136</v>
      </c>
      <c r="G228" s="52">
        <v>137.9</v>
      </c>
      <c r="H228" s="52">
        <v>137.9</v>
      </c>
      <c r="I228"/>
      <c r="J228"/>
      <c r="K228"/>
      <c r="L228"/>
      <c r="M228" s="106">
        <v>1.372822299651568</v>
      </c>
      <c r="N228" s="106">
        <v>1.2887850467289721</v>
      </c>
      <c r="O228" s="106"/>
      <c r="P228" s="106">
        <v>1.372822299651568</v>
      </c>
      <c r="Q228" s="106">
        <v>1.2887850467289721</v>
      </c>
      <c r="R228" s="15"/>
      <c r="S228" s="15"/>
      <c r="T228" s="15"/>
      <c r="U228" s="15"/>
      <c r="V228" s="15"/>
      <c r="W228" s="15"/>
      <c r="X228" s="15"/>
      <c r="Y228" s="15"/>
      <c r="Z228" s="15"/>
    </row>
    <row r="229" spans="6:26" s="21" customFormat="1" ht="14.25" x14ac:dyDescent="0.45">
      <c r="F229" s="49">
        <v>44166</v>
      </c>
      <c r="G229" s="52">
        <v>138.19</v>
      </c>
      <c r="H229" s="52">
        <v>138.19</v>
      </c>
      <c r="I229"/>
      <c r="J229"/>
      <c r="K229"/>
      <c r="L229"/>
      <c r="M229" s="106">
        <v>1.3757093081134892</v>
      </c>
      <c r="N229" s="106">
        <v>1.2914953271028038</v>
      </c>
      <c r="O229" s="106"/>
      <c r="P229" s="106">
        <v>1.3757093081134892</v>
      </c>
      <c r="Q229" s="106">
        <v>1.2914953271028038</v>
      </c>
      <c r="R229" s="15"/>
      <c r="S229" s="15"/>
      <c r="T229" s="15"/>
      <c r="U229" s="15"/>
      <c r="V229" s="15"/>
      <c r="W229" s="15"/>
      <c r="X229" s="15"/>
      <c r="Y229" s="15"/>
      <c r="Z229" s="15"/>
    </row>
    <row r="230" spans="6:26" s="21" customFormat="1" ht="14.25" x14ac:dyDescent="0.45">
      <c r="F230" s="49">
        <v>44197</v>
      </c>
      <c r="G230" s="52">
        <v>139.01</v>
      </c>
      <c r="H230" s="52">
        <v>139.01</v>
      </c>
      <c r="I230"/>
      <c r="J230"/>
      <c r="K230"/>
      <c r="L230"/>
      <c r="M230" s="106">
        <v>1.3838725734196116</v>
      </c>
      <c r="N230" s="106">
        <v>1.2991588785046728</v>
      </c>
      <c r="O230" s="106"/>
      <c r="P230" s="106">
        <v>1.3838725734196116</v>
      </c>
      <c r="Q230" s="106">
        <v>1.2991588785046728</v>
      </c>
      <c r="R230" s="15"/>
      <c r="S230" s="15"/>
      <c r="T230" s="15"/>
      <c r="U230" s="15"/>
      <c r="V230" s="15"/>
      <c r="W230" s="15"/>
      <c r="X230" s="15"/>
      <c r="Y230" s="15"/>
      <c r="Z230" s="15"/>
    </row>
    <row r="231" spans="6:26" s="21" customFormat="1" ht="14.25" x14ac:dyDescent="0.45">
      <c r="F231" s="49">
        <v>44228</v>
      </c>
      <c r="G231" s="52">
        <v>141.1</v>
      </c>
      <c r="H231" s="52">
        <v>141.1</v>
      </c>
      <c r="I231"/>
      <c r="J231"/>
      <c r="K231"/>
      <c r="L231"/>
      <c r="M231" s="106">
        <v>1.404678944748631</v>
      </c>
      <c r="N231" s="106">
        <v>1.3186915887850468</v>
      </c>
      <c r="O231" s="106"/>
      <c r="P231" s="106">
        <v>1.404678944748631</v>
      </c>
      <c r="Q231" s="106">
        <v>1.3186915887850468</v>
      </c>
      <c r="R231" s="15"/>
      <c r="S231" s="15"/>
      <c r="T231" s="15"/>
      <c r="U231" s="15"/>
      <c r="V231" s="15"/>
      <c r="W231" s="15"/>
      <c r="X231" s="15"/>
      <c r="Y231" s="15"/>
      <c r="Z231" s="15"/>
    </row>
    <row r="232" spans="6:26" s="21" customFormat="1" ht="14.25" x14ac:dyDescent="0.45">
      <c r="F232" s="49">
        <v>44256</v>
      </c>
      <c r="G232" s="52">
        <v>138.85</v>
      </c>
      <c r="H232" s="52">
        <v>138.85</v>
      </c>
      <c r="I232"/>
      <c r="J232"/>
      <c r="K232"/>
      <c r="L232"/>
      <c r="M232" s="106">
        <v>1.3822797411647585</v>
      </c>
      <c r="N232" s="106">
        <v>1.2976635514018691</v>
      </c>
      <c r="O232" s="106"/>
      <c r="P232" s="106">
        <v>1.3822797411647585</v>
      </c>
      <c r="Q232" s="106">
        <v>1.2976635514018691</v>
      </c>
      <c r="R232" s="15"/>
      <c r="S232" s="15"/>
      <c r="T232" s="15"/>
      <c r="U232" s="15"/>
      <c r="V232" s="15"/>
      <c r="W232" s="15"/>
      <c r="X232" s="15"/>
      <c r="Y232" s="15"/>
      <c r="Z232" s="15"/>
    </row>
    <row r="233" spans="6:26" s="21" customFormat="1" ht="14.25" x14ac:dyDescent="0.45">
      <c r="F233" s="49">
        <v>44287</v>
      </c>
      <c r="G233" s="52">
        <v>139.22999999999999</v>
      </c>
      <c r="H233" s="52">
        <v>139.22999999999999</v>
      </c>
      <c r="I233"/>
      <c r="J233"/>
      <c r="K233"/>
      <c r="L233"/>
      <c r="M233" s="106">
        <v>1.3860627177700346</v>
      </c>
      <c r="N233" s="106">
        <v>1.301214953271028</v>
      </c>
      <c r="O233" s="106"/>
      <c r="P233" s="106">
        <v>1.3860627177700346</v>
      </c>
      <c r="Q233" s="106">
        <v>1.301214953271028</v>
      </c>
      <c r="R233" s="15"/>
      <c r="S233" s="15"/>
      <c r="T233" s="15"/>
      <c r="U233" s="15"/>
      <c r="V233" s="15"/>
      <c r="W233" s="15"/>
      <c r="X233" s="15"/>
      <c r="Y233" s="15"/>
      <c r="Z233" s="15"/>
    </row>
    <row r="234" spans="6:26" s="21" customFormat="1" ht="14.25" x14ac:dyDescent="0.45">
      <c r="F234" s="49">
        <v>44317</v>
      </c>
      <c r="G234" s="52">
        <v>139.28</v>
      </c>
      <c r="H234" s="52">
        <v>139.28</v>
      </c>
      <c r="I234"/>
      <c r="J234"/>
      <c r="K234"/>
      <c r="L234"/>
      <c r="M234" s="106">
        <v>1.3865604778496765</v>
      </c>
      <c r="N234" s="106">
        <v>1.3016822429906543</v>
      </c>
      <c r="O234" s="106"/>
      <c r="P234" s="106">
        <v>1.3865604778496765</v>
      </c>
      <c r="Q234" s="106">
        <v>1.3016822429906543</v>
      </c>
      <c r="R234" s="15"/>
      <c r="S234" s="15"/>
      <c r="T234" s="15"/>
      <c r="U234" s="15"/>
      <c r="V234" s="15"/>
      <c r="W234" s="15"/>
      <c r="X234" s="15"/>
      <c r="Y234" s="15"/>
      <c r="Z234" s="15"/>
    </row>
    <row r="235" spans="6:26" s="21" customFormat="1" ht="14.25" x14ac:dyDescent="0.45">
      <c r="F235" s="49">
        <v>44348</v>
      </c>
      <c r="G235" s="52">
        <v>139.53</v>
      </c>
      <c r="H235" s="52">
        <v>139.53</v>
      </c>
      <c r="I235"/>
      <c r="J235"/>
      <c r="K235"/>
      <c r="L235"/>
      <c r="M235" s="106">
        <v>1.3890492782478845</v>
      </c>
      <c r="N235" s="106">
        <v>1.304018691588785</v>
      </c>
      <c r="O235" s="106"/>
      <c r="P235" s="106">
        <v>1.3890492782478845</v>
      </c>
      <c r="Q235" s="106">
        <v>1.304018691588785</v>
      </c>
      <c r="R235" s="15"/>
      <c r="S235" s="15"/>
      <c r="T235" s="15"/>
      <c r="U235" s="15"/>
      <c r="V235" s="15"/>
      <c r="W235" s="15"/>
      <c r="X235" s="15"/>
      <c r="Y235" s="15"/>
      <c r="Z235" s="15"/>
    </row>
    <row r="236" spans="6:26" s="21" customFormat="1" ht="14.25" x14ac:dyDescent="0.45">
      <c r="F236" s="49">
        <v>44378</v>
      </c>
      <c r="G236" s="52">
        <v>139.36000000000001</v>
      </c>
      <c r="H236" s="52">
        <v>139.36000000000001</v>
      </c>
      <c r="I236"/>
      <c r="J236"/>
      <c r="K236"/>
      <c r="L236"/>
      <c r="M236" s="106">
        <v>1.387356893977103</v>
      </c>
      <c r="N236" s="106">
        <v>1.3024299065420561</v>
      </c>
      <c r="O236" s="106"/>
      <c r="P236" s="106">
        <v>1.387356893977103</v>
      </c>
      <c r="Q236" s="106">
        <v>1.3024299065420561</v>
      </c>
      <c r="R236" s="15"/>
      <c r="S236" s="15"/>
      <c r="T236" s="15"/>
      <c r="U236" s="15"/>
      <c r="V236" s="15"/>
      <c r="W236" s="15"/>
      <c r="X236" s="15"/>
      <c r="Y236" s="15"/>
      <c r="Z236" s="15"/>
    </row>
    <row r="237" spans="6:26" s="21" customFormat="1" ht="14.25" x14ac:dyDescent="0.45">
      <c r="F237" s="49">
        <v>44409</v>
      </c>
      <c r="G237" s="52">
        <v>139.5</v>
      </c>
      <c r="H237" s="52">
        <v>139.5</v>
      </c>
      <c r="I237"/>
      <c r="J237"/>
      <c r="K237"/>
      <c r="L237"/>
      <c r="M237" s="106">
        <v>1.3887506222000996</v>
      </c>
      <c r="N237" s="106">
        <v>1.3037383177570094</v>
      </c>
      <c r="O237" s="106"/>
      <c r="P237" s="106">
        <v>1.3887506222000996</v>
      </c>
      <c r="Q237" s="106">
        <v>1.3037383177570094</v>
      </c>
      <c r="R237" s="15"/>
      <c r="S237" s="15"/>
      <c r="T237" s="15"/>
      <c r="U237" s="15"/>
      <c r="V237" s="15"/>
      <c r="W237" s="15"/>
      <c r="X237" s="15"/>
      <c r="Y237" s="15"/>
      <c r="Z237" s="15"/>
    </row>
    <row r="238" spans="6:26" s="21" customFormat="1" ht="14.25" x14ac:dyDescent="0.45">
      <c r="F238" s="49">
        <v>44440</v>
      </c>
      <c r="G238" s="52">
        <v>138.69999999999999</v>
      </c>
      <c r="H238" s="52">
        <v>138.69999999999999</v>
      </c>
      <c r="I238"/>
      <c r="J238"/>
      <c r="K238"/>
      <c r="L238"/>
      <c r="M238" s="106">
        <v>1.3807864609258336</v>
      </c>
      <c r="N238" s="106">
        <v>1.2962616822429907</v>
      </c>
      <c r="O238" s="106"/>
      <c r="P238" s="106">
        <v>1.3807864609258336</v>
      </c>
      <c r="Q238" s="106">
        <v>1.2962616822429907</v>
      </c>
      <c r="R238" s="15"/>
      <c r="S238" s="15"/>
      <c r="T238" s="15"/>
      <c r="U238" s="15"/>
      <c r="V238" s="15"/>
      <c r="W238" s="15"/>
      <c r="X238" s="15"/>
      <c r="Y238" s="15"/>
      <c r="Z238" s="15"/>
    </row>
    <row r="239" spans="6:26" s="21" customFormat="1" ht="14.25" x14ac:dyDescent="0.45">
      <c r="F239" s="49">
        <v>44470</v>
      </c>
      <c r="G239" s="52">
        <v>138.77000000000001</v>
      </c>
      <c r="H239" s="52">
        <v>138.77000000000001</v>
      </c>
      <c r="I239"/>
      <c r="J239"/>
      <c r="K239"/>
      <c r="L239"/>
      <c r="M239" s="106">
        <v>1.3814833250373322</v>
      </c>
      <c r="N239" s="106">
        <v>1.2969158878504674</v>
      </c>
      <c r="O239" s="106"/>
      <c r="P239" s="106">
        <v>1.3814833250373322</v>
      </c>
      <c r="Q239" s="106">
        <v>1.2969158878504674</v>
      </c>
      <c r="R239" s="15"/>
      <c r="S239" s="15"/>
      <c r="T239" s="15"/>
      <c r="U239" s="15"/>
      <c r="V239" s="15"/>
      <c r="W239" s="15"/>
      <c r="X239" s="15"/>
      <c r="Y239" s="15"/>
      <c r="Z239" s="15"/>
    </row>
    <row r="240" spans="6:26" s="21" customFormat="1" ht="14.25" x14ac:dyDescent="0.45">
      <c r="F240" s="49">
        <v>44501</v>
      </c>
      <c r="G240" s="52">
        <v>139.4</v>
      </c>
      <c r="H240" s="52">
        <v>139.4</v>
      </c>
      <c r="I240"/>
      <c r="J240"/>
      <c r="K240"/>
      <c r="L240"/>
      <c r="M240" s="106">
        <v>1.3877551020408163</v>
      </c>
      <c r="N240" s="106">
        <v>1.3028037383177571</v>
      </c>
      <c r="O240" s="106"/>
      <c r="P240" s="106">
        <v>1.3877551020408163</v>
      </c>
      <c r="Q240" s="106">
        <v>1.3028037383177571</v>
      </c>
      <c r="R240" s="15"/>
      <c r="S240" s="15"/>
      <c r="T240" s="15"/>
      <c r="U240" s="15"/>
      <c r="V240" s="15"/>
      <c r="W240" s="15"/>
      <c r="X240" s="15"/>
      <c r="Y240" s="15"/>
      <c r="Z240" s="15"/>
    </row>
    <row r="241" spans="6:26" s="21" customFormat="1" ht="14.25" x14ac:dyDescent="0.45">
      <c r="F241" s="49">
        <v>44531</v>
      </c>
      <c r="G241" s="52">
        <v>139.85</v>
      </c>
      <c r="H241" s="52">
        <v>139.85</v>
      </c>
      <c r="I241"/>
      <c r="J241"/>
      <c r="K241"/>
      <c r="L241"/>
      <c r="M241" s="106">
        <v>1.3922349427575909</v>
      </c>
      <c r="N241" s="106">
        <v>1.3070093457943925</v>
      </c>
      <c r="O241" s="106"/>
      <c r="P241" s="106">
        <v>1.3922349427575909</v>
      </c>
      <c r="Q241" s="106">
        <v>1.3070093457943925</v>
      </c>
      <c r="R241" s="15"/>
      <c r="S241" s="15"/>
      <c r="T241" s="15"/>
      <c r="U241" s="15"/>
      <c r="V241" s="15"/>
      <c r="W241" s="15"/>
      <c r="X241" s="15"/>
      <c r="Y241" s="15"/>
      <c r="Z241" s="15"/>
    </row>
    <row r="242" spans="6:26" s="21" customFormat="1" ht="14.25" x14ac:dyDescent="0.45">
      <c r="F242" s="49">
        <v>44562</v>
      </c>
      <c r="G242" s="52">
        <v>138.83000000000001</v>
      </c>
      <c r="H242" s="52">
        <v>138.83000000000001</v>
      </c>
      <c r="I242"/>
      <c r="J242"/>
      <c r="K242"/>
      <c r="L242"/>
      <c r="M242" s="106">
        <v>1.382080637132902</v>
      </c>
      <c r="N242" s="106">
        <v>1.2974766355140188</v>
      </c>
      <c r="O242" s="106"/>
      <c r="P242" s="106">
        <v>1.382080637132902</v>
      </c>
      <c r="Q242" s="106">
        <v>1.2974766355140188</v>
      </c>
      <c r="R242" s="15"/>
      <c r="S242" s="15"/>
      <c r="T242" s="15"/>
      <c r="U242" s="15"/>
      <c r="V242" s="15"/>
      <c r="W242" s="15"/>
      <c r="X242" s="15"/>
      <c r="Y242" s="15"/>
      <c r="Z242" s="15"/>
    </row>
    <row r="243" spans="6:26" s="21" customFormat="1" ht="14.25" x14ac:dyDescent="0.45">
      <c r="F243" s="49">
        <v>44593</v>
      </c>
      <c r="G243" s="52">
        <v>139.30000000000001</v>
      </c>
      <c r="H243" s="52">
        <v>139.30000000000001</v>
      </c>
      <c r="I243"/>
      <c r="J243"/>
      <c r="K243"/>
      <c r="L243"/>
      <c r="M243" s="106">
        <v>1.3867595818815333</v>
      </c>
      <c r="N243" s="106">
        <v>1.3018691588785047</v>
      </c>
      <c r="O243" s="106"/>
      <c r="P243" s="106">
        <v>1.3867595818815333</v>
      </c>
      <c r="Q243" s="106">
        <v>1.3018691588785047</v>
      </c>
      <c r="R243" s="15"/>
      <c r="S243" s="15"/>
      <c r="T243" s="15"/>
      <c r="U243" s="15"/>
      <c r="V243" s="15"/>
      <c r="W243" s="15"/>
      <c r="X243" s="15"/>
      <c r="Y243" s="15"/>
      <c r="Z243" s="15"/>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6A25B-2A27-4A49-BE0B-15D37975883E}">
  <sheetPr codeName="Planilha95">
    <tabColor theme="9" tint="0.59999389629810485"/>
  </sheetPr>
  <dimension ref="A1:Y243"/>
  <sheetViews>
    <sheetView showGridLines="0" workbookViewId="0">
      <selection activeCell="P8" sqref="P8"/>
    </sheetView>
  </sheetViews>
  <sheetFormatPr defaultColWidth="8.796875" defaultRowHeight="18" x14ac:dyDescent="0.55000000000000004"/>
  <cols>
    <col min="1" max="1" width="19.1328125" style="17" customWidth="1"/>
    <col min="2" max="2" width="40.6640625" customWidth="1"/>
    <col min="4" max="4" width="25.33203125" customWidth="1"/>
    <col min="5" max="5" width="4.6640625" customWidth="1"/>
    <col min="6" max="8" width="7.1328125" bestFit="1" customWidth="1"/>
    <col min="9" max="9" width="10.6640625" customWidth="1"/>
    <col min="10" max="10" width="15.796875" customWidth="1"/>
    <col min="11" max="11" width="10.6640625" customWidth="1"/>
    <col min="12" max="12" width="10.33203125" bestFit="1" customWidth="1"/>
    <col min="13" max="13" width="11.1328125" style="15" bestFit="1" customWidth="1"/>
    <col min="14" max="14" width="9" style="15" customWidth="1"/>
    <col min="15" max="15" width="11.33203125" style="15" customWidth="1"/>
    <col min="16" max="25" width="8.796875" style="15"/>
  </cols>
  <sheetData>
    <row r="1" spans="1:25" x14ac:dyDescent="0.55000000000000004">
      <c r="A1" s="16" t="s">
        <v>1126</v>
      </c>
      <c r="M1" s="14"/>
      <c r="N1" s="14"/>
      <c r="O1" s="14"/>
      <c r="P1" s="14"/>
      <c r="Q1" s="14"/>
      <c r="R1" s="14"/>
      <c r="S1" s="14"/>
      <c r="T1" s="14"/>
      <c r="U1" s="14"/>
      <c r="V1" s="14"/>
      <c r="W1" s="14"/>
      <c r="X1" s="14"/>
      <c r="Y1" s="14"/>
    </row>
    <row r="2" spans="1:25" x14ac:dyDescent="0.55000000000000004">
      <c r="A2" s="17" t="s">
        <v>1127</v>
      </c>
      <c r="M2" s="14"/>
      <c r="N2" s="14"/>
      <c r="O2" s="14"/>
      <c r="P2" s="14"/>
      <c r="Q2" s="14"/>
      <c r="R2" s="14"/>
      <c r="S2" s="14"/>
      <c r="T2" s="14"/>
      <c r="U2" s="14"/>
      <c r="V2" s="14"/>
      <c r="W2" s="14"/>
      <c r="X2" s="14"/>
      <c r="Y2" s="14"/>
    </row>
    <row r="3" spans="1:25" x14ac:dyDescent="0.55000000000000004">
      <c r="P3" s="107" t="s">
        <v>492</v>
      </c>
      <c r="Q3" s="50" t="str">
        <f>"IBC-Br SA "&amp;$K$14</f>
        <v>IBC-Br SA 100</v>
      </c>
      <c r="R3" s="50"/>
      <c r="S3" s="50"/>
      <c r="T3" s="50"/>
      <c r="U3" s="50"/>
      <c r="V3" s="50"/>
      <c r="W3" s="50"/>
      <c r="X3" s="50"/>
      <c r="Y3" s="50"/>
    </row>
    <row r="4" spans="1:25" ht="15.75" x14ac:dyDescent="0.5">
      <c r="A4" s="2" t="s">
        <v>15</v>
      </c>
      <c r="B4" s="2" t="s">
        <v>16</v>
      </c>
    </row>
    <row r="5" spans="1:25" ht="31.5" x14ac:dyDescent="0.45">
      <c r="A5" s="23" t="s">
        <v>276</v>
      </c>
      <c r="B5" s="26" t="s">
        <v>1128</v>
      </c>
    </row>
    <row r="6" spans="1:25" ht="15.75" x14ac:dyDescent="0.45">
      <c r="A6" s="23" t="s">
        <v>503</v>
      </c>
      <c r="B6" s="26" t="s">
        <v>1117</v>
      </c>
    </row>
    <row r="7" spans="1:25" ht="31.5" x14ac:dyDescent="0.45">
      <c r="A7" s="23" t="s">
        <v>1129</v>
      </c>
      <c r="B7" s="26" t="s">
        <v>1116</v>
      </c>
    </row>
    <row r="8" spans="1:25" ht="47.25" x14ac:dyDescent="0.45">
      <c r="A8" s="23" t="s">
        <v>505</v>
      </c>
      <c r="B8" s="26" t="s">
        <v>1119</v>
      </c>
    </row>
    <row r="9" spans="1:25" ht="47.25" x14ac:dyDescent="0.45">
      <c r="A9" s="23" t="s">
        <v>506</v>
      </c>
      <c r="B9" s="26" t="s">
        <v>1120</v>
      </c>
    </row>
    <row r="10" spans="1:25" ht="47.25" x14ac:dyDescent="0.45">
      <c r="A10" s="23" t="s">
        <v>507</v>
      </c>
      <c r="B10" s="26" t="s">
        <v>1121</v>
      </c>
    </row>
    <row r="11" spans="1:25" s="21" customFormat="1" x14ac:dyDescent="0.55000000000000004">
      <c r="A11" s="17"/>
      <c r="B11"/>
      <c r="C11"/>
      <c r="D11"/>
      <c r="E11"/>
      <c r="F11"/>
      <c r="G11"/>
      <c r="H11"/>
      <c r="I11"/>
      <c r="J11"/>
      <c r="K11"/>
      <c r="L11"/>
      <c r="M11" s="15"/>
      <c r="N11" s="15"/>
      <c r="O11" s="15"/>
      <c r="P11" s="15"/>
      <c r="Q11" s="15"/>
      <c r="R11" s="15"/>
      <c r="S11" s="15"/>
      <c r="T11" s="15"/>
      <c r="U11" s="15"/>
      <c r="V11" s="15"/>
      <c r="W11" s="15"/>
      <c r="X11" s="15"/>
      <c r="Y11" s="15"/>
    </row>
    <row r="12" spans="1:25" s="21" customFormat="1" x14ac:dyDescent="0.55000000000000004">
      <c r="A12" s="17"/>
      <c r="B12"/>
      <c r="C12"/>
      <c r="D12"/>
      <c r="E12"/>
      <c r="F12"/>
      <c r="G12"/>
      <c r="H12"/>
      <c r="I12"/>
      <c r="J12"/>
      <c r="K12"/>
      <c r="L12"/>
      <c r="M12" s="15"/>
      <c r="N12" s="15"/>
      <c r="O12" s="15"/>
      <c r="P12" s="15"/>
      <c r="Q12" s="15"/>
      <c r="R12" s="15"/>
      <c r="S12" s="15"/>
      <c r="T12" s="15"/>
      <c r="U12" s="15"/>
      <c r="V12" s="15"/>
      <c r="W12" s="15"/>
      <c r="X12" s="15"/>
      <c r="Y12" s="15"/>
    </row>
    <row r="13" spans="1:25" s="21" customFormat="1" x14ac:dyDescent="0.55000000000000004">
      <c r="A13" s="17"/>
      <c r="B13"/>
      <c r="C13"/>
      <c r="D13" s="1" t="s">
        <v>17</v>
      </c>
      <c r="E13"/>
      <c r="F13"/>
      <c r="G13" s="171" t="s">
        <v>276</v>
      </c>
      <c r="H13" s="170"/>
      <c r="I13" s="13" t="s">
        <v>503</v>
      </c>
      <c r="J13" s="13" t="s">
        <v>1129</v>
      </c>
      <c r="K13" s="13" t="s">
        <v>505</v>
      </c>
      <c r="L13"/>
      <c r="M13" s="50" t="s">
        <v>192</v>
      </c>
      <c r="N13" s="15"/>
      <c r="O13" s="50" t="s">
        <v>1130</v>
      </c>
      <c r="P13" s="15"/>
      <c r="Q13" s="15"/>
      <c r="R13" s="15"/>
      <c r="S13" s="15"/>
      <c r="T13" s="15"/>
      <c r="U13" s="15"/>
      <c r="V13" s="15"/>
      <c r="W13" s="15"/>
      <c r="X13" s="15"/>
      <c r="Y13" s="15"/>
    </row>
    <row r="14" spans="1:25" s="21" customFormat="1" x14ac:dyDescent="0.55000000000000004">
      <c r="A14" s="17"/>
      <c r="B14"/>
      <c r="C14"/>
      <c r="D14" t="s">
        <v>195</v>
      </c>
      <c r="E14"/>
      <c r="F14" s="49">
        <v>37622</v>
      </c>
      <c r="G14" s="52">
        <v>100.45</v>
      </c>
      <c r="H14" s="52">
        <v>107</v>
      </c>
      <c r="I14" s="148"/>
      <c r="J14" s="140">
        <v>1</v>
      </c>
      <c r="K14" s="140">
        <v>100</v>
      </c>
      <c r="L14"/>
      <c r="M14" s="147" cm="1">
        <f t="array" ref="M14:M25">_xlfn.LAMBDA(_xlpm.array,_xlpm.func,_xlpm.paramArrayPos,_xlop.param1,_xlop.param2,_xlop.param3,
_xlfn.LET(
_xlpm.nParams, NOT(_xlfn.ISOMITTED(_xlpm.param1)) + NOT(_xlfn.ISOMITTED(_xlpm.param2)) + NOT(_xlfn.ISOMITTED(_xlpm.param3)),
_xlpm.nLins, ROWS(_xlpm.array),
_xlpm.linVals, INDEX(_xlpm.array,1,0),
_xlpm.flin, _xlfn.SWITCH( _xlpm.nParams,
0, _xlpm.func(_xlpm.linVals),
1,  _xlfn.SWITCH( _xlpm.paramArrayPos, 1, _xlpm.func(_xlpm.linVals, _xlpm.param1), 2, _xlpm.func(_xlpm.param1, _xlpm.linVals)),
2,  _xlfn.SWITCH( _xlpm.paramArrayPos, 1, _xlpm.func(_xlpm.linVals, _xlpm.param1, _xlpm.param2), 2, _xlpm.func(_xlpm.param1, _xlpm.linVals, _xlpm.param2)),
3,  _xlfn.SWITCH( _xlpm.paramArrayPos, 1, _xlpm.func(_xlpm.linVals, _xlpm.param1, _xlpm.param2, _xlpm.param3), 2, _xlpm.func(_xlpm.param1, _xlpm.linVals, _xlpm.param2, _xlpm.param3), 3, _xlpm.func(_xlpm.param1, _xlpm.param2, _xlpm.linVals))
),
IF(_xlpm.nLins = 1, _xlpm.flin, _xlfn.VSTACK( _xlpm.flin, APPLYROWS(_xlfn.DROP(_xlpm.array,1,0), _xlpm.func, _xlpm.paramArrayPos, _xlpm.param1, _xlpm.param2, _xlpm.param3)))
))($G$14:$H$25,_xlfn.LAMBDA(_xlpm.values,_xlpm.factor, _xlpm.factor*AVERAGE(_xlpm.values)),$J$14,$K$14)</f>
        <v>10372.5</v>
      </c>
      <c r="N14" s="106"/>
      <c r="O14" s="147" cm="1">
        <f t="array" ref="O14:O25">APPLYROWS($G$14:$H$25,_xlfn.LAMBDA(_xlpm.values,_xlpm.factor, _xlpm.factor*AVERAGE(_xlpm.values)),$J$14,$K$14)</f>
        <v>10372.5</v>
      </c>
      <c r="P14" s="106"/>
      <c r="Q14" s="15"/>
      <c r="R14" s="15"/>
      <c r="S14" s="15"/>
      <c r="T14" s="15"/>
      <c r="U14" s="15"/>
      <c r="V14" s="15"/>
      <c r="W14" s="15"/>
      <c r="X14" s="15"/>
      <c r="Y14" s="15"/>
    </row>
    <row r="15" spans="1:25" s="21" customFormat="1" x14ac:dyDescent="0.55000000000000004">
      <c r="A15" s="17"/>
      <c r="B15"/>
      <c r="C15"/>
      <c r="D15" t="s">
        <v>196</v>
      </c>
      <c r="E15"/>
      <c r="F15" s="49">
        <v>37653</v>
      </c>
      <c r="G15" s="52">
        <v>101.95</v>
      </c>
      <c r="H15" s="52">
        <v>101.95</v>
      </c>
      <c r="I15"/>
      <c r="J15"/>
      <c r="K15"/>
      <c r="L15"/>
      <c r="M15" s="147">
        <v>10195</v>
      </c>
      <c r="N15" s="106"/>
      <c r="O15" s="147">
        <v>10195</v>
      </c>
      <c r="P15" s="106"/>
      <c r="Q15" s="15"/>
      <c r="R15" s="15"/>
      <c r="S15" s="15"/>
      <c r="T15" s="15"/>
      <c r="U15" s="15"/>
      <c r="V15" s="15"/>
      <c r="W15" s="15"/>
      <c r="X15" s="15"/>
      <c r="Y15" s="15"/>
    </row>
    <row r="16" spans="1:25" s="21" customFormat="1" x14ac:dyDescent="0.55000000000000004">
      <c r="A16" s="17"/>
      <c r="B16"/>
      <c r="C16"/>
      <c r="D16"/>
      <c r="E16"/>
      <c r="F16" s="49">
        <v>37681</v>
      </c>
      <c r="G16" s="52">
        <v>102.03</v>
      </c>
      <c r="H16" s="52">
        <v>102.03</v>
      </c>
      <c r="I16"/>
      <c r="J16"/>
      <c r="K16"/>
      <c r="L16"/>
      <c r="M16" s="147">
        <v>10203</v>
      </c>
      <c r="N16" s="106"/>
      <c r="O16" s="147">
        <v>10203</v>
      </c>
      <c r="P16" s="106"/>
      <c r="Q16" s="15"/>
      <c r="R16" s="15"/>
      <c r="S16" s="15"/>
      <c r="T16" s="15"/>
      <c r="U16" s="15"/>
      <c r="V16" s="15"/>
      <c r="W16" s="15"/>
      <c r="X16" s="15"/>
      <c r="Y16" s="15"/>
    </row>
    <row r="17" spans="4:25" s="21" customFormat="1" ht="14.25" x14ac:dyDescent="0.45">
      <c r="D17" s="175"/>
      <c r="E17"/>
      <c r="F17" s="49">
        <v>37712</v>
      </c>
      <c r="G17" s="52">
        <v>100.92</v>
      </c>
      <c r="H17" s="52">
        <v>100.92</v>
      </c>
      <c r="I17"/>
      <c r="J17"/>
      <c r="K17"/>
      <c r="L17"/>
      <c r="M17" s="147">
        <v>10092</v>
      </c>
      <c r="N17" s="106"/>
      <c r="O17" s="147">
        <v>10092</v>
      </c>
      <c r="P17" s="106"/>
      <c r="Q17" s="15"/>
      <c r="R17" s="15"/>
      <c r="S17" s="15"/>
      <c r="T17" s="15"/>
      <c r="U17" s="15"/>
      <c r="V17" s="15"/>
      <c r="W17" s="15"/>
      <c r="X17" s="15"/>
      <c r="Y17" s="15"/>
    </row>
    <row r="18" spans="4:25" s="21" customFormat="1" ht="14.25" x14ac:dyDescent="0.45">
      <c r="D18" s="175"/>
      <c r="E18"/>
      <c r="F18" s="49">
        <v>37742</v>
      </c>
      <c r="G18" s="52">
        <v>99.89</v>
      </c>
      <c r="H18" s="52">
        <v>99.89</v>
      </c>
      <c r="I18"/>
      <c r="J18"/>
      <c r="K18"/>
      <c r="L18"/>
      <c r="M18" s="147">
        <v>9989</v>
      </c>
      <c r="N18" s="106"/>
      <c r="O18" s="147">
        <v>9989</v>
      </c>
      <c r="P18" s="106"/>
      <c r="Q18" s="15"/>
      <c r="R18" s="15"/>
      <c r="S18" s="15"/>
      <c r="T18" s="15"/>
      <c r="U18" s="15"/>
      <c r="V18" s="15"/>
      <c r="W18" s="15"/>
      <c r="X18" s="15"/>
      <c r="Y18" s="15"/>
    </row>
    <row r="19" spans="4:25" s="21" customFormat="1" ht="14.25" x14ac:dyDescent="0.45">
      <c r="D19" s="46"/>
      <c r="E19"/>
      <c r="F19" s="49">
        <v>37773</v>
      </c>
      <c r="G19" s="52">
        <v>100.28</v>
      </c>
      <c r="H19" s="52">
        <v>100.28</v>
      </c>
      <c r="I19"/>
      <c r="J19"/>
      <c r="K19"/>
      <c r="L19"/>
      <c r="M19" s="147">
        <v>10028</v>
      </c>
      <c r="N19" s="106"/>
      <c r="O19" s="147">
        <v>10028</v>
      </c>
      <c r="P19" s="106"/>
      <c r="Q19" s="15"/>
      <c r="R19" s="15"/>
      <c r="S19" s="15"/>
      <c r="T19" s="15"/>
      <c r="U19" s="15"/>
      <c r="V19" s="15"/>
      <c r="W19" s="15"/>
      <c r="X19" s="15"/>
      <c r="Y19" s="15"/>
    </row>
    <row r="20" spans="4:25" s="21" customFormat="1" ht="14.25" x14ac:dyDescent="0.45">
      <c r="D20"/>
      <c r="E20"/>
      <c r="F20" s="49">
        <v>37803</v>
      </c>
      <c r="G20" s="52">
        <v>99.07</v>
      </c>
      <c r="H20" s="52">
        <v>99.07</v>
      </c>
      <c r="I20"/>
      <c r="J20"/>
      <c r="K20"/>
      <c r="L20"/>
      <c r="M20" s="147">
        <v>9907</v>
      </c>
      <c r="N20" s="106"/>
      <c r="O20" s="147">
        <v>9907</v>
      </c>
      <c r="P20" s="106"/>
      <c r="Q20" s="15"/>
      <c r="R20" s="15"/>
      <c r="S20" s="15"/>
      <c r="T20" s="15"/>
      <c r="U20" s="15"/>
      <c r="V20" s="15"/>
      <c r="W20" s="15"/>
      <c r="X20" s="15"/>
      <c r="Y20" s="15"/>
    </row>
    <row r="21" spans="4:25" s="21" customFormat="1" ht="14.25" x14ac:dyDescent="0.45">
      <c r="D21"/>
      <c r="E21"/>
      <c r="F21" s="49">
        <v>37834</v>
      </c>
      <c r="G21" s="52">
        <v>99.73</v>
      </c>
      <c r="H21" s="52">
        <v>99.73</v>
      </c>
      <c r="I21"/>
      <c r="J21"/>
      <c r="K21"/>
      <c r="L21"/>
      <c r="M21" s="147">
        <v>9973</v>
      </c>
      <c r="N21" s="106"/>
      <c r="O21" s="147">
        <v>9973</v>
      </c>
      <c r="P21" s="106"/>
      <c r="Q21" s="15"/>
      <c r="R21" s="15"/>
      <c r="S21" s="15"/>
      <c r="T21" s="15"/>
      <c r="U21" s="15"/>
      <c r="V21" s="15"/>
      <c r="W21" s="15"/>
      <c r="X21" s="15"/>
      <c r="Y21" s="15"/>
    </row>
    <row r="22" spans="4:25" s="21" customFormat="1" ht="14.25" x14ac:dyDescent="0.45">
      <c r="D22"/>
      <c r="E22"/>
      <c r="F22" s="49">
        <v>37865</v>
      </c>
      <c r="G22" s="52">
        <v>101.71</v>
      </c>
      <c r="H22" s="52">
        <v>101.71</v>
      </c>
      <c r="I22"/>
      <c r="J22"/>
      <c r="K22"/>
      <c r="L22"/>
      <c r="M22" s="147">
        <v>10171</v>
      </c>
      <c r="N22" s="106"/>
      <c r="O22" s="147">
        <v>10171</v>
      </c>
      <c r="P22" s="106"/>
      <c r="Q22" s="15"/>
      <c r="R22" s="15"/>
      <c r="S22" s="15"/>
      <c r="T22" s="15"/>
      <c r="U22" s="15"/>
      <c r="V22" s="15"/>
      <c r="W22" s="15"/>
      <c r="X22" s="15"/>
      <c r="Y22" s="15"/>
    </row>
    <row r="23" spans="4:25" s="21" customFormat="1" ht="14.25" x14ac:dyDescent="0.45">
      <c r="D23"/>
      <c r="E23"/>
      <c r="F23" s="49">
        <v>37895</v>
      </c>
      <c r="G23" s="52">
        <v>101.88</v>
      </c>
      <c r="H23" s="52">
        <v>101.88</v>
      </c>
      <c r="I23"/>
      <c r="J23"/>
      <c r="K23"/>
      <c r="L23"/>
      <c r="M23" s="147">
        <v>10188</v>
      </c>
      <c r="N23" s="106"/>
      <c r="O23" s="147">
        <v>10188</v>
      </c>
      <c r="P23" s="106"/>
      <c r="Q23" s="15"/>
      <c r="R23" s="15"/>
      <c r="S23" s="15"/>
      <c r="T23" s="15"/>
      <c r="U23" s="15"/>
      <c r="V23" s="15"/>
      <c r="W23" s="15"/>
      <c r="X23" s="15"/>
      <c r="Y23" s="15"/>
    </row>
    <row r="24" spans="4:25" s="21" customFormat="1" ht="14.25" x14ac:dyDescent="0.45">
      <c r="D24"/>
      <c r="E24"/>
      <c r="F24" s="49">
        <v>37926</v>
      </c>
      <c r="G24" s="52">
        <v>101.97</v>
      </c>
      <c r="H24" s="52">
        <v>101.97</v>
      </c>
      <c r="I24"/>
      <c r="J24"/>
      <c r="K24"/>
      <c r="L24"/>
      <c r="M24" s="147">
        <v>10197</v>
      </c>
      <c r="N24" s="106"/>
      <c r="O24" s="147">
        <v>10197</v>
      </c>
      <c r="P24" s="106"/>
      <c r="Q24" s="15"/>
      <c r="R24" s="15"/>
      <c r="S24" s="15"/>
      <c r="T24" s="15"/>
      <c r="U24" s="15"/>
      <c r="V24" s="15"/>
      <c r="W24" s="15"/>
      <c r="X24" s="15"/>
      <c r="Y24" s="15"/>
    </row>
    <row r="25" spans="4:25" s="21" customFormat="1" ht="14.25" x14ac:dyDescent="0.45">
      <c r="D25"/>
      <c r="E25"/>
      <c r="F25" s="49">
        <v>37956</v>
      </c>
      <c r="G25" s="52">
        <v>101.58</v>
      </c>
      <c r="H25" s="52">
        <v>101.58</v>
      </c>
      <c r="I25"/>
      <c r="J25"/>
      <c r="K25"/>
      <c r="L25"/>
      <c r="M25" s="147">
        <v>10158</v>
      </c>
      <c r="N25" s="106"/>
      <c r="O25" s="147">
        <v>10158</v>
      </c>
      <c r="P25" s="106"/>
      <c r="Q25" s="15"/>
      <c r="R25" s="15"/>
      <c r="S25" s="15"/>
      <c r="T25" s="15"/>
      <c r="U25" s="15"/>
      <c r="V25" s="15"/>
      <c r="W25" s="15"/>
      <c r="X25" s="15"/>
      <c r="Y25" s="15"/>
    </row>
    <row r="26" spans="4:25" s="21" customFormat="1" ht="14.25" x14ac:dyDescent="0.45">
      <c r="D26"/>
      <c r="E26"/>
      <c r="F26"/>
      <c r="G26"/>
      <c r="H26"/>
      <c r="I26"/>
      <c r="J26"/>
      <c r="K26"/>
      <c r="L26"/>
      <c r="M26" s="106"/>
      <c r="N26" s="106"/>
      <c r="O26" s="106"/>
      <c r="P26" s="106"/>
      <c r="Q26" s="15"/>
      <c r="R26" s="15"/>
      <c r="S26" s="15"/>
      <c r="T26" s="15"/>
      <c r="U26" s="15"/>
      <c r="V26" s="15"/>
      <c r="W26" s="15"/>
      <c r="X26" s="15"/>
      <c r="Y26" s="15"/>
    </row>
    <row r="27" spans="4:25" s="21" customFormat="1" ht="14.25" x14ac:dyDescent="0.45">
      <c r="D27"/>
      <c r="E27"/>
      <c r="F27"/>
      <c r="G27"/>
      <c r="H27"/>
      <c r="I27"/>
      <c r="J27"/>
      <c r="K27"/>
      <c r="L27"/>
      <c r="M27" s="106"/>
      <c r="N27" s="106"/>
      <c r="O27" s="106"/>
      <c r="P27" s="106"/>
      <c r="Q27" s="15"/>
      <c r="R27" s="15"/>
      <c r="S27" s="15"/>
      <c r="T27" s="15"/>
      <c r="U27" s="15"/>
      <c r="V27" s="15"/>
      <c r="W27" s="15"/>
      <c r="X27" s="15"/>
      <c r="Y27" s="15"/>
    </row>
    <row r="28" spans="4:25" s="21" customFormat="1" ht="14.25" x14ac:dyDescent="0.45">
      <c r="D28"/>
      <c r="E28"/>
      <c r="F28"/>
      <c r="G28"/>
      <c r="H28"/>
      <c r="I28"/>
      <c r="J28"/>
      <c r="K28"/>
      <c r="L28"/>
      <c r="M28" s="106"/>
      <c r="N28" s="106"/>
      <c r="O28" s="106"/>
      <c r="P28" s="106"/>
      <c r="Q28" s="15"/>
      <c r="R28" s="15"/>
      <c r="S28" s="15"/>
      <c r="T28" s="15"/>
      <c r="U28" s="15"/>
      <c r="V28" s="15"/>
      <c r="W28" s="15"/>
      <c r="X28" s="15"/>
      <c r="Y28" s="15"/>
    </row>
    <row r="29" spans="4:25" s="21" customFormat="1" ht="14.25" x14ac:dyDescent="0.45">
      <c r="D29"/>
      <c r="E29"/>
      <c r="F29"/>
      <c r="G29"/>
      <c r="H29"/>
      <c r="I29"/>
      <c r="J29"/>
      <c r="K29"/>
      <c r="L29"/>
      <c r="M29" s="106"/>
      <c r="N29" s="106"/>
      <c r="O29" s="106"/>
      <c r="P29" s="106"/>
      <c r="Q29" s="15"/>
      <c r="R29" s="15"/>
      <c r="S29" s="15"/>
      <c r="T29" s="15"/>
      <c r="U29" s="15"/>
      <c r="V29" s="15"/>
      <c r="W29" s="15"/>
      <c r="X29" s="15"/>
      <c r="Y29" s="15"/>
    </row>
    <row r="30" spans="4:25" s="21" customFormat="1" ht="14.25" x14ac:dyDescent="0.45">
      <c r="D30"/>
      <c r="E30"/>
      <c r="F30"/>
      <c r="G30"/>
      <c r="H30"/>
      <c r="I30"/>
      <c r="J30"/>
      <c r="K30"/>
      <c r="L30"/>
      <c r="M30" s="106"/>
      <c r="N30" s="106"/>
      <c r="O30" s="106"/>
      <c r="P30" s="106"/>
      <c r="Q30" s="15"/>
      <c r="R30" s="15"/>
      <c r="S30" s="15"/>
      <c r="T30" s="15"/>
      <c r="U30" s="15"/>
      <c r="V30" s="15"/>
      <c r="W30" s="15"/>
      <c r="X30" s="15"/>
      <c r="Y30" s="15"/>
    </row>
    <row r="31" spans="4:25" s="21" customFormat="1" ht="14.25" x14ac:dyDescent="0.45">
      <c r="D31"/>
      <c r="E31"/>
      <c r="F31"/>
      <c r="G31"/>
      <c r="H31"/>
      <c r="I31"/>
      <c r="J31"/>
      <c r="K31"/>
      <c r="L31"/>
      <c r="M31" s="106"/>
      <c r="N31" s="106"/>
      <c r="O31" s="106"/>
      <c r="P31" s="106"/>
      <c r="Q31" s="15"/>
      <c r="R31" s="15"/>
      <c r="S31" s="15"/>
      <c r="T31" s="15"/>
      <c r="U31" s="15"/>
      <c r="V31" s="15"/>
      <c r="W31" s="15"/>
      <c r="X31" s="15"/>
      <c r="Y31" s="15"/>
    </row>
    <row r="32" spans="4:25" s="21" customFormat="1" ht="14.25" x14ac:dyDescent="0.45">
      <c r="D32"/>
      <c r="E32"/>
      <c r="F32"/>
      <c r="G32"/>
      <c r="H32"/>
      <c r="I32"/>
      <c r="J32"/>
      <c r="K32"/>
      <c r="L32"/>
      <c r="M32" s="106"/>
      <c r="N32" s="106"/>
      <c r="O32" s="106"/>
      <c r="P32" s="106"/>
      <c r="Q32" s="15"/>
      <c r="R32" s="15"/>
      <c r="S32" s="15"/>
      <c r="T32" s="15"/>
      <c r="U32" s="15"/>
      <c r="V32" s="15"/>
      <c r="W32" s="15"/>
      <c r="X32" s="15"/>
      <c r="Y32" s="15"/>
    </row>
    <row r="33" spans="6:25" s="21" customFormat="1" ht="14.25" x14ac:dyDescent="0.45">
      <c r="F33"/>
      <c r="G33"/>
      <c r="H33"/>
      <c r="I33"/>
      <c r="J33"/>
      <c r="K33"/>
      <c r="L33"/>
      <c r="M33" s="106"/>
      <c r="N33" s="106"/>
      <c r="O33" s="106"/>
      <c r="P33" s="106"/>
      <c r="Q33" s="15"/>
      <c r="R33" s="15"/>
      <c r="S33" s="15"/>
      <c r="T33" s="15"/>
      <c r="U33" s="15"/>
      <c r="V33" s="15"/>
      <c r="W33" s="15"/>
      <c r="X33" s="15"/>
      <c r="Y33" s="15"/>
    </row>
    <row r="34" spans="6:25" s="21" customFormat="1" ht="14.25" x14ac:dyDescent="0.45">
      <c r="F34"/>
      <c r="G34"/>
      <c r="H34"/>
      <c r="I34"/>
      <c r="J34"/>
      <c r="K34"/>
      <c r="L34"/>
      <c r="M34" s="106"/>
      <c r="N34" s="106"/>
      <c r="O34" s="106"/>
      <c r="P34" s="106"/>
      <c r="Q34" s="15"/>
      <c r="R34" s="15"/>
      <c r="S34" s="15"/>
      <c r="T34" s="15"/>
      <c r="U34" s="15"/>
      <c r="V34" s="15"/>
      <c r="W34" s="15"/>
      <c r="X34" s="15"/>
      <c r="Y34" s="15"/>
    </row>
    <row r="35" spans="6:25" s="21" customFormat="1" ht="14.25" x14ac:dyDescent="0.45">
      <c r="F35"/>
      <c r="G35"/>
      <c r="H35"/>
      <c r="I35"/>
      <c r="J35"/>
      <c r="K35"/>
      <c r="L35"/>
      <c r="M35" s="106"/>
      <c r="N35" s="106"/>
      <c r="O35" s="106"/>
      <c r="P35" s="106"/>
      <c r="Q35" s="15"/>
      <c r="R35" s="15"/>
      <c r="S35" s="15"/>
      <c r="T35" s="15"/>
      <c r="U35" s="15"/>
      <c r="V35" s="15"/>
      <c r="W35" s="15"/>
      <c r="X35" s="15"/>
      <c r="Y35" s="15"/>
    </row>
    <row r="36" spans="6:25" s="21" customFormat="1" ht="14.25" x14ac:dyDescent="0.45">
      <c r="F36"/>
      <c r="G36"/>
      <c r="H36"/>
      <c r="I36"/>
      <c r="J36"/>
      <c r="K36"/>
      <c r="L36"/>
      <c r="M36" s="106"/>
      <c r="N36" s="106"/>
      <c r="O36" s="106"/>
      <c r="P36" s="106"/>
      <c r="Q36" s="15"/>
      <c r="R36" s="15"/>
      <c r="S36" s="15"/>
      <c r="T36" s="15"/>
      <c r="U36" s="15"/>
      <c r="V36" s="15"/>
      <c r="W36" s="15"/>
      <c r="X36" s="15"/>
      <c r="Y36" s="15"/>
    </row>
    <row r="37" spans="6:25" s="21" customFormat="1" ht="14.25" x14ac:dyDescent="0.45">
      <c r="F37"/>
      <c r="G37"/>
      <c r="H37"/>
      <c r="I37"/>
      <c r="J37"/>
      <c r="K37"/>
      <c r="L37"/>
      <c r="M37" s="106"/>
      <c r="N37" s="106"/>
      <c r="O37" s="106"/>
      <c r="P37" s="106"/>
      <c r="Q37" s="15"/>
      <c r="R37" s="15"/>
      <c r="S37" s="15"/>
      <c r="T37" s="15"/>
      <c r="U37" s="15"/>
      <c r="V37" s="15"/>
      <c r="W37" s="15"/>
      <c r="X37" s="15"/>
      <c r="Y37" s="15"/>
    </row>
    <row r="38" spans="6:25" s="21" customFormat="1" ht="14.25" x14ac:dyDescent="0.45">
      <c r="F38"/>
      <c r="G38"/>
      <c r="H38"/>
      <c r="I38"/>
      <c r="J38"/>
      <c r="K38"/>
      <c r="L38"/>
      <c r="M38" s="106"/>
      <c r="N38" s="106"/>
      <c r="O38" s="106"/>
      <c r="P38" s="106"/>
      <c r="Q38" s="15"/>
      <c r="R38" s="15"/>
      <c r="S38" s="15"/>
      <c r="T38" s="15"/>
      <c r="U38" s="15"/>
      <c r="V38" s="15"/>
      <c r="W38" s="15"/>
      <c r="X38" s="15"/>
      <c r="Y38" s="15"/>
    </row>
    <row r="39" spans="6:25" s="21" customFormat="1" ht="14.25" x14ac:dyDescent="0.45">
      <c r="F39"/>
      <c r="G39"/>
      <c r="H39"/>
      <c r="I39"/>
      <c r="J39"/>
      <c r="K39"/>
      <c r="L39"/>
      <c r="M39" s="106"/>
      <c r="N39" s="106"/>
      <c r="O39" s="106"/>
      <c r="P39" s="106"/>
      <c r="Q39" s="15"/>
      <c r="R39" s="15"/>
      <c r="S39" s="15"/>
      <c r="T39" s="15"/>
      <c r="U39" s="15"/>
      <c r="V39" s="15"/>
      <c r="W39" s="15"/>
      <c r="X39" s="15"/>
      <c r="Y39" s="15"/>
    </row>
    <row r="40" spans="6:25" s="21" customFormat="1" ht="14.25" x14ac:dyDescent="0.45">
      <c r="F40"/>
      <c r="G40"/>
      <c r="H40"/>
      <c r="I40"/>
      <c r="J40"/>
      <c r="K40"/>
      <c r="L40"/>
      <c r="M40" s="106"/>
      <c r="N40" s="106"/>
      <c r="O40" s="106"/>
      <c r="P40" s="106"/>
      <c r="Q40" s="15"/>
      <c r="R40" s="15"/>
      <c r="S40" s="15"/>
      <c r="T40" s="15"/>
      <c r="U40" s="15"/>
      <c r="V40" s="15"/>
      <c r="W40" s="15"/>
      <c r="X40" s="15"/>
      <c r="Y40" s="15"/>
    </row>
    <row r="41" spans="6:25" s="21" customFormat="1" ht="14.25" x14ac:dyDescent="0.45">
      <c r="F41"/>
      <c r="G41"/>
      <c r="H41"/>
      <c r="I41"/>
      <c r="J41"/>
      <c r="K41"/>
      <c r="L41"/>
      <c r="M41" s="106"/>
      <c r="N41" s="106"/>
      <c r="O41" s="106"/>
      <c r="P41" s="106"/>
      <c r="Q41" s="15"/>
      <c r="R41" s="15"/>
      <c r="S41" s="15"/>
      <c r="T41" s="15"/>
      <c r="U41" s="15"/>
      <c r="V41" s="15"/>
      <c r="W41" s="15"/>
      <c r="X41" s="15"/>
      <c r="Y41" s="15"/>
    </row>
    <row r="42" spans="6:25" s="21" customFormat="1" ht="14.25" x14ac:dyDescent="0.45">
      <c r="F42"/>
      <c r="G42"/>
      <c r="H42"/>
      <c r="I42"/>
      <c r="J42"/>
      <c r="K42"/>
      <c r="L42"/>
      <c r="M42" s="106"/>
      <c r="N42" s="106"/>
      <c r="O42" s="106"/>
      <c r="P42" s="106"/>
      <c r="Q42" s="15"/>
      <c r="R42" s="15"/>
      <c r="S42" s="15"/>
      <c r="T42" s="15"/>
      <c r="U42" s="15"/>
      <c r="V42" s="15"/>
      <c r="W42" s="15"/>
      <c r="X42" s="15"/>
      <c r="Y42" s="15"/>
    </row>
    <row r="43" spans="6:25" s="21" customFormat="1" ht="14.25" x14ac:dyDescent="0.45">
      <c r="F43"/>
      <c r="G43"/>
      <c r="H43"/>
      <c r="I43"/>
      <c r="J43"/>
      <c r="K43"/>
      <c r="L43"/>
      <c r="M43" s="106"/>
      <c r="N43" s="106"/>
      <c r="O43" s="106"/>
      <c r="P43" s="106"/>
      <c r="Q43" s="15"/>
      <c r="R43" s="15"/>
      <c r="S43" s="15"/>
      <c r="T43" s="15"/>
      <c r="U43" s="15"/>
      <c r="V43" s="15"/>
      <c r="W43" s="15"/>
      <c r="X43" s="15"/>
      <c r="Y43" s="15"/>
    </row>
    <row r="44" spans="6:25" s="21" customFormat="1" ht="14.25" x14ac:dyDescent="0.45">
      <c r="F44"/>
      <c r="G44"/>
      <c r="H44"/>
      <c r="I44"/>
      <c r="J44"/>
      <c r="K44"/>
      <c r="L44"/>
      <c r="M44" s="106"/>
      <c r="N44" s="106"/>
      <c r="O44" s="106"/>
      <c r="P44" s="106"/>
      <c r="Q44" s="15"/>
      <c r="R44" s="15"/>
      <c r="S44" s="15"/>
      <c r="T44" s="15"/>
      <c r="U44" s="15"/>
      <c r="V44" s="15"/>
      <c r="W44" s="15"/>
      <c r="X44" s="15"/>
      <c r="Y44" s="15"/>
    </row>
    <row r="45" spans="6:25" s="21" customFormat="1" ht="14.25" x14ac:dyDescent="0.45">
      <c r="F45"/>
      <c r="G45"/>
      <c r="H45"/>
      <c r="I45"/>
      <c r="J45"/>
      <c r="K45"/>
      <c r="L45"/>
      <c r="M45" s="106"/>
      <c r="N45" s="106"/>
      <c r="O45" s="106"/>
      <c r="P45" s="106"/>
      <c r="Q45" s="15"/>
      <c r="R45" s="15"/>
      <c r="S45" s="15"/>
      <c r="T45" s="15"/>
      <c r="U45" s="15"/>
      <c r="V45" s="15"/>
      <c r="W45" s="15"/>
      <c r="X45" s="15"/>
      <c r="Y45" s="15"/>
    </row>
    <row r="46" spans="6:25" s="21" customFormat="1" ht="14.25" x14ac:dyDescent="0.45">
      <c r="F46"/>
      <c r="G46"/>
      <c r="H46"/>
      <c r="I46"/>
      <c r="J46"/>
      <c r="K46"/>
      <c r="L46"/>
      <c r="M46" s="106"/>
      <c r="N46" s="106"/>
      <c r="O46" s="106"/>
      <c r="P46" s="106"/>
      <c r="Q46" s="15"/>
      <c r="R46" s="15"/>
      <c r="S46" s="15"/>
      <c r="T46" s="15"/>
      <c r="U46" s="15"/>
      <c r="V46" s="15"/>
      <c r="W46" s="15"/>
      <c r="X46" s="15"/>
      <c r="Y46" s="15"/>
    </row>
    <row r="47" spans="6:25" s="21" customFormat="1" ht="14.25" x14ac:dyDescent="0.45">
      <c r="F47"/>
      <c r="G47"/>
      <c r="H47"/>
      <c r="I47"/>
      <c r="J47"/>
      <c r="K47"/>
      <c r="L47"/>
      <c r="M47" s="106"/>
      <c r="N47" s="106"/>
      <c r="O47" s="106"/>
      <c r="P47" s="106"/>
      <c r="Q47" s="15"/>
      <c r="R47" s="15"/>
      <c r="S47" s="15"/>
      <c r="T47" s="15"/>
      <c r="U47" s="15"/>
      <c r="V47" s="15"/>
      <c r="W47" s="15"/>
      <c r="X47" s="15"/>
      <c r="Y47" s="15"/>
    </row>
    <row r="48" spans="6:25" s="21" customFormat="1" ht="14.25" x14ac:dyDescent="0.45">
      <c r="F48"/>
      <c r="G48"/>
      <c r="H48"/>
      <c r="I48"/>
      <c r="J48"/>
      <c r="K48"/>
      <c r="L48"/>
      <c r="M48" s="106"/>
      <c r="N48" s="106"/>
      <c r="O48" s="106"/>
      <c r="P48" s="106"/>
      <c r="Q48" s="15"/>
      <c r="R48" s="15"/>
      <c r="S48" s="15"/>
      <c r="T48" s="15"/>
      <c r="U48" s="15"/>
      <c r="V48" s="15"/>
      <c r="W48" s="15"/>
      <c r="X48" s="15"/>
      <c r="Y48" s="15"/>
    </row>
    <row r="49" spans="6:25" s="21" customFormat="1" ht="14.25" x14ac:dyDescent="0.45">
      <c r="F49"/>
      <c r="G49"/>
      <c r="H49"/>
      <c r="I49"/>
      <c r="J49"/>
      <c r="K49"/>
      <c r="L49"/>
      <c r="M49" s="106"/>
      <c r="N49" s="106"/>
      <c r="O49" s="106"/>
      <c r="P49" s="106"/>
      <c r="Q49" s="15"/>
      <c r="R49" s="15"/>
      <c r="S49" s="15"/>
      <c r="T49" s="15"/>
      <c r="U49" s="15"/>
      <c r="V49" s="15"/>
      <c r="W49" s="15"/>
      <c r="X49" s="15"/>
      <c r="Y49" s="15"/>
    </row>
    <row r="50" spans="6:25" s="21" customFormat="1" ht="14.25" x14ac:dyDescent="0.45">
      <c r="F50"/>
      <c r="G50"/>
      <c r="H50"/>
      <c r="I50"/>
      <c r="J50"/>
      <c r="K50"/>
      <c r="L50"/>
      <c r="M50" s="106"/>
      <c r="N50" s="106"/>
      <c r="O50" s="106"/>
      <c r="P50" s="106"/>
      <c r="Q50" s="15"/>
      <c r="R50" s="15"/>
      <c r="S50" s="15"/>
      <c r="T50" s="15"/>
      <c r="U50" s="15"/>
      <c r="V50" s="15"/>
      <c r="W50" s="15"/>
      <c r="X50" s="15"/>
      <c r="Y50" s="15"/>
    </row>
    <row r="51" spans="6:25" s="21" customFormat="1" ht="14.25" x14ac:dyDescent="0.45">
      <c r="F51"/>
      <c r="G51"/>
      <c r="H51"/>
      <c r="I51"/>
      <c r="J51"/>
      <c r="K51"/>
      <c r="L51"/>
      <c r="M51" s="106"/>
      <c r="N51" s="106"/>
      <c r="O51" s="106"/>
      <c r="P51" s="106"/>
      <c r="Q51" s="15"/>
      <c r="R51" s="15"/>
      <c r="S51" s="15"/>
      <c r="T51" s="15"/>
      <c r="U51" s="15"/>
      <c r="V51" s="15"/>
      <c r="W51" s="15"/>
      <c r="X51" s="15"/>
      <c r="Y51" s="15"/>
    </row>
    <row r="52" spans="6:25" s="21" customFormat="1" ht="14.25" x14ac:dyDescent="0.45">
      <c r="F52"/>
      <c r="G52"/>
      <c r="H52"/>
      <c r="I52"/>
      <c r="J52"/>
      <c r="K52"/>
      <c r="L52"/>
      <c r="M52" s="106"/>
      <c r="N52" s="106"/>
      <c r="O52" s="106"/>
      <c r="P52" s="106"/>
      <c r="Q52" s="15"/>
      <c r="R52" s="15"/>
      <c r="S52" s="15"/>
      <c r="T52" s="15"/>
      <c r="U52" s="15"/>
      <c r="V52" s="15"/>
      <c r="W52" s="15"/>
      <c r="X52" s="15"/>
      <c r="Y52" s="15"/>
    </row>
    <row r="53" spans="6:25" s="21" customFormat="1" ht="14.25" x14ac:dyDescent="0.45">
      <c r="F53"/>
      <c r="G53"/>
      <c r="H53"/>
      <c r="I53"/>
      <c r="J53"/>
      <c r="K53"/>
      <c r="L53"/>
      <c r="M53" s="106"/>
      <c r="N53" s="106"/>
      <c r="O53" s="106"/>
      <c r="P53" s="106"/>
      <c r="Q53" s="15"/>
      <c r="R53" s="15"/>
      <c r="S53" s="15"/>
      <c r="T53" s="15"/>
      <c r="U53" s="15"/>
      <c r="V53" s="15"/>
      <c r="W53" s="15"/>
      <c r="X53" s="15"/>
      <c r="Y53" s="15"/>
    </row>
    <row r="54" spans="6:25" s="21" customFormat="1" ht="14.25" x14ac:dyDescent="0.45">
      <c r="F54"/>
      <c r="G54"/>
      <c r="H54"/>
      <c r="I54"/>
      <c r="J54"/>
      <c r="K54"/>
      <c r="L54"/>
      <c r="M54" s="106"/>
      <c r="N54" s="106"/>
      <c r="O54" s="106"/>
      <c r="P54" s="106"/>
      <c r="Q54" s="15"/>
      <c r="R54" s="15"/>
      <c r="S54" s="15"/>
      <c r="T54" s="15"/>
      <c r="U54" s="15"/>
      <c r="V54" s="15"/>
      <c r="W54" s="15"/>
      <c r="X54" s="15"/>
      <c r="Y54" s="15"/>
    </row>
    <row r="55" spans="6:25" s="21" customFormat="1" ht="14.25" x14ac:dyDescent="0.45">
      <c r="F55"/>
      <c r="G55"/>
      <c r="H55"/>
      <c r="I55"/>
      <c r="J55"/>
      <c r="K55"/>
      <c r="L55"/>
      <c r="M55" s="106"/>
      <c r="N55" s="106"/>
      <c r="O55" s="106"/>
      <c r="P55" s="106"/>
      <c r="Q55" s="15"/>
      <c r="R55" s="15"/>
      <c r="S55" s="15"/>
      <c r="T55" s="15"/>
      <c r="U55" s="15"/>
      <c r="V55" s="15"/>
      <c r="W55" s="15"/>
      <c r="X55" s="15"/>
      <c r="Y55" s="15"/>
    </row>
    <row r="56" spans="6:25" s="21" customFormat="1" ht="14.25" x14ac:dyDescent="0.45">
      <c r="F56"/>
      <c r="G56"/>
      <c r="H56"/>
      <c r="I56"/>
      <c r="J56"/>
      <c r="K56"/>
      <c r="L56"/>
      <c r="M56" s="106"/>
      <c r="N56" s="106"/>
      <c r="O56" s="106"/>
      <c r="P56" s="106"/>
      <c r="Q56" s="15"/>
      <c r="R56" s="15"/>
      <c r="S56" s="15"/>
      <c r="T56" s="15"/>
      <c r="U56" s="15"/>
      <c r="V56" s="15"/>
      <c r="W56" s="15"/>
      <c r="X56" s="15"/>
      <c r="Y56" s="15"/>
    </row>
    <row r="57" spans="6:25" s="21" customFormat="1" ht="14.25" x14ac:dyDescent="0.45">
      <c r="F57"/>
      <c r="G57"/>
      <c r="H57"/>
      <c r="I57"/>
      <c r="J57"/>
      <c r="K57"/>
      <c r="L57"/>
      <c r="M57" s="106"/>
      <c r="N57" s="106"/>
      <c r="O57" s="106"/>
      <c r="P57" s="106"/>
      <c r="Q57" s="15"/>
      <c r="R57" s="15"/>
      <c r="S57" s="15"/>
      <c r="T57" s="15"/>
      <c r="U57" s="15"/>
      <c r="V57" s="15"/>
      <c r="W57" s="15"/>
      <c r="X57" s="15"/>
      <c r="Y57" s="15"/>
    </row>
    <row r="58" spans="6:25" s="21" customFormat="1" ht="14.25" x14ac:dyDescent="0.45">
      <c r="F58"/>
      <c r="G58"/>
      <c r="H58"/>
      <c r="I58"/>
      <c r="J58"/>
      <c r="K58"/>
      <c r="L58"/>
      <c r="M58" s="106"/>
      <c r="N58" s="106"/>
      <c r="O58" s="106"/>
      <c r="P58" s="106"/>
      <c r="Q58" s="15"/>
      <c r="R58" s="15"/>
      <c r="S58" s="15"/>
      <c r="T58" s="15"/>
      <c r="U58" s="15"/>
      <c r="V58" s="15"/>
      <c r="W58" s="15"/>
      <c r="X58" s="15"/>
      <c r="Y58" s="15"/>
    </row>
    <row r="59" spans="6:25" s="21" customFormat="1" ht="14.25" x14ac:dyDescent="0.45">
      <c r="F59"/>
      <c r="G59"/>
      <c r="H59"/>
      <c r="I59"/>
      <c r="J59"/>
      <c r="K59"/>
      <c r="L59"/>
      <c r="M59" s="106"/>
      <c r="N59" s="106"/>
      <c r="O59" s="106"/>
      <c r="P59" s="106"/>
      <c r="Q59" s="15"/>
      <c r="R59" s="15"/>
      <c r="S59" s="15"/>
      <c r="T59" s="15"/>
      <c r="U59" s="15"/>
      <c r="V59" s="15"/>
      <c r="W59" s="15"/>
      <c r="X59" s="15"/>
      <c r="Y59" s="15"/>
    </row>
    <row r="60" spans="6:25" s="21" customFormat="1" ht="14.25" x14ac:dyDescent="0.45">
      <c r="F60"/>
      <c r="G60"/>
      <c r="H60"/>
      <c r="I60"/>
      <c r="J60"/>
      <c r="K60"/>
      <c r="L60"/>
      <c r="M60" s="106"/>
      <c r="N60" s="106"/>
      <c r="O60" s="106"/>
      <c r="P60" s="106"/>
      <c r="Q60" s="15"/>
      <c r="R60" s="15"/>
      <c r="S60" s="15"/>
      <c r="T60" s="15"/>
      <c r="U60" s="15"/>
      <c r="V60" s="15"/>
      <c r="W60" s="15"/>
      <c r="X60" s="15"/>
      <c r="Y60" s="15"/>
    </row>
    <row r="61" spans="6:25" s="21" customFormat="1" ht="14.25" x14ac:dyDescent="0.45">
      <c r="F61"/>
      <c r="G61"/>
      <c r="H61"/>
      <c r="I61"/>
      <c r="J61"/>
      <c r="K61"/>
      <c r="L61"/>
      <c r="M61" s="106"/>
      <c r="N61" s="106"/>
      <c r="O61" s="106"/>
      <c r="P61" s="106"/>
      <c r="Q61" s="15"/>
      <c r="R61" s="15"/>
      <c r="S61" s="15"/>
      <c r="T61" s="15"/>
      <c r="U61" s="15"/>
      <c r="V61" s="15"/>
      <c r="W61" s="15"/>
      <c r="X61" s="15"/>
      <c r="Y61" s="15"/>
    </row>
    <row r="62" spans="6:25" s="21" customFormat="1" ht="14.25" x14ac:dyDescent="0.45">
      <c r="F62"/>
      <c r="G62"/>
      <c r="H62"/>
      <c r="I62"/>
      <c r="J62"/>
      <c r="K62"/>
      <c r="L62"/>
      <c r="M62" s="106"/>
      <c r="N62" s="106"/>
      <c r="O62" s="106"/>
      <c r="P62" s="106"/>
      <c r="Q62" s="15"/>
      <c r="R62" s="15"/>
      <c r="S62" s="15"/>
      <c r="T62" s="15"/>
      <c r="U62" s="15"/>
      <c r="V62" s="15"/>
      <c r="W62" s="15"/>
      <c r="X62" s="15"/>
      <c r="Y62" s="15"/>
    </row>
    <row r="63" spans="6:25" s="21" customFormat="1" ht="14.25" x14ac:dyDescent="0.45">
      <c r="F63"/>
      <c r="G63"/>
      <c r="H63"/>
      <c r="I63"/>
      <c r="J63"/>
      <c r="K63"/>
      <c r="L63"/>
      <c r="M63" s="106"/>
      <c r="N63" s="106"/>
      <c r="O63" s="106"/>
      <c r="P63" s="106"/>
      <c r="Q63" s="15"/>
      <c r="R63" s="15"/>
      <c r="S63" s="15"/>
      <c r="T63" s="15"/>
      <c r="U63" s="15"/>
      <c r="V63" s="15"/>
      <c r="W63" s="15"/>
      <c r="X63" s="15"/>
      <c r="Y63" s="15"/>
    </row>
    <row r="64" spans="6:25" s="21" customFormat="1" ht="14.25" x14ac:dyDescent="0.45">
      <c r="F64"/>
      <c r="G64"/>
      <c r="H64"/>
      <c r="I64"/>
      <c r="J64"/>
      <c r="K64"/>
      <c r="L64"/>
      <c r="M64" s="106"/>
      <c r="N64" s="106"/>
      <c r="O64" s="106"/>
      <c r="P64" s="106"/>
      <c r="Q64" s="15"/>
      <c r="R64" s="15"/>
      <c r="S64" s="15"/>
      <c r="T64" s="15"/>
      <c r="U64" s="15"/>
      <c r="V64" s="15"/>
      <c r="W64" s="15"/>
      <c r="X64" s="15"/>
      <c r="Y64" s="15"/>
    </row>
    <row r="65" spans="6:25" s="21" customFormat="1" ht="14.25" x14ac:dyDescent="0.45">
      <c r="F65"/>
      <c r="G65"/>
      <c r="H65"/>
      <c r="I65"/>
      <c r="J65"/>
      <c r="K65"/>
      <c r="L65"/>
      <c r="M65" s="106"/>
      <c r="N65" s="106"/>
      <c r="O65" s="106"/>
      <c r="P65" s="106"/>
      <c r="Q65" s="15"/>
      <c r="R65" s="15"/>
      <c r="S65" s="15"/>
      <c r="T65" s="15"/>
      <c r="U65" s="15"/>
      <c r="V65" s="15"/>
      <c r="W65" s="15"/>
      <c r="X65" s="15"/>
      <c r="Y65" s="15"/>
    </row>
    <row r="66" spans="6:25" s="21" customFormat="1" ht="14.25" x14ac:dyDescent="0.45">
      <c r="F66"/>
      <c r="G66"/>
      <c r="H66"/>
      <c r="I66"/>
      <c r="J66"/>
      <c r="K66"/>
      <c r="L66"/>
      <c r="M66" s="106"/>
      <c r="N66" s="106"/>
      <c r="O66" s="106"/>
      <c r="P66" s="106"/>
      <c r="Q66" s="15"/>
      <c r="R66" s="15"/>
      <c r="S66" s="15"/>
      <c r="T66" s="15"/>
      <c r="U66" s="15"/>
      <c r="V66" s="15"/>
      <c r="W66" s="15"/>
      <c r="X66" s="15"/>
      <c r="Y66" s="15"/>
    </row>
    <row r="67" spans="6:25" s="21" customFormat="1" ht="14.25" x14ac:dyDescent="0.45">
      <c r="F67"/>
      <c r="G67"/>
      <c r="H67"/>
      <c r="I67"/>
      <c r="J67"/>
      <c r="K67"/>
      <c r="L67"/>
      <c r="M67" s="106"/>
      <c r="N67" s="106"/>
      <c r="O67" s="106"/>
      <c r="P67" s="106"/>
      <c r="Q67" s="15"/>
      <c r="R67" s="15"/>
      <c r="S67" s="15"/>
      <c r="T67" s="15"/>
      <c r="U67" s="15"/>
      <c r="V67" s="15"/>
      <c r="W67" s="15"/>
      <c r="X67" s="15"/>
      <c r="Y67" s="15"/>
    </row>
    <row r="68" spans="6:25" s="21" customFormat="1" ht="14.25" x14ac:dyDescent="0.45">
      <c r="F68"/>
      <c r="G68"/>
      <c r="H68"/>
      <c r="I68"/>
      <c r="J68"/>
      <c r="K68"/>
      <c r="L68"/>
      <c r="M68" s="106"/>
      <c r="N68" s="106"/>
      <c r="O68" s="106"/>
      <c r="P68" s="106"/>
      <c r="Q68" s="15"/>
      <c r="R68" s="15"/>
      <c r="S68" s="15"/>
      <c r="T68" s="15"/>
      <c r="U68" s="15"/>
      <c r="V68" s="15"/>
      <c r="W68" s="15"/>
      <c r="X68" s="15"/>
      <c r="Y68" s="15"/>
    </row>
    <row r="69" spans="6:25" s="21" customFormat="1" ht="14.25" x14ac:dyDescent="0.45">
      <c r="F69"/>
      <c r="G69"/>
      <c r="H69"/>
      <c r="I69"/>
      <c r="J69"/>
      <c r="K69"/>
      <c r="L69"/>
      <c r="M69" s="106"/>
      <c r="N69" s="106"/>
      <c r="O69" s="106"/>
      <c r="P69" s="106"/>
      <c r="Q69" s="15"/>
      <c r="R69" s="15"/>
      <c r="S69" s="15"/>
      <c r="T69" s="15"/>
      <c r="U69" s="15"/>
      <c r="V69" s="15"/>
      <c r="W69" s="15"/>
      <c r="X69" s="15"/>
      <c r="Y69" s="15"/>
    </row>
    <row r="70" spans="6:25" s="21" customFormat="1" ht="14.25" x14ac:dyDescent="0.45">
      <c r="F70"/>
      <c r="G70"/>
      <c r="H70"/>
      <c r="I70"/>
      <c r="J70"/>
      <c r="K70"/>
      <c r="L70"/>
      <c r="M70" s="106"/>
      <c r="N70" s="106"/>
      <c r="O70" s="106"/>
      <c r="P70" s="106"/>
      <c r="Q70" s="15"/>
      <c r="R70" s="15"/>
      <c r="S70" s="15"/>
      <c r="T70" s="15"/>
      <c r="U70" s="15"/>
      <c r="V70" s="15"/>
      <c r="W70" s="15"/>
      <c r="X70" s="15"/>
      <c r="Y70" s="15"/>
    </row>
    <row r="71" spans="6:25" s="21" customFormat="1" ht="14.25" x14ac:dyDescent="0.45">
      <c r="F71"/>
      <c r="G71"/>
      <c r="H71"/>
      <c r="I71"/>
      <c r="J71"/>
      <c r="K71"/>
      <c r="L71"/>
      <c r="M71" s="106"/>
      <c r="N71" s="106"/>
      <c r="O71" s="106"/>
      <c r="P71" s="106"/>
      <c r="Q71" s="15"/>
      <c r="R71" s="15"/>
      <c r="S71" s="15"/>
      <c r="T71" s="15"/>
      <c r="U71" s="15"/>
      <c r="V71" s="15"/>
      <c r="W71" s="15"/>
      <c r="X71" s="15"/>
      <c r="Y71" s="15"/>
    </row>
    <row r="72" spans="6:25" s="21" customFormat="1" ht="14.25" x14ac:dyDescent="0.45">
      <c r="F72"/>
      <c r="G72"/>
      <c r="H72"/>
      <c r="I72"/>
      <c r="J72"/>
      <c r="K72"/>
      <c r="L72"/>
      <c r="M72" s="106"/>
      <c r="N72" s="106"/>
      <c r="O72" s="106"/>
      <c r="P72" s="106"/>
      <c r="Q72" s="15"/>
      <c r="R72" s="15"/>
      <c r="S72" s="15"/>
      <c r="T72" s="15"/>
      <c r="U72" s="15"/>
      <c r="V72" s="15"/>
      <c r="W72" s="15"/>
      <c r="X72" s="15"/>
      <c r="Y72" s="15"/>
    </row>
    <row r="73" spans="6:25" s="21" customFormat="1" ht="14.25" x14ac:dyDescent="0.45">
      <c r="F73"/>
      <c r="G73"/>
      <c r="H73"/>
      <c r="I73"/>
      <c r="J73"/>
      <c r="K73"/>
      <c r="L73"/>
      <c r="M73" s="106"/>
      <c r="N73" s="106"/>
      <c r="O73" s="106"/>
      <c r="P73" s="106"/>
      <c r="Q73" s="15"/>
      <c r="R73" s="15"/>
      <c r="S73" s="15"/>
      <c r="T73" s="15"/>
      <c r="U73" s="15"/>
      <c r="V73" s="15"/>
      <c r="W73" s="15"/>
      <c r="X73" s="15"/>
      <c r="Y73" s="15"/>
    </row>
    <row r="74" spans="6:25" s="21" customFormat="1" ht="14.25" x14ac:dyDescent="0.45">
      <c r="F74"/>
      <c r="G74"/>
      <c r="H74"/>
      <c r="I74"/>
      <c r="J74"/>
      <c r="K74"/>
      <c r="L74"/>
      <c r="M74" s="106"/>
      <c r="N74" s="106"/>
      <c r="O74" s="106"/>
      <c r="P74" s="106"/>
      <c r="Q74" s="15"/>
      <c r="R74" s="15"/>
      <c r="S74" s="15"/>
      <c r="T74" s="15"/>
      <c r="U74" s="15"/>
      <c r="V74" s="15"/>
      <c r="W74" s="15"/>
      <c r="X74" s="15"/>
      <c r="Y74" s="15"/>
    </row>
    <row r="75" spans="6:25" s="21" customFormat="1" ht="14.25" x14ac:dyDescent="0.45">
      <c r="F75"/>
      <c r="G75"/>
      <c r="H75"/>
      <c r="I75"/>
      <c r="J75"/>
      <c r="K75"/>
      <c r="L75"/>
      <c r="M75" s="106"/>
      <c r="N75" s="106"/>
      <c r="O75" s="106"/>
      <c r="P75" s="106"/>
      <c r="Q75" s="15"/>
      <c r="R75" s="15"/>
      <c r="S75" s="15"/>
      <c r="T75" s="15"/>
      <c r="U75" s="15"/>
      <c r="V75" s="15"/>
      <c r="W75" s="15"/>
      <c r="X75" s="15"/>
      <c r="Y75" s="15"/>
    </row>
    <row r="76" spans="6:25" s="21" customFormat="1" ht="14.25" x14ac:dyDescent="0.45">
      <c r="F76"/>
      <c r="G76"/>
      <c r="H76"/>
      <c r="I76"/>
      <c r="J76"/>
      <c r="K76"/>
      <c r="L76"/>
      <c r="M76" s="106"/>
      <c r="N76" s="106"/>
      <c r="O76" s="106"/>
      <c r="P76" s="106"/>
      <c r="Q76" s="15"/>
      <c r="R76" s="15"/>
      <c r="S76" s="15"/>
      <c r="T76" s="15"/>
      <c r="U76" s="15"/>
      <c r="V76" s="15"/>
      <c r="W76" s="15"/>
      <c r="X76" s="15"/>
      <c r="Y76" s="15"/>
    </row>
    <row r="77" spans="6:25" s="21" customFormat="1" ht="14.25" x14ac:dyDescent="0.45">
      <c r="F77"/>
      <c r="G77"/>
      <c r="H77"/>
      <c r="I77"/>
      <c r="J77"/>
      <c r="K77"/>
      <c r="L77"/>
      <c r="M77" s="106"/>
      <c r="N77" s="106"/>
      <c r="O77" s="106"/>
      <c r="P77" s="106"/>
      <c r="Q77" s="15"/>
      <c r="R77" s="15"/>
      <c r="S77" s="15"/>
      <c r="T77" s="15"/>
      <c r="U77" s="15"/>
      <c r="V77" s="15"/>
      <c r="W77" s="15"/>
      <c r="X77" s="15"/>
      <c r="Y77" s="15"/>
    </row>
    <row r="78" spans="6:25" s="21" customFormat="1" ht="14.25" x14ac:dyDescent="0.45">
      <c r="F78"/>
      <c r="G78"/>
      <c r="H78"/>
      <c r="I78"/>
      <c r="J78"/>
      <c r="K78"/>
      <c r="L78"/>
      <c r="M78" s="106"/>
      <c r="N78" s="106"/>
      <c r="O78" s="106"/>
      <c r="P78" s="106"/>
      <c r="Q78" s="15"/>
      <c r="R78" s="15"/>
      <c r="S78" s="15"/>
      <c r="T78" s="15"/>
      <c r="U78" s="15"/>
      <c r="V78" s="15"/>
      <c r="W78" s="15"/>
      <c r="X78" s="15"/>
      <c r="Y78" s="15"/>
    </row>
    <row r="79" spans="6:25" s="21" customFormat="1" ht="14.25" x14ac:dyDescent="0.45">
      <c r="F79"/>
      <c r="G79"/>
      <c r="H79"/>
      <c r="I79"/>
      <c r="J79"/>
      <c r="K79"/>
      <c r="L79"/>
      <c r="M79" s="106"/>
      <c r="N79" s="106"/>
      <c r="O79" s="106"/>
      <c r="P79" s="106"/>
      <c r="Q79" s="15"/>
      <c r="R79" s="15"/>
      <c r="S79" s="15"/>
      <c r="T79" s="15"/>
      <c r="U79" s="15"/>
      <c r="V79" s="15"/>
      <c r="W79" s="15"/>
      <c r="X79" s="15"/>
      <c r="Y79" s="15"/>
    </row>
    <row r="80" spans="6:25" s="21" customFormat="1" ht="14.25" x14ac:dyDescent="0.45">
      <c r="F80"/>
      <c r="G80"/>
      <c r="H80"/>
      <c r="I80"/>
      <c r="J80"/>
      <c r="K80"/>
      <c r="L80"/>
      <c r="M80" s="106"/>
      <c r="N80" s="106"/>
      <c r="O80" s="106"/>
      <c r="P80" s="106"/>
      <c r="Q80" s="15"/>
      <c r="R80" s="15"/>
      <c r="S80" s="15"/>
      <c r="T80" s="15"/>
      <c r="U80" s="15"/>
      <c r="V80" s="15"/>
      <c r="W80" s="15"/>
      <c r="X80" s="15"/>
      <c r="Y80" s="15"/>
    </row>
    <row r="81" spans="6:25" s="21" customFormat="1" ht="14.25" x14ac:dyDescent="0.45">
      <c r="F81"/>
      <c r="G81"/>
      <c r="H81"/>
      <c r="I81"/>
      <c r="J81"/>
      <c r="K81"/>
      <c r="L81"/>
      <c r="M81" s="106"/>
      <c r="N81" s="106"/>
      <c r="O81" s="106"/>
      <c r="P81" s="106"/>
      <c r="Q81" s="15"/>
      <c r="R81" s="15"/>
      <c r="S81" s="15"/>
      <c r="T81" s="15"/>
      <c r="U81" s="15"/>
      <c r="V81" s="15"/>
      <c r="W81" s="15"/>
      <c r="X81" s="15"/>
      <c r="Y81" s="15"/>
    </row>
    <row r="82" spans="6:25" s="21" customFormat="1" ht="14.25" x14ac:dyDescent="0.45">
      <c r="F82"/>
      <c r="G82"/>
      <c r="H82"/>
      <c r="I82"/>
      <c r="J82"/>
      <c r="K82"/>
      <c r="L82"/>
      <c r="M82" s="106"/>
      <c r="N82" s="106"/>
      <c r="O82" s="106"/>
      <c r="P82" s="106"/>
      <c r="Q82" s="15"/>
      <c r="R82" s="15"/>
      <c r="S82" s="15"/>
      <c r="T82" s="15"/>
      <c r="U82" s="15"/>
      <c r="V82" s="15"/>
      <c r="W82" s="15"/>
      <c r="X82" s="15"/>
      <c r="Y82" s="15"/>
    </row>
    <row r="83" spans="6:25" s="21" customFormat="1" ht="14.25" x14ac:dyDescent="0.45">
      <c r="F83"/>
      <c r="G83"/>
      <c r="H83"/>
      <c r="I83"/>
      <c r="J83"/>
      <c r="K83"/>
      <c r="L83"/>
      <c r="M83" s="106"/>
      <c r="N83" s="106"/>
      <c r="O83" s="106"/>
      <c r="P83" s="106"/>
      <c r="Q83" s="15"/>
      <c r="R83" s="15"/>
      <c r="S83" s="15"/>
      <c r="T83" s="15"/>
      <c r="U83" s="15"/>
      <c r="V83" s="15"/>
      <c r="W83" s="15"/>
      <c r="X83" s="15"/>
      <c r="Y83" s="15"/>
    </row>
    <row r="84" spans="6:25" s="21" customFormat="1" ht="14.25" x14ac:dyDescent="0.45">
      <c r="F84"/>
      <c r="G84"/>
      <c r="H84"/>
      <c r="I84"/>
      <c r="J84"/>
      <c r="K84"/>
      <c r="L84"/>
      <c r="M84" s="106"/>
      <c r="N84" s="106"/>
      <c r="O84" s="106"/>
      <c r="P84" s="106"/>
      <c r="Q84" s="15"/>
      <c r="R84" s="15"/>
      <c r="S84" s="15"/>
      <c r="T84" s="15"/>
      <c r="U84" s="15"/>
      <c r="V84" s="15"/>
      <c r="W84" s="15"/>
      <c r="X84" s="15"/>
      <c r="Y84" s="15"/>
    </row>
    <row r="85" spans="6:25" s="21" customFormat="1" ht="14.25" x14ac:dyDescent="0.45">
      <c r="F85"/>
      <c r="G85"/>
      <c r="H85"/>
      <c r="I85"/>
      <c r="J85"/>
      <c r="K85"/>
      <c r="L85"/>
      <c r="M85" s="106"/>
      <c r="N85" s="106"/>
      <c r="O85" s="106"/>
      <c r="P85" s="106"/>
      <c r="Q85" s="15"/>
      <c r="R85" s="15"/>
      <c r="S85" s="15"/>
      <c r="T85" s="15"/>
      <c r="U85" s="15"/>
      <c r="V85" s="15"/>
      <c r="W85" s="15"/>
      <c r="X85" s="15"/>
      <c r="Y85" s="15"/>
    </row>
    <row r="86" spans="6:25" s="21" customFormat="1" ht="14.25" x14ac:dyDescent="0.45">
      <c r="F86"/>
      <c r="G86"/>
      <c r="H86"/>
      <c r="I86"/>
      <c r="J86"/>
      <c r="K86"/>
      <c r="L86"/>
      <c r="M86" s="106"/>
      <c r="N86" s="106"/>
      <c r="O86" s="106"/>
      <c r="P86" s="106"/>
      <c r="Q86" s="15"/>
      <c r="R86" s="15"/>
      <c r="S86" s="15"/>
      <c r="T86" s="15"/>
      <c r="U86" s="15"/>
      <c r="V86" s="15"/>
      <c r="W86" s="15"/>
      <c r="X86" s="15"/>
      <c r="Y86" s="15"/>
    </row>
    <row r="87" spans="6:25" s="21" customFormat="1" ht="14.25" x14ac:dyDescent="0.45">
      <c r="F87"/>
      <c r="G87"/>
      <c r="H87"/>
      <c r="I87"/>
      <c r="J87"/>
      <c r="K87"/>
      <c r="L87"/>
      <c r="M87" s="106"/>
      <c r="N87" s="106"/>
      <c r="O87" s="106"/>
      <c r="P87" s="106"/>
      <c r="Q87" s="15"/>
      <c r="R87" s="15"/>
      <c r="S87" s="15"/>
      <c r="T87" s="15"/>
      <c r="U87" s="15"/>
      <c r="V87" s="15"/>
      <c r="W87" s="15"/>
      <c r="X87" s="15"/>
      <c r="Y87" s="15"/>
    </row>
    <row r="88" spans="6:25" s="21" customFormat="1" ht="14.25" x14ac:dyDescent="0.45">
      <c r="F88"/>
      <c r="G88"/>
      <c r="H88"/>
      <c r="I88"/>
      <c r="J88"/>
      <c r="K88"/>
      <c r="L88"/>
      <c r="M88" s="106"/>
      <c r="N88" s="106"/>
      <c r="O88" s="106"/>
      <c r="P88" s="106"/>
      <c r="Q88" s="15"/>
      <c r="R88" s="15"/>
      <c r="S88" s="15"/>
      <c r="T88" s="15"/>
      <c r="U88" s="15"/>
      <c r="V88" s="15"/>
      <c r="W88" s="15"/>
      <c r="X88" s="15"/>
      <c r="Y88" s="15"/>
    </row>
    <row r="89" spans="6:25" s="21" customFormat="1" ht="14.25" x14ac:dyDescent="0.45">
      <c r="F89"/>
      <c r="G89"/>
      <c r="H89"/>
      <c r="I89"/>
      <c r="J89"/>
      <c r="K89"/>
      <c r="L89"/>
      <c r="M89" s="106"/>
      <c r="N89" s="106"/>
      <c r="O89" s="106"/>
      <c r="P89" s="106"/>
      <c r="Q89" s="15"/>
      <c r="R89" s="15"/>
      <c r="S89" s="15"/>
      <c r="T89" s="15"/>
      <c r="U89" s="15"/>
      <c r="V89" s="15"/>
      <c r="W89" s="15"/>
      <c r="X89" s="15"/>
      <c r="Y89" s="15"/>
    </row>
    <row r="90" spans="6:25" s="21" customFormat="1" ht="14.25" x14ac:dyDescent="0.45">
      <c r="F90"/>
      <c r="G90"/>
      <c r="H90"/>
      <c r="I90"/>
      <c r="J90"/>
      <c r="K90"/>
      <c r="L90"/>
      <c r="M90" s="106"/>
      <c r="N90" s="106"/>
      <c r="O90" s="106"/>
      <c r="P90" s="106"/>
      <c r="Q90" s="15"/>
      <c r="R90" s="15"/>
      <c r="S90" s="15"/>
      <c r="T90" s="15"/>
      <c r="U90" s="15"/>
      <c r="V90" s="15"/>
      <c r="W90" s="15"/>
      <c r="X90" s="15"/>
      <c r="Y90" s="15"/>
    </row>
    <row r="91" spans="6:25" s="21" customFormat="1" ht="14.25" x14ac:dyDescent="0.45">
      <c r="F91"/>
      <c r="G91"/>
      <c r="H91"/>
      <c r="I91"/>
      <c r="J91"/>
      <c r="K91"/>
      <c r="L91"/>
      <c r="M91" s="106"/>
      <c r="N91" s="106"/>
      <c r="O91" s="106"/>
      <c r="P91" s="106"/>
      <c r="Q91" s="15"/>
      <c r="R91" s="15"/>
      <c r="S91" s="15"/>
      <c r="T91" s="15"/>
      <c r="U91" s="15"/>
      <c r="V91" s="15"/>
      <c r="W91" s="15"/>
      <c r="X91" s="15"/>
      <c r="Y91" s="15"/>
    </row>
    <row r="92" spans="6:25" s="21" customFormat="1" ht="14.25" x14ac:dyDescent="0.45">
      <c r="F92"/>
      <c r="G92"/>
      <c r="H92"/>
      <c r="I92"/>
      <c r="J92"/>
      <c r="K92"/>
      <c r="L92"/>
      <c r="M92" s="106"/>
      <c r="N92" s="106"/>
      <c r="O92" s="106"/>
      <c r="P92" s="106"/>
      <c r="Q92" s="15"/>
      <c r="R92" s="15"/>
      <c r="S92" s="15"/>
      <c r="T92" s="15"/>
      <c r="U92" s="15"/>
      <c r="V92" s="15"/>
      <c r="W92" s="15"/>
      <c r="X92" s="15"/>
      <c r="Y92" s="15"/>
    </row>
    <row r="93" spans="6:25" s="21" customFormat="1" ht="14.25" x14ac:dyDescent="0.45">
      <c r="F93"/>
      <c r="G93"/>
      <c r="H93"/>
      <c r="I93"/>
      <c r="J93"/>
      <c r="K93"/>
      <c r="L93"/>
      <c r="M93" s="106"/>
      <c r="N93" s="106"/>
      <c r="O93" s="106"/>
      <c r="P93" s="106"/>
      <c r="Q93" s="15"/>
      <c r="R93" s="15"/>
      <c r="S93" s="15"/>
      <c r="T93" s="15"/>
      <c r="U93" s="15"/>
      <c r="V93" s="15"/>
      <c r="W93" s="15"/>
      <c r="X93" s="15"/>
      <c r="Y93" s="15"/>
    </row>
    <row r="94" spans="6:25" s="21" customFormat="1" ht="14.25" x14ac:dyDescent="0.45">
      <c r="F94"/>
      <c r="G94"/>
      <c r="H94"/>
      <c r="I94"/>
      <c r="J94"/>
      <c r="K94"/>
      <c r="L94"/>
      <c r="M94" s="106"/>
      <c r="N94" s="106"/>
      <c r="O94" s="106"/>
      <c r="P94" s="106"/>
      <c r="Q94" s="15"/>
      <c r="R94" s="15"/>
      <c r="S94" s="15"/>
      <c r="T94" s="15"/>
      <c r="U94" s="15"/>
      <c r="V94" s="15"/>
      <c r="W94" s="15"/>
      <c r="X94" s="15"/>
      <c r="Y94" s="15"/>
    </row>
    <row r="95" spans="6:25" s="21" customFormat="1" ht="14.25" x14ac:dyDescent="0.45">
      <c r="F95"/>
      <c r="G95"/>
      <c r="H95"/>
      <c r="I95"/>
      <c r="J95"/>
      <c r="K95"/>
      <c r="L95"/>
      <c r="M95" s="106"/>
      <c r="N95" s="106"/>
      <c r="O95" s="106"/>
      <c r="P95" s="106"/>
      <c r="Q95" s="15"/>
      <c r="R95" s="15"/>
      <c r="S95" s="15"/>
      <c r="T95" s="15"/>
      <c r="U95" s="15"/>
      <c r="V95" s="15"/>
      <c r="W95" s="15"/>
      <c r="X95" s="15"/>
      <c r="Y95" s="15"/>
    </row>
    <row r="96" spans="6:25" s="21" customFormat="1" ht="14.25" x14ac:dyDescent="0.45">
      <c r="F96"/>
      <c r="G96"/>
      <c r="H96"/>
      <c r="I96"/>
      <c r="J96"/>
      <c r="K96"/>
      <c r="L96"/>
      <c r="M96" s="106"/>
      <c r="N96" s="106"/>
      <c r="O96" s="106"/>
      <c r="P96" s="106"/>
      <c r="Q96" s="15"/>
      <c r="R96" s="15"/>
      <c r="S96" s="15"/>
      <c r="T96" s="15"/>
      <c r="U96" s="15"/>
      <c r="V96" s="15"/>
      <c r="W96" s="15"/>
      <c r="X96" s="15"/>
      <c r="Y96" s="15"/>
    </row>
    <row r="97" spans="6:25" s="21" customFormat="1" ht="14.25" x14ac:dyDescent="0.45">
      <c r="F97"/>
      <c r="G97"/>
      <c r="H97"/>
      <c r="I97"/>
      <c r="J97"/>
      <c r="K97"/>
      <c r="L97"/>
      <c r="M97" s="106"/>
      <c r="N97" s="106"/>
      <c r="O97" s="106"/>
      <c r="P97" s="106"/>
      <c r="Q97" s="15"/>
      <c r="R97" s="15"/>
      <c r="S97" s="15"/>
      <c r="T97" s="15"/>
      <c r="U97" s="15"/>
      <c r="V97" s="15"/>
      <c r="W97" s="15"/>
      <c r="X97" s="15"/>
      <c r="Y97" s="15"/>
    </row>
    <row r="98" spans="6:25" s="21" customFormat="1" ht="14.25" x14ac:dyDescent="0.45">
      <c r="F98"/>
      <c r="G98"/>
      <c r="H98"/>
      <c r="I98"/>
      <c r="J98"/>
      <c r="K98"/>
      <c r="L98"/>
      <c r="M98" s="106"/>
      <c r="N98" s="106"/>
      <c r="O98" s="106"/>
      <c r="P98" s="106"/>
      <c r="Q98" s="15"/>
      <c r="R98" s="15"/>
      <c r="S98" s="15"/>
      <c r="T98" s="15"/>
      <c r="U98" s="15"/>
      <c r="V98" s="15"/>
      <c r="W98" s="15"/>
      <c r="X98" s="15"/>
      <c r="Y98" s="15"/>
    </row>
    <row r="99" spans="6:25" s="21" customFormat="1" ht="14.25" x14ac:dyDescent="0.45">
      <c r="F99"/>
      <c r="G99"/>
      <c r="H99"/>
      <c r="I99"/>
      <c r="J99"/>
      <c r="K99"/>
      <c r="L99"/>
      <c r="M99" s="106"/>
      <c r="N99" s="106"/>
      <c r="O99" s="106"/>
      <c r="P99" s="106"/>
      <c r="Q99" s="15"/>
      <c r="R99" s="15"/>
      <c r="S99" s="15"/>
      <c r="T99" s="15"/>
      <c r="U99" s="15"/>
      <c r="V99" s="15"/>
      <c r="W99" s="15"/>
      <c r="X99" s="15"/>
      <c r="Y99" s="15"/>
    </row>
    <row r="100" spans="6:25" s="21" customFormat="1" ht="14.25" x14ac:dyDescent="0.45">
      <c r="F100"/>
      <c r="G100"/>
      <c r="H100"/>
      <c r="I100"/>
      <c r="J100"/>
      <c r="K100"/>
      <c r="L100"/>
      <c r="M100" s="106"/>
      <c r="N100" s="106"/>
      <c r="O100" s="106"/>
      <c r="P100" s="106"/>
      <c r="Q100" s="15"/>
      <c r="R100" s="15"/>
      <c r="S100" s="15"/>
      <c r="T100" s="15"/>
      <c r="U100" s="15"/>
      <c r="V100" s="15"/>
      <c r="W100" s="15"/>
      <c r="X100" s="15"/>
      <c r="Y100" s="15"/>
    </row>
    <row r="101" spans="6:25" s="21" customFormat="1" ht="14.25" x14ac:dyDescent="0.45">
      <c r="F101"/>
      <c r="G101"/>
      <c r="H101"/>
      <c r="I101"/>
      <c r="J101"/>
      <c r="K101"/>
      <c r="L101"/>
      <c r="M101" s="106"/>
      <c r="N101" s="106"/>
      <c r="O101" s="106"/>
      <c r="P101" s="106"/>
      <c r="Q101" s="15"/>
      <c r="R101" s="15"/>
      <c r="S101" s="15"/>
      <c r="T101" s="15"/>
      <c r="U101" s="15"/>
      <c r="V101" s="15"/>
      <c r="W101" s="15"/>
      <c r="X101" s="15"/>
      <c r="Y101" s="15"/>
    </row>
    <row r="102" spans="6:25" s="21" customFormat="1" ht="14.25" x14ac:dyDescent="0.45">
      <c r="F102"/>
      <c r="G102"/>
      <c r="H102"/>
      <c r="I102"/>
      <c r="J102"/>
      <c r="K102"/>
      <c r="L102"/>
      <c r="M102" s="106"/>
      <c r="N102" s="106"/>
      <c r="O102" s="106"/>
      <c r="P102" s="106"/>
      <c r="Q102" s="15"/>
      <c r="R102" s="15"/>
      <c r="S102" s="15"/>
      <c r="T102" s="15"/>
      <c r="U102" s="15"/>
      <c r="V102" s="15"/>
      <c r="W102" s="15"/>
      <c r="X102" s="15"/>
      <c r="Y102" s="15"/>
    </row>
    <row r="103" spans="6:25" s="21" customFormat="1" ht="14.25" x14ac:dyDescent="0.45">
      <c r="F103"/>
      <c r="G103"/>
      <c r="H103"/>
      <c r="I103"/>
      <c r="J103"/>
      <c r="K103"/>
      <c r="L103"/>
      <c r="M103" s="106"/>
      <c r="N103" s="106"/>
      <c r="O103" s="106"/>
      <c r="P103" s="106"/>
      <c r="Q103" s="15"/>
      <c r="R103" s="15"/>
      <c r="S103" s="15"/>
      <c r="T103" s="15"/>
      <c r="U103" s="15"/>
      <c r="V103" s="15"/>
      <c r="W103" s="15"/>
      <c r="X103" s="15"/>
      <c r="Y103" s="15"/>
    </row>
    <row r="104" spans="6:25" s="21" customFormat="1" ht="14.25" x14ac:dyDescent="0.45">
      <c r="F104"/>
      <c r="G104"/>
      <c r="H104"/>
      <c r="I104"/>
      <c r="J104"/>
      <c r="K104"/>
      <c r="L104"/>
      <c r="M104" s="106"/>
      <c r="N104" s="106"/>
      <c r="O104" s="106"/>
      <c r="P104" s="106"/>
      <c r="Q104" s="15"/>
      <c r="R104" s="15"/>
      <c r="S104" s="15"/>
      <c r="T104" s="15"/>
      <c r="U104" s="15"/>
      <c r="V104" s="15"/>
      <c r="W104" s="15"/>
      <c r="X104" s="15"/>
      <c r="Y104" s="15"/>
    </row>
    <row r="105" spans="6:25" s="21" customFormat="1" ht="14.25" x14ac:dyDescent="0.45">
      <c r="F105"/>
      <c r="G105"/>
      <c r="H105"/>
      <c r="I105"/>
      <c r="J105"/>
      <c r="K105"/>
      <c r="L105"/>
      <c r="M105" s="106"/>
      <c r="N105" s="106"/>
      <c r="O105" s="106"/>
      <c r="P105" s="106"/>
      <c r="Q105" s="15"/>
      <c r="R105" s="15"/>
      <c r="S105" s="15"/>
      <c r="T105" s="15"/>
      <c r="U105" s="15"/>
      <c r="V105" s="15"/>
      <c r="W105" s="15"/>
      <c r="X105" s="15"/>
      <c r="Y105" s="15"/>
    </row>
    <row r="106" spans="6:25" s="21" customFormat="1" ht="14.25" x14ac:dyDescent="0.45">
      <c r="F106"/>
      <c r="G106"/>
      <c r="H106"/>
      <c r="I106"/>
      <c r="J106"/>
      <c r="K106"/>
      <c r="L106"/>
      <c r="M106" s="106"/>
      <c r="N106" s="106"/>
      <c r="O106" s="106"/>
      <c r="P106" s="106"/>
      <c r="Q106" s="15"/>
      <c r="R106" s="15"/>
      <c r="S106" s="15"/>
      <c r="T106" s="15"/>
      <c r="U106" s="15"/>
      <c r="V106" s="15"/>
      <c r="W106" s="15"/>
      <c r="X106" s="15"/>
      <c r="Y106" s="15"/>
    </row>
    <row r="107" spans="6:25" s="21" customFormat="1" ht="14.25" x14ac:dyDescent="0.45">
      <c r="F107"/>
      <c r="G107"/>
      <c r="H107"/>
      <c r="I107"/>
      <c r="J107"/>
      <c r="K107"/>
      <c r="L107"/>
      <c r="M107" s="106"/>
      <c r="N107" s="106"/>
      <c r="O107" s="106"/>
      <c r="P107" s="106"/>
      <c r="Q107" s="15"/>
      <c r="R107" s="15"/>
      <c r="S107" s="15"/>
      <c r="T107" s="15"/>
      <c r="U107" s="15"/>
      <c r="V107" s="15"/>
      <c r="W107" s="15"/>
      <c r="X107" s="15"/>
      <c r="Y107" s="15"/>
    </row>
    <row r="108" spans="6:25" s="21" customFormat="1" ht="14.25" x14ac:dyDescent="0.45">
      <c r="F108"/>
      <c r="G108"/>
      <c r="H108"/>
      <c r="I108"/>
      <c r="J108"/>
      <c r="K108"/>
      <c r="L108"/>
      <c r="M108" s="106"/>
      <c r="N108" s="106"/>
      <c r="O108" s="106"/>
      <c r="P108" s="106"/>
      <c r="Q108" s="15"/>
      <c r="R108" s="15"/>
      <c r="S108" s="15"/>
      <c r="T108" s="15"/>
      <c r="U108" s="15"/>
      <c r="V108" s="15"/>
      <c r="W108" s="15"/>
      <c r="X108" s="15"/>
      <c r="Y108" s="15"/>
    </row>
    <row r="109" spans="6:25" s="21" customFormat="1" ht="14.25" x14ac:dyDescent="0.45">
      <c r="F109"/>
      <c r="G109"/>
      <c r="H109"/>
      <c r="I109"/>
      <c r="J109"/>
      <c r="K109"/>
      <c r="L109"/>
      <c r="M109" s="106"/>
      <c r="N109" s="106"/>
      <c r="O109" s="106"/>
      <c r="P109" s="106"/>
      <c r="Q109" s="15"/>
      <c r="R109" s="15"/>
      <c r="S109" s="15"/>
      <c r="T109" s="15"/>
      <c r="U109" s="15"/>
      <c r="V109" s="15"/>
      <c r="W109" s="15"/>
      <c r="X109" s="15"/>
      <c r="Y109" s="15"/>
    </row>
    <row r="110" spans="6:25" s="21" customFormat="1" ht="14.25" x14ac:dyDescent="0.45">
      <c r="F110"/>
      <c r="G110"/>
      <c r="H110"/>
      <c r="I110"/>
      <c r="J110"/>
      <c r="K110"/>
      <c r="L110"/>
      <c r="M110" s="106"/>
      <c r="N110" s="106"/>
      <c r="O110" s="106"/>
      <c r="P110" s="106"/>
      <c r="Q110" s="15"/>
      <c r="R110" s="15"/>
      <c r="S110" s="15"/>
      <c r="T110" s="15"/>
      <c r="U110" s="15"/>
      <c r="V110" s="15"/>
      <c r="W110" s="15"/>
      <c r="X110" s="15"/>
      <c r="Y110" s="15"/>
    </row>
    <row r="111" spans="6:25" s="21" customFormat="1" ht="14.25" x14ac:dyDescent="0.45">
      <c r="F111"/>
      <c r="G111"/>
      <c r="H111"/>
      <c r="I111"/>
      <c r="J111"/>
      <c r="K111"/>
      <c r="L111"/>
      <c r="M111" s="106"/>
      <c r="N111" s="106"/>
      <c r="O111" s="106"/>
      <c r="P111" s="106"/>
      <c r="Q111" s="15"/>
      <c r="R111" s="15"/>
      <c r="S111" s="15"/>
      <c r="T111" s="15"/>
      <c r="U111" s="15"/>
      <c r="V111" s="15"/>
      <c r="W111" s="15"/>
      <c r="X111" s="15"/>
      <c r="Y111" s="15"/>
    </row>
    <row r="112" spans="6:25" s="21" customFormat="1" ht="14.25" x14ac:dyDescent="0.45">
      <c r="F112"/>
      <c r="G112"/>
      <c r="H112"/>
      <c r="I112"/>
      <c r="J112"/>
      <c r="K112"/>
      <c r="L112"/>
      <c r="M112" s="106"/>
      <c r="N112" s="106"/>
      <c r="O112" s="106"/>
      <c r="P112" s="106"/>
      <c r="Q112" s="15"/>
      <c r="R112" s="15"/>
      <c r="S112" s="15"/>
      <c r="T112" s="15"/>
      <c r="U112" s="15"/>
      <c r="V112" s="15"/>
      <c r="W112" s="15"/>
      <c r="X112" s="15"/>
      <c r="Y112" s="15"/>
    </row>
    <row r="113" spans="6:25" s="21" customFormat="1" ht="14.25" x14ac:dyDescent="0.45">
      <c r="F113"/>
      <c r="G113"/>
      <c r="H113"/>
      <c r="I113"/>
      <c r="J113"/>
      <c r="K113"/>
      <c r="L113"/>
      <c r="M113" s="106"/>
      <c r="N113" s="106"/>
      <c r="O113" s="106"/>
      <c r="P113" s="106"/>
      <c r="Q113" s="15"/>
      <c r="R113" s="15"/>
      <c r="S113" s="15"/>
      <c r="T113" s="15"/>
      <c r="U113" s="15"/>
      <c r="V113" s="15"/>
      <c r="W113" s="15"/>
      <c r="X113" s="15"/>
      <c r="Y113" s="15"/>
    </row>
    <row r="114" spans="6:25" s="21" customFormat="1" ht="14.25" x14ac:dyDescent="0.45">
      <c r="F114"/>
      <c r="G114"/>
      <c r="H114"/>
      <c r="I114"/>
      <c r="J114"/>
      <c r="K114"/>
      <c r="L114"/>
      <c r="M114" s="106"/>
      <c r="N114" s="106"/>
      <c r="O114" s="106"/>
      <c r="P114" s="106"/>
      <c r="Q114" s="15"/>
      <c r="R114" s="15"/>
      <c r="S114" s="15"/>
      <c r="T114" s="15"/>
      <c r="U114" s="15"/>
      <c r="V114" s="15"/>
      <c r="W114" s="15"/>
      <c r="X114" s="15"/>
      <c r="Y114" s="15"/>
    </row>
    <row r="115" spans="6:25" s="21" customFormat="1" ht="14.25" x14ac:dyDescent="0.45">
      <c r="F115"/>
      <c r="G115"/>
      <c r="H115"/>
      <c r="I115"/>
      <c r="J115"/>
      <c r="K115"/>
      <c r="L115"/>
      <c r="M115" s="106"/>
      <c r="N115" s="106"/>
      <c r="O115" s="106"/>
      <c r="P115" s="106"/>
      <c r="Q115" s="15"/>
      <c r="R115" s="15"/>
      <c r="S115" s="15"/>
      <c r="T115" s="15"/>
      <c r="U115" s="15"/>
      <c r="V115" s="15"/>
      <c r="W115" s="15"/>
      <c r="X115" s="15"/>
      <c r="Y115" s="15"/>
    </row>
    <row r="116" spans="6:25" s="21" customFormat="1" ht="14.25" x14ac:dyDescent="0.45">
      <c r="F116"/>
      <c r="G116"/>
      <c r="H116"/>
      <c r="I116"/>
      <c r="J116"/>
      <c r="K116"/>
      <c r="L116"/>
      <c r="M116" s="106"/>
      <c r="N116" s="106"/>
      <c r="O116" s="106"/>
      <c r="P116" s="106"/>
      <c r="Q116" s="15"/>
      <c r="R116" s="15"/>
      <c r="S116" s="15"/>
      <c r="T116" s="15"/>
      <c r="U116" s="15"/>
      <c r="V116" s="15"/>
      <c r="W116" s="15"/>
      <c r="X116" s="15"/>
      <c r="Y116" s="15"/>
    </row>
    <row r="117" spans="6:25" s="21" customFormat="1" ht="14.25" x14ac:dyDescent="0.45">
      <c r="F117"/>
      <c r="G117"/>
      <c r="H117"/>
      <c r="I117"/>
      <c r="J117"/>
      <c r="K117"/>
      <c r="L117"/>
      <c r="M117" s="106"/>
      <c r="N117" s="106"/>
      <c r="O117" s="106"/>
      <c r="P117" s="106"/>
      <c r="Q117" s="15"/>
      <c r="R117" s="15"/>
      <c r="S117" s="15"/>
      <c r="T117" s="15"/>
      <c r="U117" s="15"/>
      <c r="V117" s="15"/>
      <c r="W117" s="15"/>
      <c r="X117" s="15"/>
      <c r="Y117" s="15"/>
    </row>
    <row r="118" spans="6:25" s="21" customFormat="1" ht="14.25" x14ac:dyDescent="0.45">
      <c r="F118"/>
      <c r="G118"/>
      <c r="H118"/>
      <c r="I118"/>
      <c r="J118"/>
      <c r="K118"/>
      <c r="L118"/>
      <c r="M118" s="106"/>
      <c r="N118" s="106"/>
      <c r="O118" s="106"/>
      <c r="P118" s="106"/>
      <c r="Q118" s="15"/>
      <c r="R118" s="15"/>
      <c r="S118" s="15"/>
      <c r="T118" s="15"/>
      <c r="U118" s="15"/>
      <c r="V118" s="15"/>
      <c r="W118" s="15"/>
      <c r="X118" s="15"/>
      <c r="Y118" s="15"/>
    </row>
    <row r="119" spans="6:25" s="21" customFormat="1" ht="14.25" x14ac:dyDescent="0.45">
      <c r="F119"/>
      <c r="G119"/>
      <c r="H119"/>
      <c r="I119"/>
      <c r="J119"/>
      <c r="K119"/>
      <c r="L119"/>
      <c r="M119" s="106"/>
      <c r="N119" s="106"/>
      <c r="O119" s="106"/>
      <c r="P119" s="106"/>
      <c r="Q119" s="15"/>
      <c r="R119" s="15"/>
      <c r="S119" s="15"/>
      <c r="T119" s="15"/>
      <c r="U119" s="15"/>
      <c r="V119" s="15"/>
      <c r="W119" s="15"/>
      <c r="X119" s="15"/>
      <c r="Y119" s="15"/>
    </row>
    <row r="120" spans="6:25" s="21" customFormat="1" ht="14.25" x14ac:dyDescent="0.45">
      <c r="F120"/>
      <c r="G120"/>
      <c r="H120"/>
      <c r="I120"/>
      <c r="J120"/>
      <c r="K120"/>
      <c r="L120"/>
      <c r="M120" s="106"/>
      <c r="N120" s="106"/>
      <c r="O120" s="106"/>
      <c r="P120" s="106"/>
      <c r="Q120" s="15"/>
      <c r="R120" s="15"/>
      <c r="S120" s="15"/>
      <c r="T120" s="15"/>
      <c r="U120" s="15"/>
      <c r="V120" s="15"/>
      <c r="W120" s="15"/>
      <c r="X120" s="15"/>
      <c r="Y120" s="15"/>
    </row>
    <row r="121" spans="6:25" s="21" customFormat="1" ht="14.25" x14ac:dyDescent="0.45">
      <c r="F121"/>
      <c r="G121"/>
      <c r="H121"/>
      <c r="I121"/>
      <c r="J121"/>
      <c r="K121"/>
      <c r="L121"/>
      <c r="M121" s="106"/>
      <c r="N121" s="106"/>
      <c r="O121" s="106"/>
      <c r="P121" s="106"/>
      <c r="Q121" s="15"/>
      <c r="R121" s="15"/>
      <c r="S121" s="15"/>
      <c r="T121" s="15"/>
      <c r="U121" s="15"/>
      <c r="V121" s="15"/>
      <c r="W121" s="15"/>
      <c r="X121" s="15"/>
      <c r="Y121" s="15"/>
    </row>
    <row r="122" spans="6:25" s="21" customFormat="1" ht="14.25" x14ac:dyDescent="0.45">
      <c r="F122"/>
      <c r="G122"/>
      <c r="H122"/>
      <c r="I122"/>
      <c r="J122"/>
      <c r="K122"/>
      <c r="L122"/>
      <c r="M122" s="106"/>
      <c r="N122" s="106"/>
      <c r="O122" s="106"/>
      <c r="P122" s="106"/>
      <c r="Q122" s="15"/>
      <c r="R122" s="15"/>
      <c r="S122" s="15"/>
      <c r="T122" s="15"/>
      <c r="U122" s="15"/>
      <c r="V122" s="15"/>
      <c r="W122" s="15"/>
      <c r="X122" s="15"/>
      <c r="Y122" s="15"/>
    </row>
    <row r="123" spans="6:25" s="21" customFormat="1" ht="14.25" x14ac:dyDescent="0.45">
      <c r="F123"/>
      <c r="G123"/>
      <c r="H123"/>
      <c r="I123"/>
      <c r="J123"/>
      <c r="K123"/>
      <c r="L123"/>
      <c r="M123" s="106"/>
      <c r="N123" s="106"/>
      <c r="O123" s="106"/>
      <c r="P123" s="106"/>
      <c r="Q123" s="15"/>
      <c r="R123" s="15"/>
      <c r="S123" s="15"/>
      <c r="T123" s="15"/>
      <c r="U123" s="15"/>
      <c r="V123" s="15"/>
      <c r="W123" s="15"/>
      <c r="X123" s="15"/>
      <c r="Y123" s="15"/>
    </row>
    <row r="124" spans="6:25" s="21" customFormat="1" ht="14.25" x14ac:dyDescent="0.45">
      <c r="F124"/>
      <c r="G124"/>
      <c r="H124"/>
      <c r="I124"/>
      <c r="J124"/>
      <c r="K124"/>
      <c r="L124"/>
      <c r="M124" s="106"/>
      <c r="N124" s="106"/>
      <c r="O124" s="106"/>
      <c r="P124" s="106"/>
      <c r="Q124" s="15"/>
      <c r="R124" s="15"/>
      <c r="S124" s="15"/>
      <c r="T124" s="15"/>
      <c r="U124" s="15"/>
      <c r="V124" s="15"/>
      <c r="W124" s="15"/>
      <c r="X124" s="15"/>
      <c r="Y124" s="15"/>
    </row>
    <row r="125" spans="6:25" s="21" customFormat="1" ht="14.25" x14ac:dyDescent="0.45">
      <c r="F125"/>
      <c r="G125"/>
      <c r="H125"/>
      <c r="I125"/>
      <c r="J125"/>
      <c r="K125"/>
      <c r="L125"/>
      <c r="M125" s="106"/>
      <c r="N125" s="106"/>
      <c r="O125" s="106"/>
      <c r="P125" s="106"/>
      <c r="Q125" s="15"/>
      <c r="R125" s="15"/>
      <c r="S125" s="15"/>
      <c r="T125" s="15"/>
      <c r="U125" s="15"/>
      <c r="V125" s="15"/>
      <c r="W125" s="15"/>
      <c r="X125" s="15"/>
      <c r="Y125" s="15"/>
    </row>
    <row r="126" spans="6:25" s="21" customFormat="1" ht="14.25" x14ac:dyDescent="0.45">
      <c r="F126"/>
      <c r="G126"/>
      <c r="H126"/>
      <c r="I126"/>
      <c r="J126"/>
      <c r="K126"/>
      <c r="L126"/>
      <c r="M126" s="106"/>
      <c r="N126" s="106"/>
      <c r="O126" s="106"/>
      <c r="P126" s="106"/>
      <c r="Q126" s="15"/>
      <c r="R126" s="15"/>
      <c r="S126" s="15"/>
      <c r="T126" s="15"/>
      <c r="U126" s="15"/>
      <c r="V126" s="15"/>
      <c r="W126" s="15"/>
      <c r="X126" s="15"/>
      <c r="Y126" s="15"/>
    </row>
    <row r="127" spans="6:25" s="21" customFormat="1" ht="14.25" x14ac:dyDescent="0.45">
      <c r="F127"/>
      <c r="G127"/>
      <c r="H127"/>
      <c r="I127"/>
      <c r="J127"/>
      <c r="K127"/>
      <c r="L127"/>
      <c r="M127" s="106"/>
      <c r="N127" s="106"/>
      <c r="O127" s="106"/>
      <c r="P127" s="106"/>
      <c r="Q127" s="15"/>
      <c r="R127" s="15"/>
      <c r="S127" s="15"/>
      <c r="T127" s="15"/>
      <c r="U127" s="15"/>
      <c r="V127" s="15"/>
      <c r="W127" s="15"/>
      <c r="X127" s="15"/>
      <c r="Y127" s="15"/>
    </row>
    <row r="128" spans="6:25" s="21" customFormat="1" ht="14.25" x14ac:dyDescent="0.45">
      <c r="F128"/>
      <c r="G128"/>
      <c r="H128"/>
      <c r="I128"/>
      <c r="J128"/>
      <c r="K128"/>
      <c r="L128"/>
      <c r="M128" s="106"/>
      <c r="N128" s="106"/>
      <c r="O128" s="106"/>
      <c r="P128" s="106"/>
      <c r="Q128" s="15"/>
      <c r="R128" s="15"/>
      <c r="S128" s="15"/>
      <c r="T128" s="15"/>
      <c r="U128" s="15"/>
      <c r="V128" s="15"/>
      <c r="W128" s="15"/>
      <c r="X128" s="15"/>
      <c r="Y128" s="15"/>
    </row>
    <row r="129" spans="6:25" s="21" customFormat="1" ht="14.25" x14ac:dyDescent="0.45">
      <c r="F129"/>
      <c r="G129"/>
      <c r="H129"/>
      <c r="I129"/>
      <c r="J129"/>
      <c r="K129"/>
      <c r="L129"/>
      <c r="M129" s="106"/>
      <c r="N129" s="106"/>
      <c r="O129" s="106"/>
      <c r="P129" s="106"/>
      <c r="Q129" s="15"/>
      <c r="R129" s="15"/>
      <c r="S129" s="15"/>
      <c r="T129" s="15"/>
      <c r="U129" s="15"/>
      <c r="V129" s="15"/>
      <c r="W129" s="15"/>
      <c r="X129" s="15"/>
      <c r="Y129" s="15"/>
    </row>
    <row r="130" spans="6:25" s="21" customFormat="1" ht="14.25" x14ac:dyDescent="0.45">
      <c r="F130"/>
      <c r="G130"/>
      <c r="H130"/>
      <c r="I130"/>
      <c r="J130"/>
      <c r="K130"/>
      <c r="L130"/>
      <c r="M130" s="106"/>
      <c r="N130" s="106"/>
      <c r="O130" s="106"/>
      <c r="P130" s="106"/>
      <c r="Q130" s="15"/>
      <c r="R130" s="15"/>
      <c r="S130" s="15"/>
      <c r="T130" s="15"/>
      <c r="U130" s="15"/>
      <c r="V130" s="15"/>
      <c r="W130" s="15"/>
      <c r="X130" s="15"/>
      <c r="Y130" s="15"/>
    </row>
    <row r="131" spans="6:25" s="21" customFormat="1" ht="14.25" x14ac:dyDescent="0.45">
      <c r="F131"/>
      <c r="G131"/>
      <c r="H131"/>
      <c r="I131"/>
      <c r="J131"/>
      <c r="K131"/>
      <c r="L131"/>
      <c r="M131" s="106"/>
      <c r="N131" s="106"/>
      <c r="O131" s="106"/>
      <c r="P131" s="106"/>
      <c r="Q131" s="15"/>
      <c r="R131" s="15"/>
      <c r="S131" s="15"/>
      <c r="T131" s="15"/>
      <c r="U131" s="15"/>
      <c r="V131" s="15"/>
      <c r="W131" s="15"/>
      <c r="X131" s="15"/>
      <c r="Y131" s="15"/>
    </row>
    <row r="132" spans="6:25" s="21" customFormat="1" ht="14.25" x14ac:dyDescent="0.45">
      <c r="F132"/>
      <c r="G132"/>
      <c r="H132"/>
      <c r="I132"/>
      <c r="J132"/>
      <c r="K132"/>
      <c r="L132"/>
      <c r="M132" s="106"/>
      <c r="N132" s="106"/>
      <c r="O132" s="106"/>
      <c r="P132" s="106"/>
      <c r="Q132" s="15"/>
      <c r="R132" s="15"/>
      <c r="S132" s="15"/>
      <c r="T132" s="15"/>
      <c r="U132" s="15"/>
      <c r="V132" s="15"/>
      <c r="W132" s="15"/>
      <c r="X132" s="15"/>
      <c r="Y132" s="15"/>
    </row>
    <row r="133" spans="6:25" s="21" customFormat="1" ht="14.25" x14ac:dyDescent="0.45">
      <c r="F133"/>
      <c r="G133"/>
      <c r="H133"/>
      <c r="I133"/>
      <c r="J133"/>
      <c r="K133"/>
      <c r="L133"/>
      <c r="M133" s="106"/>
      <c r="N133" s="106"/>
      <c r="O133" s="106"/>
      <c r="P133" s="106"/>
      <c r="Q133" s="15"/>
      <c r="R133" s="15"/>
      <c r="S133" s="15"/>
      <c r="T133" s="15"/>
      <c r="U133" s="15"/>
      <c r="V133" s="15"/>
      <c r="W133" s="15"/>
      <c r="X133" s="15"/>
      <c r="Y133" s="15"/>
    </row>
    <row r="134" spans="6:25" s="21" customFormat="1" ht="14.25" x14ac:dyDescent="0.45">
      <c r="F134"/>
      <c r="G134"/>
      <c r="H134"/>
      <c r="I134"/>
      <c r="J134"/>
      <c r="K134"/>
      <c r="L134"/>
      <c r="M134" s="106"/>
      <c r="N134" s="106"/>
      <c r="O134" s="106"/>
      <c r="P134" s="106"/>
      <c r="Q134" s="15"/>
      <c r="R134" s="15"/>
      <c r="S134" s="15"/>
      <c r="T134" s="15"/>
      <c r="U134" s="15"/>
      <c r="V134" s="15"/>
      <c r="W134" s="15"/>
      <c r="X134" s="15"/>
      <c r="Y134" s="15"/>
    </row>
    <row r="135" spans="6:25" s="21" customFormat="1" ht="14.25" x14ac:dyDescent="0.45">
      <c r="F135"/>
      <c r="G135"/>
      <c r="H135"/>
      <c r="I135"/>
      <c r="J135"/>
      <c r="K135"/>
      <c r="L135"/>
      <c r="M135" s="106"/>
      <c r="N135" s="106"/>
      <c r="O135" s="106"/>
      <c r="P135" s="106"/>
      <c r="Q135" s="15"/>
      <c r="R135" s="15"/>
      <c r="S135" s="15"/>
      <c r="T135" s="15"/>
      <c r="U135" s="15"/>
      <c r="V135" s="15"/>
      <c r="W135" s="15"/>
      <c r="X135" s="15"/>
      <c r="Y135" s="15"/>
    </row>
    <row r="136" spans="6:25" s="21" customFormat="1" ht="14.25" x14ac:dyDescent="0.45">
      <c r="F136"/>
      <c r="G136"/>
      <c r="H136"/>
      <c r="I136"/>
      <c r="J136"/>
      <c r="K136"/>
      <c r="L136"/>
      <c r="M136" s="106"/>
      <c r="N136" s="106"/>
      <c r="O136" s="106"/>
      <c r="P136" s="106"/>
      <c r="Q136" s="15"/>
      <c r="R136" s="15"/>
      <c r="S136" s="15"/>
      <c r="T136" s="15"/>
      <c r="U136" s="15"/>
      <c r="V136" s="15"/>
      <c r="W136" s="15"/>
      <c r="X136" s="15"/>
      <c r="Y136" s="15"/>
    </row>
    <row r="137" spans="6:25" s="21" customFormat="1" ht="14.25" x14ac:dyDescent="0.45">
      <c r="F137"/>
      <c r="G137"/>
      <c r="H137"/>
      <c r="I137"/>
      <c r="J137"/>
      <c r="K137"/>
      <c r="L137"/>
      <c r="M137" s="106"/>
      <c r="N137" s="106"/>
      <c r="O137" s="106"/>
      <c r="P137" s="106"/>
      <c r="Q137" s="15"/>
      <c r="R137" s="15"/>
      <c r="S137" s="15"/>
      <c r="T137" s="15"/>
      <c r="U137" s="15"/>
      <c r="V137" s="15"/>
      <c r="W137" s="15"/>
      <c r="X137" s="15"/>
      <c r="Y137" s="15"/>
    </row>
    <row r="138" spans="6:25" s="21" customFormat="1" ht="14.25" x14ac:dyDescent="0.45">
      <c r="F138"/>
      <c r="G138"/>
      <c r="H138"/>
      <c r="I138"/>
      <c r="J138"/>
      <c r="K138"/>
      <c r="L138"/>
      <c r="M138" s="106"/>
      <c r="N138" s="106"/>
      <c r="O138" s="106"/>
      <c r="P138" s="106"/>
      <c r="Q138" s="15"/>
      <c r="R138" s="15"/>
      <c r="S138" s="15"/>
      <c r="T138" s="15"/>
      <c r="U138" s="15"/>
      <c r="V138" s="15"/>
      <c r="W138" s="15"/>
      <c r="X138" s="15"/>
      <c r="Y138" s="15"/>
    </row>
    <row r="139" spans="6:25" s="21" customFormat="1" ht="14.25" x14ac:dyDescent="0.45">
      <c r="F139"/>
      <c r="G139"/>
      <c r="H139"/>
      <c r="I139"/>
      <c r="J139"/>
      <c r="K139"/>
      <c r="L139"/>
      <c r="M139" s="106"/>
      <c r="N139" s="106"/>
      <c r="O139" s="106"/>
      <c r="P139" s="106"/>
      <c r="Q139" s="15"/>
      <c r="R139" s="15"/>
      <c r="S139" s="15"/>
      <c r="T139" s="15"/>
      <c r="U139" s="15"/>
      <c r="V139" s="15"/>
      <c r="W139" s="15"/>
      <c r="X139" s="15"/>
      <c r="Y139" s="15"/>
    </row>
    <row r="140" spans="6:25" s="21" customFormat="1" ht="14.25" x14ac:dyDescent="0.45">
      <c r="F140"/>
      <c r="G140"/>
      <c r="H140"/>
      <c r="I140"/>
      <c r="J140"/>
      <c r="K140"/>
      <c r="L140"/>
      <c r="M140" s="106"/>
      <c r="N140" s="106"/>
      <c r="O140" s="106"/>
      <c r="P140" s="106"/>
      <c r="Q140" s="15"/>
      <c r="R140" s="15"/>
      <c r="S140" s="15"/>
      <c r="T140" s="15"/>
      <c r="U140" s="15"/>
      <c r="V140" s="15"/>
      <c r="W140" s="15"/>
      <c r="X140" s="15"/>
      <c r="Y140" s="15"/>
    </row>
    <row r="141" spans="6:25" s="21" customFormat="1" ht="14.25" x14ac:dyDescent="0.45">
      <c r="F141"/>
      <c r="G141"/>
      <c r="H141"/>
      <c r="I141"/>
      <c r="J141"/>
      <c r="K141"/>
      <c r="L141"/>
      <c r="M141" s="106"/>
      <c r="N141" s="106"/>
      <c r="O141" s="106"/>
      <c r="P141" s="106"/>
      <c r="Q141" s="15"/>
      <c r="R141" s="15"/>
      <c r="S141" s="15"/>
      <c r="T141" s="15"/>
      <c r="U141" s="15"/>
      <c r="V141" s="15"/>
      <c r="W141" s="15"/>
      <c r="X141" s="15"/>
      <c r="Y141" s="15"/>
    </row>
    <row r="142" spans="6:25" s="21" customFormat="1" ht="14.25" x14ac:dyDescent="0.45">
      <c r="F142"/>
      <c r="G142"/>
      <c r="H142"/>
      <c r="I142"/>
      <c r="J142"/>
      <c r="K142"/>
      <c r="L142"/>
      <c r="M142" s="106"/>
      <c r="N142" s="106"/>
      <c r="O142" s="106"/>
      <c r="P142" s="106"/>
      <c r="Q142" s="15"/>
      <c r="R142" s="15"/>
      <c r="S142" s="15"/>
      <c r="T142" s="15"/>
      <c r="U142" s="15"/>
      <c r="V142" s="15"/>
      <c r="W142" s="15"/>
      <c r="X142" s="15"/>
      <c r="Y142" s="15"/>
    </row>
    <row r="143" spans="6:25" s="21" customFormat="1" ht="14.25" x14ac:dyDescent="0.45">
      <c r="F143"/>
      <c r="G143"/>
      <c r="H143"/>
      <c r="I143"/>
      <c r="J143"/>
      <c r="K143"/>
      <c r="L143"/>
      <c r="M143" s="106"/>
      <c r="N143" s="106"/>
      <c r="O143" s="106"/>
      <c r="P143" s="106"/>
      <c r="Q143" s="15"/>
      <c r="R143" s="15"/>
      <c r="S143" s="15"/>
      <c r="T143" s="15"/>
      <c r="U143" s="15"/>
      <c r="V143" s="15"/>
      <c r="W143" s="15"/>
      <c r="X143" s="15"/>
      <c r="Y143" s="15"/>
    </row>
    <row r="144" spans="6:25" s="21" customFormat="1" ht="14.25" x14ac:dyDescent="0.45">
      <c r="F144"/>
      <c r="G144"/>
      <c r="H144"/>
      <c r="I144"/>
      <c r="J144"/>
      <c r="K144"/>
      <c r="L144"/>
      <c r="M144" s="106"/>
      <c r="N144" s="106"/>
      <c r="O144" s="106"/>
      <c r="P144" s="106"/>
      <c r="Q144" s="15"/>
      <c r="R144" s="15"/>
      <c r="S144" s="15"/>
      <c r="T144" s="15"/>
      <c r="U144" s="15"/>
      <c r="V144" s="15"/>
      <c r="W144" s="15"/>
      <c r="X144" s="15"/>
      <c r="Y144" s="15"/>
    </row>
    <row r="145" spans="6:25" s="21" customFormat="1" ht="14.25" x14ac:dyDescent="0.45">
      <c r="F145"/>
      <c r="G145"/>
      <c r="H145"/>
      <c r="I145"/>
      <c r="J145"/>
      <c r="K145"/>
      <c r="L145"/>
      <c r="M145" s="106"/>
      <c r="N145" s="106"/>
      <c r="O145" s="106"/>
      <c r="P145" s="106"/>
      <c r="Q145" s="15"/>
      <c r="R145" s="15"/>
      <c r="S145" s="15"/>
      <c r="T145" s="15"/>
      <c r="U145" s="15"/>
      <c r="V145" s="15"/>
      <c r="W145" s="15"/>
      <c r="X145" s="15"/>
      <c r="Y145" s="15"/>
    </row>
    <row r="146" spans="6:25" s="21" customFormat="1" ht="14.25" x14ac:dyDescent="0.45">
      <c r="F146"/>
      <c r="G146"/>
      <c r="H146"/>
      <c r="I146"/>
      <c r="J146"/>
      <c r="K146"/>
      <c r="L146"/>
      <c r="M146" s="106"/>
      <c r="N146" s="106"/>
      <c r="O146" s="106"/>
      <c r="P146" s="106"/>
      <c r="Q146" s="15"/>
      <c r="R146" s="15"/>
      <c r="S146" s="15"/>
      <c r="T146" s="15"/>
      <c r="U146" s="15"/>
      <c r="V146" s="15"/>
      <c r="W146" s="15"/>
      <c r="X146" s="15"/>
      <c r="Y146" s="15"/>
    </row>
    <row r="147" spans="6:25" s="21" customFormat="1" ht="14.25" x14ac:dyDescent="0.45">
      <c r="F147"/>
      <c r="G147"/>
      <c r="H147"/>
      <c r="I147"/>
      <c r="J147"/>
      <c r="K147"/>
      <c r="L147"/>
      <c r="M147" s="106"/>
      <c r="N147" s="106"/>
      <c r="O147" s="106"/>
      <c r="P147" s="106"/>
      <c r="Q147" s="15"/>
      <c r="R147" s="15"/>
      <c r="S147" s="15"/>
      <c r="T147" s="15"/>
      <c r="U147" s="15"/>
      <c r="V147" s="15"/>
      <c r="W147" s="15"/>
      <c r="X147" s="15"/>
      <c r="Y147" s="15"/>
    </row>
    <row r="148" spans="6:25" s="21" customFormat="1" ht="14.25" x14ac:dyDescent="0.45">
      <c r="F148"/>
      <c r="G148"/>
      <c r="H148"/>
      <c r="I148"/>
      <c r="J148"/>
      <c r="K148"/>
      <c r="L148"/>
      <c r="M148" s="106"/>
      <c r="N148" s="106"/>
      <c r="O148" s="106"/>
      <c r="P148" s="106"/>
      <c r="Q148" s="15"/>
      <c r="R148" s="15"/>
      <c r="S148" s="15"/>
      <c r="T148" s="15"/>
      <c r="U148" s="15"/>
      <c r="V148" s="15"/>
      <c r="W148" s="15"/>
      <c r="X148" s="15"/>
      <c r="Y148" s="15"/>
    </row>
    <row r="149" spans="6:25" s="21" customFormat="1" ht="14.25" x14ac:dyDescent="0.45">
      <c r="F149"/>
      <c r="G149"/>
      <c r="H149"/>
      <c r="I149"/>
      <c r="J149"/>
      <c r="K149"/>
      <c r="L149"/>
      <c r="M149" s="106"/>
      <c r="N149" s="106"/>
      <c r="O149" s="106"/>
      <c r="P149" s="106"/>
      <c r="Q149" s="15"/>
      <c r="R149" s="15"/>
      <c r="S149" s="15"/>
      <c r="T149" s="15"/>
      <c r="U149" s="15"/>
      <c r="V149" s="15"/>
      <c r="W149" s="15"/>
      <c r="X149" s="15"/>
      <c r="Y149" s="15"/>
    </row>
    <row r="150" spans="6:25" s="21" customFormat="1" ht="14.25" x14ac:dyDescent="0.45">
      <c r="F150"/>
      <c r="G150"/>
      <c r="H150"/>
      <c r="I150"/>
      <c r="J150"/>
      <c r="K150"/>
      <c r="L150"/>
      <c r="M150" s="106"/>
      <c r="N150" s="106"/>
      <c r="O150" s="106"/>
      <c r="P150" s="106"/>
      <c r="Q150" s="15"/>
      <c r="R150" s="15"/>
      <c r="S150" s="15"/>
      <c r="T150" s="15"/>
      <c r="U150" s="15"/>
      <c r="V150" s="15"/>
      <c r="W150" s="15"/>
      <c r="X150" s="15"/>
      <c r="Y150" s="15"/>
    </row>
    <row r="151" spans="6:25" s="21" customFormat="1" ht="14.25" x14ac:dyDescent="0.45">
      <c r="F151"/>
      <c r="G151"/>
      <c r="H151"/>
      <c r="I151"/>
      <c r="J151"/>
      <c r="K151"/>
      <c r="L151"/>
      <c r="M151" s="106"/>
      <c r="N151" s="106"/>
      <c r="O151" s="106"/>
      <c r="P151" s="106"/>
      <c r="Q151" s="15"/>
      <c r="R151" s="15"/>
      <c r="S151" s="15"/>
      <c r="T151" s="15"/>
      <c r="U151" s="15"/>
      <c r="V151" s="15"/>
      <c r="W151" s="15"/>
      <c r="X151" s="15"/>
      <c r="Y151" s="15"/>
    </row>
    <row r="152" spans="6:25" s="21" customFormat="1" ht="14.25" x14ac:dyDescent="0.45">
      <c r="F152"/>
      <c r="G152"/>
      <c r="H152"/>
      <c r="I152"/>
      <c r="J152"/>
      <c r="K152"/>
      <c r="L152"/>
      <c r="M152" s="106"/>
      <c r="N152" s="106"/>
      <c r="O152" s="106"/>
      <c r="P152" s="106"/>
      <c r="Q152" s="15"/>
      <c r="R152" s="15"/>
      <c r="S152" s="15"/>
      <c r="T152" s="15"/>
      <c r="U152" s="15"/>
      <c r="V152" s="15"/>
      <c r="W152" s="15"/>
      <c r="X152" s="15"/>
      <c r="Y152" s="15"/>
    </row>
    <row r="153" spans="6:25" s="21" customFormat="1" ht="14.25" x14ac:dyDescent="0.45">
      <c r="F153"/>
      <c r="G153"/>
      <c r="H153"/>
      <c r="I153"/>
      <c r="J153"/>
      <c r="K153"/>
      <c r="L153"/>
      <c r="M153" s="106"/>
      <c r="N153" s="106"/>
      <c r="O153" s="106"/>
      <c r="P153" s="106"/>
      <c r="Q153" s="15"/>
      <c r="R153" s="15"/>
      <c r="S153" s="15"/>
      <c r="T153" s="15"/>
      <c r="U153" s="15"/>
      <c r="V153" s="15"/>
      <c r="W153" s="15"/>
      <c r="X153" s="15"/>
      <c r="Y153" s="15"/>
    </row>
    <row r="154" spans="6:25" s="21" customFormat="1" ht="14.25" x14ac:dyDescent="0.45">
      <c r="F154"/>
      <c r="G154"/>
      <c r="H154"/>
      <c r="I154"/>
      <c r="J154"/>
      <c r="K154"/>
      <c r="L154"/>
      <c r="M154" s="106"/>
      <c r="N154" s="106"/>
      <c r="O154" s="106"/>
      <c r="P154" s="106"/>
      <c r="Q154" s="15"/>
      <c r="R154" s="15"/>
      <c r="S154" s="15"/>
      <c r="T154" s="15"/>
      <c r="U154" s="15"/>
      <c r="V154" s="15"/>
      <c r="W154" s="15"/>
      <c r="X154" s="15"/>
      <c r="Y154" s="15"/>
    </row>
    <row r="155" spans="6:25" s="21" customFormat="1" ht="14.25" x14ac:dyDescent="0.45">
      <c r="F155"/>
      <c r="G155"/>
      <c r="H155"/>
      <c r="I155"/>
      <c r="J155"/>
      <c r="K155"/>
      <c r="L155"/>
      <c r="M155" s="106"/>
      <c r="N155" s="106"/>
      <c r="O155" s="106"/>
      <c r="P155" s="106"/>
      <c r="Q155" s="15"/>
      <c r="R155" s="15"/>
      <c r="S155" s="15"/>
      <c r="T155" s="15"/>
      <c r="U155" s="15"/>
      <c r="V155" s="15"/>
      <c r="W155" s="15"/>
      <c r="X155" s="15"/>
      <c r="Y155" s="15"/>
    </row>
    <row r="156" spans="6:25" s="21" customFormat="1" ht="14.25" x14ac:dyDescent="0.45">
      <c r="F156"/>
      <c r="G156"/>
      <c r="H156"/>
      <c r="I156"/>
      <c r="J156"/>
      <c r="K156"/>
      <c r="L156"/>
      <c r="M156" s="106"/>
      <c r="N156" s="106"/>
      <c r="O156" s="106"/>
      <c r="P156" s="106"/>
      <c r="Q156" s="15"/>
      <c r="R156" s="15"/>
      <c r="S156" s="15"/>
      <c r="T156" s="15"/>
      <c r="U156" s="15"/>
      <c r="V156" s="15"/>
      <c r="W156" s="15"/>
      <c r="X156" s="15"/>
      <c r="Y156" s="15"/>
    </row>
    <row r="157" spans="6:25" s="21" customFormat="1" ht="14.25" x14ac:dyDescent="0.45">
      <c r="F157"/>
      <c r="G157"/>
      <c r="H157"/>
      <c r="I157"/>
      <c r="J157"/>
      <c r="K157"/>
      <c r="L157"/>
      <c r="M157" s="106"/>
      <c r="N157" s="106"/>
      <c r="O157" s="106"/>
      <c r="P157" s="106"/>
      <c r="Q157" s="15"/>
      <c r="R157" s="15"/>
      <c r="S157" s="15"/>
      <c r="T157" s="15"/>
      <c r="U157" s="15"/>
      <c r="V157" s="15"/>
      <c r="W157" s="15"/>
      <c r="X157" s="15"/>
      <c r="Y157" s="15"/>
    </row>
    <row r="158" spans="6:25" s="21" customFormat="1" ht="14.25" x14ac:dyDescent="0.45">
      <c r="F158"/>
      <c r="G158"/>
      <c r="H158"/>
      <c r="I158"/>
      <c r="J158"/>
      <c r="K158"/>
      <c r="L158"/>
      <c r="M158" s="106"/>
      <c r="N158" s="106"/>
      <c r="O158" s="106"/>
      <c r="P158" s="106"/>
      <c r="Q158" s="15"/>
      <c r="R158" s="15"/>
      <c r="S158" s="15"/>
      <c r="T158" s="15"/>
      <c r="U158" s="15"/>
      <c r="V158" s="15"/>
      <c r="W158" s="15"/>
      <c r="X158" s="15"/>
      <c r="Y158" s="15"/>
    </row>
    <row r="159" spans="6:25" s="21" customFormat="1" ht="14.25" x14ac:dyDescent="0.45">
      <c r="F159"/>
      <c r="G159"/>
      <c r="H159"/>
      <c r="I159"/>
      <c r="J159"/>
      <c r="K159"/>
      <c r="L159"/>
      <c r="M159" s="106"/>
      <c r="N159" s="106"/>
      <c r="O159" s="106"/>
      <c r="P159" s="106"/>
      <c r="Q159" s="15"/>
      <c r="R159" s="15"/>
      <c r="S159" s="15"/>
      <c r="T159" s="15"/>
      <c r="U159" s="15"/>
      <c r="V159" s="15"/>
      <c r="W159" s="15"/>
      <c r="X159" s="15"/>
      <c r="Y159" s="15"/>
    </row>
    <row r="160" spans="6:25" s="21" customFormat="1" ht="14.25" x14ac:dyDescent="0.45">
      <c r="F160"/>
      <c r="G160"/>
      <c r="H160"/>
      <c r="I160"/>
      <c r="J160"/>
      <c r="K160"/>
      <c r="L160"/>
      <c r="M160" s="106"/>
      <c r="N160" s="106"/>
      <c r="O160" s="106"/>
      <c r="P160" s="106"/>
      <c r="Q160" s="15"/>
      <c r="R160" s="15"/>
      <c r="S160" s="15"/>
      <c r="T160" s="15"/>
      <c r="U160" s="15"/>
      <c r="V160" s="15"/>
      <c r="W160" s="15"/>
      <c r="X160" s="15"/>
      <c r="Y160" s="15"/>
    </row>
    <row r="161" spans="6:25" s="21" customFormat="1" ht="14.25" x14ac:dyDescent="0.45">
      <c r="F161"/>
      <c r="G161"/>
      <c r="H161"/>
      <c r="I161"/>
      <c r="J161"/>
      <c r="K161"/>
      <c r="L161"/>
      <c r="M161" s="106"/>
      <c r="N161" s="106"/>
      <c r="O161" s="106"/>
      <c r="P161" s="106"/>
      <c r="Q161" s="15"/>
      <c r="R161" s="15"/>
      <c r="S161" s="15"/>
      <c r="T161" s="15"/>
      <c r="U161" s="15"/>
      <c r="V161" s="15"/>
      <c r="W161" s="15"/>
      <c r="X161" s="15"/>
      <c r="Y161" s="15"/>
    </row>
    <row r="162" spans="6:25" s="21" customFormat="1" ht="14.25" x14ac:dyDescent="0.45">
      <c r="F162"/>
      <c r="G162"/>
      <c r="H162"/>
      <c r="I162"/>
      <c r="J162"/>
      <c r="K162"/>
      <c r="L162"/>
      <c r="M162" s="106"/>
      <c r="N162" s="106"/>
      <c r="O162" s="106"/>
      <c r="P162" s="106"/>
      <c r="Q162" s="15"/>
      <c r="R162" s="15"/>
      <c r="S162" s="15"/>
      <c r="T162" s="15"/>
      <c r="U162" s="15"/>
      <c r="V162" s="15"/>
      <c r="W162" s="15"/>
      <c r="X162" s="15"/>
      <c r="Y162" s="15"/>
    </row>
    <row r="163" spans="6:25" s="21" customFormat="1" ht="14.25" x14ac:dyDescent="0.45">
      <c r="F163"/>
      <c r="G163"/>
      <c r="H163"/>
      <c r="I163"/>
      <c r="J163"/>
      <c r="K163"/>
      <c r="L163"/>
      <c r="M163" s="106"/>
      <c r="N163" s="106"/>
      <c r="O163" s="106"/>
      <c r="P163" s="106"/>
      <c r="Q163" s="15"/>
      <c r="R163" s="15"/>
      <c r="S163" s="15"/>
      <c r="T163" s="15"/>
      <c r="U163" s="15"/>
      <c r="V163" s="15"/>
      <c r="W163" s="15"/>
      <c r="X163" s="15"/>
      <c r="Y163" s="15"/>
    </row>
    <row r="164" spans="6:25" s="21" customFormat="1" ht="14.25" x14ac:dyDescent="0.45">
      <c r="F164"/>
      <c r="G164"/>
      <c r="H164"/>
      <c r="I164"/>
      <c r="J164"/>
      <c r="K164"/>
      <c r="L164"/>
      <c r="M164" s="106"/>
      <c r="N164" s="106"/>
      <c r="O164" s="106"/>
      <c r="P164" s="106"/>
      <c r="Q164" s="15"/>
      <c r="R164" s="15"/>
      <c r="S164" s="15"/>
      <c r="T164" s="15"/>
      <c r="U164" s="15"/>
      <c r="V164" s="15"/>
      <c r="W164" s="15"/>
      <c r="X164" s="15"/>
      <c r="Y164" s="15"/>
    </row>
    <row r="165" spans="6:25" s="21" customFormat="1" ht="14.25" x14ac:dyDescent="0.45">
      <c r="F165"/>
      <c r="G165"/>
      <c r="H165"/>
      <c r="I165"/>
      <c r="J165"/>
      <c r="K165"/>
      <c r="L165"/>
      <c r="M165" s="106"/>
      <c r="N165" s="106"/>
      <c r="O165" s="106"/>
      <c r="P165" s="106"/>
      <c r="Q165" s="15"/>
      <c r="R165" s="15"/>
      <c r="S165" s="15"/>
      <c r="T165" s="15"/>
      <c r="U165" s="15"/>
      <c r="V165" s="15"/>
      <c r="W165" s="15"/>
      <c r="X165" s="15"/>
      <c r="Y165" s="15"/>
    </row>
    <row r="166" spans="6:25" s="21" customFormat="1" ht="14.25" x14ac:dyDescent="0.45">
      <c r="F166"/>
      <c r="G166"/>
      <c r="H166"/>
      <c r="I166"/>
      <c r="J166"/>
      <c r="K166"/>
      <c r="L166"/>
      <c r="M166" s="106"/>
      <c r="N166" s="106"/>
      <c r="O166" s="106"/>
      <c r="P166" s="106"/>
      <c r="Q166" s="15"/>
      <c r="R166" s="15"/>
      <c r="S166" s="15"/>
      <c r="T166" s="15"/>
      <c r="U166" s="15"/>
      <c r="V166" s="15"/>
      <c r="W166" s="15"/>
      <c r="X166" s="15"/>
      <c r="Y166" s="15"/>
    </row>
    <row r="167" spans="6:25" s="21" customFormat="1" ht="14.25" x14ac:dyDescent="0.45">
      <c r="F167"/>
      <c r="G167"/>
      <c r="H167"/>
      <c r="I167"/>
      <c r="J167"/>
      <c r="K167"/>
      <c r="L167"/>
      <c r="M167" s="106"/>
      <c r="N167" s="106"/>
      <c r="O167" s="106"/>
      <c r="P167" s="106"/>
      <c r="Q167" s="15"/>
      <c r="R167" s="15"/>
      <c r="S167" s="15"/>
      <c r="T167" s="15"/>
      <c r="U167" s="15"/>
      <c r="V167" s="15"/>
      <c r="W167" s="15"/>
      <c r="X167" s="15"/>
      <c r="Y167" s="15"/>
    </row>
    <row r="168" spans="6:25" s="21" customFormat="1" ht="14.25" x14ac:dyDescent="0.45">
      <c r="F168"/>
      <c r="G168"/>
      <c r="H168"/>
      <c r="I168"/>
      <c r="J168"/>
      <c r="K168"/>
      <c r="L168"/>
      <c r="M168" s="106"/>
      <c r="N168" s="106"/>
      <c r="O168" s="106"/>
      <c r="P168" s="106"/>
      <c r="Q168" s="15"/>
      <c r="R168" s="15"/>
      <c r="S168" s="15"/>
      <c r="T168" s="15"/>
      <c r="U168" s="15"/>
      <c r="V168" s="15"/>
      <c r="W168" s="15"/>
      <c r="X168" s="15"/>
      <c r="Y168" s="15"/>
    </row>
    <row r="169" spans="6:25" s="21" customFormat="1" ht="14.25" x14ac:dyDescent="0.45">
      <c r="F169"/>
      <c r="G169"/>
      <c r="H169"/>
      <c r="I169"/>
      <c r="J169"/>
      <c r="K169"/>
      <c r="L169"/>
      <c r="M169" s="106"/>
      <c r="N169" s="106"/>
      <c r="O169" s="106"/>
      <c r="P169" s="106"/>
      <c r="Q169" s="15"/>
      <c r="R169" s="15"/>
      <c r="S169" s="15"/>
      <c r="T169" s="15"/>
      <c r="U169" s="15"/>
      <c r="V169" s="15"/>
      <c r="W169" s="15"/>
      <c r="X169" s="15"/>
      <c r="Y169" s="15"/>
    </row>
    <row r="170" spans="6:25" s="21" customFormat="1" ht="14.25" x14ac:dyDescent="0.45">
      <c r="F170"/>
      <c r="G170"/>
      <c r="H170"/>
      <c r="I170"/>
      <c r="J170"/>
      <c r="K170"/>
      <c r="L170"/>
      <c r="M170" s="106"/>
      <c r="N170" s="106"/>
      <c r="O170" s="106"/>
      <c r="P170" s="106"/>
      <c r="Q170" s="15"/>
      <c r="R170" s="15"/>
      <c r="S170" s="15"/>
      <c r="T170" s="15"/>
      <c r="U170" s="15"/>
      <c r="V170" s="15"/>
      <c r="W170" s="15"/>
      <c r="X170" s="15"/>
      <c r="Y170" s="15"/>
    </row>
    <row r="171" spans="6:25" s="21" customFormat="1" ht="14.25" x14ac:dyDescent="0.45">
      <c r="F171"/>
      <c r="G171"/>
      <c r="H171"/>
      <c r="I171"/>
      <c r="J171"/>
      <c r="K171"/>
      <c r="L171"/>
      <c r="M171" s="106"/>
      <c r="N171" s="106"/>
      <c r="O171" s="106"/>
      <c r="P171" s="106"/>
      <c r="Q171" s="15"/>
      <c r="R171" s="15"/>
      <c r="S171" s="15"/>
      <c r="T171" s="15"/>
      <c r="U171" s="15"/>
      <c r="V171" s="15"/>
      <c r="W171" s="15"/>
      <c r="X171" s="15"/>
      <c r="Y171" s="15"/>
    </row>
    <row r="172" spans="6:25" s="21" customFormat="1" ht="14.25" x14ac:dyDescent="0.45">
      <c r="F172"/>
      <c r="G172"/>
      <c r="H172"/>
      <c r="I172"/>
      <c r="J172"/>
      <c r="K172"/>
      <c r="L172"/>
      <c r="M172" s="106"/>
      <c r="N172" s="106"/>
      <c r="O172" s="106"/>
      <c r="P172" s="106"/>
      <c r="Q172" s="15"/>
      <c r="R172" s="15"/>
      <c r="S172" s="15"/>
      <c r="T172" s="15"/>
      <c r="U172" s="15"/>
      <c r="V172" s="15"/>
      <c r="W172" s="15"/>
      <c r="X172" s="15"/>
      <c r="Y172" s="15"/>
    </row>
    <row r="173" spans="6:25" s="21" customFormat="1" ht="14.25" x14ac:dyDescent="0.45">
      <c r="F173"/>
      <c r="G173"/>
      <c r="H173"/>
      <c r="I173"/>
      <c r="J173"/>
      <c r="K173"/>
      <c r="L173"/>
      <c r="M173" s="106"/>
      <c r="N173" s="106"/>
      <c r="O173" s="106"/>
      <c r="P173" s="106"/>
      <c r="Q173" s="15"/>
      <c r="R173" s="15"/>
      <c r="S173" s="15"/>
      <c r="T173" s="15"/>
      <c r="U173" s="15"/>
      <c r="V173" s="15"/>
      <c r="W173" s="15"/>
      <c r="X173" s="15"/>
      <c r="Y173" s="15"/>
    </row>
    <row r="174" spans="6:25" s="21" customFormat="1" ht="14.25" x14ac:dyDescent="0.45">
      <c r="F174"/>
      <c r="G174"/>
      <c r="H174"/>
      <c r="I174"/>
      <c r="J174"/>
      <c r="K174"/>
      <c r="L174"/>
      <c r="M174" s="106"/>
      <c r="N174" s="106"/>
      <c r="O174" s="106"/>
      <c r="P174" s="106"/>
      <c r="Q174" s="15"/>
      <c r="R174" s="15"/>
      <c r="S174" s="15"/>
      <c r="T174" s="15"/>
      <c r="U174" s="15"/>
      <c r="V174" s="15"/>
      <c r="W174" s="15"/>
      <c r="X174" s="15"/>
      <c r="Y174" s="15"/>
    </row>
    <row r="175" spans="6:25" s="21" customFormat="1" ht="14.25" x14ac:dyDescent="0.45">
      <c r="F175"/>
      <c r="G175"/>
      <c r="H175"/>
      <c r="I175"/>
      <c r="J175"/>
      <c r="K175"/>
      <c r="L175"/>
      <c r="M175" s="106"/>
      <c r="N175" s="106"/>
      <c r="O175" s="106"/>
      <c r="P175" s="106"/>
      <c r="Q175" s="15"/>
      <c r="R175" s="15"/>
      <c r="S175" s="15"/>
      <c r="T175" s="15"/>
      <c r="U175" s="15"/>
      <c r="V175" s="15"/>
      <c r="W175" s="15"/>
      <c r="X175" s="15"/>
      <c r="Y175" s="15"/>
    </row>
    <row r="176" spans="6:25" s="21" customFormat="1" ht="14.25" x14ac:dyDescent="0.45">
      <c r="F176"/>
      <c r="G176"/>
      <c r="H176"/>
      <c r="I176"/>
      <c r="J176"/>
      <c r="K176"/>
      <c r="L176"/>
      <c r="M176" s="106"/>
      <c r="N176" s="106"/>
      <c r="O176" s="106"/>
      <c r="P176" s="106"/>
      <c r="Q176" s="15"/>
      <c r="R176" s="15"/>
      <c r="S176" s="15"/>
      <c r="T176" s="15"/>
      <c r="U176" s="15"/>
      <c r="V176" s="15"/>
      <c r="W176" s="15"/>
      <c r="X176" s="15"/>
      <c r="Y176" s="15"/>
    </row>
    <row r="177" spans="6:25" s="21" customFormat="1" ht="14.25" x14ac:dyDescent="0.45">
      <c r="F177"/>
      <c r="G177"/>
      <c r="H177"/>
      <c r="I177"/>
      <c r="J177"/>
      <c r="K177"/>
      <c r="L177"/>
      <c r="M177" s="106"/>
      <c r="N177" s="106"/>
      <c r="O177" s="106"/>
      <c r="P177" s="106"/>
      <c r="Q177" s="15"/>
      <c r="R177" s="15"/>
      <c r="S177" s="15"/>
      <c r="T177" s="15"/>
      <c r="U177" s="15"/>
      <c r="V177" s="15"/>
      <c r="W177" s="15"/>
      <c r="X177" s="15"/>
      <c r="Y177" s="15"/>
    </row>
    <row r="178" spans="6:25" s="21" customFormat="1" ht="14.25" x14ac:dyDescent="0.45">
      <c r="F178"/>
      <c r="G178"/>
      <c r="H178"/>
      <c r="I178"/>
      <c r="J178"/>
      <c r="K178"/>
      <c r="L178"/>
      <c r="M178" s="106"/>
      <c r="N178" s="106"/>
      <c r="O178" s="106"/>
      <c r="P178" s="106"/>
      <c r="Q178" s="15"/>
      <c r="R178" s="15"/>
      <c r="S178" s="15"/>
      <c r="T178" s="15"/>
      <c r="U178" s="15"/>
      <c r="V178" s="15"/>
      <c r="W178" s="15"/>
      <c r="X178" s="15"/>
      <c r="Y178" s="15"/>
    </row>
    <row r="179" spans="6:25" s="21" customFormat="1" ht="14.25" x14ac:dyDescent="0.45">
      <c r="F179"/>
      <c r="G179"/>
      <c r="H179"/>
      <c r="I179"/>
      <c r="J179"/>
      <c r="K179"/>
      <c r="L179"/>
      <c r="M179" s="106"/>
      <c r="N179" s="106"/>
      <c r="O179" s="106"/>
      <c r="P179" s="106"/>
      <c r="Q179" s="15"/>
      <c r="R179" s="15"/>
      <c r="S179" s="15"/>
      <c r="T179" s="15"/>
      <c r="U179" s="15"/>
      <c r="V179" s="15"/>
      <c r="W179" s="15"/>
      <c r="X179" s="15"/>
      <c r="Y179" s="15"/>
    </row>
    <row r="180" spans="6:25" s="21" customFormat="1" ht="14.25" x14ac:dyDescent="0.45">
      <c r="F180"/>
      <c r="G180"/>
      <c r="H180"/>
      <c r="I180"/>
      <c r="J180"/>
      <c r="K180"/>
      <c r="L180"/>
      <c r="M180" s="106"/>
      <c r="N180" s="106"/>
      <c r="O180" s="106"/>
      <c r="P180" s="106"/>
      <c r="Q180" s="15"/>
      <c r="R180" s="15"/>
      <c r="S180" s="15"/>
      <c r="T180" s="15"/>
      <c r="U180" s="15"/>
      <c r="V180" s="15"/>
      <c r="W180" s="15"/>
      <c r="X180" s="15"/>
      <c r="Y180" s="15"/>
    </row>
    <row r="181" spans="6:25" s="21" customFormat="1" ht="14.25" x14ac:dyDescent="0.45">
      <c r="F181"/>
      <c r="G181"/>
      <c r="H181"/>
      <c r="I181"/>
      <c r="J181"/>
      <c r="K181"/>
      <c r="L181"/>
      <c r="M181" s="106"/>
      <c r="N181" s="106"/>
      <c r="O181" s="106"/>
      <c r="P181" s="106"/>
      <c r="Q181" s="15"/>
      <c r="R181" s="15"/>
      <c r="S181" s="15"/>
      <c r="T181" s="15"/>
      <c r="U181" s="15"/>
      <c r="V181" s="15"/>
      <c r="W181" s="15"/>
      <c r="X181" s="15"/>
      <c r="Y181" s="15"/>
    </row>
    <row r="182" spans="6:25" s="21" customFormat="1" ht="14.25" x14ac:dyDescent="0.45">
      <c r="F182"/>
      <c r="G182"/>
      <c r="H182"/>
      <c r="I182"/>
      <c r="J182"/>
      <c r="K182"/>
      <c r="L182"/>
      <c r="M182" s="106"/>
      <c r="N182" s="106"/>
      <c r="O182" s="106"/>
      <c r="P182" s="106"/>
      <c r="Q182" s="15"/>
      <c r="R182" s="15"/>
      <c r="S182" s="15"/>
      <c r="T182" s="15"/>
      <c r="U182" s="15"/>
      <c r="V182" s="15"/>
      <c r="W182" s="15"/>
      <c r="X182" s="15"/>
      <c r="Y182" s="15"/>
    </row>
    <row r="183" spans="6:25" s="21" customFormat="1" ht="14.25" x14ac:dyDescent="0.45">
      <c r="F183"/>
      <c r="G183"/>
      <c r="H183"/>
      <c r="I183"/>
      <c r="J183"/>
      <c r="K183"/>
      <c r="L183"/>
      <c r="M183" s="106"/>
      <c r="N183" s="106"/>
      <c r="O183" s="106"/>
      <c r="P183" s="106"/>
      <c r="Q183" s="15"/>
      <c r="R183" s="15"/>
      <c r="S183" s="15"/>
      <c r="T183" s="15"/>
      <c r="U183" s="15"/>
      <c r="V183" s="15"/>
      <c r="W183" s="15"/>
      <c r="X183" s="15"/>
      <c r="Y183" s="15"/>
    </row>
    <row r="184" spans="6:25" s="21" customFormat="1" ht="14.25" x14ac:dyDescent="0.45">
      <c r="F184"/>
      <c r="G184"/>
      <c r="H184"/>
      <c r="I184"/>
      <c r="J184"/>
      <c r="K184"/>
      <c r="L184"/>
      <c r="M184" s="106"/>
      <c r="N184" s="106"/>
      <c r="O184" s="106"/>
      <c r="P184" s="106"/>
      <c r="Q184" s="15"/>
      <c r="R184" s="15"/>
      <c r="S184" s="15"/>
      <c r="T184" s="15"/>
      <c r="U184" s="15"/>
      <c r="V184" s="15"/>
      <c r="W184" s="15"/>
      <c r="X184" s="15"/>
      <c r="Y184" s="15"/>
    </row>
    <row r="185" spans="6:25" s="21" customFormat="1" ht="14.25" x14ac:dyDescent="0.45">
      <c r="F185"/>
      <c r="G185"/>
      <c r="H185"/>
      <c r="I185"/>
      <c r="J185"/>
      <c r="K185"/>
      <c r="L185"/>
      <c r="M185" s="106"/>
      <c r="N185" s="106"/>
      <c r="O185" s="106"/>
      <c r="P185" s="106"/>
      <c r="Q185" s="15"/>
      <c r="R185" s="15"/>
      <c r="S185" s="15"/>
      <c r="T185" s="15"/>
      <c r="U185" s="15"/>
      <c r="V185" s="15"/>
      <c r="W185" s="15"/>
      <c r="X185" s="15"/>
      <c r="Y185" s="15"/>
    </row>
    <row r="186" spans="6:25" s="21" customFormat="1" ht="14.25" x14ac:dyDescent="0.45">
      <c r="F186"/>
      <c r="G186"/>
      <c r="H186"/>
      <c r="I186"/>
      <c r="J186"/>
      <c r="K186"/>
      <c r="L186"/>
      <c r="M186" s="106"/>
      <c r="N186" s="106"/>
      <c r="O186" s="106"/>
      <c r="P186" s="106"/>
      <c r="Q186" s="15"/>
      <c r="R186" s="15"/>
      <c r="S186" s="15"/>
      <c r="T186" s="15"/>
      <c r="U186" s="15"/>
      <c r="V186" s="15"/>
      <c r="W186" s="15"/>
      <c r="X186" s="15"/>
      <c r="Y186" s="15"/>
    </row>
    <row r="187" spans="6:25" s="21" customFormat="1" ht="14.25" x14ac:dyDescent="0.45">
      <c r="F187"/>
      <c r="G187"/>
      <c r="H187"/>
      <c r="I187"/>
      <c r="J187"/>
      <c r="K187"/>
      <c r="L187"/>
      <c r="M187" s="106"/>
      <c r="N187" s="106"/>
      <c r="O187" s="106"/>
      <c r="P187" s="106"/>
      <c r="Q187" s="15"/>
      <c r="R187" s="15"/>
      <c r="S187" s="15"/>
      <c r="T187" s="15"/>
      <c r="U187" s="15"/>
      <c r="V187" s="15"/>
      <c r="W187" s="15"/>
      <c r="X187" s="15"/>
      <c r="Y187" s="15"/>
    </row>
    <row r="188" spans="6:25" s="21" customFormat="1" ht="14.25" x14ac:dyDescent="0.45">
      <c r="F188"/>
      <c r="G188"/>
      <c r="H188"/>
      <c r="I188"/>
      <c r="J188"/>
      <c r="K188"/>
      <c r="L188"/>
      <c r="M188" s="106"/>
      <c r="N188" s="106"/>
      <c r="O188" s="106"/>
      <c r="P188" s="106"/>
      <c r="Q188" s="15"/>
      <c r="R188" s="15"/>
      <c r="S188" s="15"/>
      <c r="T188" s="15"/>
      <c r="U188" s="15"/>
      <c r="V188" s="15"/>
      <c r="W188" s="15"/>
      <c r="X188" s="15"/>
      <c r="Y188" s="15"/>
    </row>
    <row r="189" spans="6:25" s="21" customFormat="1" ht="14.25" x14ac:dyDescent="0.45">
      <c r="F189"/>
      <c r="G189"/>
      <c r="H189"/>
      <c r="I189"/>
      <c r="J189"/>
      <c r="K189"/>
      <c r="L189"/>
      <c r="M189" s="106"/>
      <c r="N189" s="106"/>
      <c r="O189" s="106"/>
      <c r="P189" s="106"/>
      <c r="Q189" s="15"/>
      <c r="R189" s="15"/>
      <c r="S189" s="15"/>
      <c r="T189" s="15"/>
      <c r="U189" s="15"/>
      <c r="V189" s="15"/>
      <c r="W189" s="15"/>
      <c r="X189" s="15"/>
      <c r="Y189" s="15"/>
    </row>
    <row r="190" spans="6:25" s="21" customFormat="1" ht="14.25" x14ac:dyDescent="0.45">
      <c r="F190"/>
      <c r="G190"/>
      <c r="H190"/>
      <c r="I190"/>
      <c r="J190"/>
      <c r="K190"/>
      <c r="L190"/>
      <c r="M190" s="106"/>
      <c r="N190" s="106"/>
      <c r="O190" s="106"/>
      <c r="P190" s="106"/>
      <c r="Q190" s="15"/>
      <c r="R190" s="15"/>
      <c r="S190" s="15"/>
      <c r="T190" s="15"/>
      <c r="U190" s="15"/>
      <c r="V190" s="15"/>
      <c r="W190" s="15"/>
      <c r="X190" s="15"/>
      <c r="Y190" s="15"/>
    </row>
    <row r="191" spans="6:25" s="21" customFormat="1" ht="14.25" x14ac:dyDescent="0.45">
      <c r="F191"/>
      <c r="G191"/>
      <c r="H191"/>
      <c r="I191"/>
      <c r="J191"/>
      <c r="K191"/>
      <c r="L191"/>
      <c r="M191" s="106"/>
      <c r="N191" s="106"/>
      <c r="O191" s="106"/>
      <c r="P191" s="106"/>
      <c r="Q191" s="15"/>
      <c r="R191" s="15"/>
      <c r="S191" s="15"/>
      <c r="T191" s="15"/>
      <c r="U191" s="15"/>
      <c r="V191" s="15"/>
      <c r="W191" s="15"/>
      <c r="X191" s="15"/>
      <c r="Y191" s="15"/>
    </row>
    <row r="192" spans="6:25" s="21" customFormat="1" ht="14.25" x14ac:dyDescent="0.45">
      <c r="F192"/>
      <c r="G192"/>
      <c r="H192"/>
      <c r="I192"/>
      <c r="J192"/>
      <c r="K192"/>
      <c r="L192"/>
      <c r="M192" s="106"/>
      <c r="N192" s="106"/>
      <c r="O192" s="106"/>
      <c r="P192" s="106"/>
      <c r="Q192" s="15"/>
      <c r="R192" s="15"/>
      <c r="S192" s="15"/>
      <c r="T192" s="15"/>
      <c r="U192" s="15"/>
      <c r="V192" s="15"/>
      <c r="W192" s="15"/>
      <c r="X192" s="15"/>
      <c r="Y192" s="15"/>
    </row>
    <row r="193" spans="6:25" s="21" customFormat="1" ht="14.25" x14ac:dyDescent="0.45">
      <c r="F193"/>
      <c r="G193"/>
      <c r="H193"/>
      <c r="I193"/>
      <c r="J193"/>
      <c r="K193"/>
      <c r="L193"/>
      <c r="M193" s="106"/>
      <c r="N193" s="106"/>
      <c r="O193" s="106"/>
      <c r="P193" s="106"/>
      <c r="Q193" s="15"/>
      <c r="R193" s="15"/>
      <c r="S193" s="15"/>
      <c r="T193" s="15"/>
      <c r="U193" s="15"/>
      <c r="V193" s="15"/>
      <c r="W193" s="15"/>
      <c r="X193" s="15"/>
      <c r="Y193" s="15"/>
    </row>
    <row r="194" spans="6:25" s="21" customFormat="1" ht="14.25" x14ac:dyDescent="0.45">
      <c r="F194"/>
      <c r="G194"/>
      <c r="H194"/>
      <c r="I194"/>
      <c r="J194"/>
      <c r="K194"/>
      <c r="L194"/>
      <c r="M194" s="106"/>
      <c r="N194" s="106"/>
      <c r="O194" s="106"/>
      <c r="P194" s="106"/>
      <c r="Q194" s="15"/>
      <c r="R194" s="15"/>
      <c r="S194" s="15"/>
      <c r="T194" s="15"/>
      <c r="U194" s="15"/>
      <c r="V194" s="15"/>
      <c r="W194" s="15"/>
      <c r="X194" s="15"/>
      <c r="Y194" s="15"/>
    </row>
    <row r="195" spans="6:25" s="21" customFormat="1" ht="14.25" x14ac:dyDescent="0.45">
      <c r="F195"/>
      <c r="G195"/>
      <c r="H195"/>
      <c r="I195"/>
      <c r="J195"/>
      <c r="K195"/>
      <c r="L195"/>
      <c r="M195" s="106"/>
      <c r="N195" s="106"/>
      <c r="O195" s="106"/>
      <c r="P195" s="106"/>
      <c r="Q195" s="15"/>
      <c r="R195" s="15"/>
      <c r="S195" s="15"/>
      <c r="T195" s="15"/>
      <c r="U195" s="15"/>
      <c r="V195" s="15"/>
      <c r="W195" s="15"/>
      <c r="X195" s="15"/>
      <c r="Y195" s="15"/>
    </row>
    <row r="196" spans="6:25" s="21" customFormat="1" ht="14.25" x14ac:dyDescent="0.45">
      <c r="F196"/>
      <c r="G196"/>
      <c r="H196"/>
      <c r="I196"/>
      <c r="J196"/>
      <c r="K196"/>
      <c r="L196"/>
      <c r="M196" s="106"/>
      <c r="N196" s="106"/>
      <c r="O196" s="106"/>
      <c r="P196" s="106"/>
      <c r="Q196" s="15"/>
      <c r="R196" s="15"/>
      <c r="S196" s="15"/>
      <c r="T196" s="15"/>
      <c r="U196" s="15"/>
      <c r="V196" s="15"/>
      <c r="W196" s="15"/>
      <c r="X196" s="15"/>
      <c r="Y196" s="15"/>
    </row>
    <row r="197" spans="6:25" s="21" customFormat="1" ht="14.25" x14ac:dyDescent="0.45">
      <c r="F197"/>
      <c r="G197"/>
      <c r="H197"/>
      <c r="I197"/>
      <c r="J197"/>
      <c r="K197"/>
      <c r="L197"/>
      <c r="M197" s="106"/>
      <c r="N197" s="106"/>
      <c r="O197" s="106"/>
      <c r="P197" s="106"/>
      <c r="Q197" s="15"/>
      <c r="R197" s="15"/>
      <c r="S197" s="15"/>
      <c r="T197" s="15"/>
      <c r="U197" s="15"/>
      <c r="V197" s="15"/>
      <c r="W197" s="15"/>
      <c r="X197" s="15"/>
      <c r="Y197" s="15"/>
    </row>
    <row r="198" spans="6:25" s="21" customFormat="1" ht="14.25" x14ac:dyDescent="0.45">
      <c r="F198"/>
      <c r="G198"/>
      <c r="H198"/>
      <c r="I198"/>
      <c r="J198"/>
      <c r="K198"/>
      <c r="L198"/>
      <c r="M198" s="106"/>
      <c r="N198" s="106"/>
      <c r="O198" s="106"/>
      <c r="P198" s="106"/>
      <c r="Q198" s="15"/>
      <c r="R198" s="15"/>
      <c r="S198" s="15"/>
      <c r="T198" s="15"/>
      <c r="U198" s="15"/>
      <c r="V198" s="15"/>
      <c r="W198" s="15"/>
      <c r="X198" s="15"/>
      <c r="Y198" s="15"/>
    </row>
    <row r="199" spans="6:25" s="21" customFormat="1" ht="14.25" x14ac:dyDescent="0.45">
      <c r="F199"/>
      <c r="G199"/>
      <c r="H199"/>
      <c r="I199"/>
      <c r="J199"/>
      <c r="K199"/>
      <c r="L199"/>
      <c r="M199" s="106"/>
      <c r="N199" s="106"/>
      <c r="O199" s="106"/>
      <c r="P199" s="106"/>
      <c r="Q199" s="15"/>
      <c r="R199" s="15"/>
      <c r="S199" s="15"/>
      <c r="T199" s="15"/>
      <c r="U199" s="15"/>
      <c r="V199" s="15"/>
      <c r="W199" s="15"/>
      <c r="X199" s="15"/>
      <c r="Y199" s="15"/>
    </row>
    <row r="200" spans="6:25" s="21" customFormat="1" ht="14.25" x14ac:dyDescent="0.45">
      <c r="F200"/>
      <c r="G200"/>
      <c r="H200"/>
      <c r="I200"/>
      <c r="J200"/>
      <c r="K200"/>
      <c r="L200"/>
      <c r="M200" s="106"/>
      <c r="N200" s="106"/>
      <c r="O200" s="106"/>
      <c r="P200" s="106"/>
      <c r="Q200" s="15"/>
      <c r="R200" s="15"/>
      <c r="S200" s="15"/>
      <c r="T200" s="15"/>
      <c r="U200" s="15"/>
      <c r="V200" s="15"/>
      <c r="W200" s="15"/>
      <c r="X200" s="15"/>
      <c r="Y200" s="15"/>
    </row>
    <row r="201" spans="6:25" s="21" customFormat="1" ht="14.25" x14ac:dyDescent="0.45">
      <c r="F201"/>
      <c r="G201"/>
      <c r="H201"/>
      <c r="I201"/>
      <c r="J201"/>
      <c r="K201"/>
      <c r="L201"/>
      <c r="M201" s="106"/>
      <c r="N201" s="106"/>
      <c r="O201" s="106"/>
      <c r="P201" s="106"/>
      <c r="Q201" s="15"/>
      <c r="R201" s="15"/>
      <c r="S201" s="15"/>
      <c r="T201" s="15"/>
      <c r="U201" s="15"/>
      <c r="V201" s="15"/>
      <c r="W201" s="15"/>
      <c r="X201" s="15"/>
      <c r="Y201" s="15"/>
    </row>
    <row r="202" spans="6:25" s="21" customFormat="1" ht="14.25" x14ac:dyDescent="0.45">
      <c r="F202"/>
      <c r="G202"/>
      <c r="H202"/>
      <c r="I202"/>
      <c r="J202"/>
      <c r="K202"/>
      <c r="L202"/>
      <c r="M202" s="106"/>
      <c r="N202" s="106"/>
      <c r="O202" s="106"/>
      <c r="P202" s="106"/>
      <c r="Q202" s="15"/>
      <c r="R202" s="15"/>
      <c r="S202" s="15"/>
      <c r="T202" s="15"/>
      <c r="U202" s="15"/>
      <c r="V202" s="15"/>
      <c r="W202" s="15"/>
      <c r="X202" s="15"/>
      <c r="Y202" s="15"/>
    </row>
    <row r="203" spans="6:25" s="21" customFormat="1" ht="14.25" x14ac:dyDescent="0.45">
      <c r="F203"/>
      <c r="G203"/>
      <c r="H203"/>
      <c r="I203"/>
      <c r="J203"/>
      <c r="K203"/>
      <c r="L203"/>
      <c r="M203" s="106"/>
      <c r="N203" s="106"/>
      <c r="O203" s="106"/>
      <c r="P203" s="106"/>
      <c r="Q203" s="15"/>
      <c r="R203" s="15"/>
      <c r="S203" s="15"/>
      <c r="T203" s="15"/>
      <c r="U203" s="15"/>
      <c r="V203" s="15"/>
      <c r="W203" s="15"/>
      <c r="X203" s="15"/>
      <c r="Y203" s="15"/>
    </row>
    <row r="204" spans="6:25" s="21" customFormat="1" ht="14.25" x14ac:dyDescent="0.45">
      <c r="F204"/>
      <c r="G204"/>
      <c r="H204"/>
      <c r="I204"/>
      <c r="J204"/>
      <c r="K204"/>
      <c r="L204"/>
      <c r="M204" s="106"/>
      <c r="N204" s="106"/>
      <c r="O204" s="106"/>
      <c r="P204" s="106"/>
      <c r="Q204" s="15"/>
      <c r="R204" s="15"/>
      <c r="S204" s="15"/>
      <c r="T204" s="15"/>
      <c r="U204" s="15"/>
      <c r="V204" s="15"/>
      <c r="W204" s="15"/>
      <c r="X204" s="15"/>
      <c r="Y204" s="15"/>
    </row>
    <row r="205" spans="6:25" s="21" customFormat="1" ht="14.25" x14ac:dyDescent="0.45">
      <c r="F205"/>
      <c r="G205"/>
      <c r="H205"/>
      <c r="I205"/>
      <c r="J205"/>
      <c r="K205"/>
      <c r="L205"/>
      <c r="M205" s="106"/>
      <c r="N205" s="106"/>
      <c r="O205" s="106"/>
      <c r="P205" s="106"/>
      <c r="Q205" s="15"/>
      <c r="R205" s="15"/>
      <c r="S205" s="15"/>
      <c r="T205" s="15"/>
      <c r="U205" s="15"/>
      <c r="V205" s="15"/>
      <c r="W205" s="15"/>
      <c r="X205" s="15"/>
      <c r="Y205" s="15"/>
    </row>
    <row r="206" spans="6:25" s="21" customFormat="1" ht="14.25" x14ac:dyDescent="0.45">
      <c r="F206"/>
      <c r="G206"/>
      <c r="H206"/>
      <c r="I206"/>
      <c r="J206"/>
      <c r="K206"/>
      <c r="L206"/>
      <c r="M206" s="106"/>
      <c r="N206" s="106"/>
      <c r="O206" s="106"/>
      <c r="P206" s="106"/>
      <c r="Q206" s="15"/>
      <c r="R206" s="15"/>
      <c r="S206" s="15"/>
      <c r="T206" s="15"/>
      <c r="U206" s="15"/>
      <c r="V206" s="15"/>
      <c r="W206" s="15"/>
      <c r="X206" s="15"/>
      <c r="Y206" s="15"/>
    </row>
    <row r="207" spans="6:25" s="21" customFormat="1" ht="14.25" x14ac:dyDescent="0.45">
      <c r="F207"/>
      <c r="G207"/>
      <c r="H207"/>
      <c r="I207"/>
      <c r="J207"/>
      <c r="K207"/>
      <c r="L207"/>
      <c r="M207" s="106"/>
      <c r="N207" s="106"/>
      <c r="O207" s="106"/>
      <c r="P207" s="106"/>
      <c r="Q207" s="15"/>
      <c r="R207" s="15"/>
      <c r="S207" s="15"/>
      <c r="T207" s="15"/>
      <c r="U207" s="15"/>
      <c r="V207" s="15"/>
      <c r="W207" s="15"/>
      <c r="X207" s="15"/>
      <c r="Y207" s="15"/>
    </row>
    <row r="208" spans="6:25" s="21" customFormat="1" ht="14.25" x14ac:dyDescent="0.45">
      <c r="F208"/>
      <c r="G208"/>
      <c r="H208"/>
      <c r="I208"/>
      <c r="J208"/>
      <c r="K208"/>
      <c r="L208"/>
      <c r="M208" s="106"/>
      <c r="N208" s="106"/>
      <c r="O208" s="106"/>
      <c r="P208" s="106"/>
      <c r="Q208" s="15"/>
      <c r="R208" s="15"/>
      <c r="S208" s="15"/>
      <c r="T208" s="15"/>
      <c r="U208" s="15"/>
      <c r="V208" s="15"/>
      <c r="W208" s="15"/>
      <c r="X208" s="15"/>
      <c r="Y208" s="15"/>
    </row>
    <row r="209" spans="6:25" s="21" customFormat="1" ht="14.25" x14ac:dyDescent="0.45">
      <c r="F209"/>
      <c r="G209"/>
      <c r="H209"/>
      <c r="I209"/>
      <c r="J209"/>
      <c r="K209"/>
      <c r="L209"/>
      <c r="M209" s="106"/>
      <c r="N209" s="106"/>
      <c r="O209" s="106"/>
      <c r="P209" s="106"/>
      <c r="Q209" s="15"/>
      <c r="R209" s="15"/>
      <c r="S209" s="15"/>
      <c r="T209" s="15"/>
      <c r="U209" s="15"/>
      <c r="V209" s="15"/>
      <c r="W209" s="15"/>
      <c r="X209" s="15"/>
      <c r="Y209" s="15"/>
    </row>
    <row r="210" spans="6:25" s="21" customFormat="1" ht="14.25" x14ac:dyDescent="0.45">
      <c r="F210"/>
      <c r="G210"/>
      <c r="H210"/>
      <c r="I210"/>
      <c r="J210"/>
      <c r="K210"/>
      <c r="L210"/>
      <c r="M210" s="106"/>
      <c r="N210" s="106"/>
      <c r="O210" s="106"/>
      <c r="P210" s="106"/>
      <c r="Q210" s="15"/>
      <c r="R210" s="15"/>
      <c r="S210" s="15"/>
      <c r="T210" s="15"/>
      <c r="U210" s="15"/>
      <c r="V210" s="15"/>
      <c r="W210" s="15"/>
      <c r="X210" s="15"/>
      <c r="Y210" s="15"/>
    </row>
    <row r="211" spans="6:25" s="21" customFormat="1" ht="14.25" x14ac:dyDescent="0.45">
      <c r="F211"/>
      <c r="G211"/>
      <c r="H211"/>
      <c r="I211"/>
      <c r="J211"/>
      <c r="K211"/>
      <c r="L211"/>
      <c r="M211" s="106"/>
      <c r="N211" s="106"/>
      <c r="O211" s="106"/>
      <c r="P211" s="106"/>
      <c r="Q211" s="15"/>
      <c r="R211" s="15"/>
      <c r="S211" s="15"/>
      <c r="T211" s="15"/>
      <c r="U211" s="15"/>
      <c r="V211" s="15"/>
      <c r="W211" s="15"/>
      <c r="X211" s="15"/>
      <c r="Y211" s="15"/>
    </row>
    <row r="212" spans="6:25" s="21" customFormat="1" ht="14.25" x14ac:dyDescent="0.45">
      <c r="F212"/>
      <c r="G212"/>
      <c r="H212"/>
      <c r="I212"/>
      <c r="J212"/>
      <c r="K212"/>
      <c r="L212"/>
      <c r="M212" s="106"/>
      <c r="N212" s="106"/>
      <c r="O212" s="106"/>
      <c r="P212" s="106"/>
      <c r="Q212" s="15"/>
      <c r="R212" s="15"/>
      <c r="S212" s="15"/>
      <c r="T212" s="15"/>
      <c r="U212" s="15"/>
      <c r="V212" s="15"/>
      <c r="W212" s="15"/>
      <c r="X212" s="15"/>
      <c r="Y212" s="15"/>
    </row>
    <row r="213" spans="6:25" s="21" customFormat="1" ht="14.25" x14ac:dyDescent="0.45">
      <c r="F213"/>
      <c r="G213"/>
      <c r="H213"/>
      <c r="I213"/>
      <c r="J213"/>
      <c r="K213"/>
      <c r="L213"/>
      <c r="M213" s="106"/>
      <c r="N213" s="106"/>
      <c r="O213" s="106"/>
      <c r="P213" s="106"/>
      <c r="Q213" s="15"/>
      <c r="R213" s="15"/>
      <c r="S213" s="15"/>
      <c r="T213" s="15"/>
      <c r="U213" s="15"/>
      <c r="V213" s="15"/>
      <c r="W213" s="15"/>
      <c r="X213" s="15"/>
      <c r="Y213" s="15"/>
    </row>
    <row r="214" spans="6:25" s="21" customFormat="1" ht="14.25" x14ac:dyDescent="0.45">
      <c r="F214"/>
      <c r="G214"/>
      <c r="H214"/>
      <c r="I214"/>
      <c r="J214"/>
      <c r="K214"/>
      <c r="L214"/>
      <c r="M214" s="106"/>
      <c r="N214" s="106"/>
      <c r="O214" s="106"/>
      <c r="P214" s="106"/>
      <c r="Q214" s="15"/>
      <c r="R214" s="15"/>
      <c r="S214" s="15"/>
      <c r="T214" s="15"/>
      <c r="U214" s="15"/>
      <c r="V214" s="15"/>
      <c r="W214" s="15"/>
      <c r="X214" s="15"/>
      <c r="Y214" s="15"/>
    </row>
    <row r="215" spans="6:25" s="21" customFormat="1" ht="14.25" x14ac:dyDescent="0.45">
      <c r="F215"/>
      <c r="G215"/>
      <c r="H215"/>
      <c r="I215"/>
      <c r="J215"/>
      <c r="K215"/>
      <c r="L215"/>
      <c r="M215" s="106"/>
      <c r="N215" s="106"/>
      <c r="O215" s="106"/>
      <c r="P215" s="106"/>
      <c r="Q215" s="15"/>
      <c r="R215" s="15"/>
      <c r="S215" s="15"/>
      <c r="T215" s="15"/>
      <c r="U215" s="15"/>
      <c r="V215" s="15"/>
      <c r="W215" s="15"/>
      <c r="X215" s="15"/>
      <c r="Y215" s="15"/>
    </row>
    <row r="216" spans="6:25" s="21" customFormat="1" ht="14.25" x14ac:dyDescent="0.45">
      <c r="F216"/>
      <c r="G216"/>
      <c r="H216"/>
      <c r="I216"/>
      <c r="J216"/>
      <c r="K216"/>
      <c r="L216"/>
      <c r="M216" s="106"/>
      <c r="N216" s="106"/>
      <c r="O216" s="106"/>
      <c r="P216" s="106"/>
      <c r="Q216" s="15"/>
      <c r="R216" s="15"/>
      <c r="S216" s="15"/>
      <c r="T216" s="15"/>
      <c r="U216" s="15"/>
      <c r="V216" s="15"/>
      <c r="W216" s="15"/>
      <c r="X216" s="15"/>
      <c r="Y216" s="15"/>
    </row>
    <row r="217" spans="6:25" s="21" customFormat="1" ht="14.25" x14ac:dyDescent="0.45">
      <c r="F217"/>
      <c r="G217"/>
      <c r="H217"/>
      <c r="I217"/>
      <c r="J217"/>
      <c r="K217"/>
      <c r="L217"/>
      <c r="M217" s="106"/>
      <c r="N217" s="106"/>
      <c r="O217" s="106"/>
      <c r="P217" s="106"/>
      <c r="Q217" s="15"/>
      <c r="R217" s="15"/>
      <c r="S217" s="15"/>
      <c r="T217" s="15"/>
      <c r="U217" s="15"/>
      <c r="V217" s="15"/>
      <c r="W217" s="15"/>
      <c r="X217" s="15"/>
      <c r="Y217" s="15"/>
    </row>
    <row r="218" spans="6:25" s="21" customFormat="1" ht="14.25" x14ac:dyDescent="0.45">
      <c r="F218"/>
      <c r="G218"/>
      <c r="H218"/>
      <c r="I218"/>
      <c r="J218"/>
      <c r="K218"/>
      <c r="L218"/>
      <c r="M218" s="106"/>
      <c r="N218" s="106"/>
      <c r="O218" s="106"/>
      <c r="P218" s="106"/>
      <c r="Q218" s="15"/>
      <c r="R218" s="15"/>
      <c r="S218" s="15"/>
      <c r="T218" s="15"/>
      <c r="U218" s="15"/>
      <c r="V218" s="15"/>
      <c r="W218" s="15"/>
      <c r="X218" s="15"/>
      <c r="Y218" s="15"/>
    </row>
    <row r="219" spans="6:25" s="21" customFormat="1" ht="14.25" x14ac:dyDescent="0.45">
      <c r="F219"/>
      <c r="G219"/>
      <c r="H219"/>
      <c r="I219"/>
      <c r="J219"/>
      <c r="K219"/>
      <c r="L219"/>
      <c r="M219" s="106"/>
      <c r="N219" s="106"/>
      <c r="O219" s="106"/>
      <c r="P219" s="106"/>
      <c r="Q219" s="15"/>
      <c r="R219" s="15"/>
      <c r="S219" s="15"/>
      <c r="T219" s="15"/>
      <c r="U219" s="15"/>
      <c r="V219" s="15"/>
      <c r="W219" s="15"/>
      <c r="X219" s="15"/>
      <c r="Y219" s="15"/>
    </row>
    <row r="220" spans="6:25" s="21" customFormat="1" ht="14.25" x14ac:dyDescent="0.45">
      <c r="F220"/>
      <c r="G220"/>
      <c r="H220"/>
      <c r="I220"/>
      <c r="J220"/>
      <c r="K220"/>
      <c r="L220"/>
      <c r="M220" s="106"/>
      <c r="N220" s="106"/>
      <c r="O220" s="106"/>
      <c r="P220" s="106"/>
      <c r="Q220" s="15"/>
      <c r="R220" s="15"/>
      <c r="S220" s="15"/>
      <c r="T220" s="15"/>
      <c r="U220" s="15"/>
      <c r="V220" s="15"/>
      <c r="W220" s="15"/>
      <c r="X220" s="15"/>
      <c r="Y220" s="15"/>
    </row>
    <row r="221" spans="6:25" s="21" customFormat="1" ht="14.25" x14ac:dyDescent="0.45">
      <c r="F221"/>
      <c r="G221"/>
      <c r="H221"/>
      <c r="I221"/>
      <c r="J221"/>
      <c r="K221"/>
      <c r="L221"/>
      <c r="M221" s="106"/>
      <c r="N221" s="106"/>
      <c r="O221" s="106"/>
      <c r="P221" s="106"/>
      <c r="Q221" s="15"/>
      <c r="R221" s="15"/>
      <c r="S221" s="15"/>
      <c r="T221" s="15"/>
      <c r="U221" s="15"/>
      <c r="V221" s="15"/>
      <c r="W221" s="15"/>
      <c r="X221" s="15"/>
      <c r="Y221" s="15"/>
    </row>
    <row r="222" spans="6:25" s="21" customFormat="1" ht="14.25" x14ac:dyDescent="0.45">
      <c r="F222"/>
      <c r="G222"/>
      <c r="H222"/>
      <c r="I222"/>
      <c r="J222"/>
      <c r="K222"/>
      <c r="L222"/>
      <c r="M222" s="106"/>
      <c r="N222" s="106"/>
      <c r="O222" s="106"/>
      <c r="P222" s="106"/>
      <c r="Q222" s="15"/>
      <c r="R222" s="15"/>
      <c r="S222" s="15"/>
      <c r="T222" s="15"/>
      <c r="U222" s="15"/>
      <c r="V222" s="15"/>
      <c r="W222" s="15"/>
      <c r="X222" s="15"/>
      <c r="Y222" s="15"/>
    </row>
    <row r="223" spans="6:25" s="21" customFormat="1" ht="14.25" x14ac:dyDescent="0.45">
      <c r="F223"/>
      <c r="G223"/>
      <c r="H223"/>
      <c r="I223"/>
      <c r="J223"/>
      <c r="K223"/>
      <c r="L223"/>
      <c r="M223" s="106"/>
      <c r="N223" s="106"/>
      <c r="O223" s="106"/>
      <c r="P223" s="106"/>
      <c r="Q223" s="15"/>
      <c r="R223" s="15"/>
      <c r="S223" s="15"/>
      <c r="T223" s="15"/>
      <c r="U223" s="15"/>
      <c r="V223" s="15"/>
      <c r="W223" s="15"/>
      <c r="X223" s="15"/>
      <c r="Y223" s="15"/>
    </row>
    <row r="224" spans="6:25" s="21" customFormat="1" ht="14.25" x14ac:dyDescent="0.45">
      <c r="F224"/>
      <c r="G224"/>
      <c r="H224"/>
      <c r="I224"/>
      <c r="J224"/>
      <c r="K224"/>
      <c r="L224"/>
      <c r="M224" s="106"/>
      <c r="N224" s="106"/>
      <c r="O224" s="106"/>
      <c r="P224" s="106"/>
      <c r="Q224" s="15"/>
      <c r="R224" s="15"/>
      <c r="S224" s="15"/>
      <c r="T224" s="15"/>
      <c r="U224" s="15"/>
      <c r="V224" s="15"/>
      <c r="W224" s="15"/>
      <c r="X224" s="15"/>
      <c r="Y224" s="15"/>
    </row>
    <row r="225" spans="6:25" s="21" customFormat="1" ht="14.25" x14ac:dyDescent="0.45">
      <c r="F225"/>
      <c r="G225"/>
      <c r="H225"/>
      <c r="I225"/>
      <c r="J225"/>
      <c r="K225"/>
      <c r="L225"/>
      <c r="M225" s="106"/>
      <c r="N225" s="106"/>
      <c r="O225" s="106"/>
      <c r="P225" s="106"/>
      <c r="Q225" s="15"/>
      <c r="R225" s="15"/>
      <c r="S225" s="15"/>
      <c r="T225" s="15"/>
      <c r="U225" s="15"/>
      <c r="V225" s="15"/>
      <c r="W225" s="15"/>
      <c r="X225" s="15"/>
      <c r="Y225" s="15"/>
    </row>
    <row r="226" spans="6:25" s="21" customFormat="1" ht="14.25" x14ac:dyDescent="0.45">
      <c r="F226"/>
      <c r="G226"/>
      <c r="H226"/>
      <c r="I226"/>
      <c r="J226"/>
      <c r="K226"/>
      <c r="L226"/>
      <c r="M226" s="106"/>
      <c r="N226" s="106"/>
      <c r="O226" s="106"/>
      <c r="P226" s="106"/>
      <c r="Q226" s="15"/>
      <c r="R226" s="15"/>
      <c r="S226" s="15"/>
      <c r="T226" s="15"/>
      <c r="U226" s="15"/>
      <c r="V226" s="15"/>
      <c r="W226" s="15"/>
      <c r="X226" s="15"/>
      <c r="Y226" s="15"/>
    </row>
    <row r="227" spans="6:25" s="21" customFormat="1" ht="14.25" x14ac:dyDescent="0.45">
      <c r="F227"/>
      <c r="G227"/>
      <c r="H227"/>
      <c r="I227"/>
      <c r="J227"/>
      <c r="K227"/>
      <c r="L227"/>
      <c r="M227" s="106"/>
      <c r="N227" s="106"/>
      <c r="O227" s="106"/>
      <c r="P227" s="106"/>
      <c r="Q227" s="15"/>
      <c r="R227" s="15"/>
      <c r="S227" s="15"/>
      <c r="T227" s="15"/>
      <c r="U227" s="15"/>
      <c r="V227" s="15"/>
      <c r="W227" s="15"/>
      <c r="X227" s="15"/>
      <c r="Y227" s="15"/>
    </row>
    <row r="228" spans="6:25" s="21" customFormat="1" ht="14.25" x14ac:dyDescent="0.45">
      <c r="F228"/>
      <c r="G228"/>
      <c r="H228"/>
      <c r="I228"/>
      <c r="J228"/>
      <c r="K228"/>
      <c r="L228"/>
      <c r="M228" s="106"/>
      <c r="N228" s="106"/>
      <c r="O228" s="106"/>
      <c r="P228" s="106"/>
      <c r="Q228" s="15"/>
      <c r="R228" s="15"/>
      <c r="S228" s="15"/>
      <c r="T228" s="15"/>
      <c r="U228" s="15"/>
      <c r="V228" s="15"/>
      <c r="W228" s="15"/>
      <c r="X228" s="15"/>
      <c r="Y228" s="15"/>
    </row>
    <row r="229" spans="6:25" s="21" customFormat="1" ht="14.25" x14ac:dyDescent="0.45">
      <c r="F229"/>
      <c r="G229"/>
      <c r="H229"/>
      <c r="I229"/>
      <c r="J229"/>
      <c r="K229"/>
      <c r="L229"/>
      <c r="M229" s="106"/>
      <c r="N229" s="106"/>
      <c r="O229" s="106"/>
      <c r="P229" s="106"/>
      <c r="Q229" s="15"/>
      <c r="R229" s="15"/>
      <c r="S229" s="15"/>
      <c r="T229" s="15"/>
      <c r="U229" s="15"/>
      <c r="V229" s="15"/>
      <c r="W229" s="15"/>
      <c r="X229" s="15"/>
      <c r="Y229" s="15"/>
    </row>
    <row r="230" spans="6:25" s="21" customFormat="1" ht="14.25" x14ac:dyDescent="0.45">
      <c r="F230"/>
      <c r="G230"/>
      <c r="H230"/>
      <c r="I230"/>
      <c r="J230"/>
      <c r="K230"/>
      <c r="L230"/>
      <c r="M230" s="106"/>
      <c r="N230" s="106"/>
      <c r="O230" s="106"/>
      <c r="P230" s="106"/>
      <c r="Q230" s="15"/>
      <c r="R230" s="15"/>
      <c r="S230" s="15"/>
      <c r="T230" s="15"/>
      <c r="U230" s="15"/>
      <c r="V230" s="15"/>
      <c r="W230" s="15"/>
      <c r="X230" s="15"/>
      <c r="Y230" s="15"/>
    </row>
    <row r="231" spans="6:25" s="21" customFormat="1" ht="14.25" x14ac:dyDescent="0.45">
      <c r="F231"/>
      <c r="G231"/>
      <c r="H231"/>
      <c r="I231"/>
      <c r="J231"/>
      <c r="K231"/>
      <c r="L231"/>
      <c r="M231" s="106"/>
      <c r="N231" s="106"/>
      <c r="O231" s="106"/>
      <c r="P231" s="106"/>
      <c r="Q231" s="15"/>
      <c r="R231" s="15"/>
      <c r="S231" s="15"/>
      <c r="T231" s="15"/>
      <c r="U231" s="15"/>
      <c r="V231" s="15"/>
      <c r="W231" s="15"/>
      <c r="X231" s="15"/>
      <c r="Y231" s="15"/>
    </row>
    <row r="232" spans="6:25" s="21" customFormat="1" ht="14.25" x14ac:dyDescent="0.45">
      <c r="F232"/>
      <c r="G232"/>
      <c r="H232"/>
      <c r="I232"/>
      <c r="J232"/>
      <c r="K232"/>
      <c r="L232"/>
      <c r="M232" s="106"/>
      <c r="N232" s="106"/>
      <c r="O232" s="106"/>
      <c r="P232" s="106"/>
      <c r="Q232" s="15"/>
      <c r="R232" s="15"/>
      <c r="S232" s="15"/>
      <c r="T232" s="15"/>
      <c r="U232" s="15"/>
      <c r="V232" s="15"/>
      <c r="W232" s="15"/>
      <c r="X232" s="15"/>
      <c r="Y232" s="15"/>
    </row>
    <row r="233" spans="6:25" s="21" customFormat="1" ht="14.25" x14ac:dyDescent="0.45">
      <c r="F233"/>
      <c r="G233"/>
      <c r="H233"/>
      <c r="I233"/>
      <c r="J233"/>
      <c r="K233"/>
      <c r="L233"/>
      <c r="M233" s="106"/>
      <c r="N233" s="106"/>
      <c r="O233" s="106"/>
      <c r="P233" s="106"/>
      <c r="Q233" s="15"/>
      <c r="R233" s="15"/>
      <c r="S233" s="15"/>
      <c r="T233" s="15"/>
      <c r="U233" s="15"/>
      <c r="V233" s="15"/>
      <c r="W233" s="15"/>
      <c r="X233" s="15"/>
      <c r="Y233" s="15"/>
    </row>
    <row r="234" spans="6:25" s="21" customFormat="1" ht="14.25" x14ac:dyDescent="0.45">
      <c r="F234"/>
      <c r="G234"/>
      <c r="H234"/>
      <c r="I234"/>
      <c r="J234"/>
      <c r="K234"/>
      <c r="L234"/>
      <c r="M234" s="106"/>
      <c r="N234" s="106"/>
      <c r="O234" s="106"/>
      <c r="P234" s="106"/>
      <c r="Q234" s="15"/>
      <c r="R234" s="15"/>
      <c r="S234" s="15"/>
      <c r="T234" s="15"/>
      <c r="U234" s="15"/>
      <c r="V234" s="15"/>
      <c r="W234" s="15"/>
      <c r="X234" s="15"/>
      <c r="Y234" s="15"/>
    </row>
    <row r="235" spans="6:25" s="21" customFormat="1" ht="14.25" x14ac:dyDescent="0.45">
      <c r="F235"/>
      <c r="G235"/>
      <c r="H235"/>
      <c r="I235"/>
      <c r="J235"/>
      <c r="K235"/>
      <c r="L235"/>
      <c r="M235" s="106"/>
      <c r="N235" s="106"/>
      <c r="O235" s="106"/>
      <c r="P235" s="106"/>
      <c r="Q235" s="15"/>
      <c r="R235" s="15"/>
      <c r="S235" s="15"/>
      <c r="T235" s="15"/>
      <c r="U235" s="15"/>
      <c r="V235" s="15"/>
      <c r="W235" s="15"/>
      <c r="X235" s="15"/>
      <c r="Y235" s="15"/>
    </row>
    <row r="236" spans="6:25" s="21" customFormat="1" ht="14.25" x14ac:dyDescent="0.45">
      <c r="F236"/>
      <c r="G236"/>
      <c r="H236"/>
      <c r="I236"/>
      <c r="J236"/>
      <c r="K236"/>
      <c r="L236"/>
      <c r="M236" s="106"/>
      <c r="N236" s="106"/>
      <c r="O236" s="106"/>
      <c r="P236" s="106"/>
      <c r="Q236" s="15"/>
      <c r="R236" s="15"/>
      <c r="S236" s="15"/>
      <c r="T236" s="15"/>
      <c r="U236" s="15"/>
      <c r="V236" s="15"/>
      <c r="W236" s="15"/>
      <c r="X236" s="15"/>
      <c r="Y236" s="15"/>
    </row>
    <row r="237" spans="6:25" s="21" customFormat="1" ht="14.25" x14ac:dyDescent="0.45">
      <c r="F237"/>
      <c r="G237"/>
      <c r="H237"/>
      <c r="I237"/>
      <c r="J237"/>
      <c r="K237"/>
      <c r="L237"/>
      <c r="M237" s="106"/>
      <c r="N237" s="106"/>
      <c r="O237" s="106"/>
      <c r="P237" s="106"/>
      <c r="Q237" s="15"/>
      <c r="R237" s="15"/>
      <c r="S237" s="15"/>
      <c r="T237" s="15"/>
      <c r="U237" s="15"/>
      <c r="V237" s="15"/>
      <c r="W237" s="15"/>
      <c r="X237" s="15"/>
      <c r="Y237" s="15"/>
    </row>
    <row r="238" spans="6:25" s="21" customFormat="1" ht="14.25" x14ac:dyDescent="0.45">
      <c r="F238"/>
      <c r="G238"/>
      <c r="H238"/>
      <c r="I238"/>
      <c r="J238"/>
      <c r="K238"/>
      <c r="L238"/>
      <c r="M238" s="106"/>
      <c r="N238" s="106"/>
      <c r="O238" s="106"/>
      <c r="P238" s="106"/>
      <c r="Q238" s="15"/>
      <c r="R238" s="15"/>
      <c r="S238" s="15"/>
      <c r="T238" s="15"/>
      <c r="U238" s="15"/>
      <c r="V238" s="15"/>
      <c r="W238" s="15"/>
      <c r="X238" s="15"/>
      <c r="Y238" s="15"/>
    </row>
    <row r="239" spans="6:25" s="21" customFormat="1" ht="14.25" x14ac:dyDescent="0.45">
      <c r="F239"/>
      <c r="G239"/>
      <c r="H239"/>
      <c r="I239"/>
      <c r="J239"/>
      <c r="K239"/>
      <c r="L239"/>
      <c r="M239" s="106"/>
      <c r="N239" s="106"/>
      <c r="O239" s="106"/>
      <c r="P239" s="106"/>
      <c r="Q239" s="15"/>
      <c r="R239" s="15"/>
      <c r="S239" s="15"/>
      <c r="T239" s="15"/>
      <c r="U239" s="15"/>
      <c r="V239" s="15"/>
      <c r="W239" s="15"/>
      <c r="X239" s="15"/>
      <c r="Y239" s="15"/>
    </row>
    <row r="240" spans="6:25" s="21" customFormat="1" ht="14.25" x14ac:dyDescent="0.45">
      <c r="F240"/>
      <c r="G240"/>
      <c r="H240"/>
      <c r="I240"/>
      <c r="J240"/>
      <c r="K240"/>
      <c r="L240"/>
      <c r="M240" s="106"/>
      <c r="N240" s="106"/>
      <c r="O240" s="106"/>
      <c r="P240" s="106"/>
      <c r="Q240" s="15"/>
      <c r="R240" s="15"/>
      <c r="S240" s="15"/>
      <c r="T240" s="15"/>
      <c r="U240" s="15"/>
      <c r="V240" s="15"/>
      <c r="W240" s="15"/>
      <c r="X240" s="15"/>
      <c r="Y240" s="15"/>
    </row>
    <row r="241" spans="6:25" s="21" customFormat="1" ht="14.25" x14ac:dyDescent="0.45">
      <c r="F241"/>
      <c r="G241"/>
      <c r="H241"/>
      <c r="I241"/>
      <c r="J241"/>
      <c r="K241"/>
      <c r="L241"/>
      <c r="M241" s="106"/>
      <c r="N241" s="106"/>
      <c r="O241" s="106"/>
      <c r="P241" s="106"/>
      <c r="Q241" s="15"/>
      <c r="R241" s="15"/>
      <c r="S241" s="15"/>
      <c r="T241" s="15"/>
      <c r="U241" s="15"/>
      <c r="V241" s="15"/>
      <c r="W241" s="15"/>
      <c r="X241" s="15"/>
      <c r="Y241" s="15"/>
    </row>
    <row r="242" spans="6:25" s="21" customFormat="1" ht="14.25" x14ac:dyDescent="0.45">
      <c r="F242"/>
      <c r="G242"/>
      <c r="H242"/>
      <c r="I242"/>
      <c r="J242"/>
      <c r="K242"/>
      <c r="L242"/>
      <c r="M242" s="106"/>
      <c r="N242" s="106"/>
      <c r="O242" s="106"/>
      <c r="P242" s="106"/>
      <c r="Q242" s="15"/>
      <c r="R242" s="15"/>
      <c r="S242" s="15"/>
      <c r="T242" s="15"/>
      <c r="U242" s="15"/>
      <c r="V242" s="15"/>
      <c r="W242" s="15"/>
      <c r="X242" s="15"/>
      <c r="Y242" s="15"/>
    </row>
    <row r="243" spans="6:25" s="21" customFormat="1" ht="14.25" x14ac:dyDescent="0.45">
      <c r="F243"/>
      <c r="G243"/>
      <c r="H243"/>
      <c r="I243"/>
      <c r="J243"/>
      <c r="K243"/>
      <c r="L243"/>
      <c r="M243" s="106"/>
      <c r="N243" s="106"/>
      <c r="O243" s="106"/>
      <c r="P243" s="106"/>
      <c r="Q243" s="15"/>
      <c r="R243" s="15"/>
      <c r="S243" s="15"/>
      <c r="T243" s="15"/>
      <c r="U243" s="15"/>
      <c r="V243" s="15"/>
      <c r="W243" s="15"/>
      <c r="X243" s="15"/>
      <c r="Y243" s="15"/>
    </row>
  </sheetData>
  <mergeCells count="2">
    <mergeCell ref="G13:H13"/>
    <mergeCell ref="D17:D18"/>
  </mergeCell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269AD-FD41-46C2-B874-BFA7454EDB24}">
  <sheetPr codeName="Planilha3">
    <tabColor theme="9" tint="0.59999389629810485"/>
  </sheetPr>
  <dimension ref="A1:P16"/>
  <sheetViews>
    <sheetView showGridLines="0" workbookViewId="0">
      <selection activeCell="N11" sqref="N11"/>
    </sheetView>
  </sheetViews>
  <sheetFormatPr defaultColWidth="8.796875" defaultRowHeight="18" x14ac:dyDescent="0.55000000000000004"/>
  <cols>
    <col min="1" max="1" width="12.6640625" style="17" customWidth="1"/>
    <col min="2" max="2" width="38" customWidth="1"/>
    <col min="8" max="12" width="9.1328125" style="15"/>
    <col min="13" max="16" width="8.796875" style="15"/>
  </cols>
  <sheetData>
    <row r="1" spans="1:16" x14ac:dyDescent="0.55000000000000004">
      <c r="A1" s="16" t="s">
        <v>14</v>
      </c>
      <c r="H1" s="14"/>
      <c r="I1" s="14"/>
      <c r="J1" s="14"/>
      <c r="K1" s="14"/>
      <c r="L1" s="14"/>
      <c r="M1" s="14"/>
      <c r="N1" s="14"/>
      <c r="O1" s="14"/>
      <c r="P1" s="14"/>
    </row>
    <row r="2" spans="1:16" x14ac:dyDescent="0.55000000000000004">
      <c r="A2" s="17" t="s">
        <v>19</v>
      </c>
      <c r="H2" s="14"/>
      <c r="I2" s="14"/>
      <c r="J2" s="14"/>
      <c r="K2" s="14"/>
      <c r="L2" s="14"/>
      <c r="M2" s="14"/>
      <c r="N2" s="14"/>
      <c r="O2" s="14"/>
      <c r="P2" s="14"/>
    </row>
    <row r="4" spans="1:16" ht="15.75" x14ac:dyDescent="0.5">
      <c r="A4" s="2" t="s">
        <v>15</v>
      </c>
      <c r="B4" s="2" t="s">
        <v>16</v>
      </c>
    </row>
    <row r="5" spans="1:16" ht="15.75" x14ac:dyDescent="0.45">
      <c r="A5" s="19" t="s">
        <v>35</v>
      </c>
      <c r="B5" s="20" t="s">
        <v>18</v>
      </c>
    </row>
    <row r="6" spans="1:16" ht="31.5" x14ac:dyDescent="0.45">
      <c r="A6" s="19" t="s">
        <v>37</v>
      </c>
      <c r="B6" s="26" t="s">
        <v>1238</v>
      </c>
    </row>
    <row r="7" spans="1:16" x14ac:dyDescent="0.55000000000000004">
      <c r="D7" s="1" t="s">
        <v>17</v>
      </c>
      <c r="E7" s="13" t="s">
        <v>35</v>
      </c>
      <c r="F7" s="12">
        <v>3</v>
      </c>
      <c r="H7" s="15" cm="1">
        <f t="array" ref="H7:J9">_xlfn.LAMBDA(_xlpm.N,_xlop.m, _xlfn.LET(_xlpm.m, IF(_xlfn.ISOMITTED(_xlpm.m), _xlpm.N, _xlpm.m), IF(_xlpm.N = _xlpm.m, _xlfn.MUNIT(_xlpm.N), IF(_xlpm.N &lt; _xlpm.m, _xlfn.HSTACK(_xlfn.MUNIT(_xlpm.N), ZEROS(_xlpm.N, _xlpm.m - _xlpm.N)), _xlfn.TAKE(_xlfn.MUNIT(_xlpm.N), _xlpm.N, _xlpm.m)))))($F$7)</f>
        <v>1</v>
      </c>
      <c r="I7" s="15">
        <v>0</v>
      </c>
      <c r="J7" s="15">
        <v>0</v>
      </c>
    </row>
    <row r="8" spans="1:16" x14ac:dyDescent="0.55000000000000004">
      <c r="H8" s="15">
        <v>0</v>
      </c>
      <c r="I8" s="15">
        <v>1</v>
      </c>
      <c r="J8" s="15">
        <v>0</v>
      </c>
    </row>
    <row r="9" spans="1:16" x14ac:dyDescent="0.55000000000000004">
      <c r="H9" s="15">
        <v>0</v>
      </c>
      <c r="I9" s="15">
        <v>0</v>
      </c>
      <c r="J9" s="15">
        <v>1</v>
      </c>
    </row>
    <row r="14" spans="1:16" x14ac:dyDescent="0.55000000000000004">
      <c r="D14" s="1" t="s">
        <v>17</v>
      </c>
      <c r="E14" s="13" t="s">
        <v>35</v>
      </c>
      <c r="F14" s="12">
        <v>3</v>
      </c>
      <c r="H14" s="15" cm="1">
        <f t="array" ref="H14:I16">EYE($F$14,$F$15)</f>
        <v>1</v>
      </c>
      <c r="I14" s="15">
        <v>0</v>
      </c>
    </row>
    <row r="15" spans="1:16" x14ac:dyDescent="0.55000000000000004">
      <c r="E15" s="13" t="s">
        <v>36</v>
      </c>
      <c r="F15" s="12">
        <v>2</v>
      </c>
      <c r="H15" s="15">
        <v>0</v>
      </c>
      <c r="I15" s="15">
        <v>1</v>
      </c>
    </row>
    <row r="16" spans="1:16" x14ac:dyDescent="0.55000000000000004">
      <c r="H16" s="15">
        <v>0</v>
      </c>
      <c r="I16" s="15">
        <v>0</v>
      </c>
    </row>
  </sheetData>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963FC-F00F-4897-BFD5-7FEB2F924484}">
  <sheetPr codeName="Planilha4">
    <tabColor theme="9" tint="0.59999389629810485"/>
  </sheetPr>
  <dimension ref="A1:P18"/>
  <sheetViews>
    <sheetView showGridLines="0" workbookViewId="0">
      <selection activeCell="N14" sqref="N14"/>
    </sheetView>
  </sheetViews>
  <sheetFormatPr defaultColWidth="8.796875" defaultRowHeight="18" x14ac:dyDescent="0.55000000000000004"/>
  <cols>
    <col min="1" max="1" width="12.6640625" style="17" customWidth="1"/>
    <col min="2" max="2" width="41.1328125" customWidth="1"/>
    <col min="8" max="11" width="9.1328125" style="15"/>
    <col min="12" max="16" width="8.796875" style="15"/>
  </cols>
  <sheetData>
    <row r="1" spans="1:16" x14ac:dyDescent="0.55000000000000004">
      <c r="A1" s="16" t="s">
        <v>23</v>
      </c>
      <c r="H1" s="14"/>
      <c r="I1" s="14"/>
      <c r="J1" s="14"/>
      <c r="K1" s="14"/>
      <c r="L1" s="14"/>
      <c r="M1" s="14"/>
      <c r="N1" s="14"/>
      <c r="O1" s="14"/>
      <c r="P1" s="14"/>
    </row>
    <row r="2" spans="1:16" x14ac:dyDescent="0.55000000000000004">
      <c r="A2" s="17" t="s">
        <v>24</v>
      </c>
      <c r="H2" s="14"/>
      <c r="I2" s="14"/>
      <c r="J2" s="14"/>
      <c r="K2" s="14"/>
      <c r="L2" s="14"/>
      <c r="M2" s="14"/>
      <c r="N2" s="14"/>
      <c r="O2" s="14"/>
      <c r="P2" s="14"/>
    </row>
    <row r="4" spans="1:16" ht="15.75" x14ac:dyDescent="0.5">
      <c r="A4" s="2" t="s">
        <v>15</v>
      </c>
      <c r="B4" s="2" t="s">
        <v>16</v>
      </c>
    </row>
    <row r="5" spans="1:16" ht="31.5" x14ac:dyDescent="0.45">
      <c r="A5" s="19" t="s">
        <v>35</v>
      </c>
      <c r="B5" s="26" t="s">
        <v>1240</v>
      </c>
    </row>
    <row r="6" spans="1:16" ht="31.5" x14ac:dyDescent="0.45">
      <c r="A6" s="19" t="s">
        <v>37</v>
      </c>
      <c r="B6" s="26" t="s">
        <v>1239</v>
      </c>
    </row>
    <row r="7" spans="1:16" x14ac:dyDescent="0.55000000000000004">
      <c r="D7" s="1" t="s">
        <v>17</v>
      </c>
      <c r="E7" s="13" t="s">
        <v>35</v>
      </c>
      <c r="F7" s="12">
        <v>4</v>
      </c>
      <c r="H7" s="15" cm="1">
        <f t="array" ref="H7:K10">_xlfn.LAMBDA(_xlpm.N,_xlop.m, _xlfn.LET(_xlpm.m, IF(OR(_xlfn.ISOMITTED(_xlpm.m),ISBLANK(_xlpm.m)),_xlpm.N,_xlpm.m), _xlfn.EXPAND(0, _xlpm.N, _xlpm.m, 0)) )($F$7)</f>
        <v>0</v>
      </c>
      <c r="I7" s="15">
        <v>0</v>
      </c>
      <c r="J7" s="15">
        <v>0</v>
      </c>
      <c r="K7" s="15">
        <v>0</v>
      </c>
    </row>
    <row r="8" spans="1:16" x14ac:dyDescent="0.55000000000000004">
      <c r="H8" s="15">
        <v>0</v>
      </c>
      <c r="I8" s="15">
        <v>0</v>
      </c>
      <c r="J8" s="15">
        <v>0</v>
      </c>
      <c r="K8" s="15">
        <v>0</v>
      </c>
    </row>
    <row r="9" spans="1:16" x14ac:dyDescent="0.55000000000000004">
      <c r="H9" s="15">
        <v>0</v>
      </c>
      <c r="I9" s="15">
        <v>0</v>
      </c>
      <c r="J9" s="15">
        <v>0</v>
      </c>
      <c r="K9" s="15">
        <v>0</v>
      </c>
    </row>
    <row r="10" spans="1:16" x14ac:dyDescent="0.55000000000000004">
      <c r="H10" s="15">
        <v>0</v>
      </c>
      <c r="I10" s="15">
        <v>0</v>
      </c>
      <c r="J10" s="15">
        <v>0</v>
      </c>
      <c r="K10" s="15">
        <v>0</v>
      </c>
    </row>
    <row r="15" spans="1:16" x14ac:dyDescent="0.55000000000000004">
      <c r="D15" s="1" t="s">
        <v>17</v>
      </c>
      <c r="E15" s="13" t="s">
        <v>35</v>
      </c>
      <c r="F15" s="12">
        <v>4</v>
      </c>
      <c r="H15" s="15" cm="1">
        <f t="array" ref="H15:I18">ZEROS($F$15,$F$16)</f>
        <v>0</v>
      </c>
      <c r="I15" s="15">
        <v>0</v>
      </c>
    </row>
    <row r="16" spans="1:16" x14ac:dyDescent="0.55000000000000004">
      <c r="E16" s="13" t="s">
        <v>36</v>
      </c>
      <c r="F16" s="12">
        <v>2</v>
      </c>
      <c r="H16" s="15">
        <v>0</v>
      </c>
      <c r="I16" s="15">
        <v>0</v>
      </c>
    </row>
    <row r="17" spans="8:9" x14ac:dyDescent="0.55000000000000004">
      <c r="H17" s="15">
        <v>0</v>
      </c>
      <c r="I17" s="15">
        <v>0</v>
      </c>
    </row>
    <row r="18" spans="8:9" x14ac:dyDescent="0.55000000000000004">
      <c r="H18" s="15">
        <v>0</v>
      </c>
      <c r="I18" s="15">
        <v>0</v>
      </c>
    </row>
  </sheetData>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A8BE3-C3AC-4575-A0E7-496C1643E2AC}">
  <sheetPr codeName="Planilha8">
    <tabColor theme="9" tint="0.59999389629810485"/>
  </sheetPr>
  <dimension ref="A1:P18"/>
  <sheetViews>
    <sheetView showGridLines="0" workbookViewId="0"/>
  </sheetViews>
  <sheetFormatPr defaultColWidth="8.796875" defaultRowHeight="18" x14ac:dyDescent="0.55000000000000004"/>
  <cols>
    <col min="1" max="1" width="12.6640625" style="17" customWidth="1"/>
    <col min="2" max="2" width="39.1328125" customWidth="1"/>
    <col min="8" max="11" width="9.1328125" style="15"/>
    <col min="12" max="16" width="8.796875" style="15"/>
  </cols>
  <sheetData>
    <row r="1" spans="1:16" x14ac:dyDescent="0.55000000000000004">
      <c r="A1" s="16" t="s">
        <v>32</v>
      </c>
      <c r="H1" s="14"/>
      <c r="I1" s="14"/>
      <c r="J1" s="14"/>
      <c r="K1" s="14"/>
      <c r="L1" s="14"/>
      <c r="M1" s="14"/>
      <c r="N1" s="14"/>
      <c r="O1" s="14"/>
      <c r="P1" s="14"/>
    </row>
    <row r="2" spans="1:16" x14ac:dyDescent="0.55000000000000004">
      <c r="A2" s="17" t="s">
        <v>33</v>
      </c>
      <c r="H2" s="14"/>
      <c r="I2" s="14"/>
      <c r="J2" s="14"/>
      <c r="K2" s="14"/>
      <c r="L2" s="14"/>
      <c r="M2" s="14"/>
      <c r="N2" s="14"/>
      <c r="O2" s="14"/>
      <c r="P2" s="14"/>
    </row>
    <row r="4" spans="1:16" ht="15.75" x14ac:dyDescent="0.5">
      <c r="A4" s="2" t="s">
        <v>15</v>
      </c>
      <c r="B4" s="2" t="s">
        <v>16</v>
      </c>
    </row>
    <row r="5" spans="1:16" ht="31.5" x14ac:dyDescent="0.45">
      <c r="A5" s="19" t="s">
        <v>35</v>
      </c>
      <c r="B5" s="20" t="s">
        <v>34</v>
      </c>
    </row>
    <row r="6" spans="1:16" ht="31.5" x14ac:dyDescent="0.45">
      <c r="A6" s="19" t="s">
        <v>37</v>
      </c>
      <c r="B6" s="26" t="s">
        <v>1239</v>
      </c>
    </row>
    <row r="7" spans="1:16" x14ac:dyDescent="0.55000000000000004">
      <c r="D7" s="1" t="s">
        <v>17</v>
      </c>
      <c r="E7" s="13" t="s">
        <v>35</v>
      </c>
      <c r="F7" s="12">
        <v>4</v>
      </c>
      <c r="H7" s="15" cm="1">
        <f t="array" ref="H7:K10">_xlfn.LAMBDA(_xlpm.N,_xlop.m, _xlfn.LET(_xlpm.m, IF(OR(_xlfn.ISOMITTED(_xlpm.m),ISBLANK(_xlpm.m)),_xlpm.N,_xlpm.m), _xlfn.EXPAND(1, _xlpm.N, _xlpm.m, 1)) )($F$7)</f>
        <v>1</v>
      </c>
      <c r="I7" s="15">
        <v>1</v>
      </c>
      <c r="J7" s="15">
        <v>1</v>
      </c>
      <c r="K7" s="15">
        <v>1</v>
      </c>
    </row>
    <row r="8" spans="1:16" x14ac:dyDescent="0.55000000000000004">
      <c r="H8" s="15">
        <v>1</v>
      </c>
      <c r="I8" s="15">
        <v>1</v>
      </c>
      <c r="J8" s="15">
        <v>1</v>
      </c>
      <c r="K8" s="15">
        <v>1</v>
      </c>
    </row>
    <row r="9" spans="1:16" x14ac:dyDescent="0.55000000000000004">
      <c r="H9" s="15">
        <v>1</v>
      </c>
      <c r="I9" s="15">
        <v>1</v>
      </c>
      <c r="J9" s="15">
        <v>1</v>
      </c>
      <c r="K9" s="15">
        <v>1</v>
      </c>
    </row>
    <row r="10" spans="1:16" x14ac:dyDescent="0.55000000000000004">
      <c r="H10" s="15">
        <v>1</v>
      </c>
      <c r="I10" s="15">
        <v>1</v>
      </c>
      <c r="J10" s="15">
        <v>1</v>
      </c>
      <c r="K10" s="15">
        <v>1</v>
      </c>
    </row>
    <row r="15" spans="1:16" x14ac:dyDescent="0.55000000000000004">
      <c r="D15" s="1" t="s">
        <v>17</v>
      </c>
      <c r="E15" s="13" t="s">
        <v>35</v>
      </c>
      <c r="F15" s="12">
        <v>4</v>
      </c>
      <c r="H15" s="15" cm="1">
        <f t="array" ref="H15:I18">ONES($F$15,$F$16)</f>
        <v>1</v>
      </c>
      <c r="I15" s="15">
        <v>1</v>
      </c>
    </row>
    <row r="16" spans="1:16" x14ac:dyDescent="0.55000000000000004">
      <c r="E16" s="13" t="s">
        <v>36</v>
      </c>
      <c r="F16" s="12">
        <v>2</v>
      </c>
      <c r="H16" s="15">
        <v>1</v>
      </c>
      <c r="I16" s="15">
        <v>1</v>
      </c>
    </row>
    <row r="17" spans="8:9" x14ac:dyDescent="0.55000000000000004">
      <c r="H17" s="15">
        <v>1</v>
      </c>
      <c r="I17" s="15">
        <v>1</v>
      </c>
    </row>
    <row r="18" spans="8:9" x14ac:dyDescent="0.55000000000000004">
      <c r="H18" s="15">
        <v>1</v>
      </c>
      <c r="I18" s="15">
        <v>1</v>
      </c>
    </row>
  </sheetData>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656C5-0298-4732-A389-ECE823DAA134}">
  <sheetPr codeName="Planilha5">
    <tabColor theme="9" tint="0.59999389629810485"/>
  </sheetPr>
  <dimension ref="A1:Q41"/>
  <sheetViews>
    <sheetView showGridLines="0" topLeftCell="E1" workbookViewId="0">
      <selection activeCell="S12" sqref="S12"/>
    </sheetView>
  </sheetViews>
  <sheetFormatPr defaultColWidth="8.796875" defaultRowHeight="18" x14ac:dyDescent="0.55000000000000004"/>
  <cols>
    <col min="1" max="1" width="12.6640625" style="17" customWidth="1"/>
    <col min="2" max="2" width="30.33203125" bestFit="1" customWidth="1"/>
    <col min="5" max="6" width="12.33203125" bestFit="1" customWidth="1"/>
    <col min="11" max="13" width="9.1328125" style="15"/>
    <col min="14" max="17" width="8.796875" style="15"/>
    <col min="18" max="19" width="12.33203125" bestFit="1" customWidth="1"/>
  </cols>
  <sheetData>
    <row r="1" spans="1:17" x14ac:dyDescent="0.55000000000000004">
      <c r="A1" s="16" t="s">
        <v>20</v>
      </c>
      <c r="K1" s="14"/>
      <c r="L1" s="14"/>
      <c r="M1" s="14"/>
      <c r="N1" s="14"/>
      <c r="O1" s="14"/>
      <c r="P1" s="14"/>
      <c r="Q1" s="14"/>
    </row>
    <row r="2" spans="1:17" x14ac:dyDescent="0.55000000000000004">
      <c r="A2" s="17" t="s">
        <v>21</v>
      </c>
      <c r="K2" s="14"/>
      <c r="L2" s="14"/>
      <c r="M2" s="14"/>
      <c r="N2" s="14"/>
      <c r="O2" s="14"/>
      <c r="P2" s="14"/>
      <c r="Q2" s="14"/>
    </row>
    <row r="4" spans="1:17" ht="15.75" x14ac:dyDescent="0.5">
      <c r="A4" s="2" t="s">
        <v>15</v>
      </c>
      <c r="B4" s="2" t="s">
        <v>16</v>
      </c>
    </row>
    <row r="5" spans="1:17" ht="63" x14ac:dyDescent="0.45">
      <c r="A5" s="19" t="s">
        <v>22</v>
      </c>
      <c r="B5" s="20" t="s">
        <v>25</v>
      </c>
    </row>
    <row r="6" spans="1:17" ht="63" x14ac:dyDescent="0.5">
      <c r="A6" s="19" t="s">
        <v>26</v>
      </c>
      <c r="B6" s="18" t="s">
        <v>27</v>
      </c>
    </row>
    <row r="7" spans="1:17" x14ac:dyDescent="0.55000000000000004">
      <c r="D7" s="1" t="s">
        <v>17</v>
      </c>
      <c r="E7" s="13" t="s">
        <v>22</v>
      </c>
      <c r="F7" s="12">
        <v>1</v>
      </c>
      <c r="G7" s="12">
        <v>2</v>
      </c>
      <c r="H7" s="12">
        <v>3</v>
      </c>
      <c r="K7" s="15" cm="1">
        <f t="array" ref="K7:K9">_xlfn.LAMBDA(_xlpm.matrix,_xlop.k, _xlfn.LET(_xlpm.k, IF(_xlfn.ISOMITTED(_xlpm.k), 0, _xlpm.k), IF(AND(ROWS(_xlpm.matrix) &gt; 1, COLUMNS(_xlpm.matrix) &gt; 1), _xlfn._xlws.FILTER(VEC(_xlpm.matrix), VEC(_xlfn.MAKEARRAY(ROWS(_xlpm.matrix), COLUMNS(_xlpm.matrix), _xlfn.LAMBDA(_xlpm.lin,_xlpm.col, _xlpm.col = (_xlpm.lin + _xlpm.k))))), IF(ROWS(_xlpm.matrix) = 1, _xlpm.matrix * _xlfn.MUNIT(COLUMNS(_xlpm.matrix)), IF(COLUMNS(_xlpm.matrix) = 1, _xlpm.matrix * _xlfn.MUNIT(ROWS(_xlpm.matrix)))))))($F$7:$H$9)</f>
        <v>1</v>
      </c>
    </row>
    <row r="8" spans="1:17" x14ac:dyDescent="0.55000000000000004">
      <c r="F8" s="12">
        <v>4</v>
      </c>
      <c r="G8" s="12">
        <v>5</v>
      </c>
      <c r="H8" s="12">
        <v>6</v>
      </c>
      <c r="K8" s="15">
        <v>5</v>
      </c>
    </row>
    <row r="9" spans="1:17" x14ac:dyDescent="0.55000000000000004">
      <c r="F9" s="12">
        <v>7</v>
      </c>
      <c r="G9" s="12">
        <v>8</v>
      </c>
      <c r="H9" s="12">
        <v>9</v>
      </c>
      <c r="K9" s="15">
        <v>9</v>
      </c>
    </row>
    <row r="13" spans="1:17" x14ac:dyDescent="0.55000000000000004">
      <c r="D13" s="1" t="s">
        <v>17</v>
      </c>
      <c r="E13" s="13" t="s">
        <v>22</v>
      </c>
      <c r="F13" s="12">
        <v>1</v>
      </c>
      <c r="G13" s="12">
        <v>2</v>
      </c>
      <c r="H13" s="12">
        <v>3</v>
      </c>
      <c r="K13" s="15" cm="1">
        <f t="array" ref="K13:M15">DIAG(DIAG(F13:H15))</f>
        <v>1</v>
      </c>
      <c r="L13" s="15">
        <v>0</v>
      </c>
      <c r="M13" s="15">
        <v>0</v>
      </c>
    </row>
    <row r="14" spans="1:17" x14ac:dyDescent="0.55000000000000004">
      <c r="F14" s="12">
        <v>4</v>
      </c>
      <c r="G14" s="12">
        <v>5</v>
      </c>
      <c r="H14" s="12">
        <v>6</v>
      </c>
      <c r="K14" s="15">
        <v>0</v>
      </c>
      <c r="L14" s="15">
        <v>5</v>
      </c>
      <c r="M14" s="15">
        <v>0</v>
      </c>
    </row>
    <row r="15" spans="1:17" x14ac:dyDescent="0.55000000000000004">
      <c r="F15" s="12">
        <v>7</v>
      </c>
      <c r="G15" s="12">
        <v>8</v>
      </c>
      <c r="H15" s="12">
        <v>9</v>
      </c>
      <c r="K15" s="15">
        <v>0</v>
      </c>
      <c r="L15" s="15">
        <v>0</v>
      </c>
      <c r="M15" s="15">
        <v>9</v>
      </c>
    </row>
    <row r="19" spans="4:13" x14ac:dyDescent="0.55000000000000004">
      <c r="D19" s="1" t="s">
        <v>17</v>
      </c>
      <c r="E19" s="13" t="s">
        <v>22</v>
      </c>
      <c r="F19" s="12">
        <v>5</v>
      </c>
      <c r="G19" s="12"/>
      <c r="H19" s="12"/>
      <c r="K19" s="15" cm="1">
        <f t="array" ref="K19:M21">DIAG($F$19:$F$21)</f>
        <v>5</v>
      </c>
      <c r="L19" s="15">
        <v>0</v>
      </c>
      <c r="M19" s="15">
        <v>0</v>
      </c>
    </row>
    <row r="20" spans="4:13" x14ac:dyDescent="0.55000000000000004">
      <c r="F20" s="12">
        <v>4</v>
      </c>
      <c r="G20" s="12"/>
      <c r="H20" s="12"/>
      <c r="K20" s="15">
        <v>0</v>
      </c>
      <c r="L20" s="15">
        <v>4</v>
      </c>
      <c r="M20" s="15">
        <v>0</v>
      </c>
    </row>
    <row r="21" spans="4:13" x14ac:dyDescent="0.55000000000000004">
      <c r="F21" s="12">
        <v>7</v>
      </c>
      <c r="G21" s="12"/>
      <c r="H21" s="12"/>
      <c r="K21" s="15">
        <v>0</v>
      </c>
      <c r="L21" s="15">
        <v>0</v>
      </c>
      <c r="M21" s="15">
        <v>7</v>
      </c>
    </row>
    <row r="25" spans="4:13" x14ac:dyDescent="0.55000000000000004">
      <c r="D25" s="1" t="s">
        <v>17</v>
      </c>
      <c r="E25" s="13" t="s">
        <v>22</v>
      </c>
      <c r="F25" s="12">
        <v>5</v>
      </c>
      <c r="G25" s="12">
        <v>4</v>
      </c>
      <c r="H25" s="12">
        <v>7</v>
      </c>
      <c r="K25" s="15" cm="1">
        <f t="array" ref="K25:M27">DIAG($F$25:$H$25)</f>
        <v>5</v>
      </c>
      <c r="L25" s="15">
        <v>0</v>
      </c>
      <c r="M25" s="15">
        <v>0</v>
      </c>
    </row>
    <row r="26" spans="4:13" x14ac:dyDescent="0.55000000000000004">
      <c r="F26" s="12"/>
      <c r="G26" s="12"/>
      <c r="H26" s="12"/>
      <c r="K26" s="15">
        <v>0</v>
      </c>
      <c r="L26" s="15">
        <v>4</v>
      </c>
      <c r="M26" s="15">
        <v>0</v>
      </c>
    </row>
    <row r="27" spans="4:13" x14ac:dyDescent="0.55000000000000004">
      <c r="F27" s="12"/>
      <c r="G27" s="12"/>
      <c r="H27" s="12"/>
      <c r="K27" s="15">
        <v>0</v>
      </c>
      <c r="L27" s="15">
        <v>0</v>
      </c>
      <c r="M27" s="15">
        <v>7</v>
      </c>
    </row>
    <row r="31" spans="4:13" x14ac:dyDescent="0.55000000000000004">
      <c r="D31" s="1" t="s">
        <v>17</v>
      </c>
      <c r="E31" s="13" t="s">
        <v>22</v>
      </c>
      <c r="F31" s="12">
        <v>1</v>
      </c>
      <c r="G31" s="12">
        <v>2</v>
      </c>
      <c r="H31" s="12">
        <v>3</v>
      </c>
      <c r="K31" s="15" cm="1">
        <f t="array" ref="K31:K32">DIAG($F$31:$H$33,$F$34)</f>
        <v>2</v>
      </c>
    </row>
    <row r="32" spans="4:13" x14ac:dyDescent="0.55000000000000004">
      <c r="F32" s="12">
        <v>4</v>
      </c>
      <c r="G32" s="12">
        <v>5</v>
      </c>
      <c r="H32" s="12">
        <v>6</v>
      </c>
      <c r="K32" s="15">
        <v>6</v>
      </c>
    </row>
    <row r="33" spans="4:11" x14ac:dyDescent="0.55000000000000004">
      <c r="F33" s="12">
        <v>7</v>
      </c>
      <c r="G33" s="12">
        <v>8</v>
      </c>
      <c r="H33" s="12">
        <v>9</v>
      </c>
    </row>
    <row r="34" spans="4:11" x14ac:dyDescent="0.55000000000000004">
      <c r="E34" s="13" t="s">
        <v>26</v>
      </c>
      <c r="F34" s="12">
        <v>1</v>
      </c>
    </row>
    <row r="38" spans="4:11" x14ac:dyDescent="0.55000000000000004">
      <c r="D38" s="1" t="s">
        <v>17</v>
      </c>
      <c r="E38" s="13" t="s">
        <v>22</v>
      </c>
      <c r="F38" s="12">
        <v>1</v>
      </c>
      <c r="G38" s="12">
        <v>2</v>
      </c>
      <c r="K38" s="15" cm="1">
        <f t="array" ref="K38:K39">DIAG($F$38:$G$40,$F$41)</f>
        <v>4</v>
      </c>
    </row>
    <row r="39" spans="4:11" x14ac:dyDescent="0.55000000000000004">
      <c r="F39" s="12">
        <v>4</v>
      </c>
      <c r="G39" s="12">
        <v>5</v>
      </c>
      <c r="K39" s="15">
        <v>8</v>
      </c>
    </row>
    <row r="40" spans="4:11" x14ac:dyDescent="0.55000000000000004">
      <c r="F40" s="12">
        <v>7</v>
      </c>
      <c r="G40" s="12">
        <v>8</v>
      </c>
    </row>
    <row r="41" spans="4:11" x14ac:dyDescent="0.55000000000000004">
      <c r="E41" s="13" t="s">
        <v>26</v>
      </c>
      <c r="F41" s="12">
        <v>-1</v>
      </c>
    </row>
  </sheetData>
  <pageMargins left="0.511811024" right="0.511811024" top="0.78740157499999996" bottom="0.78740157499999996" header="0.31496062000000002" footer="0.3149606200000000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42A2-5F1C-4A99-AEA1-29C2348D1606}">
  <sheetPr codeName="Planilha6">
    <tabColor theme="9" tint="0.59999389629810485"/>
  </sheetPr>
  <dimension ref="A1:P16"/>
  <sheetViews>
    <sheetView showGridLines="0" workbookViewId="0">
      <selection activeCell="J7" sqref="J7"/>
    </sheetView>
  </sheetViews>
  <sheetFormatPr defaultColWidth="8.796875" defaultRowHeight="18" x14ac:dyDescent="0.55000000000000004"/>
  <cols>
    <col min="1" max="1" width="12.6640625" style="17" customWidth="1"/>
    <col min="2" max="2" width="30.33203125" bestFit="1" customWidth="1"/>
    <col min="5" max="6" width="12.33203125" bestFit="1" customWidth="1"/>
    <col min="10" max="10" width="12.33203125" style="15" bestFit="1" customWidth="1"/>
    <col min="11" max="12" width="9.1328125" style="15"/>
    <col min="13" max="16" width="8.796875" style="15"/>
  </cols>
  <sheetData>
    <row r="1" spans="1:16" x14ac:dyDescent="0.55000000000000004">
      <c r="A1" s="16" t="s">
        <v>30</v>
      </c>
      <c r="J1" s="14"/>
      <c r="K1" s="14"/>
      <c r="L1" s="14"/>
      <c r="M1" s="14"/>
      <c r="N1" s="14"/>
      <c r="O1" s="14"/>
      <c r="P1" s="14"/>
    </row>
    <row r="2" spans="1:16" x14ac:dyDescent="0.55000000000000004">
      <c r="A2" s="17" t="s">
        <v>52</v>
      </c>
      <c r="J2" s="14"/>
      <c r="K2" s="14"/>
      <c r="L2" s="14"/>
      <c r="M2" s="14"/>
      <c r="N2" s="14"/>
      <c r="O2" s="14"/>
      <c r="P2" s="14"/>
    </row>
    <row r="4" spans="1:16" ht="15.75" x14ac:dyDescent="0.5">
      <c r="A4" s="2" t="s">
        <v>15</v>
      </c>
      <c r="B4" s="2" t="s">
        <v>16</v>
      </c>
    </row>
    <row r="5" spans="1:16" ht="47.25" x14ac:dyDescent="0.45">
      <c r="A5" s="19" t="s">
        <v>22</v>
      </c>
      <c r="B5" s="20" t="s">
        <v>28</v>
      </c>
    </row>
    <row r="6" spans="1:16" ht="47.25" x14ac:dyDescent="0.5">
      <c r="A6" s="19" t="s">
        <v>26</v>
      </c>
      <c r="B6" s="18" t="s">
        <v>29</v>
      </c>
    </row>
    <row r="7" spans="1:16" x14ac:dyDescent="0.55000000000000004">
      <c r="D7" s="1" t="s">
        <v>17</v>
      </c>
      <c r="E7" s="13" t="s">
        <v>22</v>
      </c>
      <c r="F7" s="12">
        <v>1</v>
      </c>
      <c r="G7" s="12">
        <v>2</v>
      </c>
      <c r="H7" s="12">
        <v>3</v>
      </c>
      <c r="J7" s="15" cm="1">
        <f t="array" ref="J7:L9">_xlfn.LAMBDA(_xlpm.matrix,_xlop.k,_xlfn.MAKEARRAY(ROWS(_xlpm.matrix),COLUMNS(_xlpm.matrix),_xlfn.LAMBDA(_xlpm.lin,_xlpm.col,_xlpm.col&lt;=(_xlpm.lin+_xlpm.k)))*_xlpm.matrix)(F7:H9)</f>
        <v>1</v>
      </c>
      <c r="K7" s="15">
        <v>0</v>
      </c>
      <c r="L7" s="15">
        <v>0</v>
      </c>
    </row>
    <row r="8" spans="1:16" x14ac:dyDescent="0.55000000000000004">
      <c r="F8" s="12">
        <v>4</v>
      </c>
      <c r="G8" s="12">
        <v>5</v>
      </c>
      <c r="H8" s="12">
        <v>6</v>
      </c>
      <c r="J8" s="15">
        <v>4</v>
      </c>
      <c r="K8" s="15">
        <v>5</v>
      </c>
      <c r="L8" s="15">
        <v>0</v>
      </c>
    </row>
    <row r="9" spans="1:16" x14ac:dyDescent="0.55000000000000004">
      <c r="F9" s="12">
        <v>7</v>
      </c>
      <c r="G9" s="12">
        <v>8</v>
      </c>
      <c r="H9" s="12">
        <v>9</v>
      </c>
      <c r="J9" s="15">
        <v>7</v>
      </c>
      <c r="K9" s="15">
        <v>8</v>
      </c>
      <c r="L9" s="15">
        <v>9</v>
      </c>
    </row>
    <row r="13" spans="1:16" x14ac:dyDescent="0.55000000000000004">
      <c r="D13" s="1" t="s">
        <v>17</v>
      </c>
      <c r="E13" s="13" t="s">
        <v>22</v>
      </c>
      <c r="F13" s="12">
        <v>1</v>
      </c>
      <c r="G13" s="12">
        <v>2</v>
      </c>
      <c r="H13" s="12">
        <v>3</v>
      </c>
      <c r="J13" s="15" cm="1">
        <f t="array" ref="J13:L15">TRIL(F13:H15,F16)</f>
        <v>0</v>
      </c>
      <c r="K13" s="15">
        <v>0</v>
      </c>
      <c r="L13" s="15">
        <v>0</v>
      </c>
    </row>
    <row r="14" spans="1:16" x14ac:dyDescent="0.55000000000000004">
      <c r="F14" s="12">
        <v>4</v>
      </c>
      <c r="G14" s="12">
        <v>5</v>
      </c>
      <c r="H14" s="12">
        <v>6</v>
      </c>
      <c r="J14" s="15">
        <v>4</v>
      </c>
      <c r="K14" s="15">
        <v>0</v>
      </c>
      <c r="L14" s="15">
        <v>0</v>
      </c>
    </row>
    <row r="15" spans="1:16" x14ac:dyDescent="0.55000000000000004">
      <c r="F15" s="12">
        <v>7</v>
      </c>
      <c r="G15" s="12">
        <v>8</v>
      </c>
      <c r="H15" s="12">
        <v>9</v>
      </c>
      <c r="J15" s="15">
        <v>7</v>
      </c>
      <c r="K15" s="15">
        <v>8</v>
      </c>
      <c r="L15" s="15">
        <v>0</v>
      </c>
    </row>
    <row r="16" spans="1:16" x14ac:dyDescent="0.55000000000000004">
      <c r="E16" s="13" t="s">
        <v>42</v>
      </c>
      <c r="F16" s="12">
        <v>-1</v>
      </c>
    </row>
  </sheetData>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0B1A3-0EDF-4665-9E05-96427E8C5CF2}">
  <sheetPr codeName="Planilha7">
    <tabColor theme="9" tint="0.59999389629810485"/>
  </sheetPr>
  <dimension ref="A1:P16"/>
  <sheetViews>
    <sheetView showGridLines="0" workbookViewId="0">
      <selection activeCell="N7" sqref="N7"/>
    </sheetView>
  </sheetViews>
  <sheetFormatPr defaultColWidth="8.796875" defaultRowHeight="18" x14ac:dyDescent="0.55000000000000004"/>
  <cols>
    <col min="1" max="1" width="12.6640625" style="17" customWidth="1"/>
    <col min="2" max="2" width="30.33203125" bestFit="1" customWidth="1"/>
    <col min="5" max="6" width="12.33203125" bestFit="1" customWidth="1"/>
    <col min="10" max="10" width="12.33203125" style="15" bestFit="1" customWidth="1"/>
    <col min="11" max="12" width="9.1328125" style="15"/>
    <col min="13" max="16" width="8.796875" style="15"/>
  </cols>
  <sheetData>
    <row r="1" spans="1:16" x14ac:dyDescent="0.55000000000000004">
      <c r="A1" s="16" t="s">
        <v>31</v>
      </c>
      <c r="J1" s="14"/>
      <c r="K1" s="14"/>
      <c r="L1" s="14"/>
      <c r="M1" s="14"/>
      <c r="N1" s="14"/>
      <c r="O1" s="14"/>
      <c r="P1" s="14"/>
    </row>
    <row r="2" spans="1:16" x14ac:dyDescent="0.55000000000000004">
      <c r="A2" s="17" t="s">
        <v>51</v>
      </c>
      <c r="J2" s="14"/>
      <c r="K2" s="14"/>
      <c r="L2" s="14"/>
      <c r="M2" s="14"/>
      <c r="N2" s="14"/>
      <c r="O2" s="14"/>
      <c r="P2" s="14"/>
    </row>
    <row r="4" spans="1:16" ht="15.75" x14ac:dyDescent="0.5">
      <c r="A4" s="2" t="s">
        <v>15</v>
      </c>
      <c r="B4" s="2" t="s">
        <v>16</v>
      </c>
    </row>
    <row r="5" spans="1:16" ht="47.25" x14ac:dyDescent="0.45">
      <c r="A5" s="19" t="s">
        <v>22</v>
      </c>
      <c r="B5" s="20" t="s">
        <v>41</v>
      </c>
    </row>
    <row r="6" spans="1:16" ht="47.25" x14ac:dyDescent="0.5">
      <c r="A6" s="19" t="s">
        <v>26</v>
      </c>
      <c r="B6" s="18" t="s">
        <v>29</v>
      </c>
    </row>
    <row r="7" spans="1:16" x14ac:dyDescent="0.55000000000000004">
      <c r="D7" s="1" t="s">
        <v>17</v>
      </c>
      <c r="E7" s="13" t="s">
        <v>22</v>
      </c>
      <c r="F7" s="12">
        <v>1</v>
      </c>
      <c r="G7" s="12">
        <v>2</v>
      </c>
      <c r="H7" s="12">
        <v>3</v>
      </c>
      <c r="J7" s="15" cm="1">
        <f t="array" ref="J7:L9">_xlfn.LAMBDA(_xlpm.matrix,_xlop.k,_xlfn.MAKEARRAY(ROWS(_xlpm.matrix),COLUMNS(_xlpm.matrix),_xlfn.LAMBDA(_xlpm.lin,_xlpm.col,_xlpm.col&gt;=(_xlpm.lin+_xlpm.k)))*_xlpm.matrix)(F7:H9)</f>
        <v>1</v>
      </c>
      <c r="K7" s="15">
        <v>2</v>
      </c>
      <c r="L7" s="15">
        <v>3</v>
      </c>
    </row>
    <row r="8" spans="1:16" x14ac:dyDescent="0.55000000000000004">
      <c r="F8" s="12">
        <v>4</v>
      </c>
      <c r="G8" s="12">
        <v>5</v>
      </c>
      <c r="H8" s="12">
        <v>6</v>
      </c>
      <c r="J8" s="15">
        <v>0</v>
      </c>
      <c r="K8" s="15">
        <v>5</v>
      </c>
      <c r="L8" s="15">
        <v>6</v>
      </c>
    </row>
    <row r="9" spans="1:16" x14ac:dyDescent="0.55000000000000004">
      <c r="F9" s="12">
        <v>7</v>
      </c>
      <c r="G9" s="12">
        <v>8</v>
      </c>
      <c r="H9" s="12">
        <v>9</v>
      </c>
      <c r="J9" s="15">
        <v>0</v>
      </c>
      <c r="K9" s="15">
        <v>0</v>
      </c>
      <c r="L9" s="15">
        <v>9</v>
      </c>
    </row>
    <row r="13" spans="1:16" x14ac:dyDescent="0.55000000000000004">
      <c r="D13" s="1" t="s">
        <v>17</v>
      </c>
      <c r="E13" s="13" t="s">
        <v>22</v>
      </c>
      <c r="F13" s="12">
        <v>1</v>
      </c>
      <c r="G13" s="12">
        <v>2</v>
      </c>
      <c r="H13" s="12">
        <v>3</v>
      </c>
      <c r="J13" s="15" cm="1">
        <f t="array" ref="J13:L15">TRIU(F13:H15,F16)</f>
        <v>0</v>
      </c>
      <c r="K13" s="15">
        <v>2</v>
      </c>
      <c r="L13" s="15">
        <v>3</v>
      </c>
    </row>
    <row r="14" spans="1:16" x14ac:dyDescent="0.55000000000000004">
      <c r="F14" s="12">
        <v>4</v>
      </c>
      <c r="G14" s="12">
        <v>5</v>
      </c>
      <c r="H14" s="12">
        <v>6</v>
      </c>
      <c r="J14" s="15">
        <v>0</v>
      </c>
      <c r="K14" s="15">
        <v>0</v>
      </c>
      <c r="L14" s="15">
        <v>6</v>
      </c>
    </row>
    <row r="15" spans="1:16" x14ac:dyDescent="0.55000000000000004">
      <c r="F15" s="12">
        <v>7</v>
      </c>
      <c r="G15" s="12">
        <v>8</v>
      </c>
      <c r="H15" s="12">
        <v>9</v>
      </c>
      <c r="J15" s="15">
        <v>0</v>
      </c>
      <c r="K15" s="15">
        <v>0</v>
      </c>
      <c r="L15" s="15">
        <v>0</v>
      </c>
    </row>
    <row r="16" spans="1:16" x14ac:dyDescent="0.55000000000000004">
      <c r="E16" s="13" t="s">
        <v>42</v>
      </c>
      <c r="F16" s="12">
        <v>1</v>
      </c>
    </row>
  </sheetData>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53021-1C77-490D-A75C-6E51718CFDEE}">
  <sheetPr codeName="Planilha9">
    <tabColor theme="9" tint="0.59999389629810485"/>
  </sheetPr>
  <dimension ref="A1:Q28"/>
  <sheetViews>
    <sheetView showGridLines="0" workbookViewId="0">
      <selection activeCell="M10" sqref="M10"/>
    </sheetView>
  </sheetViews>
  <sheetFormatPr defaultColWidth="8.796875" defaultRowHeight="18" x14ac:dyDescent="0.55000000000000004"/>
  <cols>
    <col min="1" max="1" width="12.6640625" style="17" customWidth="1"/>
    <col min="2" max="2" width="30.33203125" bestFit="1" customWidth="1"/>
    <col min="5" max="6" width="12.33203125" bestFit="1" customWidth="1"/>
    <col min="11" max="17" width="11.33203125" style="15" bestFit="1" customWidth="1"/>
    <col min="18" max="19" width="12.33203125" bestFit="1" customWidth="1"/>
  </cols>
  <sheetData>
    <row r="1" spans="1:17" x14ac:dyDescent="0.55000000000000004">
      <c r="A1" s="16" t="s">
        <v>39</v>
      </c>
      <c r="K1" s="14"/>
      <c r="L1" s="14"/>
      <c r="M1" s="14"/>
      <c r="N1" s="14"/>
      <c r="O1" s="14"/>
      <c r="P1" s="14"/>
      <c r="Q1" s="14"/>
    </row>
    <row r="2" spans="1:17" x14ac:dyDescent="0.55000000000000004">
      <c r="A2" s="17" t="s">
        <v>128</v>
      </c>
      <c r="K2" s="14"/>
      <c r="L2" s="14"/>
      <c r="M2" s="14"/>
      <c r="N2" s="14"/>
      <c r="O2" s="14"/>
      <c r="P2" s="14"/>
      <c r="Q2" s="14"/>
    </row>
    <row r="4" spans="1:17" ht="15.75" x14ac:dyDescent="0.5">
      <c r="A4" s="2" t="s">
        <v>15</v>
      </c>
      <c r="B4" s="2" t="s">
        <v>16</v>
      </c>
    </row>
    <row r="5" spans="1:17" ht="31.5" x14ac:dyDescent="0.45">
      <c r="A5" s="19" t="s">
        <v>22</v>
      </c>
      <c r="B5" s="20" t="s">
        <v>40</v>
      </c>
    </row>
    <row r="6" spans="1:17" ht="63" x14ac:dyDescent="0.5">
      <c r="A6" s="23" t="s">
        <v>125</v>
      </c>
      <c r="B6" s="24" t="s">
        <v>126</v>
      </c>
    </row>
    <row r="9" spans="1:17" x14ac:dyDescent="0.55000000000000004">
      <c r="D9" s="1" t="s">
        <v>17</v>
      </c>
      <c r="E9" s="13" t="s">
        <v>22</v>
      </c>
      <c r="F9" s="12">
        <v>1</v>
      </c>
      <c r="G9" s="12">
        <v>2</v>
      </c>
      <c r="H9" s="12">
        <v>3</v>
      </c>
      <c r="K9" s="15" cm="1">
        <f t="array" ref="K9:K17">_xlfn.LAMBDA(_xlpm.matrix,_xlop.rowsToCols,
_xlfn.LET( _xlpm.rowsToCols, IF(_xlfn.ISOMITTED(_xlpm.rowsToCols),FALSE,_xlpm.rowsToCols),
_xlpm.matrix, IF(_xlpm.rowsToCols, _xlpm.matrix, TRANSPOSE(_xlpm.matrix)),
INDEX(_xlpm.matrix,
ROUNDUP(_xlfn.SEQUENCE(ROWS(_xlpm.matrix)*COLUMNS(_xlpm.matrix))/COLUMNS(_xlpm.matrix),0),
MOD(_xlfn.SEQUENCE(ROWS(_xlpm.matrix)*COLUMNS(_xlpm.matrix))-1,COLUMNS(_xlpm.matrix))+1
))
)($F$9:$H$11,$F$13)</f>
        <v>1</v>
      </c>
    </row>
    <row r="10" spans="1:17" x14ac:dyDescent="0.55000000000000004">
      <c r="F10" s="12">
        <v>4</v>
      </c>
      <c r="G10" s="12">
        <v>5</v>
      </c>
      <c r="H10" s="12">
        <v>6</v>
      </c>
      <c r="K10" s="15">
        <v>4</v>
      </c>
    </row>
    <row r="11" spans="1:17" x14ac:dyDescent="0.55000000000000004">
      <c r="F11" s="12">
        <v>7</v>
      </c>
      <c r="G11" s="12">
        <v>8</v>
      </c>
      <c r="H11" s="12">
        <v>9</v>
      </c>
      <c r="K11" s="15">
        <v>7</v>
      </c>
    </row>
    <row r="12" spans="1:17" x14ac:dyDescent="0.55000000000000004">
      <c r="K12" s="15">
        <v>2</v>
      </c>
    </row>
    <row r="13" spans="1:17" x14ac:dyDescent="0.55000000000000004">
      <c r="E13" s="13" t="s">
        <v>127</v>
      </c>
      <c r="F13" s="12" t="b">
        <v>0</v>
      </c>
      <c r="K13" s="15">
        <v>5</v>
      </c>
    </row>
    <row r="14" spans="1:17" x14ac:dyDescent="0.55000000000000004">
      <c r="K14" s="15">
        <v>8</v>
      </c>
    </row>
    <row r="15" spans="1:17" x14ac:dyDescent="0.55000000000000004">
      <c r="K15" s="15">
        <v>3</v>
      </c>
    </row>
    <row r="16" spans="1:17" x14ac:dyDescent="0.55000000000000004">
      <c r="K16" s="15">
        <v>6</v>
      </c>
    </row>
    <row r="17" spans="4:11" x14ac:dyDescent="0.55000000000000004">
      <c r="K17" s="15">
        <v>9</v>
      </c>
    </row>
    <row r="20" spans="4:11" x14ac:dyDescent="0.55000000000000004">
      <c r="D20" s="1" t="s">
        <v>17</v>
      </c>
      <c r="E20" s="13" t="s">
        <v>22</v>
      </c>
      <c r="F20" s="12">
        <v>1</v>
      </c>
      <c r="G20" s="12">
        <v>2</v>
      </c>
      <c r="H20" s="12">
        <v>3</v>
      </c>
      <c r="K20" s="15" cm="1">
        <f t="array" ref="K20:K28">VEC($F$20:$H$22,$F$24)</f>
        <v>1</v>
      </c>
    </row>
    <row r="21" spans="4:11" x14ac:dyDescent="0.55000000000000004">
      <c r="F21" s="12">
        <v>4</v>
      </c>
      <c r="G21" s="12">
        <v>5</v>
      </c>
      <c r="H21" s="12">
        <v>6</v>
      </c>
      <c r="K21" s="15">
        <v>2</v>
      </c>
    </row>
    <row r="22" spans="4:11" x14ac:dyDescent="0.55000000000000004">
      <c r="F22" s="12">
        <v>7</v>
      </c>
      <c r="G22" s="12">
        <v>8</v>
      </c>
      <c r="H22" s="12">
        <v>9</v>
      </c>
      <c r="K22" s="15">
        <v>3</v>
      </c>
    </row>
    <row r="23" spans="4:11" x14ac:dyDescent="0.55000000000000004">
      <c r="K23" s="15">
        <v>4</v>
      </c>
    </row>
    <row r="24" spans="4:11" x14ac:dyDescent="0.55000000000000004">
      <c r="E24" s="13" t="s">
        <v>127</v>
      </c>
      <c r="F24" s="12" t="b">
        <v>1</v>
      </c>
      <c r="K24" s="15">
        <v>5</v>
      </c>
    </row>
    <row r="25" spans="4:11" x14ac:dyDescent="0.55000000000000004">
      <c r="K25" s="15">
        <v>6</v>
      </c>
    </row>
    <row r="26" spans="4:11" x14ac:dyDescent="0.55000000000000004">
      <c r="K26" s="15">
        <v>7</v>
      </c>
    </row>
    <row r="27" spans="4:11" x14ac:dyDescent="0.55000000000000004">
      <c r="K27" s="15">
        <v>8</v>
      </c>
    </row>
    <row r="28" spans="4:11" x14ac:dyDescent="0.55000000000000004">
      <c r="K28" s="15">
        <v>9</v>
      </c>
    </row>
  </sheetData>
  <pageMargins left="0.511811024" right="0.511811024" top="0.78740157499999996" bottom="0.78740157499999996" header="0.31496062000000002" footer="0.3149606200000000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71AD-9CA6-480E-AF47-13505DC15D2B}">
  <sheetPr codeName="Planilha16">
    <tabColor theme="9" tint="0.59999389629810485"/>
  </sheetPr>
  <dimension ref="A1:Q34"/>
  <sheetViews>
    <sheetView showGridLines="0" workbookViewId="0">
      <selection activeCell="K10" sqref="K10"/>
    </sheetView>
  </sheetViews>
  <sheetFormatPr defaultColWidth="8.796875" defaultRowHeight="18" x14ac:dyDescent="0.55000000000000004"/>
  <cols>
    <col min="1" max="1" width="12.6640625" style="17" customWidth="1"/>
    <col min="2" max="2" width="30.33203125" bestFit="1" customWidth="1"/>
    <col min="5" max="6" width="12.33203125" bestFit="1" customWidth="1"/>
    <col min="11" max="11" width="11.33203125" style="15" bestFit="1" customWidth="1"/>
    <col min="12" max="17" width="8.796875" style="15"/>
    <col min="18" max="19" width="12.33203125" bestFit="1" customWidth="1"/>
  </cols>
  <sheetData>
    <row r="1" spans="1:17" x14ac:dyDescent="0.55000000000000004">
      <c r="A1" s="16" t="s">
        <v>120</v>
      </c>
      <c r="K1" s="14"/>
      <c r="L1" s="14"/>
      <c r="M1" s="14"/>
      <c r="N1" s="14"/>
      <c r="O1" s="14"/>
      <c r="P1" s="14"/>
      <c r="Q1" s="14"/>
    </row>
    <row r="2" spans="1:17" x14ac:dyDescent="0.55000000000000004">
      <c r="A2" s="17" t="s">
        <v>121</v>
      </c>
      <c r="K2" s="14"/>
      <c r="L2" s="14"/>
      <c r="M2" s="14"/>
      <c r="N2" s="14"/>
      <c r="O2" s="14"/>
      <c r="P2" s="14"/>
      <c r="Q2" s="14"/>
    </row>
    <row r="4" spans="1:17" ht="15.75" x14ac:dyDescent="0.5">
      <c r="A4" s="2" t="s">
        <v>15</v>
      </c>
      <c r="B4" s="2" t="s">
        <v>16</v>
      </c>
    </row>
    <row r="5" spans="1:17" ht="15.75" x14ac:dyDescent="0.45">
      <c r="A5" s="19" t="s">
        <v>22</v>
      </c>
      <c r="B5" s="26" t="s">
        <v>124</v>
      </c>
    </row>
    <row r="6" spans="1:17" ht="15.75" x14ac:dyDescent="0.5">
      <c r="A6" s="23" t="s">
        <v>35</v>
      </c>
      <c r="B6" s="24" t="s">
        <v>122</v>
      </c>
    </row>
    <row r="7" spans="1:17" ht="15.75" x14ac:dyDescent="0.5">
      <c r="A7" s="23" t="s">
        <v>36</v>
      </c>
      <c r="B7" s="24" t="s">
        <v>123</v>
      </c>
    </row>
    <row r="8" spans="1:17" ht="63" x14ac:dyDescent="0.5">
      <c r="A8" s="23" t="s">
        <v>125</v>
      </c>
      <c r="B8" s="24" t="s">
        <v>126</v>
      </c>
    </row>
    <row r="10" spans="1:17" x14ac:dyDescent="0.55000000000000004">
      <c r="D10" s="1" t="s">
        <v>17</v>
      </c>
      <c r="E10" s="13" t="s">
        <v>22</v>
      </c>
      <c r="F10" s="12">
        <v>1</v>
      </c>
      <c r="G10" s="12">
        <v>4</v>
      </c>
      <c r="H10" s="12">
        <v>7</v>
      </c>
      <c r="I10" s="12">
        <v>10</v>
      </c>
      <c r="K10" s="15" cm="1">
        <f t="array" ref="K10:M13">_xlfn.LAMBDA(_xlpm.matrix,_xlpm.N,_xlpm.m,_xlop.rowsToCols, _xlfn.LET( _xlpm.rowsToCols, IF(_xlfn.ISOMITTED(_xlpm.rowsToCols),FALSE,_xlpm.rowsToCols), _xlpm.vecMatrix, VEC( IF(_xlpm.rowsToCols, _xlpm.matrix, TRANSPOSE(_xlpm.matrix)) ), IF( _xlpm.N+1 &lt;= ROWS(_xlpm.vecMatrix), _xlfn.HSTACK( SLICE( _xlpm.vecMatrix, 1, _xlpm.N ), RESHAPE( SLICE( _xlpm.vecMatrix, _xlpm.N+1, ROWS(_xlpm.vecMatrix)  ), _xlpm.N,  _xlpm.m, TRUE) ), _xlpm.vecMatrix ) ))($F$10:$I$12,$F$14,$F$15,$F$16)</f>
        <v>1</v>
      </c>
      <c r="L10" s="15">
        <v>2</v>
      </c>
      <c r="M10" s="15">
        <v>3</v>
      </c>
    </row>
    <row r="11" spans="1:17" x14ac:dyDescent="0.55000000000000004">
      <c r="F11" s="12">
        <v>2</v>
      </c>
      <c r="G11" s="12">
        <v>5</v>
      </c>
      <c r="H11" s="12">
        <v>8</v>
      </c>
      <c r="I11" s="12">
        <v>11</v>
      </c>
      <c r="K11" s="15">
        <v>4</v>
      </c>
      <c r="L11" s="15">
        <v>5</v>
      </c>
      <c r="M11" s="15">
        <v>6</v>
      </c>
    </row>
    <row r="12" spans="1:17" x14ac:dyDescent="0.55000000000000004">
      <c r="F12" s="12">
        <v>3</v>
      </c>
      <c r="G12" s="12">
        <v>6</v>
      </c>
      <c r="H12" s="12">
        <v>9</v>
      </c>
      <c r="I12" s="12">
        <v>12</v>
      </c>
      <c r="K12" s="15">
        <v>7</v>
      </c>
      <c r="L12" s="15">
        <v>8</v>
      </c>
      <c r="M12" s="15">
        <v>9</v>
      </c>
    </row>
    <row r="13" spans="1:17" x14ac:dyDescent="0.55000000000000004">
      <c r="K13" s="15">
        <v>10</v>
      </c>
      <c r="L13" s="15">
        <v>11</v>
      </c>
      <c r="M13" s="15">
        <v>12</v>
      </c>
    </row>
    <row r="14" spans="1:17" x14ac:dyDescent="0.55000000000000004">
      <c r="E14" s="13" t="s">
        <v>35</v>
      </c>
      <c r="F14" s="12">
        <v>4</v>
      </c>
    </row>
    <row r="15" spans="1:17" x14ac:dyDescent="0.55000000000000004">
      <c r="E15" s="13" t="s">
        <v>36</v>
      </c>
      <c r="F15" s="12">
        <v>3</v>
      </c>
    </row>
    <row r="16" spans="1:17" x14ac:dyDescent="0.55000000000000004">
      <c r="E16" s="13" t="s">
        <v>127</v>
      </c>
      <c r="F16" s="12" t="b">
        <v>0</v>
      </c>
    </row>
    <row r="19" spans="4:12" x14ac:dyDescent="0.55000000000000004">
      <c r="D19" s="1" t="s">
        <v>17</v>
      </c>
      <c r="E19" s="13" t="s">
        <v>22</v>
      </c>
      <c r="F19" s="12">
        <v>1</v>
      </c>
      <c r="G19" s="12">
        <v>4</v>
      </c>
      <c r="H19" s="12">
        <v>7</v>
      </c>
      <c r="K19" s="15" cm="1">
        <f t="array" ref="K19:L23">RESHAPE($F$19:$H$21,$F$23,$F$24,$F$25)</f>
        <v>1</v>
      </c>
      <c r="L19" s="15">
        <v>8</v>
      </c>
    </row>
    <row r="20" spans="4:12" x14ac:dyDescent="0.55000000000000004">
      <c r="F20" s="12">
        <v>2</v>
      </c>
      <c r="G20" s="12">
        <v>5</v>
      </c>
      <c r="H20" s="12">
        <v>8</v>
      </c>
      <c r="K20" s="15">
        <v>4</v>
      </c>
      <c r="L20" s="15">
        <v>3</v>
      </c>
    </row>
    <row r="21" spans="4:12" x14ac:dyDescent="0.55000000000000004">
      <c r="F21" s="12">
        <v>3</v>
      </c>
      <c r="G21" s="12">
        <v>6</v>
      </c>
      <c r="H21" s="12">
        <v>9</v>
      </c>
      <c r="K21" s="15">
        <v>7</v>
      </c>
      <c r="L21" s="15">
        <v>6</v>
      </c>
    </row>
    <row r="22" spans="4:12" x14ac:dyDescent="0.55000000000000004">
      <c r="K22" s="15">
        <v>2</v>
      </c>
      <c r="L22" s="15">
        <v>9</v>
      </c>
    </row>
    <row r="23" spans="4:12" x14ac:dyDescent="0.55000000000000004">
      <c r="E23" s="13" t="s">
        <v>35</v>
      </c>
      <c r="F23" s="12">
        <v>5</v>
      </c>
      <c r="K23" s="15">
        <v>5</v>
      </c>
      <c r="L23" s="15" t="e">
        <v>#N/A</v>
      </c>
    </row>
    <row r="24" spans="4:12" x14ac:dyDescent="0.55000000000000004">
      <c r="E24" s="13" t="s">
        <v>36</v>
      </c>
      <c r="F24" s="12">
        <v>2</v>
      </c>
    </row>
    <row r="25" spans="4:12" x14ac:dyDescent="0.55000000000000004">
      <c r="E25" s="13" t="s">
        <v>127</v>
      </c>
      <c r="F25" s="12" t="b">
        <v>0</v>
      </c>
    </row>
    <row r="28" spans="4:12" x14ac:dyDescent="0.55000000000000004">
      <c r="D28" s="1" t="s">
        <v>17</v>
      </c>
      <c r="E28" s="13" t="s">
        <v>22</v>
      </c>
      <c r="F28" s="12">
        <v>1</v>
      </c>
      <c r="G28" s="12">
        <v>4</v>
      </c>
      <c r="H28" s="12">
        <v>7</v>
      </c>
      <c r="K28" s="15" cm="1">
        <f t="array" ref="K28:L32">RESHAPE($F$28:$H$30,$F$32,$F$33,$F$34)</f>
        <v>1</v>
      </c>
      <c r="L28" s="15">
        <v>6</v>
      </c>
    </row>
    <row r="29" spans="4:12" x14ac:dyDescent="0.55000000000000004">
      <c r="F29" s="12">
        <v>2</v>
      </c>
      <c r="G29" s="12">
        <v>5</v>
      </c>
      <c r="H29" s="12">
        <v>8</v>
      </c>
      <c r="K29" s="15">
        <v>2</v>
      </c>
      <c r="L29" s="15">
        <v>7</v>
      </c>
    </row>
    <row r="30" spans="4:12" x14ac:dyDescent="0.55000000000000004">
      <c r="F30" s="12">
        <v>3</v>
      </c>
      <c r="G30" s="12">
        <v>6</v>
      </c>
      <c r="H30" s="12">
        <v>9</v>
      </c>
      <c r="K30" s="15">
        <v>3</v>
      </c>
      <c r="L30" s="15">
        <v>8</v>
      </c>
    </row>
    <row r="31" spans="4:12" x14ac:dyDescent="0.55000000000000004">
      <c r="K31" s="15">
        <v>4</v>
      </c>
      <c r="L31" s="15">
        <v>9</v>
      </c>
    </row>
    <row r="32" spans="4:12" x14ac:dyDescent="0.55000000000000004">
      <c r="E32" s="13" t="s">
        <v>35</v>
      </c>
      <c r="F32" s="12">
        <v>5</v>
      </c>
      <c r="K32" s="15">
        <v>5</v>
      </c>
      <c r="L32" s="15" t="e">
        <v>#N/A</v>
      </c>
    </row>
    <row r="33" spans="5:6" x14ac:dyDescent="0.55000000000000004">
      <c r="E33" s="13" t="s">
        <v>36</v>
      </c>
      <c r="F33" s="12">
        <v>2</v>
      </c>
    </row>
    <row r="34" spans="5:6" x14ac:dyDescent="0.55000000000000004">
      <c r="E34" s="13" t="s">
        <v>127</v>
      </c>
      <c r="F34" s="12" t="b">
        <v>1</v>
      </c>
    </row>
  </sheetData>
  <pageMargins left="0.511811024" right="0.511811024" top="0.78740157499999996" bottom="0.78740157499999996" header="0.31496062000000002" footer="0.3149606200000000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2DEC5-68FB-4441-9AF3-3B0CD23070AF}">
  <sheetPr codeName="Planilha17">
    <tabColor theme="9" tint="0.59999389629810485"/>
  </sheetPr>
  <dimension ref="A1:S23"/>
  <sheetViews>
    <sheetView showGridLines="0" workbookViewId="0">
      <selection activeCell="M8" sqref="M8"/>
    </sheetView>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19" x14ac:dyDescent="0.55000000000000004">
      <c r="A1" s="16" t="s">
        <v>43</v>
      </c>
      <c r="M1" s="14"/>
      <c r="N1" s="14"/>
      <c r="O1" s="14"/>
      <c r="P1" s="14"/>
      <c r="Q1" s="14"/>
      <c r="R1" s="14"/>
      <c r="S1" s="14"/>
    </row>
    <row r="2" spans="1:19" x14ac:dyDescent="0.55000000000000004">
      <c r="A2" s="17" t="s">
        <v>50</v>
      </c>
      <c r="M2" s="14"/>
      <c r="N2" s="14"/>
      <c r="O2" s="14"/>
      <c r="P2" s="14"/>
      <c r="Q2" s="14"/>
      <c r="R2" s="14"/>
      <c r="S2" s="14"/>
    </row>
    <row r="4" spans="1:19" ht="15.75" x14ac:dyDescent="0.5">
      <c r="A4" s="2" t="s">
        <v>15</v>
      </c>
      <c r="B4" s="2" t="s">
        <v>16</v>
      </c>
    </row>
    <row r="5" spans="1:19" ht="15.75" x14ac:dyDescent="0.45">
      <c r="A5" s="19" t="s">
        <v>22</v>
      </c>
      <c r="B5" s="20" t="s">
        <v>44</v>
      </c>
    </row>
    <row r="6" spans="1:19" ht="31.5" customHeight="1" x14ac:dyDescent="0.45">
      <c r="A6" s="23" t="s">
        <v>850</v>
      </c>
      <c r="B6" s="26" t="s">
        <v>851</v>
      </c>
    </row>
    <row r="7" spans="1:19" ht="15.75" x14ac:dyDescent="0.5">
      <c r="A7" s="19"/>
      <c r="B7" s="18"/>
    </row>
    <row r="8" spans="1:19" x14ac:dyDescent="0.55000000000000004">
      <c r="D8" s="1" t="s">
        <v>17</v>
      </c>
      <c r="E8" s="13" t="s">
        <v>22</v>
      </c>
      <c r="F8" s="12">
        <v>1</v>
      </c>
      <c r="G8" s="12">
        <v>2</v>
      </c>
      <c r="H8" s="12">
        <v>3</v>
      </c>
      <c r="M8" s="15" cm="1">
        <f t="array" ref="M8:O8">_xlfn.LAMBDA(_xlpm.matrix,_xlop.nSize,_xlfn.LET(
_xlpm.nSize,IF(OR(_xlfn.ISOMITTED(_xlpm.nSize), ISBLANK(_xlpm.nSize)),1,_xlpm.nSize),
_xlpm.nLins,ROWS(_xlpm.matrix),_xlpm.nCols,COLUMNS(_xlpm.matrix),
_xlfn.CHOOSECOLS(_xlpm.matrix, _xlfn.MAKEARRAY(1,_xlpm.nCols,
_xlfn.LAMBDA(_xlpm.lin,_xlpm.col, _xlpm.nSize*ROUNDDOWN((_xlpm.nCols - _xlpm.col)/_xlpm.nSize,0) + _xlfn.SWITCH(MOD(_xlpm.col,_xlpm.nSize),0,_xlpm.nSize,MOD(_xlpm.col,_xlpm.nSize))  ))
)))($F$8:$H$8,$F$10)</f>
        <v>3</v>
      </c>
      <c r="N8" s="15">
        <v>2</v>
      </c>
      <c r="O8" s="15">
        <v>1</v>
      </c>
    </row>
    <row r="10" spans="1:19" x14ac:dyDescent="0.55000000000000004">
      <c r="E10" s="13" t="s">
        <v>850</v>
      </c>
      <c r="F10" s="12"/>
    </row>
    <row r="12" spans="1:19" x14ac:dyDescent="0.55000000000000004">
      <c r="D12" s="1" t="s">
        <v>17</v>
      </c>
      <c r="E12" s="13" t="s">
        <v>22</v>
      </c>
      <c r="F12" s="12">
        <v>1</v>
      </c>
      <c r="G12" s="12">
        <v>2</v>
      </c>
      <c r="H12" s="12">
        <v>3</v>
      </c>
      <c r="M12" s="15" cm="1">
        <f t="array" ref="M12:O14">FLIPLR($F$12:$H$14,$F$16)</f>
        <v>3</v>
      </c>
      <c r="N12" s="15">
        <v>2</v>
      </c>
      <c r="O12" s="15">
        <v>1</v>
      </c>
    </row>
    <row r="13" spans="1:19" x14ac:dyDescent="0.55000000000000004">
      <c r="F13" s="12">
        <v>4</v>
      </c>
      <c r="G13" s="12">
        <v>5</v>
      </c>
      <c r="H13" s="12">
        <v>6</v>
      </c>
      <c r="M13" s="15">
        <v>6</v>
      </c>
      <c r="N13" s="15">
        <v>5</v>
      </c>
      <c r="O13" s="15">
        <v>4</v>
      </c>
    </row>
    <row r="14" spans="1:19" x14ac:dyDescent="0.55000000000000004">
      <c r="F14" s="12">
        <v>7</v>
      </c>
      <c r="G14" s="12">
        <v>8</v>
      </c>
      <c r="H14" s="12">
        <v>9</v>
      </c>
      <c r="M14" s="15">
        <v>9</v>
      </c>
      <c r="N14" s="15">
        <v>8</v>
      </c>
      <c r="O14" s="15">
        <v>7</v>
      </c>
    </row>
    <row r="16" spans="1:19" x14ac:dyDescent="0.55000000000000004">
      <c r="E16" s="13" t="s">
        <v>850</v>
      </c>
      <c r="F16" s="12"/>
    </row>
    <row r="18" spans="4:18" x14ac:dyDescent="0.55000000000000004">
      <c r="D18" s="1" t="s">
        <v>17</v>
      </c>
      <c r="E18" s="13" t="s">
        <v>22</v>
      </c>
      <c r="F18" s="12">
        <v>1</v>
      </c>
      <c r="G18" s="12">
        <v>2</v>
      </c>
      <c r="H18" s="12">
        <v>3</v>
      </c>
      <c r="I18" s="12">
        <v>4</v>
      </c>
      <c r="J18" s="12">
        <v>5</v>
      </c>
      <c r="K18" s="12">
        <v>6</v>
      </c>
      <c r="M18" s="15" cm="1">
        <f t="array" ref="M18:R21">FLIPLR($F$18:$K$21,$F$23)</f>
        <v>5</v>
      </c>
      <c r="N18" s="15">
        <v>6</v>
      </c>
      <c r="O18" s="15">
        <v>3</v>
      </c>
      <c r="P18" s="15">
        <v>4</v>
      </c>
      <c r="Q18" s="15">
        <v>1</v>
      </c>
      <c r="R18" s="15">
        <v>2</v>
      </c>
    </row>
    <row r="19" spans="4:18" x14ac:dyDescent="0.55000000000000004">
      <c r="F19" s="12">
        <v>7</v>
      </c>
      <c r="G19" s="12">
        <v>8</v>
      </c>
      <c r="H19" s="12">
        <v>9</v>
      </c>
      <c r="I19" s="12">
        <v>10</v>
      </c>
      <c r="J19" s="12">
        <v>11</v>
      </c>
      <c r="K19" s="12">
        <v>12</v>
      </c>
      <c r="M19" s="15">
        <v>11</v>
      </c>
      <c r="N19" s="15">
        <v>12</v>
      </c>
      <c r="O19" s="15">
        <v>9</v>
      </c>
      <c r="P19" s="15">
        <v>10</v>
      </c>
      <c r="Q19" s="15">
        <v>7</v>
      </c>
      <c r="R19" s="15">
        <v>8</v>
      </c>
    </row>
    <row r="20" spans="4:18" x14ac:dyDescent="0.55000000000000004">
      <c r="F20" s="12">
        <v>13</v>
      </c>
      <c r="G20" s="12">
        <v>14</v>
      </c>
      <c r="H20" s="12">
        <v>15</v>
      </c>
      <c r="I20" s="12">
        <v>16</v>
      </c>
      <c r="J20" s="12">
        <v>17</v>
      </c>
      <c r="K20" s="12">
        <v>18</v>
      </c>
      <c r="M20" s="15">
        <v>17</v>
      </c>
      <c r="N20" s="15">
        <v>18</v>
      </c>
      <c r="O20" s="15">
        <v>15</v>
      </c>
      <c r="P20" s="15">
        <v>16</v>
      </c>
      <c r="Q20" s="15">
        <v>13</v>
      </c>
      <c r="R20" s="15">
        <v>14</v>
      </c>
    </row>
    <row r="21" spans="4:18" x14ac:dyDescent="0.55000000000000004">
      <c r="F21" s="12">
        <v>19</v>
      </c>
      <c r="G21" s="12">
        <v>20</v>
      </c>
      <c r="H21" s="12">
        <v>21</v>
      </c>
      <c r="I21" s="12">
        <v>22</v>
      </c>
      <c r="J21" s="12">
        <v>23</v>
      </c>
      <c r="K21" s="12">
        <v>24</v>
      </c>
      <c r="M21" s="15">
        <v>23</v>
      </c>
      <c r="N21" s="15">
        <v>24</v>
      </c>
      <c r="O21" s="15">
        <v>21</v>
      </c>
      <c r="P21" s="15">
        <v>22</v>
      </c>
      <c r="Q21" s="15">
        <v>19</v>
      </c>
      <c r="R21" s="15">
        <v>20</v>
      </c>
    </row>
    <row r="23" spans="4:18" x14ac:dyDescent="0.55000000000000004">
      <c r="E23" s="13" t="s">
        <v>850</v>
      </c>
      <c r="F23" s="12">
        <v>2</v>
      </c>
    </row>
  </sheetData>
  <pageMargins left="0.511811024" right="0.511811024" top="0.78740157499999996" bottom="0.78740157499999996" header="0.31496062000000002" footer="0.3149606200000000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C07DF-B4FB-4CE5-B471-33A0D5B27BBA}">
  <sheetPr codeName="Planilha18">
    <tabColor theme="9" tint="0.59999389629810485"/>
  </sheetPr>
  <dimension ref="A1:S28"/>
  <sheetViews>
    <sheetView showGridLines="0" workbookViewId="0">
      <selection activeCell="M9" sqref="M9"/>
    </sheetView>
  </sheetViews>
  <sheetFormatPr defaultColWidth="8.796875" defaultRowHeight="18" x14ac:dyDescent="0.55000000000000004"/>
  <cols>
    <col min="1" max="1" width="12.6640625" style="17" customWidth="1"/>
    <col min="2" max="2" width="41.33203125" customWidth="1"/>
    <col min="5" max="6" width="12.33203125" bestFit="1" customWidth="1"/>
    <col min="13" max="13" width="11.33203125" style="15" bestFit="1" customWidth="1"/>
    <col min="14" max="19" width="8.796875" style="15"/>
    <col min="20" max="21" width="12.33203125" bestFit="1" customWidth="1"/>
  </cols>
  <sheetData>
    <row r="1" spans="1:19" x14ac:dyDescent="0.55000000000000004">
      <c r="A1" s="16" t="s">
        <v>45</v>
      </c>
      <c r="M1" s="14"/>
      <c r="N1" s="14"/>
      <c r="O1" s="14"/>
      <c r="P1" s="14"/>
      <c r="Q1" s="14"/>
      <c r="R1" s="14"/>
      <c r="S1" s="14"/>
    </row>
    <row r="2" spans="1:19" x14ac:dyDescent="0.55000000000000004">
      <c r="A2" s="17" t="s">
        <v>46</v>
      </c>
      <c r="M2" s="14"/>
      <c r="N2" s="14"/>
      <c r="O2" s="14"/>
      <c r="P2" s="14"/>
      <c r="Q2" s="14"/>
      <c r="R2" s="14"/>
      <c r="S2" s="14"/>
    </row>
    <row r="4" spans="1:19" ht="15.75" x14ac:dyDescent="0.5">
      <c r="A4" s="2" t="s">
        <v>15</v>
      </c>
      <c r="B4" s="2" t="s">
        <v>16</v>
      </c>
    </row>
    <row r="5" spans="1:19" ht="16.5" customHeight="1" x14ac:dyDescent="0.45">
      <c r="A5" s="19" t="s">
        <v>22</v>
      </c>
      <c r="B5" s="20" t="s">
        <v>44</v>
      </c>
    </row>
    <row r="6" spans="1:19" ht="32.25" customHeight="1" x14ac:dyDescent="0.45">
      <c r="A6" s="23" t="s">
        <v>850</v>
      </c>
      <c r="B6" s="26" t="s">
        <v>852</v>
      </c>
    </row>
    <row r="7" spans="1:19" ht="31.5" customHeight="1" x14ac:dyDescent="0.45">
      <c r="A7" s="23"/>
      <c r="B7" s="26"/>
    </row>
    <row r="8" spans="1:19" ht="15.75" x14ac:dyDescent="0.5">
      <c r="A8" s="19"/>
      <c r="B8" s="18"/>
    </row>
    <row r="9" spans="1:19" x14ac:dyDescent="0.55000000000000004">
      <c r="D9" s="1" t="s">
        <v>17</v>
      </c>
      <c r="E9" s="13" t="s">
        <v>22</v>
      </c>
      <c r="F9" s="12">
        <v>1</v>
      </c>
      <c r="M9" s="15" cm="1">
        <f t="array" ref="M9:M11">_xlfn.LAMBDA(_xlpm.matrix,_xlop.nSize,_xlfn.LET(
_xlpm.nSize,IF(OR(_xlfn.ISOMITTED(_xlpm.nSize), ISBLANK(_xlpm.nSize)),1,_xlpm.nSize),
_xlpm.nLins,ROWS(_xlpm.matrix),_xlpm.nCols,COLUMNS(_xlpm.matrix),
_xlfn.CHOOSEROWS(_xlpm.matrix, _xlfn.MAKEARRAY(_xlpm.nLins,1,
_xlfn.LAMBDA(_xlpm.lin,_xlpm.col, _xlpm.nSize*ROUNDDOWN((_xlpm.nLins - _xlpm.lin)/_xlpm.nSize,0) + _xlfn.SWITCH(MOD(_xlpm.lin,_xlpm.nSize),0,_xlpm.nSize,MOD(_xlpm.lin,_xlpm.nSize))  ))
)))($F$9:$F$11,$F$13)</f>
        <v>3</v>
      </c>
    </row>
    <row r="10" spans="1:19" x14ac:dyDescent="0.55000000000000004">
      <c r="F10" s="12">
        <v>2</v>
      </c>
      <c r="M10" s="15">
        <v>2</v>
      </c>
    </row>
    <row r="11" spans="1:19" x14ac:dyDescent="0.55000000000000004">
      <c r="F11" s="12">
        <v>3</v>
      </c>
      <c r="M11" s="15">
        <v>1</v>
      </c>
    </row>
    <row r="13" spans="1:19" x14ac:dyDescent="0.55000000000000004">
      <c r="E13" s="13" t="s">
        <v>850</v>
      </c>
      <c r="F13" s="12"/>
    </row>
    <row r="16" spans="1:19" x14ac:dyDescent="0.55000000000000004">
      <c r="D16" s="1" t="s">
        <v>17</v>
      </c>
      <c r="E16" s="13" t="s">
        <v>22</v>
      </c>
      <c r="F16" s="12">
        <v>1</v>
      </c>
      <c r="G16" s="12">
        <v>2</v>
      </c>
      <c r="H16" s="12">
        <v>3</v>
      </c>
      <c r="M16" s="15" cm="1">
        <f t="array" ref="M16:O18">FLIPUD($F$16:$H$18,$F$20)</f>
        <v>7</v>
      </c>
      <c r="N16" s="15">
        <v>8</v>
      </c>
      <c r="O16" s="15">
        <v>9</v>
      </c>
    </row>
    <row r="17" spans="4:18" x14ac:dyDescent="0.55000000000000004">
      <c r="F17" s="12">
        <v>4</v>
      </c>
      <c r="G17" s="12">
        <v>5</v>
      </c>
      <c r="H17" s="12">
        <v>6</v>
      </c>
      <c r="M17" s="15">
        <v>4</v>
      </c>
      <c r="N17" s="15">
        <v>5</v>
      </c>
      <c r="O17" s="15">
        <v>6</v>
      </c>
    </row>
    <row r="18" spans="4:18" x14ac:dyDescent="0.55000000000000004">
      <c r="F18" s="12">
        <v>7</v>
      </c>
      <c r="G18" s="12">
        <v>8</v>
      </c>
      <c r="H18" s="12">
        <v>9</v>
      </c>
      <c r="M18" s="15">
        <v>1</v>
      </c>
      <c r="N18" s="15">
        <v>2</v>
      </c>
      <c r="O18" s="15">
        <v>3</v>
      </c>
    </row>
    <row r="20" spans="4:18" x14ac:dyDescent="0.55000000000000004">
      <c r="E20" s="13" t="s">
        <v>850</v>
      </c>
      <c r="F20" s="12"/>
    </row>
    <row r="23" spans="4:18" x14ac:dyDescent="0.55000000000000004">
      <c r="D23" s="1" t="s">
        <v>17</v>
      </c>
      <c r="E23" s="13" t="s">
        <v>22</v>
      </c>
      <c r="F23" s="12">
        <v>1</v>
      </c>
      <c r="G23" s="12">
        <v>2</v>
      </c>
      <c r="H23" s="12">
        <v>3</v>
      </c>
      <c r="I23" s="12">
        <v>4</v>
      </c>
      <c r="J23" s="12">
        <v>5</v>
      </c>
      <c r="K23" s="12">
        <v>6</v>
      </c>
      <c r="M23" s="15" cm="1">
        <f t="array" ref="M23:R26">FLIPUD($F$23:$K$26,$F$28)</f>
        <v>13</v>
      </c>
      <c r="N23" s="15">
        <v>14</v>
      </c>
      <c r="O23" s="15">
        <v>15</v>
      </c>
      <c r="P23" s="15">
        <v>16</v>
      </c>
      <c r="Q23" s="15">
        <v>17</v>
      </c>
      <c r="R23" s="15">
        <v>18</v>
      </c>
    </row>
    <row r="24" spans="4:18" x14ac:dyDescent="0.55000000000000004">
      <c r="F24" s="12">
        <v>7</v>
      </c>
      <c r="G24" s="12">
        <v>8</v>
      </c>
      <c r="H24" s="12">
        <v>9</v>
      </c>
      <c r="I24" s="12">
        <v>10</v>
      </c>
      <c r="J24" s="12">
        <v>11</v>
      </c>
      <c r="K24" s="12">
        <v>12</v>
      </c>
      <c r="M24" s="15">
        <v>19</v>
      </c>
      <c r="N24" s="15">
        <v>20</v>
      </c>
      <c r="O24" s="15">
        <v>21</v>
      </c>
      <c r="P24" s="15">
        <v>22</v>
      </c>
      <c r="Q24" s="15">
        <v>23</v>
      </c>
      <c r="R24" s="15">
        <v>24</v>
      </c>
    </row>
    <row r="25" spans="4:18" x14ac:dyDescent="0.55000000000000004">
      <c r="F25" s="12">
        <v>13</v>
      </c>
      <c r="G25" s="12">
        <v>14</v>
      </c>
      <c r="H25" s="12">
        <v>15</v>
      </c>
      <c r="I25" s="12">
        <v>16</v>
      </c>
      <c r="J25" s="12">
        <v>17</v>
      </c>
      <c r="K25" s="12">
        <v>18</v>
      </c>
      <c r="M25" s="15">
        <v>1</v>
      </c>
      <c r="N25" s="15">
        <v>2</v>
      </c>
      <c r="O25" s="15">
        <v>3</v>
      </c>
      <c r="P25" s="15">
        <v>4</v>
      </c>
      <c r="Q25" s="15">
        <v>5</v>
      </c>
      <c r="R25" s="15">
        <v>6</v>
      </c>
    </row>
    <row r="26" spans="4:18" x14ac:dyDescent="0.55000000000000004">
      <c r="F26" s="12">
        <v>19</v>
      </c>
      <c r="G26" s="12">
        <v>20</v>
      </c>
      <c r="H26" s="12">
        <v>21</v>
      </c>
      <c r="I26" s="12">
        <v>22</v>
      </c>
      <c r="J26" s="12">
        <v>23</v>
      </c>
      <c r="K26" s="12">
        <v>24</v>
      </c>
      <c r="M26" s="15">
        <v>7</v>
      </c>
      <c r="N26" s="15">
        <v>8</v>
      </c>
      <c r="O26" s="15">
        <v>9</v>
      </c>
      <c r="P26" s="15">
        <v>10</v>
      </c>
      <c r="Q26" s="15">
        <v>11</v>
      </c>
      <c r="R26" s="15">
        <v>12</v>
      </c>
    </row>
    <row r="28" spans="4:18" x14ac:dyDescent="0.55000000000000004">
      <c r="E28" s="13" t="s">
        <v>850</v>
      </c>
      <c r="F28" s="12">
        <v>2</v>
      </c>
    </row>
  </sheetData>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4D3C6-519D-4478-A329-CAF41196CC30}">
  <sheetPr codeName="Planilha19">
    <tabColor theme="9" tint="0.59999389629810485"/>
  </sheetPr>
  <dimension ref="A1:R36"/>
  <sheetViews>
    <sheetView showGridLines="0" workbookViewId="0">
      <selection activeCell="J11" sqref="J11"/>
    </sheetView>
  </sheetViews>
  <sheetFormatPr defaultColWidth="8.796875" defaultRowHeight="18" x14ac:dyDescent="0.55000000000000004"/>
  <cols>
    <col min="1" max="1" width="20.6640625" style="17" customWidth="1"/>
    <col min="2" max="2" width="67.1328125" customWidth="1"/>
    <col min="5" max="5" width="20" bestFit="1" customWidth="1"/>
    <col min="6" max="6" width="12.33203125" bestFit="1" customWidth="1"/>
    <col min="10" max="18" width="8.796875" style="15"/>
  </cols>
  <sheetData>
    <row r="1" spans="1:18" x14ac:dyDescent="0.55000000000000004">
      <c r="A1" s="16" t="s">
        <v>48</v>
      </c>
      <c r="J1" s="14"/>
      <c r="K1" s="14"/>
      <c r="L1" s="14"/>
      <c r="M1" s="14"/>
      <c r="N1" s="14"/>
      <c r="O1" s="14"/>
      <c r="P1" s="14"/>
      <c r="Q1" s="14"/>
      <c r="R1" s="14"/>
    </row>
    <row r="2" spans="1:18" x14ac:dyDescent="0.55000000000000004">
      <c r="A2" s="17" t="s">
        <v>49</v>
      </c>
      <c r="J2" s="14"/>
      <c r="K2" s="14"/>
      <c r="L2" s="14"/>
      <c r="M2" s="14"/>
      <c r="N2" s="14"/>
      <c r="O2" s="14"/>
      <c r="P2" s="14"/>
      <c r="Q2" s="14"/>
      <c r="R2" s="14"/>
    </row>
    <row r="4" spans="1:18" ht="15.75" x14ac:dyDescent="0.5">
      <c r="A4" s="2" t="s">
        <v>15</v>
      </c>
      <c r="B4" s="2" t="s">
        <v>16</v>
      </c>
    </row>
    <row r="5" spans="1:18" ht="15.75" x14ac:dyDescent="0.45">
      <c r="A5" s="19" t="s">
        <v>22</v>
      </c>
      <c r="B5" s="20" t="s">
        <v>53</v>
      </c>
    </row>
    <row r="6" spans="1:18" ht="15.75" x14ac:dyDescent="0.45">
      <c r="A6" s="19" t="s">
        <v>54</v>
      </c>
      <c r="B6" s="26" t="s">
        <v>877</v>
      </c>
    </row>
    <row r="7" spans="1:18" ht="19.5" customHeight="1" x14ac:dyDescent="0.45">
      <c r="A7" s="19" t="s">
        <v>37</v>
      </c>
      <c r="B7" s="26" t="s">
        <v>878</v>
      </c>
    </row>
    <row r="8" spans="1:18" ht="61.5" customHeight="1" x14ac:dyDescent="0.45">
      <c r="A8" s="23" t="s">
        <v>875</v>
      </c>
      <c r="B8" s="26" t="s">
        <v>876</v>
      </c>
    </row>
    <row r="9" spans="1:18" ht="15.75" x14ac:dyDescent="0.5">
      <c r="A9" s="19"/>
      <c r="B9" s="18"/>
    </row>
    <row r="11" spans="1:18" x14ac:dyDescent="0.55000000000000004">
      <c r="D11" s="1" t="s">
        <v>17</v>
      </c>
      <c r="E11" s="13" t="s">
        <v>22</v>
      </c>
      <c r="F11" s="12">
        <v>1</v>
      </c>
      <c r="G11" s="12">
        <v>2</v>
      </c>
      <c r="H11" s="12">
        <v>3</v>
      </c>
      <c r="J11" s="15" cm="1">
        <f t="array" ref="J11:O16">_xlfn.LAMBDA(_xlpm.matrix,_xlop.n,_xlop.m,_xlop.expandFromWithin,
_xlfn.LET(
_xlpm.N, IF( OR( _xlfn.ISOMITTED(_xlpm.n), _xlpm.n&lt;1 ),1,_xlpm.n),
_xlpm.m, IF( OR( _xlfn.ISOMITTED(_xlpm.m), _xlpm.m&lt;1),1,_xlpm.m),
_xlpm.expandFromWithin, IF( OR( _xlfn.ISOMITTED(_xlpm.expandFromWithin), ISBLANK(_xlpm.expandFromWithin)), FALSE, _xlpm.expandFromWithin),
_xlpm.result, IF(_xlpm.expandFromWithin=FALSE,
_xlfn.LET(
_xlpm.nn,_xlpm.N*ROWS(_xlpm.matrix),
_xlpm.mm,_xlpm.m*COLUMNS(_xlpm.matrix),
_xlpm.nseq, IF(MOD(_xlfn.SEQUENCE(_xlpm.nn,1),ROWS(_xlpm.matrix))=0, ROWS(_xlpm.matrix), MOD(_xlfn.SEQUENCE(_xlpm.nn,1),ROWS(_xlpm.matrix))),
_xlpm.mseq, IF(MOD(_xlfn.SEQUENCE(1,_xlpm.mm),COLUMNS(_xlpm.matrix))=0, COLUMNS(_xlpm.matrix), MOD(_xlfn.SEQUENCE(1,_xlpm.mm),COLUMNS(_xlpm.matrix))),
_xlfn.MAKEARRAY(_xlpm.nn,_xlpm.mm,_xlfn.LAMBDA(_xlpm.row,_xlpm.col,INDEX(_xlpm.matrix,INDEX(_xlpm.nseq,_xlpm.row),INDEX(_xlpm.mseq,1,_xlpm.col))))
),
_xlfn.LET(
_xlpm.matrixV, _xlfn.REDUCE(_xlpm.matrix, _xlfn.SEQUENCE(ROWS(_xlpm.matrix)), _xlfn.LAMBDA(_xlpm.accum,_xlpm.x, _xlfn.VSTACK(_xlpm.accum, REPMAT(INDEX(_xlpm.matrix,_xlpm.x,0),_xlpm.N,1)))),
_xlpm.matrixH, _xlfn.REDUCE(_xlpm.matrixV, _xlfn.SEQUENCE(COLUMNS(_xlpm.matrix)), _xlfn.LAMBDA(_xlpm.accum,_xlpm.x, _xlfn.HSTACK(_xlpm.accum, REPMAT(INDEX(_xlpm.matrixV,0,_xlpm.x),1,_xlpm.m)))),
_xlfn.DROP(_xlpm.matrixH,ROWS(_xlpm.matrix),COLUMNS(_xlpm.matrix))
)),
_xlpm.result
))($F$11:$H$13,$F$15,$F$16,$F$17)</f>
        <v>1</v>
      </c>
      <c r="K11" s="15">
        <v>2</v>
      </c>
      <c r="L11" s="15">
        <v>3</v>
      </c>
      <c r="M11" s="15">
        <v>1</v>
      </c>
      <c r="N11" s="15">
        <v>2</v>
      </c>
      <c r="O11" s="15">
        <v>3</v>
      </c>
    </row>
    <row r="12" spans="1:18" x14ac:dyDescent="0.55000000000000004">
      <c r="F12" s="12">
        <v>4</v>
      </c>
      <c r="G12" s="12">
        <v>5</v>
      </c>
      <c r="H12" s="12">
        <v>6</v>
      </c>
      <c r="J12" s="15">
        <v>4</v>
      </c>
      <c r="K12" s="15">
        <v>5</v>
      </c>
      <c r="L12" s="15">
        <v>6</v>
      </c>
      <c r="M12" s="15">
        <v>4</v>
      </c>
      <c r="N12" s="15">
        <v>5</v>
      </c>
      <c r="O12" s="15">
        <v>6</v>
      </c>
    </row>
    <row r="13" spans="1:18" x14ac:dyDescent="0.55000000000000004">
      <c r="F13" s="12">
        <v>7</v>
      </c>
      <c r="G13" s="12">
        <v>8</v>
      </c>
      <c r="H13" s="12">
        <v>9</v>
      </c>
      <c r="J13" s="15">
        <v>7</v>
      </c>
      <c r="K13" s="15">
        <v>8</v>
      </c>
      <c r="L13" s="15">
        <v>9</v>
      </c>
      <c r="M13" s="15">
        <v>7</v>
      </c>
      <c r="N13" s="15">
        <v>8</v>
      </c>
      <c r="O13" s="15">
        <v>9</v>
      </c>
    </row>
    <row r="14" spans="1:18" ht="14.25" x14ac:dyDescent="0.45">
      <c r="A14"/>
      <c r="J14" s="15">
        <v>1</v>
      </c>
      <c r="K14" s="15">
        <v>2</v>
      </c>
      <c r="L14" s="15">
        <v>3</v>
      </c>
      <c r="M14" s="15">
        <v>1</v>
      </c>
      <c r="N14" s="15">
        <v>2</v>
      </c>
      <c r="O14" s="15">
        <v>3</v>
      </c>
    </row>
    <row r="15" spans="1:18" x14ac:dyDescent="0.55000000000000004">
      <c r="E15" s="13" t="s">
        <v>54</v>
      </c>
      <c r="F15" s="12">
        <v>2</v>
      </c>
      <c r="J15" s="15">
        <v>4</v>
      </c>
      <c r="K15" s="15">
        <v>5</v>
      </c>
      <c r="L15" s="15">
        <v>6</v>
      </c>
      <c r="M15" s="15">
        <v>4</v>
      </c>
      <c r="N15" s="15">
        <v>5</v>
      </c>
      <c r="O15" s="15">
        <v>6</v>
      </c>
    </row>
    <row r="16" spans="1:18" x14ac:dyDescent="0.55000000000000004">
      <c r="E16" s="13" t="s">
        <v>37</v>
      </c>
      <c r="F16" s="12">
        <v>2</v>
      </c>
      <c r="J16" s="15">
        <v>7</v>
      </c>
      <c r="K16" s="15">
        <v>8</v>
      </c>
      <c r="L16" s="15">
        <v>9</v>
      </c>
      <c r="M16" s="15">
        <v>7</v>
      </c>
      <c r="N16" s="15">
        <v>8</v>
      </c>
      <c r="O16" s="15">
        <v>9</v>
      </c>
    </row>
    <row r="17" spans="4:18" x14ac:dyDescent="0.55000000000000004">
      <c r="E17" s="13" t="s">
        <v>875</v>
      </c>
      <c r="F17" s="12" t="b">
        <v>0</v>
      </c>
    </row>
    <row r="18" spans="4:18" s="21" customFormat="1" ht="14.25" x14ac:dyDescent="0.45">
      <c r="D18"/>
      <c r="E18"/>
      <c r="F18"/>
      <c r="G18"/>
      <c r="H18"/>
      <c r="I18"/>
      <c r="J18" s="15"/>
      <c r="K18" s="15"/>
      <c r="L18" s="15"/>
      <c r="M18" s="15"/>
      <c r="N18" s="15"/>
      <c r="O18" s="15"/>
      <c r="P18" s="15"/>
      <c r="Q18" s="15"/>
      <c r="R18" s="15"/>
    </row>
    <row r="19" spans="4:18" s="21" customFormat="1" ht="14.25" x14ac:dyDescent="0.45">
      <c r="D19"/>
      <c r="E19"/>
      <c r="F19"/>
      <c r="G19"/>
      <c r="H19"/>
      <c r="I19"/>
      <c r="J19" s="15"/>
      <c r="K19" s="15"/>
      <c r="L19" s="15"/>
      <c r="M19" s="15"/>
      <c r="N19" s="15"/>
      <c r="O19" s="15"/>
      <c r="P19" s="15"/>
      <c r="Q19" s="15"/>
      <c r="R19" s="15"/>
    </row>
    <row r="21" spans="4:18" x14ac:dyDescent="0.55000000000000004">
      <c r="D21" s="1" t="s">
        <v>17</v>
      </c>
      <c r="E21" s="13" t="s">
        <v>22</v>
      </c>
      <c r="F21" s="12">
        <v>1</v>
      </c>
      <c r="G21" s="12">
        <v>2</v>
      </c>
      <c r="H21" s="12">
        <v>3</v>
      </c>
      <c r="J21" s="15" cm="1">
        <f t="array" ref="J21:L26">REPMAT($F$21:$H$23,$F$25,$F$26,$F$27)</f>
        <v>1</v>
      </c>
      <c r="K21" s="15">
        <v>2</v>
      </c>
      <c r="L21" s="15">
        <v>3</v>
      </c>
    </row>
    <row r="22" spans="4:18" x14ac:dyDescent="0.55000000000000004">
      <c r="F22" s="12">
        <v>4</v>
      </c>
      <c r="G22" s="12">
        <v>5</v>
      </c>
      <c r="H22" s="12">
        <v>6</v>
      </c>
      <c r="J22" s="15">
        <v>4</v>
      </c>
      <c r="K22" s="15">
        <v>5</v>
      </c>
      <c r="L22" s="15">
        <v>6</v>
      </c>
    </row>
    <row r="23" spans="4:18" x14ac:dyDescent="0.55000000000000004">
      <c r="F23" s="12">
        <v>7</v>
      </c>
      <c r="G23" s="12">
        <v>8</v>
      </c>
      <c r="H23" s="12">
        <v>9</v>
      </c>
      <c r="J23" s="15">
        <v>7</v>
      </c>
      <c r="K23" s="15">
        <v>8</v>
      </c>
      <c r="L23" s="15">
        <v>9</v>
      </c>
    </row>
    <row r="24" spans="4:18" x14ac:dyDescent="0.55000000000000004">
      <c r="J24" s="15">
        <v>1</v>
      </c>
      <c r="K24" s="15">
        <v>2</v>
      </c>
      <c r="L24" s="15">
        <v>3</v>
      </c>
    </row>
    <row r="25" spans="4:18" x14ac:dyDescent="0.55000000000000004">
      <c r="E25" s="13" t="s">
        <v>54</v>
      </c>
      <c r="F25" s="12">
        <v>2</v>
      </c>
      <c r="J25" s="15">
        <v>4</v>
      </c>
      <c r="K25" s="15">
        <v>5</v>
      </c>
      <c r="L25" s="15">
        <v>6</v>
      </c>
    </row>
    <row r="26" spans="4:18" x14ac:dyDescent="0.55000000000000004">
      <c r="E26" s="13" t="s">
        <v>37</v>
      </c>
      <c r="F26" s="12">
        <v>1</v>
      </c>
      <c r="J26" s="15">
        <v>7</v>
      </c>
      <c r="K26" s="15">
        <v>8</v>
      </c>
      <c r="L26" s="15">
        <v>9</v>
      </c>
    </row>
    <row r="27" spans="4:18" x14ac:dyDescent="0.55000000000000004">
      <c r="E27" s="13" t="s">
        <v>875</v>
      </c>
      <c r="F27" s="12" t="b">
        <v>0</v>
      </c>
    </row>
    <row r="30" spans="4:18" x14ac:dyDescent="0.55000000000000004">
      <c r="D30" s="1" t="s">
        <v>17</v>
      </c>
      <c r="E30" s="13" t="s">
        <v>22</v>
      </c>
      <c r="F30" s="12">
        <v>1</v>
      </c>
      <c r="G30" s="12">
        <v>2</v>
      </c>
      <c r="H30" s="12">
        <v>3</v>
      </c>
      <c r="J30" s="15" cm="1">
        <f t="array" ref="J30:L35">REPMAT($F$30:$H$32,$F$34,$F$35,$F$36)</f>
        <v>1</v>
      </c>
      <c r="K30" s="15">
        <v>2</v>
      </c>
      <c r="L30" s="15">
        <v>3</v>
      </c>
    </row>
    <row r="31" spans="4:18" x14ac:dyDescent="0.55000000000000004">
      <c r="F31" s="12">
        <v>4</v>
      </c>
      <c r="G31" s="12">
        <v>5</v>
      </c>
      <c r="H31" s="12">
        <v>6</v>
      </c>
      <c r="J31" s="15">
        <v>1</v>
      </c>
      <c r="K31" s="15">
        <v>2</v>
      </c>
      <c r="L31" s="15">
        <v>3</v>
      </c>
    </row>
    <row r="32" spans="4:18" x14ac:dyDescent="0.55000000000000004">
      <c r="F32" s="12">
        <v>7</v>
      </c>
      <c r="G32" s="12">
        <v>8</v>
      </c>
      <c r="H32" s="12">
        <v>9</v>
      </c>
      <c r="J32" s="15">
        <v>4</v>
      </c>
      <c r="K32" s="15">
        <v>5</v>
      </c>
      <c r="L32" s="15">
        <v>6</v>
      </c>
    </row>
    <row r="33" spans="5:12" x14ac:dyDescent="0.55000000000000004">
      <c r="J33" s="15">
        <v>4</v>
      </c>
      <c r="K33" s="15">
        <v>5</v>
      </c>
      <c r="L33" s="15">
        <v>6</v>
      </c>
    </row>
    <row r="34" spans="5:12" x14ac:dyDescent="0.55000000000000004">
      <c r="E34" s="13" t="s">
        <v>54</v>
      </c>
      <c r="F34" s="12">
        <v>2</v>
      </c>
      <c r="J34" s="15">
        <v>7</v>
      </c>
      <c r="K34" s="15">
        <v>8</v>
      </c>
      <c r="L34" s="15">
        <v>9</v>
      </c>
    </row>
    <row r="35" spans="5:12" x14ac:dyDescent="0.55000000000000004">
      <c r="E35" s="13" t="s">
        <v>37</v>
      </c>
      <c r="F35" s="12">
        <v>1</v>
      </c>
      <c r="J35" s="15">
        <v>7</v>
      </c>
      <c r="K35" s="15">
        <v>8</v>
      </c>
      <c r="L35" s="15">
        <v>9</v>
      </c>
    </row>
    <row r="36" spans="5:12" x14ac:dyDescent="0.55000000000000004">
      <c r="E36" s="13" t="s">
        <v>875</v>
      </c>
      <c r="F36" s="12" t="b">
        <v>1</v>
      </c>
    </row>
  </sheetData>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F175-79D3-4AC3-984B-C425FE780A74}">
  <sheetPr codeName="Planilha20">
    <tabColor theme="9" tint="0.59999389629810485"/>
  </sheetPr>
  <dimension ref="A1:R43"/>
  <sheetViews>
    <sheetView showGridLines="0" workbookViewId="0"/>
  </sheetViews>
  <sheetFormatPr defaultColWidth="8.796875" defaultRowHeight="18" x14ac:dyDescent="0.55000000000000004"/>
  <cols>
    <col min="1" max="1" width="18.6640625" style="17" customWidth="1"/>
    <col min="2" max="2" width="32.1328125" customWidth="1"/>
    <col min="5" max="5" width="17" bestFit="1" customWidth="1"/>
    <col min="6" max="7" width="12.33203125" bestFit="1" customWidth="1"/>
    <col min="10" max="18" width="12.33203125" style="15" bestFit="1" customWidth="1"/>
  </cols>
  <sheetData>
    <row r="1" spans="1:18" x14ac:dyDescent="0.55000000000000004">
      <c r="A1" s="16" t="s">
        <v>82</v>
      </c>
      <c r="J1" s="14"/>
      <c r="K1" s="14"/>
      <c r="L1" s="14"/>
      <c r="M1" s="14"/>
      <c r="N1" s="14"/>
      <c r="O1" s="14"/>
      <c r="P1" s="14"/>
      <c r="Q1" s="14"/>
      <c r="R1" s="14"/>
    </row>
    <row r="2" spans="1:18" x14ac:dyDescent="0.55000000000000004">
      <c r="A2" s="17" t="s">
        <v>63</v>
      </c>
      <c r="J2" s="14"/>
      <c r="K2" s="14"/>
      <c r="L2" s="14"/>
      <c r="M2" s="14"/>
      <c r="N2" s="14"/>
      <c r="O2" s="14"/>
      <c r="P2" s="14"/>
      <c r="Q2" s="14"/>
      <c r="R2" s="14"/>
    </row>
    <row r="4" spans="1:18" ht="15.75" x14ac:dyDescent="0.5">
      <c r="A4" s="2" t="s">
        <v>15</v>
      </c>
      <c r="B4" s="2" t="s">
        <v>16</v>
      </c>
    </row>
    <row r="5" spans="1:18" ht="15.75" x14ac:dyDescent="0.5">
      <c r="A5" s="19" t="s">
        <v>22</v>
      </c>
      <c r="B5" s="24" t="s">
        <v>441</v>
      </c>
    </row>
    <row r="6" spans="1:18" ht="31.5" x14ac:dyDescent="0.5">
      <c r="A6" s="19" t="s">
        <v>54</v>
      </c>
      <c r="B6" s="24" t="s">
        <v>296</v>
      </c>
    </row>
    <row r="7" spans="1:18" ht="15.75" x14ac:dyDescent="0.5">
      <c r="A7" s="19" t="s">
        <v>60</v>
      </c>
      <c r="B7" s="24" t="s">
        <v>442</v>
      </c>
    </row>
    <row r="8" spans="1:18" ht="78.75" x14ac:dyDescent="0.5">
      <c r="A8" s="23" t="s">
        <v>364</v>
      </c>
      <c r="B8" s="24" t="s">
        <v>365</v>
      </c>
    </row>
    <row r="10" spans="1:18" x14ac:dyDescent="0.55000000000000004">
      <c r="D10" s="1" t="s">
        <v>17</v>
      </c>
      <c r="E10" s="13" t="s">
        <v>22</v>
      </c>
      <c r="F10" s="12" t="b">
        <v>0</v>
      </c>
      <c r="J10" s="15" cm="1">
        <f t="array" ref="J10:J11">_xlfn.LAMBDA(_xlpm.matrix,_xlop.n,_xlop.direction,_xlop.returnRowAndCol,
_xlfn.LET(
_xlpm.N, IF(OR(_xlfn.ISOMITTED(_xlpm.n),_xlpm.n&lt;1), ROWS(_xlpm.matrix)*COLUMNS(_xlpm.matrix),_xlpm.n),
_xlpm.direction, IF(_xlfn.ISOMITTED(_xlpm.direction), "first", LOWER(_xlpm.direction) ),
_xlpm.returnRowAndCol, IF(_xlfn.ISOMITTED(_xlpm.returnRowAndCol), FALSE, _xlpm.returnRowAndCol),
_xlpm.vecMatrix, 1*(VEC(_xlpm.matrix)*1&lt;&gt;0),
_xlpm.nElems, SUM(_xlpm.vecMatrix),
IF(_xlpm.nElems = 0, NA(),
_xlfn.LET(
_xlpm.filtered, _xlfn._xlws.FILTER(_xlfn.SEQUENCE(ROWS(_xlpm.matrix)*COLUMNS(_xlpm.matrix)),_xlpm.vecMatrix),
_xlpm.filteredOrdered, IF(_xlpm.direction = "first", _xlpm.filtered, IF( _xlpm.direction = "last", FLIPUD(_xlpm.filtered), #VALUE!) ),
_xlfn.LET(_xlpm.idxs, INDEX( _xlpm.filteredOrdered, _xlfn.SEQUENCE( MIN(COUNTA(_xlpm.filteredOrdered),_xlpm.N) ), 0 ),
IF(_xlpm.returnRowAndCol,
_xlfn.HSTACK( IF(MOD(_xlpm.idxs,ROWS(_xlpm.matrix))=0,ROWS(_xlpm.matrix),MOD(_xlpm.idxs,ROWS(_xlpm.matrix))), ROUNDUP(_xlpm.idxs/COLUMNS(_xlpm.matrix),0) ),
_xlpm.idxs)
)))))($F$10:$F$13)</f>
        <v>3</v>
      </c>
    </row>
    <row r="11" spans="1:18" x14ac:dyDescent="0.55000000000000004">
      <c r="F11" s="12" t="b">
        <v>0</v>
      </c>
      <c r="J11" s="15">
        <v>4</v>
      </c>
    </row>
    <row r="12" spans="1:18" x14ac:dyDescent="0.55000000000000004">
      <c r="F12" s="12" t="b">
        <v>1</v>
      </c>
    </row>
    <row r="13" spans="1:18" x14ac:dyDescent="0.55000000000000004">
      <c r="F13" s="12" t="b">
        <v>1</v>
      </c>
    </row>
    <row r="14" spans="1:18" ht="14.25" x14ac:dyDescent="0.45">
      <c r="A14"/>
    </row>
    <row r="16" spans="1:18" x14ac:dyDescent="0.55000000000000004">
      <c r="D16" s="1" t="s">
        <v>17</v>
      </c>
      <c r="E16" s="13" t="s">
        <v>22</v>
      </c>
      <c r="F16" s="12" t="b">
        <v>1</v>
      </c>
      <c r="G16" s="12" t="b">
        <v>1</v>
      </c>
      <c r="J16" s="15" cm="1">
        <f t="array" ref="J16:J19">NOZERO($F$16:$G$19)</f>
        <v>1</v>
      </c>
    </row>
    <row r="17" spans="4:12" x14ac:dyDescent="0.55000000000000004">
      <c r="F17" s="12" t="b">
        <v>0</v>
      </c>
      <c r="G17" s="12" t="b">
        <v>0</v>
      </c>
      <c r="J17" s="15">
        <v>4</v>
      </c>
    </row>
    <row r="18" spans="4:12" x14ac:dyDescent="0.55000000000000004">
      <c r="F18" s="12" t="b">
        <v>0</v>
      </c>
      <c r="G18" s="12" t="b">
        <v>0</v>
      </c>
      <c r="J18" s="15">
        <v>5</v>
      </c>
    </row>
    <row r="19" spans="4:12" x14ac:dyDescent="0.55000000000000004">
      <c r="F19" s="12" t="b">
        <v>1</v>
      </c>
      <c r="G19" s="12" t="b">
        <v>1</v>
      </c>
      <c r="J19" s="15">
        <v>8</v>
      </c>
    </row>
    <row r="22" spans="4:12" x14ac:dyDescent="0.55000000000000004">
      <c r="D22" s="1" t="s">
        <v>17</v>
      </c>
      <c r="E22" s="13" t="s">
        <v>22</v>
      </c>
      <c r="F22" s="12">
        <v>1</v>
      </c>
      <c r="G22" s="12">
        <v>0</v>
      </c>
      <c r="H22" s="12">
        <v>100</v>
      </c>
      <c r="J22" s="15" cm="1">
        <f t="array" ref="J22:J24">NOZERO(F22:H24,F26)</f>
        <v>1</v>
      </c>
    </row>
    <row r="23" spans="4:12" x14ac:dyDescent="0.55000000000000004">
      <c r="F23" s="12">
        <v>0</v>
      </c>
      <c r="G23" s="12">
        <v>20</v>
      </c>
      <c r="H23" s="12">
        <v>0</v>
      </c>
      <c r="J23" s="15">
        <v>3</v>
      </c>
    </row>
    <row r="24" spans="4:12" x14ac:dyDescent="0.55000000000000004">
      <c r="F24" s="12">
        <v>3</v>
      </c>
      <c r="G24" s="12">
        <v>0</v>
      </c>
      <c r="H24" s="12">
        <v>300</v>
      </c>
      <c r="J24" s="15">
        <v>5</v>
      </c>
    </row>
    <row r="26" spans="4:12" x14ac:dyDescent="0.55000000000000004">
      <c r="E26" s="13" t="s">
        <v>35</v>
      </c>
      <c r="F26" s="12">
        <v>3</v>
      </c>
    </row>
    <row r="28" spans="4:12" x14ac:dyDescent="0.55000000000000004">
      <c r="L28" s="15" t="s">
        <v>64</v>
      </c>
    </row>
    <row r="29" spans="4:12" x14ac:dyDescent="0.55000000000000004">
      <c r="D29" s="1" t="s">
        <v>17</v>
      </c>
      <c r="E29" s="13" t="s">
        <v>22</v>
      </c>
      <c r="F29" s="12">
        <v>1</v>
      </c>
      <c r="G29" s="12">
        <v>0</v>
      </c>
      <c r="H29" s="12">
        <v>100</v>
      </c>
      <c r="J29" s="15" cm="1">
        <f t="array" ref="J29:J31">NOZERO($F$22:$H$24,$F$26,$F$34)</f>
        <v>9</v>
      </c>
      <c r="L29" s="15" cm="1">
        <f t="array" ref="L29:L31">SLICE(VEC(F29:H31),_xlfn.ANCHORARRAY(J29))</f>
        <v>300</v>
      </c>
    </row>
    <row r="30" spans="4:12" x14ac:dyDescent="0.55000000000000004">
      <c r="F30" s="12">
        <v>0</v>
      </c>
      <c r="G30" s="12">
        <v>20</v>
      </c>
      <c r="H30" s="12">
        <v>0</v>
      </c>
      <c r="J30" s="15">
        <v>7</v>
      </c>
      <c r="L30" s="15">
        <v>100</v>
      </c>
    </row>
    <row r="31" spans="4:12" x14ac:dyDescent="0.55000000000000004">
      <c r="F31" s="12">
        <v>3</v>
      </c>
      <c r="G31" s="12">
        <v>0</v>
      </c>
      <c r="H31" s="12">
        <v>300</v>
      </c>
      <c r="J31" s="15">
        <v>5</v>
      </c>
      <c r="L31" s="15">
        <v>20</v>
      </c>
    </row>
    <row r="33" spans="4:11" x14ac:dyDescent="0.55000000000000004">
      <c r="E33" s="13" t="s">
        <v>35</v>
      </c>
      <c r="F33" s="12">
        <v>3</v>
      </c>
    </row>
    <row r="34" spans="4:11" x14ac:dyDescent="0.55000000000000004">
      <c r="E34" s="13" t="s">
        <v>61</v>
      </c>
      <c r="F34" s="22" t="s">
        <v>62</v>
      </c>
    </row>
    <row r="37" spans="4:11" x14ac:dyDescent="0.55000000000000004">
      <c r="D37" s="1" t="s">
        <v>17</v>
      </c>
      <c r="E37" s="13" t="s">
        <v>22</v>
      </c>
      <c r="F37" s="12">
        <v>1</v>
      </c>
      <c r="G37" s="12">
        <v>0</v>
      </c>
      <c r="H37" s="12">
        <v>100</v>
      </c>
      <c r="J37" s="15" cm="1">
        <f t="array" ref="J37:K39">NOZERO(F37:H39,F41,F42,F43)</f>
        <v>1</v>
      </c>
      <c r="K37" s="15">
        <v>1</v>
      </c>
    </row>
    <row r="38" spans="4:11" x14ac:dyDescent="0.55000000000000004">
      <c r="F38" s="12">
        <v>0</v>
      </c>
      <c r="G38" s="12">
        <v>20</v>
      </c>
      <c r="H38" s="12">
        <v>0</v>
      </c>
      <c r="J38" s="15">
        <v>3</v>
      </c>
      <c r="K38" s="15">
        <v>1</v>
      </c>
    </row>
    <row r="39" spans="4:11" x14ac:dyDescent="0.55000000000000004">
      <c r="F39" s="12">
        <v>3</v>
      </c>
      <c r="G39" s="12">
        <v>0</v>
      </c>
      <c r="H39" s="12">
        <v>300</v>
      </c>
      <c r="J39" s="15">
        <v>2</v>
      </c>
      <c r="K39" s="15">
        <v>2</v>
      </c>
    </row>
    <row r="41" spans="4:11" x14ac:dyDescent="0.55000000000000004">
      <c r="E41" s="13" t="s">
        <v>35</v>
      </c>
      <c r="F41" s="12">
        <v>3</v>
      </c>
    </row>
    <row r="42" spans="4:11" x14ac:dyDescent="0.55000000000000004">
      <c r="E42" s="13" t="s">
        <v>61</v>
      </c>
      <c r="F42" s="22" t="s">
        <v>367</v>
      </c>
    </row>
    <row r="43" spans="4:11" x14ac:dyDescent="0.55000000000000004">
      <c r="E43" s="13" t="s">
        <v>366</v>
      </c>
      <c r="F43" s="22" t="b">
        <v>1</v>
      </c>
    </row>
  </sheetData>
  <pageMargins left="0.511811024" right="0.511811024" top="0.78740157499999996" bottom="0.78740157499999996" header="0.31496062000000002" footer="0.3149606200000000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57A11-A268-B641-A915-3B86D73AF86F}">
  <sheetPr codeName="Planilha21">
    <tabColor theme="9" tint="0.59999389629810485"/>
  </sheetPr>
  <dimension ref="A1:R23"/>
  <sheetViews>
    <sheetView showGridLines="0" workbookViewId="0">
      <selection activeCell="J9" sqref="J9"/>
    </sheetView>
  </sheetViews>
  <sheetFormatPr defaultColWidth="8.796875" defaultRowHeight="18" x14ac:dyDescent="0.55000000000000004"/>
  <cols>
    <col min="1" max="1" width="12.6640625" style="17" customWidth="1"/>
    <col min="2" max="2" width="24.796875" bestFit="1" customWidth="1"/>
    <col min="10" max="18" width="8.796875" style="15"/>
  </cols>
  <sheetData>
    <row r="1" spans="1:18" x14ac:dyDescent="0.55000000000000004">
      <c r="A1" s="16" t="s">
        <v>67</v>
      </c>
      <c r="J1" s="14"/>
      <c r="K1" s="14"/>
      <c r="L1" s="14"/>
      <c r="M1" s="14"/>
      <c r="N1" s="14"/>
      <c r="O1" s="14"/>
      <c r="P1" s="14"/>
      <c r="Q1" s="14"/>
      <c r="R1" s="14"/>
    </row>
    <row r="2" spans="1:18" x14ac:dyDescent="0.55000000000000004">
      <c r="A2" s="17" t="s">
        <v>68</v>
      </c>
      <c r="J2" s="14"/>
      <c r="K2" s="14"/>
      <c r="L2" s="14"/>
      <c r="M2" s="14"/>
      <c r="N2" s="14"/>
      <c r="O2" s="14"/>
      <c r="P2" s="14"/>
      <c r="Q2" s="14"/>
      <c r="R2" s="14"/>
    </row>
    <row r="4" spans="1:18" ht="15.75" x14ac:dyDescent="0.5">
      <c r="A4" s="2" t="s">
        <v>15</v>
      </c>
      <c r="B4" s="2" t="s">
        <v>16</v>
      </c>
    </row>
    <row r="5" spans="1:18" ht="31.5" x14ac:dyDescent="0.5">
      <c r="A5" s="23" t="s">
        <v>69</v>
      </c>
      <c r="B5" s="24" t="s">
        <v>71</v>
      </c>
    </row>
    <row r="6" spans="1:18" ht="31.5" x14ac:dyDescent="0.5">
      <c r="A6" s="23" t="s">
        <v>70</v>
      </c>
      <c r="B6" s="24" t="s">
        <v>72</v>
      </c>
    </row>
    <row r="7" spans="1:18" ht="15.75" x14ac:dyDescent="0.5">
      <c r="A7" s="19"/>
      <c r="B7" s="18"/>
    </row>
    <row r="9" spans="1:18" x14ac:dyDescent="0.55000000000000004">
      <c r="D9" s="1" t="s">
        <v>17</v>
      </c>
      <c r="E9" s="13" t="s">
        <v>69</v>
      </c>
      <c r="F9" s="12">
        <v>1</v>
      </c>
      <c r="G9" s="12">
        <v>2</v>
      </c>
      <c r="H9" s="12">
        <v>3</v>
      </c>
      <c r="J9" s="15" cm="1">
        <f t="array" ref="J9:O14">_xlfn.LAMBDA(_xlpm.matrixA,_xlpm.matrixB,
_xlfn.LET(
_xlpm.nn,ROWS(_xlpm.matrixA) + ROWS(_xlpm.matrixB),
_xlpm.mm,COLUMNS(_xlpm.matrixA) + COLUMNS(_xlpm.matrixB),
_xlpm.nseq, IF(MOD(_xlfn.SEQUENCE(_xlpm.nn,1),ROWS(_xlpm.matrixA))=0, ROWS(_xlpm.matrixA), MOD(_xlfn.SEQUENCE(_xlpm.nn,1),ROWS(_xlpm.matrixA))),
_xlpm.mseq, IF(MOD(_xlfn.SEQUENCE(1,_xlpm.mm),COLUMNS(_xlpm.matrixA))=0, COLUMNS(_xlpm.matrixA), MOD(_xlfn.SEQUENCE(1,_xlpm.mm),COLUMNS(_xlpm.matrixA))),
_xlfn.MAKEARRAY(_xlpm.nn,_xlpm.mm,_xlfn.LAMBDA(_xlpm.row,_xlpm.col,
IF( OR( AND(_xlpm.row &lt;= ROWS(_xlpm.matrixA), _xlpm.col &gt; COLUMNS(_xlpm.matrixA) ), AND(_xlpm.row &gt; ROWS(_xlpm.matrixA), _xlpm.col &lt;= COLUMNS(_xlpm.matrixA) )  ), 0,
IF( _xlpm.row &lt;= ROWS(_xlpm.matrixA), INDEX(_xlpm.matrixA,INDEX(_xlpm.nseq,_xlpm.row),INDEX(_xlpm.mseq,1,_xlpm.col)), INDEX(_xlpm.matrixB,INDEX(_xlpm.nseq,_xlpm.row),INDEX(_xlpm.mseq,1,_xlpm.col)) )
) ))
))($F$9:$H$11,F13:H15)</f>
        <v>1</v>
      </c>
      <c r="K9" s="15">
        <v>2</v>
      </c>
      <c r="L9" s="15">
        <v>3</v>
      </c>
      <c r="M9" s="15">
        <v>0</v>
      </c>
      <c r="N9" s="15">
        <v>0</v>
      </c>
      <c r="O9" s="15">
        <v>0</v>
      </c>
    </row>
    <row r="10" spans="1:18" x14ac:dyDescent="0.55000000000000004">
      <c r="F10" s="12">
        <v>4</v>
      </c>
      <c r="G10" s="12">
        <v>5</v>
      </c>
      <c r="H10" s="12">
        <v>6</v>
      </c>
      <c r="J10" s="15">
        <v>4</v>
      </c>
      <c r="K10" s="15">
        <v>5</v>
      </c>
      <c r="L10" s="15">
        <v>6</v>
      </c>
      <c r="M10" s="15">
        <v>0</v>
      </c>
      <c r="N10" s="15">
        <v>0</v>
      </c>
      <c r="O10" s="15">
        <v>0</v>
      </c>
    </row>
    <row r="11" spans="1:18" x14ac:dyDescent="0.55000000000000004">
      <c r="F11" s="12">
        <v>7</v>
      </c>
      <c r="G11" s="12">
        <v>8</v>
      </c>
      <c r="H11" s="12">
        <v>9</v>
      </c>
      <c r="J11" s="15">
        <v>7</v>
      </c>
      <c r="K11" s="15">
        <v>8</v>
      </c>
      <c r="L11" s="15">
        <v>9</v>
      </c>
      <c r="M11" s="15">
        <v>0</v>
      </c>
      <c r="N11" s="15">
        <v>0</v>
      </c>
      <c r="O11" s="15">
        <v>0</v>
      </c>
    </row>
    <row r="12" spans="1:18" ht="14.25" x14ac:dyDescent="0.45">
      <c r="A12"/>
      <c r="J12" s="15">
        <v>0</v>
      </c>
      <c r="K12" s="15">
        <v>0</v>
      </c>
      <c r="L12" s="15">
        <v>0</v>
      </c>
      <c r="M12" s="15">
        <v>10</v>
      </c>
      <c r="N12" s="15">
        <v>11</v>
      </c>
      <c r="O12" s="15">
        <v>12</v>
      </c>
    </row>
    <row r="13" spans="1:18" x14ac:dyDescent="0.55000000000000004">
      <c r="E13" s="13" t="s">
        <v>70</v>
      </c>
      <c r="F13" s="12">
        <v>10</v>
      </c>
      <c r="G13" s="12">
        <v>11</v>
      </c>
      <c r="H13" s="12">
        <v>12</v>
      </c>
      <c r="J13" s="15">
        <v>0</v>
      </c>
      <c r="K13" s="15">
        <v>0</v>
      </c>
      <c r="L13" s="15">
        <v>0</v>
      </c>
      <c r="M13" s="15">
        <v>13</v>
      </c>
      <c r="N13" s="15">
        <v>14</v>
      </c>
      <c r="O13" s="15">
        <v>15</v>
      </c>
    </row>
    <row r="14" spans="1:18" x14ac:dyDescent="0.55000000000000004">
      <c r="F14" s="12">
        <v>13</v>
      </c>
      <c r="G14" s="12">
        <v>14</v>
      </c>
      <c r="H14" s="12">
        <v>15</v>
      </c>
      <c r="J14" s="15">
        <v>0</v>
      </c>
      <c r="K14" s="15">
        <v>0</v>
      </c>
      <c r="L14" s="15">
        <v>0</v>
      </c>
      <c r="M14" s="15">
        <v>16</v>
      </c>
      <c r="N14" s="15">
        <v>17</v>
      </c>
      <c r="O14" s="15">
        <v>18</v>
      </c>
    </row>
    <row r="15" spans="1:18" x14ac:dyDescent="0.55000000000000004">
      <c r="F15" s="12">
        <v>16</v>
      </c>
      <c r="G15" s="12">
        <v>17</v>
      </c>
      <c r="H15" s="12">
        <v>18</v>
      </c>
    </row>
    <row r="19" spans="4:13" x14ac:dyDescent="0.55000000000000004">
      <c r="D19" s="1" t="s">
        <v>17</v>
      </c>
      <c r="E19" s="13" t="s">
        <v>69</v>
      </c>
      <c r="F19" s="12">
        <v>1</v>
      </c>
      <c r="G19" s="12">
        <v>2</v>
      </c>
      <c r="H19" s="12">
        <v>3</v>
      </c>
      <c r="J19" s="15" cm="1">
        <f t="array" ref="J19:M22">BLKDIAG($F$19:$H$21,$F$23)</f>
        <v>1</v>
      </c>
      <c r="K19" s="15">
        <v>2</v>
      </c>
      <c r="L19" s="15">
        <v>3</v>
      </c>
      <c r="M19" s="15">
        <v>0</v>
      </c>
    </row>
    <row r="20" spans="4:13" x14ac:dyDescent="0.55000000000000004">
      <c r="F20" s="12">
        <v>4</v>
      </c>
      <c r="G20" s="12">
        <v>5</v>
      </c>
      <c r="H20" s="12">
        <v>6</v>
      </c>
      <c r="J20" s="15">
        <v>4</v>
      </c>
      <c r="K20" s="15">
        <v>5</v>
      </c>
      <c r="L20" s="15">
        <v>6</v>
      </c>
      <c r="M20" s="15">
        <v>0</v>
      </c>
    </row>
    <row r="21" spans="4:13" x14ac:dyDescent="0.55000000000000004">
      <c r="F21" s="12">
        <v>7</v>
      </c>
      <c r="G21" s="12">
        <v>8</v>
      </c>
      <c r="H21" s="12">
        <v>9</v>
      </c>
      <c r="J21" s="15">
        <v>7</v>
      </c>
      <c r="K21" s="15">
        <v>8</v>
      </c>
      <c r="L21" s="15">
        <v>9</v>
      </c>
      <c r="M21" s="15">
        <v>0</v>
      </c>
    </row>
    <row r="22" spans="4:13" x14ac:dyDescent="0.55000000000000004">
      <c r="J22" s="15">
        <v>0</v>
      </c>
      <c r="K22" s="15">
        <v>0</v>
      </c>
      <c r="L22" s="15">
        <v>0</v>
      </c>
      <c r="M22" s="15">
        <v>2</v>
      </c>
    </row>
    <row r="23" spans="4:13" x14ac:dyDescent="0.55000000000000004">
      <c r="E23" s="13" t="s">
        <v>70</v>
      </c>
      <c r="F23" s="12">
        <v>2</v>
      </c>
    </row>
  </sheetData>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BB7E-D8C1-4729-96F7-26831D004B81}">
  <sheetPr codeName="Planilha22">
    <tabColor theme="9" tint="0.59999389629810485"/>
  </sheetPr>
  <dimension ref="A1:R32"/>
  <sheetViews>
    <sheetView showGridLines="0" workbookViewId="0">
      <selection activeCell="J9" sqref="J9"/>
    </sheetView>
  </sheetViews>
  <sheetFormatPr defaultColWidth="8.796875" defaultRowHeight="18" x14ac:dyDescent="0.55000000000000004"/>
  <cols>
    <col min="1" max="1" width="12.6640625" style="17" customWidth="1"/>
    <col min="2" max="2" width="31.1328125" bestFit="1" customWidth="1"/>
    <col min="6" max="8" width="12.33203125" bestFit="1" customWidth="1"/>
    <col min="10" max="18" width="13.1328125" style="15" customWidth="1"/>
  </cols>
  <sheetData>
    <row r="1" spans="1:18" x14ac:dyDescent="0.55000000000000004">
      <c r="A1" s="16" t="s">
        <v>83</v>
      </c>
      <c r="J1" s="14"/>
      <c r="K1" s="14"/>
      <c r="L1" s="14"/>
      <c r="M1" s="14"/>
      <c r="N1" s="14"/>
      <c r="O1" s="14"/>
      <c r="P1" s="14"/>
      <c r="Q1" s="14"/>
      <c r="R1" s="14"/>
    </row>
    <row r="2" spans="1:18" x14ac:dyDescent="0.55000000000000004">
      <c r="A2" s="17" t="s">
        <v>86</v>
      </c>
      <c r="J2" s="14"/>
      <c r="K2" s="14"/>
      <c r="L2" s="14"/>
      <c r="M2" s="14"/>
      <c r="N2" s="14"/>
      <c r="O2" s="14"/>
      <c r="P2" s="14"/>
      <c r="Q2" s="14"/>
      <c r="R2" s="14"/>
    </row>
    <row r="4" spans="1:18" ht="15.75" x14ac:dyDescent="0.5">
      <c r="A4" s="2" t="s">
        <v>15</v>
      </c>
      <c r="B4" s="2" t="s">
        <v>16</v>
      </c>
    </row>
    <row r="5" spans="1:18" ht="15.75" x14ac:dyDescent="0.5">
      <c r="A5" s="19" t="s">
        <v>22</v>
      </c>
      <c r="B5" s="24" t="s">
        <v>85</v>
      </c>
    </row>
    <row r="6" spans="1:18" ht="63" x14ac:dyDescent="0.5">
      <c r="A6" s="23" t="s">
        <v>84</v>
      </c>
      <c r="B6" s="24" t="s">
        <v>87</v>
      </c>
    </row>
    <row r="7" spans="1:18" ht="15.75" x14ac:dyDescent="0.5">
      <c r="A7" s="19"/>
      <c r="B7" s="18"/>
    </row>
    <row r="9" spans="1:18" x14ac:dyDescent="0.55000000000000004">
      <c r="D9" s="1" t="s">
        <v>17</v>
      </c>
      <c r="E9" s="13" t="s">
        <v>22</v>
      </c>
      <c r="F9" s="12" t="b">
        <v>1</v>
      </c>
      <c r="J9" s="15" t="b" cm="1">
        <f t="array" ref="J9">_xlfn.LAMBDA(_xlpm.matrix,_xlop.dim,
_xlfn.LET(
_xlpm.dim, IF( _xlfn.ISOMITTED(_xlpm.dim),"all", _xlpm.dim),
IF(_xlpm.dim="all",
IF( ( SUM(1*(_xlpm.matrix=FALSE)) + SUM(1*(_xlpm.matrix=0))  ) = 0, TRUE, FALSE ),
IF(_xlpm.dim=1, _xlfn.BYCOL(_xlpm.matrix, _xlfn.LAMBDA(_xlpm.col, IF( ( SUM(1*(_xlpm.col=FALSE)) + SUM(1*(_xlpm.col=0))  ) = 0, TRUE, FALSE ) )),
IF(_xlpm.dim=2, _xlfn.BYROW(_xlpm.matrix, _xlfn.LAMBDA(_xlpm.row, IF( ( SUM(1*(_xlpm.row=FALSE)) + SUM(1*(_xlpm.row=0))  ) = 0, TRUE, FALSE ) )), #VALUE!) )
)
))($F$9:$F$12)</f>
        <v>1</v>
      </c>
    </row>
    <row r="10" spans="1:18" x14ac:dyDescent="0.55000000000000004">
      <c r="F10" s="12">
        <v>9</v>
      </c>
    </row>
    <row r="11" spans="1:18" x14ac:dyDescent="0.55000000000000004">
      <c r="F11" s="12" t="b">
        <v>1</v>
      </c>
    </row>
    <row r="12" spans="1:18" x14ac:dyDescent="0.55000000000000004">
      <c r="F12" s="12" t="b">
        <v>1</v>
      </c>
    </row>
    <row r="13" spans="1:18" ht="14.25" x14ac:dyDescent="0.45">
      <c r="A13"/>
    </row>
    <row r="15" spans="1:18" x14ac:dyDescent="0.55000000000000004">
      <c r="D15" s="1" t="s">
        <v>17</v>
      </c>
      <c r="E15" s="13" t="s">
        <v>22</v>
      </c>
      <c r="F15" s="12" t="b">
        <v>1</v>
      </c>
      <c r="G15" s="12" t="b">
        <v>1</v>
      </c>
      <c r="J15" s="15" t="b" cm="1">
        <f t="array" ref="J15">ALL($F$15:$G$18)</f>
        <v>0</v>
      </c>
    </row>
    <row r="16" spans="1:18" x14ac:dyDescent="0.55000000000000004">
      <c r="F16" s="12" t="b">
        <v>0</v>
      </c>
      <c r="G16" s="12" t="b">
        <v>0</v>
      </c>
    </row>
    <row r="17" spans="4:12" x14ac:dyDescent="0.55000000000000004">
      <c r="F17" s="12" t="b">
        <v>0</v>
      </c>
      <c r="G17" s="12" t="b">
        <v>0</v>
      </c>
    </row>
    <row r="18" spans="4:12" x14ac:dyDescent="0.55000000000000004">
      <c r="F18" s="12" t="b">
        <v>1</v>
      </c>
      <c r="G18" s="12" t="b">
        <v>1</v>
      </c>
    </row>
    <row r="20" spans="4:12" x14ac:dyDescent="0.55000000000000004">
      <c r="H20" s="25" t="s">
        <v>88</v>
      </c>
    </row>
    <row r="21" spans="4:12" x14ac:dyDescent="0.55000000000000004">
      <c r="D21" s="1" t="s">
        <v>17</v>
      </c>
      <c r="E21" s="13" t="s">
        <v>22</v>
      </c>
      <c r="F21" s="12">
        <v>1</v>
      </c>
      <c r="G21" s="12">
        <v>0</v>
      </c>
      <c r="H21" s="12">
        <v>100</v>
      </c>
      <c r="J21" s="15" t="b" cm="1">
        <f t="array" ref="J21:L21">ALL(F21:H23,F25)</f>
        <v>0</v>
      </c>
      <c r="K21" s="15" t="b">
        <v>0</v>
      </c>
      <c r="L21" s="15" t="b">
        <v>1</v>
      </c>
    </row>
    <row r="22" spans="4:12" x14ac:dyDescent="0.55000000000000004">
      <c r="F22" s="12">
        <v>0</v>
      </c>
      <c r="G22" s="12">
        <v>20</v>
      </c>
      <c r="H22" s="12" t="b">
        <v>1</v>
      </c>
    </row>
    <row r="23" spans="4:12" x14ac:dyDescent="0.55000000000000004">
      <c r="F23" s="12">
        <v>3</v>
      </c>
      <c r="G23" s="12">
        <v>0</v>
      </c>
      <c r="H23" s="12">
        <v>300</v>
      </c>
    </row>
    <row r="25" spans="4:12" x14ac:dyDescent="0.55000000000000004">
      <c r="E25" s="13" t="s">
        <v>35</v>
      </c>
      <c r="F25" s="12">
        <v>1</v>
      </c>
    </row>
    <row r="28" spans="4:12" x14ac:dyDescent="0.55000000000000004">
      <c r="D28" s="1" t="s">
        <v>17</v>
      </c>
      <c r="E28" s="13" t="s">
        <v>22</v>
      </c>
      <c r="F28" s="12">
        <v>1</v>
      </c>
      <c r="G28" s="12">
        <v>0</v>
      </c>
      <c r="H28" s="12">
        <v>100</v>
      </c>
      <c r="J28" s="15" t="b" cm="1">
        <f t="array" ref="J28:J30">ALL($F$28:$H$30,$F$32)</f>
        <v>0</v>
      </c>
    </row>
    <row r="29" spans="4:12" x14ac:dyDescent="0.55000000000000004">
      <c r="F29" s="12">
        <v>1</v>
      </c>
      <c r="G29" s="12">
        <v>20</v>
      </c>
      <c r="H29" s="12" t="b">
        <v>1</v>
      </c>
      <c r="J29" s="15" t="b">
        <v>1</v>
      </c>
    </row>
    <row r="30" spans="4:12" x14ac:dyDescent="0.55000000000000004">
      <c r="F30" s="12">
        <v>3</v>
      </c>
      <c r="G30" s="12">
        <v>0</v>
      </c>
      <c r="H30" s="12">
        <v>300</v>
      </c>
      <c r="J30" s="15" t="b">
        <v>0</v>
      </c>
    </row>
    <row r="32" spans="4:12" x14ac:dyDescent="0.55000000000000004">
      <c r="E32" s="13" t="s">
        <v>35</v>
      </c>
      <c r="F32" s="12">
        <v>2</v>
      </c>
    </row>
  </sheetData>
  <pageMargins left="0.511811024" right="0.511811024" top="0.78740157499999996" bottom="0.78740157499999996" header="0.31496062000000002" footer="0.3149606200000000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41028-17AA-40E3-A3C9-C0D0A24A48DD}">
  <sheetPr codeName="Planilha23">
    <tabColor theme="9" tint="0.59999389629810485"/>
  </sheetPr>
  <dimension ref="A1:R32"/>
  <sheetViews>
    <sheetView showGridLines="0" workbookViewId="0"/>
  </sheetViews>
  <sheetFormatPr defaultColWidth="8.796875" defaultRowHeight="18" x14ac:dyDescent="0.55000000000000004"/>
  <cols>
    <col min="1" max="1" width="12.6640625" style="17" customWidth="1"/>
    <col min="2" max="2" width="31.1328125" bestFit="1" customWidth="1"/>
    <col min="6" max="8" width="12.33203125" bestFit="1" customWidth="1"/>
    <col min="10" max="18" width="13.1328125" style="15" customWidth="1"/>
  </cols>
  <sheetData>
    <row r="1" spans="1:18" x14ac:dyDescent="0.55000000000000004">
      <c r="A1" s="16" t="s">
        <v>89</v>
      </c>
      <c r="J1" s="14"/>
      <c r="K1" s="14"/>
      <c r="L1" s="14"/>
      <c r="M1" s="14"/>
      <c r="N1" s="14"/>
      <c r="O1" s="14"/>
      <c r="P1" s="14"/>
      <c r="Q1" s="14"/>
      <c r="R1" s="14"/>
    </row>
    <row r="2" spans="1:18" x14ac:dyDescent="0.55000000000000004">
      <c r="A2" s="17" t="s">
        <v>90</v>
      </c>
      <c r="J2" s="14"/>
      <c r="K2" s="14"/>
      <c r="L2" s="14"/>
      <c r="M2" s="14"/>
      <c r="N2" s="14"/>
      <c r="O2" s="14"/>
      <c r="P2" s="14"/>
      <c r="Q2" s="14"/>
      <c r="R2" s="14"/>
    </row>
    <row r="4" spans="1:18" ht="15.75" x14ac:dyDescent="0.5">
      <c r="A4" s="2" t="s">
        <v>15</v>
      </c>
      <c r="B4" s="2" t="s">
        <v>16</v>
      </c>
    </row>
    <row r="5" spans="1:18" ht="15.75" x14ac:dyDescent="0.5">
      <c r="A5" s="19" t="s">
        <v>22</v>
      </c>
      <c r="B5" s="24" t="s">
        <v>85</v>
      </c>
    </row>
    <row r="6" spans="1:18" ht="63" x14ac:dyDescent="0.5">
      <c r="A6" s="23" t="s">
        <v>84</v>
      </c>
      <c r="B6" s="24" t="s">
        <v>91</v>
      </c>
    </row>
    <row r="7" spans="1:18" ht="15.75" x14ac:dyDescent="0.5">
      <c r="A7" s="19"/>
      <c r="B7" s="18"/>
    </row>
    <row r="9" spans="1:18" x14ac:dyDescent="0.55000000000000004">
      <c r="D9" s="1" t="s">
        <v>17</v>
      </c>
      <c r="E9" s="13" t="s">
        <v>22</v>
      </c>
      <c r="F9" s="12" t="b">
        <v>1</v>
      </c>
      <c r="J9" s="15" t="b" cm="1">
        <f t="array" ref="J9">_xlfn.LAMBDA(_xlpm.matrix,_xlop.dim,
_xlfn.LET(
_xlpm.dim, IF( _xlfn.ISOMITTED(_xlpm.dim),"all", _xlpm.dim),
IF(_xlpm.dim="all",
IF( ( SUM(1*(_xlpm.matrix=FALSE)) + SUM(1*(_xlpm.matrix=0))  ) &lt;&gt; ROWS(_xlpm.matrix)*COLUMNS(_xlpm.matrix), TRUE, FALSE ),
IF(_xlpm.dim=1, _xlfn.BYCOL(_xlpm.matrix, _xlfn.LAMBDA(_xlpm.col, IF( ( SUM(1*(_xlpm.col=FALSE)) + SUM(1*(_xlpm.col=0))  ) &lt;&gt; ROWS(_xlpm.col), TRUE, FALSE ) )),
IF(_xlpm.dim=2, _xlfn.BYROW(_xlpm.matrix, _xlfn.LAMBDA(_xlpm.row, IF( ( SUM(1*(_xlpm.row=FALSE)) + SUM(1*(_xlpm.row=0))  ) &lt;&gt; COLUMNS(_xlpm.row), TRUE, FALSE ) )), #VALUE!) )
)
))(F9:F12)</f>
        <v>1</v>
      </c>
    </row>
    <row r="10" spans="1:18" x14ac:dyDescent="0.55000000000000004">
      <c r="F10" s="12">
        <v>0</v>
      </c>
    </row>
    <row r="11" spans="1:18" x14ac:dyDescent="0.55000000000000004">
      <c r="F11" s="12">
        <v>6</v>
      </c>
    </row>
    <row r="12" spans="1:18" x14ac:dyDescent="0.55000000000000004">
      <c r="F12" s="12" t="b">
        <v>1</v>
      </c>
    </row>
    <row r="13" spans="1:18" ht="14.25" x14ac:dyDescent="0.45">
      <c r="A13"/>
    </row>
    <row r="15" spans="1:18" x14ac:dyDescent="0.55000000000000004">
      <c r="D15" s="1" t="s">
        <v>17</v>
      </c>
      <c r="E15" s="13" t="s">
        <v>22</v>
      </c>
      <c r="F15" s="12" t="b">
        <v>1</v>
      </c>
      <c r="G15" s="12" t="b">
        <v>1</v>
      </c>
      <c r="J15" s="15" t="b" cm="1">
        <f t="array" ref="J15">ANY($F$15:$G$18)</f>
        <v>1</v>
      </c>
    </row>
    <row r="16" spans="1:18" x14ac:dyDescent="0.55000000000000004">
      <c r="F16" s="12" t="b">
        <v>0</v>
      </c>
      <c r="G16" s="12">
        <v>0</v>
      </c>
    </row>
    <row r="17" spans="4:12" x14ac:dyDescent="0.55000000000000004">
      <c r="F17" s="12">
        <v>0</v>
      </c>
      <c r="G17" s="12" t="b">
        <v>0</v>
      </c>
    </row>
    <row r="18" spans="4:12" x14ac:dyDescent="0.55000000000000004">
      <c r="F18" s="12" t="b">
        <v>1</v>
      </c>
      <c r="G18" s="12" t="b">
        <v>1</v>
      </c>
    </row>
    <row r="20" spans="4:12" x14ac:dyDescent="0.55000000000000004">
      <c r="H20" s="25" t="s">
        <v>88</v>
      </c>
    </row>
    <row r="21" spans="4:12" x14ac:dyDescent="0.55000000000000004">
      <c r="D21" s="1" t="s">
        <v>17</v>
      </c>
      <c r="E21" s="13" t="s">
        <v>22</v>
      </c>
      <c r="F21" s="12">
        <v>1</v>
      </c>
      <c r="G21" s="12">
        <v>0</v>
      </c>
      <c r="H21" s="12">
        <v>100</v>
      </c>
      <c r="J21" s="15" t="b" cm="1">
        <f t="array" ref="J21:L21">ANY(F21:H23,F25)</f>
        <v>1</v>
      </c>
      <c r="K21" s="15" t="b">
        <v>0</v>
      </c>
      <c r="L21" s="15" t="b">
        <v>1</v>
      </c>
    </row>
    <row r="22" spans="4:12" x14ac:dyDescent="0.55000000000000004">
      <c r="F22" s="12">
        <v>0</v>
      </c>
      <c r="G22" s="12">
        <v>0</v>
      </c>
      <c r="H22" s="12" t="b">
        <v>1</v>
      </c>
    </row>
    <row r="23" spans="4:12" x14ac:dyDescent="0.55000000000000004">
      <c r="F23" s="12">
        <v>3</v>
      </c>
      <c r="G23" s="12">
        <v>0</v>
      </c>
      <c r="H23" s="12">
        <v>300</v>
      </c>
    </row>
    <row r="25" spans="4:12" x14ac:dyDescent="0.55000000000000004">
      <c r="E25" s="13" t="s">
        <v>35</v>
      </c>
      <c r="F25" s="12">
        <v>1</v>
      </c>
    </row>
    <row r="28" spans="4:12" x14ac:dyDescent="0.55000000000000004">
      <c r="D28" s="1" t="s">
        <v>17</v>
      </c>
      <c r="E28" s="13" t="s">
        <v>22</v>
      </c>
      <c r="F28" s="12">
        <v>1</v>
      </c>
      <c r="G28" s="12">
        <v>0</v>
      </c>
      <c r="H28" s="12">
        <v>100</v>
      </c>
      <c r="J28" s="15" t="b" cm="1">
        <f t="array" ref="J28:J30">ANY($F$28:$H$30,$F$32)</f>
        <v>1</v>
      </c>
    </row>
    <row r="29" spans="4:12" x14ac:dyDescent="0.55000000000000004">
      <c r="F29" s="12">
        <v>1</v>
      </c>
      <c r="G29" s="12">
        <v>20</v>
      </c>
      <c r="H29" s="12" t="b">
        <v>1</v>
      </c>
      <c r="J29" s="15" t="b">
        <v>1</v>
      </c>
    </row>
    <row r="30" spans="4:12" x14ac:dyDescent="0.55000000000000004">
      <c r="F30" s="12">
        <v>0</v>
      </c>
      <c r="G30" s="12">
        <v>0</v>
      </c>
      <c r="H30" s="12">
        <v>0</v>
      </c>
      <c r="J30" s="15" t="b">
        <v>0</v>
      </c>
    </row>
    <row r="32" spans="4:12" x14ac:dyDescent="0.55000000000000004">
      <c r="E32" s="13" t="s">
        <v>35</v>
      </c>
      <c r="F32" s="12">
        <v>2</v>
      </c>
    </row>
  </sheetData>
  <pageMargins left="0.511811024" right="0.511811024" top="0.78740157499999996" bottom="0.78740157499999996" header="0.31496062000000002" footer="0.3149606200000000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2210-A8A1-4945-9DE4-DF6C299B22F5}">
  <sheetPr codeName="Planilha24">
    <tabColor theme="9" tint="0.59999389629810485"/>
  </sheetPr>
  <dimension ref="A1:K18"/>
  <sheetViews>
    <sheetView showGridLines="0" workbookViewId="0"/>
  </sheetViews>
  <sheetFormatPr defaultColWidth="8.796875" defaultRowHeight="18" x14ac:dyDescent="0.55000000000000004"/>
  <cols>
    <col min="1" max="1" width="12.6640625" style="17" customWidth="1"/>
    <col min="2" max="2" width="31.1328125" bestFit="1" customWidth="1"/>
    <col min="6" max="8" width="12.33203125" bestFit="1" customWidth="1"/>
    <col min="10" max="11" width="13.1328125" style="15" customWidth="1"/>
  </cols>
  <sheetData>
    <row r="1" spans="1:11" x14ac:dyDescent="0.55000000000000004">
      <c r="A1" s="16" t="s">
        <v>115</v>
      </c>
      <c r="J1" s="14"/>
      <c r="K1" s="14"/>
    </row>
    <row r="2" spans="1:11" x14ac:dyDescent="0.55000000000000004">
      <c r="A2" s="17" t="s">
        <v>119</v>
      </c>
      <c r="J2" s="14"/>
      <c r="K2" s="14"/>
    </row>
    <row r="4" spans="1:11" ht="15.75" x14ac:dyDescent="0.5">
      <c r="A4" s="2" t="s">
        <v>15</v>
      </c>
      <c r="B4" s="2" t="s">
        <v>16</v>
      </c>
    </row>
    <row r="5" spans="1:11" ht="31.5" x14ac:dyDescent="0.5">
      <c r="A5" s="19" t="s">
        <v>22</v>
      </c>
      <c r="B5" s="24" t="s">
        <v>116</v>
      </c>
    </row>
    <row r="6" spans="1:11" ht="15.75" x14ac:dyDescent="0.5">
      <c r="A6" s="23"/>
      <c r="B6" s="24"/>
    </row>
    <row r="7" spans="1:11" ht="15.75" x14ac:dyDescent="0.5">
      <c r="A7" s="19"/>
      <c r="B7" s="18"/>
    </row>
    <row r="9" spans="1:11" x14ac:dyDescent="0.55000000000000004">
      <c r="D9" s="1" t="s">
        <v>17</v>
      </c>
      <c r="E9" s="13" t="s">
        <v>22</v>
      </c>
      <c r="F9" s="12" t="b">
        <v>1</v>
      </c>
      <c r="G9" s="12">
        <v>2</v>
      </c>
      <c r="H9" s="12">
        <v>4</v>
      </c>
      <c r="J9" s="15" cm="1">
        <f t="array" ref="J9">_xlfn.LAMBDA(_xlpm.matrix, COUNTA(_xlpm.matrix) - SUM(IF(_xlpm.matrix=FALSE,1,0)) - SUM(IF(_xlpm.matrix=0,1,0)) )($F$9:$H$11)</f>
        <v>6</v>
      </c>
    </row>
    <row r="10" spans="1:11" x14ac:dyDescent="0.55000000000000004">
      <c r="F10" s="12" t="b">
        <v>1</v>
      </c>
      <c r="G10" s="12">
        <v>0</v>
      </c>
      <c r="H10" s="12" t="b">
        <v>0</v>
      </c>
    </row>
    <row r="11" spans="1:11" x14ac:dyDescent="0.55000000000000004">
      <c r="F11" s="12">
        <v>0</v>
      </c>
      <c r="G11" s="12" t="s">
        <v>118</v>
      </c>
      <c r="H11" s="12" t="s">
        <v>117</v>
      </c>
    </row>
    <row r="13" spans="1:11" ht="14.25" x14ac:dyDescent="0.45">
      <c r="A13"/>
    </row>
    <row r="16" spans="1:11" x14ac:dyDescent="0.55000000000000004">
      <c r="D16" s="1" t="s">
        <v>17</v>
      </c>
      <c r="E16" s="13" t="s">
        <v>22</v>
      </c>
      <c r="F16" s="12">
        <v>10</v>
      </c>
      <c r="G16" s="12">
        <v>20</v>
      </c>
      <c r="H16" s="12">
        <v>30</v>
      </c>
      <c r="J16" s="15" cm="1">
        <f t="array" ref="J16">NNZ($F$16:$H$18 &gt; 100)</f>
        <v>5</v>
      </c>
    </row>
    <row r="17" spans="6:8" x14ac:dyDescent="0.55000000000000004">
      <c r="F17" s="12">
        <v>100</v>
      </c>
      <c r="G17" s="12">
        <v>200</v>
      </c>
      <c r="H17" s="12">
        <v>300</v>
      </c>
    </row>
    <row r="18" spans="6:8" x14ac:dyDescent="0.55000000000000004">
      <c r="F18" s="12">
        <v>1000</v>
      </c>
      <c r="G18" s="12">
        <v>2000</v>
      </c>
      <c r="H18" s="12">
        <v>3000</v>
      </c>
    </row>
  </sheetData>
  <pageMargins left="0.511811024" right="0.511811024" top="0.78740157499999996" bottom="0.78740157499999996" header="0.31496062000000002" footer="0.3149606200000000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54D-0362-4BA7-A3AF-194D228C3DB9}">
  <sheetPr codeName="Planilha25">
    <tabColor theme="9" tint="0.59999389629810485"/>
  </sheetPr>
  <dimension ref="A1:P110"/>
  <sheetViews>
    <sheetView showGridLines="0" workbookViewId="0"/>
  </sheetViews>
  <sheetFormatPr defaultColWidth="8.796875" defaultRowHeight="18" x14ac:dyDescent="0.55000000000000004"/>
  <cols>
    <col min="1" max="1" width="12.6640625" style="17" customWidth="1"/>
    <col min="2" max="2" width="26.33203125" customWidth="1"/>
    <col min="8" max="9" width="8.796875" style="15"/>
    <col min="15" max="16" width="8.796875" style="15"/>
  </cols>
  <sheetData>
    <row r="1" spans="1:15" x14ac:dyDescent="0.55000000000000004">
      <c r="A1" s="16" t="s">
        <v>103</v>
      </c>
      <c r="H1" s="14"/>
      <c r="I1" s="14"/>
      <c r="O1" s="14"/>
    </row>
    <row r="2" spans="1:15" x14ac:dyDescent="0.55000000000000004">
      <c r="A2" s="17" t="s">
        <v>104</v>
      </c>
      <c r="H2" s="14"/>
      <c r="I2" s="14"/>
      <c r="O2" s="14"/>
    </row>
    <row r="3" spans="1:15" x14ac:dyDescent="0.55000000000000004">
      <c r="O3" s="27"/>
    </row>
    <row r="4" spans="1:15" ht="15.75" x14ac:dyDescent="0.5">
      <c r="A4" s="2" t="s">
        <v>15</v>
      </c>
      <c r="B4" s="2" t="s">
        <v>16</v>
      </c>
      <c r="O4" s="27"/>
    </row>
    <row r="5" spans="1:15" ht="15.75" x14ac:dyDescent="0.45">
      <c r="A5" s="23" t="s">
        <v>108</v>
      </c>
      <c r="B5" s="26" t="s">
        <v>105</v>
      </c>
      <c r="O5" s="27"/>
    </row>
    <row r="6" spans="1:15" ht="15.75" x14ac:dyDescent="0.45">
      <c r="A6" s="23" t="s">
        <v>109</v>
      </c>
      <c r="B6" s="26" t="s">
        <v>106</v>
      </c>
      <c r="O6" s="27"/>
    </row>
    <row r="7" spans="1:15" ht="15.75" x14ac:dyDescent="0.45">
      <c r="A7" s="23" t="s">
        <v>54</v>
      </c>
      <c r="B7" s="26" t="s">
        <v>107</v>
      </c>
      <c r="O7" s="27"/>
    </row>
    <row r="8" spans="1:15" x14ac:dyDescent="0.55000000000000004">
      <c r="O8" s="27"/>
    </row>
    <row r="9" spans="1:15" x14ac:dyDescent="0.55000000000000004">
      <c r="O9" s="27"/>
    </row>
    <row r="10" spans="1:15" x14ac:dyDescent="0.55000000000000004">
      <c r="O10" s="27"/>
    </row>
    <row r="11" spans="1:15" x14ac:dyDescent="0.55000000000000004">
      <c r="D11" s="1" t="s">
        <v>17</v>
      </c>
      <c r="E11" s="13" t="s">
        <v>108</v>
      </c>
      <c r="F11" s="12">
        <v>1</v>
      </c>
      <c r="H11" s="27" cm="1">
        <f t="array" ref="H11:H110">_xlfn.LAMBDA(_xlpm.lb,_xlpm.ub,_xlop.n, _xlfn.LET(_xlpm.N, IF(_xlfn.ISOMITTED(_xlpm.n),100,_xlpm.n), _xlpm.lb + (_xlfn.SEQUENCE(_xlpm.N)-1)*(_xlpm.ub - _xlpm.lb)/(_xlpm.N-1) ) )($F$11,$F$12)</f>
        <v>1</v>
      </c>
      <c r="K11" s="1" t="s">
        <v>17</v>
      </c>
      <c r="L11" s="13" t="s">
        <v>108</v>
      </c>
      <c r="M11" s="12">
        <v>1</v>
      </c>
      <c r="O11" s="27" cm="1">
        <f t="array" ref="O11:O20">LINSPACE($M$11,$M$12,$M$13)</f>
        <v>1</v>
      </c>
    </row>
    <row r="12" spans="1:15" x14ac:dyDescent="0.55000000000000004">
      <c r="E12" s="13" t="s">
        <v>109</v>
      </c>
      <c r="F12" s="12">
        <v>5</v>
      </c>
      <c r="H12" s="27">
        <v>1.0404040404040404</v>
      </c>
      <c r="L12" s="13" t="s">
        <v>109</v>
      </c>
      <c r="M12" s="12">
        <v>5</v>
      </c>
      <c r="O12" s="27">
        <v>1.4444444444444444</v>
      </c>
    </row>
    <row r="13" spans="1:15" x14ac:dyDescent="0.55000000000000004">
      <c r="H13" s="27">
        <v>1.0808080808080809</v>
      </c>
      <c r="L13" s="13" t="s">
        <v>35</v>
      </c>
      <c r="M13" s="12">
        <v>10</v>
      </c>
      <c r="O13" s="27">
        <v>1.8888888888888888</v>
      </c>
    </row>
    <row r="14" spans="1:15" x14ac:dyDescent="0.55000000000000004">
      <c r="H14" s="27">
        <v>1.1212121212121211</v>
      </c>
      <c r="O14" s="27">
        <v>2.333333333333333</v>
      </c>
    </row>
    <row r="15" spans="1:15" x14ac:dyDescent="0.55000000000000004">
      <c r="H15" s="27">
        <v>1.1616161616161615</v>
      </c>
      <c r="O15" s="27">
        <v>2.7777777777777777</v>
      </c>
    </row>
    <row r="16" spans="1:15" x14ac:dyDescent="0.55000000000000004">
      <c r="H16" s="27">
        <v>1.202020202020202</v>
      </c>
      <c r="O16" s="27">
        <v>3.2222222222222223</v>
      </c>
    </row>
    <row r="17" spans="8:15" x14ac:dyDescent="0.55000000000000004">
      <c r="H17" s="27">
        <v>1.2424242424242424</v>
      </c>
      <c r="O17" s="27">
        <v>3.6666666666666665</v>
      </c>
    </row>
    <row r="18" spans="8:15" x14ac:dyDescent="0.55000000000000004">
      <c r="H18" s="27">
        <v>1.2828282828282829</v>
      </c>
      <c r="O18" s="27">
        <v>4.1111111111111107</v>
      </c>
    </row>
    <row r="19" spans="8:15" x14ac:dyDescent="0.55000000000000004">
      <c r="H19" s="27">
        <v>1.3232323232323233</v>
      </c>
      <c r="O19" s="27">
        <v>4.5555555555555554</v>
      </c>
    </row>
    <row r="20" spans="8:15" x14ac:dyDescent="0.55000000000000004">
      <c r="H20" s="27">
        <v>1.3636363636363638</v>
      </c>
      <c r="O20" s="27">
        <v>5</v>
      </c>
    </row>
    <row r="21" spans="8:15" x14ac:dyDescent="0.55000000000000004">
      <c r="H21" s="27">
        <v>1.404040404040404</v>
      </c>
      <c r="O21" s="27"/>
    </row>
    <row r="22" spans="8:15" x14ac:dyDescent="0.55000000000000004">
      <c r="H22" s="27">
        <v>1.4444444444444444</v>
      </c>
      <c r="O22" s="27"/>
    </row>
    <row r="23" spans="8:15" x14ac:dyDescent="0.55000000000000004">
      <c r="H23" s="27">
        <v>1.4848484848484849</v>
      </c>
      <c r="O23" s="27"/>
    </row>
    <row r="24" spans="8:15" x14ac:dyDescent="0.55000000000000004">
      <c r="H24" s="27">
        <v>1.5252525252525253</v>
      </c>
      <c r="O24" s="27"/>
    </row>
    <row r="25" spans="8:15" x14ac:dyDescent="0.55000000000000004">
      <c r="H25" s="27">
        <v>1.5656565656565657</v>
      </c>
      <c r="O25" s="27"/>
    </row>
    <row r="26" spans="8:15" x14ac:dyDescent="0.55000000000000004">
      <c r="H26" s="27">
        <v>1.606060606060606</v>
      </c>
      <c r="O26" s="27"/>
    </row>
    <row r="27" spans="8:15" x14ac:dyDescent="0.55000000000000004">
      <c r="H27" s="27">
        <v>1.6464646464646466</v>
      </c>
      <c r="O27" s="27"/>
    </row>
    <row r="28" spans="8:15" x14ac:dyDescent="0.55000000000000004">
      <c r="H28" s="27">
        <v>1.6868686868686869</v>
      </c>
      <c r="O28" s="27"/>
    </row>
    <row r="29" spans="8:15" x14ac:dyDescent="0.55000000000000004">
      <c r="H29" s="27">
        <v>1.7272727272727273</v>
      </c>
      <c r="O29" s="27"/>
    </row>
    <row r="30" spans="8:15" x14ac:dyDescent="0.55000000000000004">
      <c r="H30" s="27">
        <v>1.7676767676767677</v>
      </c>
      <c r="O30" s="27"/>
    </row>
    <row r="31" spans="8:15" x14ac:dyDescent="0.55000000000000004">
      <c r="H31" s="27">
        <v>1.808080808080808</v>
      </c>
      <c r="O31" s="27"/>
    </row>
    <row r="32" spans="8:15" x14ac:dyDescent="0.55000000000000004">
      <c r="H32" s="27">
        <v>1.8484848484848486</v>
      </c>
      <c r="O32" s="27"/>
    </row>
    <row r="33" spans="8:8" x14ac:dyDescent="0.55000000000000004">
      <c r="H33" s="27">
        <v>1.8888888888888888</v>
      </c>
    </row>
    <row r="34" spans="8:8" x14ac:dyDescent="0.55000000000000004">
      <c r="H34" s="27">
        <v>1.9292929292929293</v>
      </c>
    </row>
    <row r="35" spans="8:8" x14ac:dyDescent="0.55000000000000004">
      <c r="H35" s="27">
        <v>1.9696969696969697</v>
      </c>
    </row>
    <row r="36" spans="8:8" x14ac:dyDescent="0.55000000000000004">
      <c r="H36" s="27">
        <v>2.0101010101010104</v>
      </c>
    </row>
    <row r="37" spans="8:8" x14ac:dyDescent="0.55000000000000004">
      <c r="H37" s="27">
        <v>2.0505050505050506</v>
      </c>
    </row>
    <row r="38" spans="8:8" x14ac:dyDescent="0.55000000000000004">
      <c r="H38" s="27">
        <v>2.0909090909090908</v>
      </c>
    </row>
    <row r="39" spans="8:8" x14ac:dyDescent="0.55000000000000004">
      <c r="H39" s="27">
        <v>2.1313131313131315</v>
      </c>
    </row>
    <row r="40" spans="8:8" x14ac:dyDescent="0.55000000000000004">
      <c r="H40" s="27">
        <v>2.1717171717171717</v>
      </c>
    </row>
    <row r="41" spans="8:8" x14ac:dyDescent="0.55000000000000004">
      <c r="H41" s="27">
        <v>2.2121212121212119</v>
      </c>
    </row>
    <row r="42" spans="8:8" x14ac:dyDescent="0.55000000000000004">
      <c r="H42" s="27">
        <v>2.2525252525252526</v>
      </c>
    </row>
    <row r="43" spans="8:8" x14ac:dyDescent="0.55000000000000004">
      <c r="H43" s="27">
        <v>2.2929292929292933</v>
      </c>
    </row>
    <row r="44" spans="8:8" x14ac:dyDescent="0.55000000000000004">
      <c r="H44" s="27">
        <v>2.333333333333333</v>
      </c>
    </row>
    <row r="45" spans="8:8" x14ac:dyDescent="0.55000000000000004">
      <c r="H45" s="27">
        <v>2.3737373737373737</v>
      </c>
    </row>
    <row r="46" spans="8:8" x14ac:dyDescent="0.55000000000000004">
      <c r="H46" s="27">
        <v>2.4141414141414144</v>
      </c>
    </row>
    <row r="47" spans="8:8" x14ac:dyDescent="0.55000000000000004">
      <c r="H47" s="27">
        <v>2.4545454545454546</v>
      </c>
    </row>
    <row r="48" spans="8:8" x14ac:dyDescent="0.55000000000000004">
      <c r="H48" s="27">
        <v>2.4949494949494948</v>
      </c>
    </row>
    <row r="49" spans="8:8" x14ac:dyDescent="0.55000000000000004">
      <c r="H49" s="27">
        <v>2.5353535353535355</v>
      </c>
    </row>
    <row r="50" spans="8:8" x14ac:dyDescent="0.55000000000000004">
      <c r="H50" s="27">
        <v>2.5757575757575757</v>
      </c>
    </row>
    <row r="51" spans="8:8" x14ac:dyDescent="0.55000000000000004">
      <c r="H51" s="27">
        <v>2.6161616161616159</v>
      </c>
    </row>
    <row r="52" spans="8:8" x14ac:dyDescent="0.55000000000000004">
      <c r="H52" s="27">
        <v>2.6565656565656566</v>
      </c>
    </row>
    <row r="53" spans="8:8" x14ac:dyDescent="0.55000000000000004">
      <c r="H53" s="27">
        <v>2.6969696969696972</v>
      </c>
    </row>
    <row r="54" spans="8:8" x14ac:dyDescent="0.55000000000000004">
      <c r="H54" s="27">
        <v>2.7373737373737375</v>
      </c>
    </row>
    <row r="55" spans="8:8" x14ac:dyDescent="0.55000000000000004">
      <c r="H55" s="27">
        <v>2.7777777777777777</v>
      </c>
    </row>
    <row r="56" spans="8:8" x14ac:dyDescent="0.55000000000000004">
      <c r="H56" s="27">
        <v>2.8181818181818183</v>
      </c>
    </row>
    <row r="57" spans="8:8" x14ac:dyDescent="0.55000000000000004">
      <c r="H57" s="27">
        <v>2.8585858585858586</v>
      </c>
    </row>
    <row r="58" spans="8:8" x14ac:dyDescent="0.55000000000000004">
      <c r="H58" s="27">
        <v>2.8989898989898988</v>
      </c>
    </row>
    <row r="59" spans="8:8" x14ac:dyDescent="0.55000000000000004">
      <c r="H59" s="27">
        <v>2.9393939393939394</v>
      </c>
    </row>
    <row r="60" spans="8:8" x14ac:dyDescent="0.55000000000000004">
      <c r="H60" s="27">
        <v>2.9797979797979801</v>
      </c>
    </row>
    <row r="61" spans="8:8" x14ac:dyDescent="0.55000000000000004">
      <c r="H61" s="27">
        <v>3.0202020202020203</v>
      </c>
    </row>
    <row r="62" spans="8:8" x14ac:dyDescent="0.55000000000000004">
      <c r="H62" s="27">
        <v>3.0606060606060606</v>
      </c>
    </row>
    <row r="63" spans="8:8" x14ac:dyDescent="0.55000000000000004">
      <c r="H63" s="27">
        <v>3.1010101010101012</v>
      </c>
    </row>
    <row r="64" spans="8:8" x14ac:dyDescent="0.55000000000000004">
      <c r="H64" s="27">
        <v>3.1414141414141414</v>
      </c>
    </row>
    <row r="65" spans="8:8" x14ac:dyDescent="0.55000000000000004">
      <c r="H65" s="27">
        <v>3.1818181818181817</v>
      </c>
    </row>
    <row r="66" spans="8:8" x14ac:dyDescent="0.55000000000000004">
      <c r="H66" s="27">
        <v>3.2222222222222223</v>
      </c>
    </row>
    <row r="67" spans="8:8" x14ac:dyDescent="0.55000000000000004">
      <c r="H67" s="27">
        <v>3.2626262626262625</v>
      </c>
    </row>
    <row r="68" spans="8:8" x14ac:dyDescent="0.55000000000000004">
      <c r="H68" s="27">
        <v>3.3030303030303032</v>
      </c>
    </row>
    <row r="69" spans="8:8" x14ac:dyDescent="0.55000000000000004">
      <c r="H69" s="27">
        <v>3.3434343434343434</v>
      </c>
    </row>
    <row r="70" spans="8:8" x14ac:dyDescent="0.55000000000000004">
      <c r="H70" s="27">
        <v>3.3838383838383836</v>
      </c>
    </row>
    <row r="71" spans="8:8" x14ac:dyDescent="0.55000000000000004">
      <c r="H71" s="27">
        <v>3.4242424242424243</v>
      </c>
    </row>
    <row r="72" spans="8:8" x14ac:dyDescent="0.55000000000000004">
      <c r="H72" s="27">
        <v>3.4646464646464645</v>
      </c>
    </row>
    <row r="73" spans="8:8" x14ac:dyDescent="0.55000000000000004">
      <c r="H73" s="27">
        <v>3.5050505050505052</v>
      </c>
    </row>
    <row r="74" spans="8:8" x14ac:dyDescent="0.55000000000000004">
      <c r="H74" s="27">
        <v>3.5454545454545454</v>
      </c>
    </row>
    <row r="75" spans="8:8" x14ac:dyDescent="0.55000000000000004">
      <c r="H75" s="27">
        <v>3.5858585858585861</v>
      </c>
    </row>
    <row r="76" spans="8:8" x14ac:dyDescent="0.55000000000000004">
      <c r="H76" s="27">
        <v>3.6262626262626263</v>
      </c>
    </row>
    <row r="77" spans="8:8" x14ac:dyDescent="0.55000000000000004">
      <c r="H77" s="27">
        <v>3.6666666666666665</v>
      </c>
    </row>
    <row r="78" spans="8:8" x14ac:dyDescent="0.55000000000000004">
      <c r="H78" s="27">
        <v>3.7070707070707072</v>
      </c>
    </row>
    <row r="79" spans="8:8" x14ac:dyDescent="0.55000000000000004">
      <c r="H79" s="27">
        <v>3.7474747474747474</v>
      </c>
    </row>
    <row r="80" spans="8:8" x14ac:dyDescent="0.55000000000000004">
      <c r="H80" s="27">
        <v>3.7878787878787881</v>
      </c>
    </row>
    <row r="81" spans="8:8" x14ac:dyDescent="0.55000000000000004">
      <c r="H81" s="27">
        <v>3.8282828282828283</v>
      </c>
    </row>
    <row r="82" spans="8:8" x14ac:dyDescent="0.55000000000000004">
      <c r="H82" s="27">
        <v>3.8686868686868685</v>
      </c>
    </row>
    <row r="83" spans="8:8" x14ac:dyDescent="0.55000000000000004">
      <c r="H83" s="27">
        <v>3.9090909090909092</v>
      </c>
    </row>
    <row r="84" spans="8:8" x14ac:dyDescent="0.55000000000000004">
      <c r="H84" s="27">
        <v>3.9494949494949494</v>
      </c>
    </row>
    <row r="85" spans="8:8" x14ac:dyDescent="0.55000000000000004">
      <c r="H85" s="27">
        <v>3.9898989898989901</v>
      </c>
    </row>
    <row r="86" spans="8:8" x14ac:dyDescent="0.55000000000000004">
      <c r="H86" s="27">
        <v>4.0303030303030303</v>
      </c>
    </row>
    <row r="87" spans="8:8" x14ac:dyDescent="0.55000000000000004">
      <c r="H87" s="27">
        <v>4.0707070707070709</v>
      </c>
    </row>
    <row r="88" spans="8:8" x14ac:dyDescent="0.55000000000000004">
      <c r="H88" s="27">
        <v>4.1111111111111107</v>
      </c>
    </row>
    <row r="89" spans="8:8" x14ac:dyDescent="0.55000000000000004">
      <c r="H89" s="27">
        <v>4.1515151515151514</v>
      </c>
    </row>
    <row r="90" spans="8:8" x14ac:dyDescent="0.55000000000000004">
      <c r="H90" s="27">
        <v>4.191919191919192</v>
      </c>
    </row>
    <row r="91" spans="8:8" x14ac:dyDescent="0.55000000000000004">
      <c r="H91" s="27">
        <v>4.2323232323232318</v>
      </c>
    </row>
    <row r="92" spans="8:8" x14ac:dyDescent="0.55000000000000004">
      <c r="H92" s="27">
        <v>4.2727272727272734</v>
      </c>
    </row>
    <row r="93" spans="8:8" x14ac:dyDescent="0.55000000000000004">
      <c r="H93" s="27">
        <v>4.3131313131313131</v>
      </c>
    </row>
    <row r="94" spans="8:8" x14ac:dyDescent="0.55000000000000004">
      <c r="H94" s="27">
        <v>4.3535353535353529</v>
      </c>
    </row>
    <row r="95" spans="8:8" x14ac:dyDescent="0.55000000000000004">
      <c r="H95" s="27">
        <v>4.3939393939393945</v>
      </c>
    </row>
    <row r="96" spans="8:8" x14ac:dyDescent="0.55000000000000004">
      <c r="H96" s="27">
        <v>4.4343434343434343</v>
      </c>
    </row>
    <row r="97" spans="8:8" x14ac:dyDescent="0.55000000000000004">
      <c r="H97" s="27">
        <v>4.4747474747474749</v>
      </c>
    </row>
    <row r="98" spans="8:8" x14ac:dyDescent="0.55000000000000004">
      <c r="H98" s="27">
        <v>4.5151515151515156</v>
      </c>
    </row>
    <row r="99" spans="8:8" x14ac:dyDescent="0.55000000000000004">
      <c r="H99" s="27">
        <v>4.5555555555555554</v>
      </c>
    </row>
    <row r="100" spans="8:8" x14ac:dyDescent="0.55000000000000004">
      <c r="H100" s="27">
        <v>4.595959595959596</v>
      </c>
    </row>
    <row r="101" spans="8:8" x14ac:dyDescent="0.55000000000000004">
      <c r="H101" s="27">
        <v>4.6363636363636367</v>
      </c>
    </row>
    <row r="102" spans="8:8" x14ac:dyDescent="0.55000000000000004">
      <c r="H102" s="27">
        <v>4.6767676767676765</v>
      </c>
    </row>
    <row r="103" spans="8:8" x14ac:dyDescent="0.55000000000000004">
      <c r="H103" s="27">
        <v>4.7171717171717171</v>
      </c>
    </row>
    <row r="104" spans="8:8" x14ac:dyDescent="0.55000000000000004">
      <c r="H104" s="27">
        <v>4.7575757575757578</v>
      </c>
    </row>
    <row r="105" spans="8:8" x14ac:dyDescent="0.55000000000000004">
      <c r="H105" s="27">
        <v>4.7979797979797976</v>
      </c>
    </row>
    <row r="106" spans="8:8" x14ac:dyDescent="0.55000000000000004">
      <c r="H106" s="27">
        <v>4.8383838383838382</v>
      </c>
    </row>
    <row r="107" spans="8:8" x14ac:dyDescent="0.55000000000000004">
      <c r="H107" s="27">
        <v>4.8787878787878789</v>
      </c>
    </row>
    <row r="108" spans="8:8" x14ac:dyDescent="0.55000000000000004">
      <c r="H108" s="27">
        <v>4.9191919191919187</v>
      </c>
    </row>
    <row r="109" spans="8:8" x14ac:dyDescent="0.55000000000000004">
      <c r="H109" s="27">
        <v>4.9595959595959602</v>
      </c>
    </row>
    <row r="110" spans="8:8" x14ac:dyDescent="0.55000000000000004">
      <c r="H110" s="27">
        <v>5</v>
      </c>
    </row>
  </sheetData>
  <pageMargins left="0.511811024" right="0.511811024" top="0.78740157499999996" bottom="0.78740157499999996" header="0.31496062000000002" footer="0.3149606200000000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A7AF0-AA63-440B-AA90-8E0AAD7104AE}">
  <sheetPr codeName="Planilha26">
    <tabColor theme="9" tint="0.59999389629810485"/>
  </sheetPr>
  <dimension ref="A1:I19"/>
  <sheetViews>
    <sheetView showGridLines="0" workbookViewId="0">
      <selection activeCell="I11" sqref="I11"/>
    </sheetView>
  </sheetViews>
  <sheetFormatPr defaultColWidth="8.796875" defaultRowHeight="18" x14ac:dyDescent="0.55000000000000004"/>
  <cols>
    <col min="1" max="1" width="12.6640625" style="17" customWidth="1"/>
    <col min="2" max="2" width="26.33203125" customWidth="1"/>
    <col min="9" max="9" width="8.796875" style="15"/>
  </cols>
  <sheetData>
    <row r="1" spans="1:9" x14ac:dyDescent="0.55000000000000004">
      <c r="A1" s="16" t="s">
        <v>110</v>
      </c>
      <c r="I1" s="14"/>
    </row>
    <row r="2" spans="1:9" x14ac:dyDescent="0.55000000000000004">
      <c r="A2" s="17" t="s">
        <v>111</v>
      </c>
      <c r="I2" s="14"/>
    </row>
    <row r="4" spans="1:9" ht="15.75" x14ac:dyDescent="0.5">
      <c r="A4" s="2" t="s">
        <v>15</v>
      </c>
      <c r="B4" s="2" t="s">
        <v>16</v>
      </c>
    </row>
    <row r="5" spans="1:9" ht="15.75" x14ac:dyDescent="0.45">
      <c r="A5" s="23" t="s">
        <v>22</v>
      </c>
      <c r="B5" s="26" t="s">
        <v>112</v>
      </c>
    </row>
    <row r="6" spans="1:9" ht="15.75" x14ac:dyDescent="0.45">
      <c r="A6" s="23"/>
      <c r="B6" s="26"/>
    </row>
    <row r="7" spans="1:9" ht="15.75" x14ac:dyDescent="0.45">
      <c r="A7" s="23"/>
      <c r="B7" s="26"/>
    </row>
    <row r="11" spans="1:9" x14ac:dyDescent="0.55000000000000004">
      <c r="C11" s="1" t="s">
        <v>17</v>
      </c>
      <c r="D11" s="13" t="s">
        <v>22</v>
      </c>
      <c r="E11" s="12">
        <v>1</v>
      </c>
      <c r="F11" s="12">
        <v>2</v>
      </c>
      <c r="G11" s="12">
        <v>2</v>
      </c>
      <c r="I11" s="28" cm="1">
        <f t="array" ref="I11">_xlfn.LAMBDA(_xlpm.matrix, MAX(ROWS(_xlpm.matrix),COLUMNS(_xlpm.matrix)) )(E11:G15)</f>
        <v>5</v>
      </c>
    </row>
    <row r="12" spans="1:9" x14ac:dyDescent="0.55000000000000004">
      <c r="E12" s="12">
        <v>3</v>
      </c>
      <c r="F12" s="12">
        <v>4</v>
      </c>
      <c r="G12" s="12">
        <v>4</v>
      </c>
      <c r="I12" s="27"/>
    </row>
    <row r="13" spans="1:9" x14ac:dyDescent="0.55000000000000004">
      <c r="E13" s="12">
        <v>5</v>
      </c>
      <c r="F13" s="12">
        <v>6</v>
      </c>
      <c r="G13" s="12">
        <v>6</v>
      </c>
      <c r="I13" s="27"/>
    </row>
    <row r="14" spans="1:9" x14ac:dyDescent="0.55000000000000004">
      <c r="E14" s="12">
        <v>7</v>
      </c>
      <c r="F14" s="12">
        <v>8</v>
      </c>
      <c r="G14" s="12">
        <v>8</v>
      </c>
      <c r="I14" s="27"/>
    </row>
    <row r="15" spans="1:9" x14ac:dyDescent="0.55000000000000004">
      <c r="E15" s="12">
        <v>9</v>
      </c>
      <c r="F15" s="12">
        <v>10</v>
      </c>
      <c r="G15" s="12">
        <v>10</v>
      </c>
      <c r="I15" s="27"/>
    </row>
    <row r="18" spans="3:9" x14ac:dyDescent="0.55000000000000004">
      <c r="C18" s="1" t="s">
        <v>17</v>
      </c>
      <c r="D18" s="13" t="s">
        <v>22</v>
      </c>
      <c r="E18" s="12">
        <v>1</v>
      </c>
      <c r="F18" s="12">
        <v>2</v>
      </c>
      <c r="G18" s="12">
        <v>2</v>
      </c>
      <c r="I18" s="28" cm="1">
        <f t="array" ref="I18">LENGTH(E18:G19)</f>
        <v>3</v>
      </c>
    </row>
    <row r="19" spans="3:9" x14ac:dyDescent="0.55000000000000004">
      <c r="E19" s="12">
        <v>3</v>
      </c>
      <c r="F19" s="12">
        <v>4</v>
      </c>
      <c r="G19" s="12">
        <v>4</v>
      </c>
      <c r="I19" s="27"/>
    </row>
  </sheetData>
  <pageMargins left="0.511811024" right="0.511811024" top="0.78740157499999996" bottom="0.78740157499999996" header="0.31496062000000002" footer="0.3149606200000000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8CB4-64DE-42E2-8907-E78FFFFF091F}">
  <sheetPr codeName="Planilha29">
    <tabColor theme="9" tint="0.59999389629810485"/>
  </sheetPr>
  <dimension ref="A1:I21"/>
  <sheetViews>
    <sheetView showGridLines="0" workbookViewId="0">
      <selection activeCell="I18" sqref="I18"/>
    </sheetView>
  </sheetViews>
  <sheetFormatPr defaultColWidth="8.796875" defaultRowHeight="18" x14ac:dyDescent="0.55000000000000004"/>
  <cols>
    <col min="1" max="1" width="12.6640625" style="17" customWidth="1"/>
    <col min="2" max="2" width="26.33203125" customWidth="1"/>
    <col min="9" max="9" width="8.796875" style="15"/>
  </cols>
  <sheetData>
    <row r="1" spans="1:9" x14ac:dyDescent="0.55000000000000004">
      <c r="A1" s="16" t="s">
        <v>458</v>
      </c>
      <c r="I1" s="14"/>
    </row>
    <row r="2" spans="1:9" x14ac:dyDescent="0.55000000000000004">
      <c r="A2" s="17" t="s">
        <v>459</v>
      </c>
      <c r="I2" s="14"/>
    </row>
    <row r="4" spans="1:9" ht="15.75" x14ac:dyDescent="0.5">
      <c r="A4" s="2" t="s">
        <v>15</v>
      </c>
      <c r="B4" s="2" t="s">
        <v>16</v>
      </c>
    </row>
    <row r="5" spans="1:9" ht="15.75" x14ac:dyDescent="0.45">
      <c r="A5" s="23" t="s">
        <v>22</v>
      </c>
      <c r="B5" s="26" t="s">
        <v>112</v>
      </c>
    </row>
    <row r="6" spans="1:9" ht="78.75" x14ac:dyDescent="0.45">
      <c r="A6" s="23" t="s">
        <v>136</v>
      </c>
      <c r="B6" s="26" t="s">
        <v>188</v>
      </c>
    </row>
    <row r="7" spans="1:9" ht="15.75" x14ac:dyDescent="0.45">
      <c r="A7" s="23"/>
      <c r="B7" s="26"/>
    </row>
    <row r="11" spans="1:9" x14ac:dyDescent="0.55000000000000004">
      <c r="C11" s="1" t="s">
        <v>17</v>
      </c>
      <c r="D11" s="13" t="s">
        <v>22</v>
      </c>
      <c r="E11" s="12">
        <v>1</v>
      </c>
      <c r="F11" s="12">
        <v>2</v>
      </c>
      <c r="G11" s="12">
        <v>2</v>
      </c>
      <c r="I11" s="28" cm="1">
        <f t="array" ref="I11:I12">_xlfn.LAMBDA(_xlpm.matrix,_xlop.dim,
_xlfn.LET(_xlpm.dim, IF(_xlfn.ISOMITTED(_xlpm.dim), 3, _xlpm.dim),
CHOOSE(_xlpm.dim,
ROWS(_xlpm.matrix),
COLUMNS(_xlpm.matrix),
_xlfn.VSTACK(ROWS(_xlpm.matrix),COLUMNS(_xlpm.matrix))))
)(E11:G15)</f>
        <v>5</v>
      </c>
    </row>
    <row r="12" spans="1:9" x14ac:dyDescent="0.55000000000000004">
      <c r="E12" s="12">
        <v>3</v>
      </c>
      <c r="F12" s="12">
        <v>4</v>
      </c>
      <c r="G12" s="12">
        <v>4</v>
      </c>
      <c r="I12" s="28">
        <v>3</v>
      </c>
    </row>
    <row r="13" spans="1:9" x14ac:dyDescent="0.55000000000000004">
      <c r="E13" s="12">
        <v>5</v>
      </c>
      <c r="F13" s="12">
        <v>6</v>
      </c>
      <c r="G13" s="12">
        <v>6</v>
      </c>
      <c r="I13" s="27"/>
    </row>
    <row r="14" spans="1:9" x14ac:dyDescent="0.55000000000000004">
      <c r="E14" s="12">
        <v>7</v>
      </c>
      <c r="F14" s="12">
        <v>8</v>
      </c>
      <c r="G14" s="12">
        <v>8</v>
      </c>
      <c r="I14" s="27"/>
    </row>
    <row r="15" spans="1:9" x14ac:dyDescent="0.55000000000000004">
      <c r="E15" s="12">
        <v>9</v>
      </c>
      <c r="F15" s="12">
        <v>10</v>
      </c>
      <c r="G15" s="12">
        <v>10</v>
      </c>
      <c r="I15" s="27"/>
    </row>
    <row r="18" spans="3:9" s="21" customFormat="1" ht="14.25" x14ac:dyDescent="0.45">
      <c r="C18" s="1" t="s">
        <v>17</v>
      </c>
      <c r="D18" s="13" t="s">
        <v>22</v>
      </c>
      <c r="E18" s="12">
        <v>1</v>
      </c>
      <c r="F18" s="12">
        <v>2</v>
      </c>
      <c r="G18" s="12">
        <v>2</v>
      </c>
      <c r="H18"/>
      <c r="I18" s="28" cm="1">
        <f t="array" ref="I18">DIM(E18:G19,E21)</f>
        <v>3</v>
      </c>
    </row>
    <row r="19" spans="3:9" s="21" customFormat="1" ht="14.25" x14ac:dyDescent="0.45">
      <c r="C19"/>
      <c r="D19"/>
      <c r="E19" s="12">
        <v>3</v>
      </c>
      <c r="F19" s="12">
        <v>4</v>
      </c>
      <c r="G19" s="12">
        <v>4</v>
      </c>
      <c r="H19"/>
      <c r="I19" s="27"/>
    </row>
    <row r="20" spans="3:9" s="21" customFormat="1" ht="14.25" x14ac:dyDescent="0.45">
      <c r="C20"/>
      <c r="D20"/>
      <c r="E20"/>
      <c r="F20"/>
      <c r="G20"/>
      <c r="H20"/>
      <c r="I20" s="27"/>
    </row>
    <row r="21" spans="3:9" s="21" customFormat="1" ht="14.25" x14ac:dyDescent="0.45">
      <c r="C21"/>
      <c r="D21" s="13" t="s">
        <v>136</v>
      </c>
      <c r="E21" s="12">
        <v>2</v>
      </c>
      <c r="F21"/>
      <c r="G21"/>
      <c r="H21"/>
      <c r="I21" s="27"/>
    </row>
  </sheetData>
  <pageMargins left="0.511811024" right="0.511811024" top="0.78740157499999996" bottom="0.78740157499999996" header="0.31496062000000002" footer="0.3149606200000000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6D411-1722-43CB-82C8-A3CB0EA4E394}">
  <sheetPr codeName="Planilha48">
    <tabColor theme="9" tint="0.59999389629810485"/>
  </sheetPr>
  <dimension ref="A1:I19"/>
  <sheetViews>
    <sheetView showGridLines="0" workbookViewId="0">
      <selection activeCell="I11" sqref="I11"/>
    </sheetView>
  </sheetViews>
  <sheetFormatPr defaultColWidth="8.796875" defaultRowHeight="18" x14ac:dyDescent="0.55000000000000004"/>
  <cols>
    <col min="1" max="1" width="12.6640625" style="17" customWidth="1"/>
    <col min="2" max="2" width="26.33203125" customWidth="1"/>
    <col min="9" max="9" width="8.796875" style="15"/>
  </cols>
  <sheetData>
    <row r="1" spans="1:9" x14ac:dyDescent="0.55000000000000004">
      <c r="A1" s="16" t="s">
        <v>114</v>
      </c>
      <c r="I1" s="14"/>
    </row>
    <row r="2" spans="1:9" x14ac:dyDescent="0.55000000000000004">
      <c r="A2" s="17" t="s">
        <v>113</v>
      </c>
      <c r="I2" s="14"/>
    </row>
    <row r="4" spans="1:9" ht="15.75" x14ac:dyDescent="0.5">
      <c r="A4" s="2" t="s">
        <v>15</v>
      </c>
      <c r="B4" s="2" t="s">
        <v>16</v>
      </c>
    </row>
    <row r="5" spans="1:9" ht="15.75" x14ac:dyDescent="0.45">
      <c r="A5" s="23" t="s">
        <v>22</v>
      </c>
      <c r="B5" s="26" t="s">
        <v>112</v>
      </c>
    </row>
    <row r="6" spans="1:9" ht="15.75" x14ac:dyDescent="0.45">
      <c r="A6" s="23"/>
      <c r="B6" s="26"/>
    </row>
    <row r="7" spans="1:9" ht="15.75" x14ac:dyDescent="0.45">
      <c r="A7" s="23"/>
      <c r="B7" s="26"/>
    </row>
    <row r="11" spans="1:9" x14ac:dyDescent="0.55000000000000004">
      <c r="C11" s="1" t="s">
        <v>17</v>
      </c>
      <c r="D11" s="13" t="s">
        <v>22</v>
      </c>
      <c r="E11" s="12">
        <v>1</v>
      </c>
      <c r="F11" s="12">
        <v>2</v>
      </c>
      <c r="G11" s="12">
        <v>2</v>
      </c>
      <c r="I11" s="28" cm="1">
        <f t="array" ref="I11">_xlfn.LAMBDA(_xlpm.matrix, ROWS(_xlpm.matrix)*COLUMNS(_xlpm.matrix) )(E11:G15)</f>
        <v>15</v>
      </c>
    </row>
    <row r="12" spans="1:9" x14ac:dyDescent="0.55000000000000004">
      <c r="E12" s="12">
        <v>3</v>
      </c>
      <c r="F12" s="12">
        <v>4</v>
      </c>
      <c r="G12" s="12">
        <v>4</v>
      </c>
      <c r="I12" s="27"/>
    </row>
    <row r="13" spans="1:9" x14ac:dyDescent="0.55000000000000004">
      <c r="E13" s="12">
        <v>5</v>
      </c>
      <c r="F13" s="12">
        <v>6</v>
      </c>
      <c r="G13" s="12">
        <v>6</v>
      </c>
      <c r="I13" s="27"/>
    </row>
    <row r="14" spans="1:9" x14ac:dyDescent="0.55000000000000004">
      <c r="E14" s="12">
        <v>7</v>
      </c>
      <c r="F14" s="12">
        <v>8</v>
      </c>
      <c r="G14" s="12">
        <v>8</v>
      </c>
      <c r="I14" s="27"/>
    </row>
    <row r="15" spans="1:9" x14ac:dyDescent="0.55000000000000004">
      <c r="E15" s="12">
        <v>9</v>
      </c>
      <c r="F15" s="12">
        <v>10</v>
      </c>
      <c r="G15" s="12">
        <v>10</v>
      </c>
      <c r="I15" s="27"/>
    </row>
    <row r="18" spans="3:9" x14ac:dyDescent="0.55000000000000004">
      <c r="C18" s="1" t="s">
        <v>17</v>
      </c>
      <c r="D18" s="13" t="s">
        <v>22</v>
      </c>
      <c r="E18" s="12">
        <v>1</v>
      </c>
      <c r="F18" s="12">
        <v>2</v>
      </c>
      <c r="G18" s="12">
        <v>2</v>
      </c>
      <c r="I18" s="28" cm="1">
        <f t="array" ref="I18">NUMEL(E18:G19)</f>
        <v>6</v>
      </c>
    </row>
    <row r="19" spans="3:9" x14ac:dyDescent="0.55000000000000004">
      <c r="E19" s="12">
        <v>3</v>
      </c>
      <c r="F19" s="12">
        <v>4</v>
      </c>
      <c r="G19" s="12">
        <v>4</v>
      </c>
      <c r="I19" s="27"/>
    </row>
  </sheetData>
  <pageMargins left="0.511811024" right="0.511811024" top="0.78740157499999996" bottom="0.78740157499999996" header="0.31496062000000002" footer="0.3149606200000000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A8714-B703-4C9F-AB5D-F70F66CA9810}">
  <sheetPr codeName="Planilha28">
    <tabColor theme="9" tint="0.59999389629810485"/>
  </sheetPr>
  <dimension ref="A1:Q24"/>
  <sheetViews>
    <sheetView showGridLines="0" workbookViewId="0">
      <selection activeCell="K7" sqref="K7"/>
    </sheetView>
  </sheetViews>
  <sheetFormatPr defaultColWidth="8.796875" defaultRowHeight="18" x14ac:dyDescent="0.55000000000000004"/>
  <cols>
    <col min="1" max="1" width="12.6640625" style="17" customWidth="1"/>
    <col min="2" max="2" width="36.33203125" customWidth="1"/>
    <col min="5" max="6" width="12.33203125" bestFit="1" customWidth="1"/>
    <col min="11" max="17" width="8.796875" style="15"/>
    <col min="18" max="19" width="12.33203125" bestFit="1" customWidth="1"/>
  </cols>
  <sheetData>
    <row r="1" spans="1:17" x14ac:dyDescent="0.55000000000000004">
      <c r="A1" s="16" t="s">
        <v>135</v>
      </c>
      <c r="K1" s="14"/>
      <c r="L1" s="14"/>
      <c r="M1" s="14"/>
      <c r="N1" s="14"/>
      <c r="O1" s="14"/>
      <c r="P1" s="14"/>
      <c r="Q1" s="14"/>
    </row>
    <row r="2" spans="1:17" x14ac:dyDescent="0.55000000000000004">
      <c r="A2" s="17" t="s">
        <v>138</v>
      </c>
      <c r="K2" s="14"/>
      <c r="L2" s="14"/>
      <c r="M2" s="14"/>
      <c r="N2" s="14"/>
      <c r="O2" s="14"/>
      <c r="P2" s="14"/>
      <c r="Q2" s="14"/>
    </row>
    <row r="4" spans="1:17" ht="15.75" x14ac:dyDescent="0.5">
      <c r="A4" s="2" t="s">
        <v>15</v>
      </c>
      <c r="B4" s="2" t="s">
        <v>16</v>
      </c>
    </row>
    <row r="5" spans="1:17" ht="63" x14ac:dyDescent="0.45">
      <c r="A5" s="19" t="s">
        <v>22</v>
      </c>
      <c r="B5" s="26" t="s">
        <v>139</v>
      </c>
    </row>
    <row r="6" spans="1:17" ht="31.5" x14ac:dyDescent="0.5">
      <c r="A6" s="23" t="s">
        <v>136</v>
      </c>
      <c r="B6" s="24" t="s">
        <v>137</v>
      </c>
    </row>
    <row r="7" spans="1:17" x14ac:dyDescent="0.55000000000000004">
      <c r="D7" s="1" t="s">
        <v>17</v>
      </c>
      <c r="E7" s="13" t="s">
        <v>22</v>
      </c>
      <c r="F7" s="12">
        <v>1</v>
      </c>
      <c r="G7" s="12">
        <v>2</v>
      </c>
      <c r="H7" s="12">
        <v>3</v>
      </c>
      <c r="K7" s="15" cm="1">
        <f t="array" ref="K7:M9">_xlfn.LAMBDA(_xlpm.matrix,_xlop.dim,
_xlfn.LET(_xlpm.dim,IF(_xlfn.ISOMITTED(_xlpm.dim),1,_xlpm.dim),
IF(_xlpm.dim = 1,
_xlfn._xlws.FILTER( _xlpm.matrix, _xlfn.BYROW(_xlpm.matrix,_xlfn.LAMBDA(_xlpm.row, SUM(1*ISERROR(_xlpm.row)) + SUM(1*ISBLANK(_xlpm.row)) ))=0 ),
_xlfn._xlws.FILTER( _xlpm.matrix, _xlfn.BYCOL(_xlpm.matrix,_xlfn.LAMBDA(_xlpm.col, SUM(1*ISERROR(_xlpm.col)) + SUM(1*ISBLANK(_xlpm.col)) ))=0 ) )
))($F$7:$H$12,$F$14)</f>
        <v>1</v>
      </c>
      <c r="L7" s="15">
        <v>2</v>
      </c>
      <c r="M7" s="15">
        <v>3</v>
      </c>
    </row>
    <row r="8" spans="1:17" x14ac:dyDescent="0.55000000000000004">
      <c r="F8" s="12">
        <v>4</v>
      </c>
      <c r="G8" s="12" t="e">
        <f>NA()</f>
        <v>#N/A</v>
      </c>
      <c r="H8" s="12">
        <v>6</v>
      </c>
      <c r="K8" s="15">
        <v>7</v>
      </c>
      <c r="L8" s="15">
        <v>8</v>
      </c>
      <c r="M8" s="15">
        <v>9</v>
      </c>
    </row>
    <row r="9" spans="1:17" x14ac:dyDescent="0.55000000000000004">
      <c r="F9" s="12">
        <v>7</v>
      </c>
      <c r="G9" s="12">
        <v>8</v>
      </c>
      <c r="H9" s="12">
        <v>9</v>
      </c>
      <c r="K9" s="15">
        <v>16</v>
      </c>
      <c r="L9" s="15">
        <v>17</v>
      </c>
      <c r="M9" s="15">
        <v>18</v>
      </c>
    </row>
    <row r="10" spans="1:17" ht="14.25" x14ac:dyDescent="0.45">
      <c r="A10"/>
      <c r="F10" s="12" t="e">
        <v>#VALUE!</v>
      </c>
      <c r="G10" s="12">
        <v>11</v>
      </c>
      <c r="H10" s="12">
        <v>12</v>
      </c>
    </row>
    <row r="11" spans="1:17" x14ac:dyDescent="0.55000000000000004">
      <c r="F11" s="12">
        <v>13</v>
      </c>
      <c r="G11" s="12"/>
      <c r="H11" s="12">
        <v>15</v>
      </c>
    </row>
    <row r="12" spans="1:17" x14ac:dyDescent="0.55000000000000004">
      <c r="F12" s="12">
        <v>16</v>
      </c>
      <c r="G12" s="12">
        <v>17</v>
      </c>
      <c r="H12" s="12">
        <v>18</v>
      </c>
    </row>
    <row r="14" spans="1:17" x14ac:dyDescent="0.55000000000000004">
      <c r="E14" s="13" t="s">
        <v>136</v>
      </c>
      <c r="F14" s="12">
        <v>1</v>
      </c>
    </row>
    <row r="17" spans="4:11" x14ac:dyDescent="0.55000000000000004">
      <c r="D17" s="1" t="s">
        <v>17</v>
      </c>
      <c r="E17" s="13" t="s">
        <v>22</v>
      </c>
      <c r="F17" s="12">
        <v>1</v>
      </c>
      <c r="G17" s="12">
        <v>2</v>
      </c>
      <c r="H17" s="12">
        <v>3</v>
      </c>
      <c r="K17" s="15" cm="1">
        <f t="array" ref="K17:K22">RMMISSING($F$17:$H$22,$F$24)</f>
        <v>3</v>
      </c>
    </row>
    <row r="18" spans="4:11" x14ac:dyDescent="0.55000000000000004">
      <c r="F18" s="12">
        <v>4</v>
      </c>
      <c r="G18" s="12" t="e">
        <f>NA()</f>
        <v>#N/A</v>
      </c>
      <c r="H18" s="12">
        <v>6</v>
      </c>
      <c r="K18" s="15">
        <v>6</v>
      </c>
    </row>
    <row r="19" spans="4:11" x14ac:dyDescent="0.55000000000000004">
      <c r="F19" s="12">
        <v>7</v>
      </c>
      <c r="G19" s="12">
        <v>8</v>
      </c>
      <c r="H19" s="12">
        <v>9</v>
      </c>
      <c r="K19" s="15">
        <v>9</v>
      </c>
    </row>
    <row r="20" spans="4:11" x14ac:dyDescent="0.55000000000000004">
      <c r="F20" s="12" t="e">
        <v>#VALUE!</v>
      </c>
      <c r="G20" s="12">
        <v>11</v>
      </c>
      <c r="H20" s="12">
        <v>12</v>
      </c>
      <c r="K20" s="15">
        <v>12</v>
      </c>
    </row>
    <row r="21" spans="4:11" x14ac:dyDescent="0.55000000000000004">
      <c r="F21" s="12">
        <v>13</v>
      </c>
      <c r="G21" s="12"/>
      <c r="H21" s="12">
        <v>15</v>
      </c>
      <c r="K21" s="15">
        <v>15</v>
      </c>
    </row>
    <row r="22" spans="4:11" x14ac:dyDescent="0.55000000000000004">
      <c r="F22" s="12">
        <v>16</v>
      </c>
      <c r="G22" s="12">
        <v>17</v>
      </c>
      <c r="H22" s="12">
        <v>18</v>
      </c>
      <c r="K22" s="15">
        <v>18</v>
      </c>
    </row>
    <row r="24" spans="4:11" x14ac:dyDescent="0.55000000000000004">
      <c r="E24" s="13" t="s">
        <v>136</v>
      </c>
      <c r="F24" s="12">
        <v>2</v>
      </c>
    </row>
  </sheetData>
  <pageMargins left="0.511811024" right="0.511811024" top="0.78740157499999996" bottom="0.78740157499999996" header="0.31496062000000002" footer="0.3149606200000000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B6533-05D9-4981-831F-4486DDEDFC9C}">
  <sheetPr codeName="Planilha49">
    <tabColor theme="9" tint="0.59999389629810485"/>
  </sheetPr>
  <dimension ref="A1:Q34"/>
  <sheetViews>
    <sheetView showGridLines="0" workbookViewId="0">
      <selection activeCell="K11" sqref="K11"/>
    </sheetView>
  </sheetViews>
  <sheetFormatPr defaultColWidth="8.796875" defaultRowHeight="18" x14ac:dyDescent="0.55000000000000004"/>
  <cols>
    <col min="1" max="1" width="12.6640625" style="17" customWidth="1"/>
    <col min="2" max="2" width="36.33203125" customWidth="1"/>
    <col min="5" max="6" width="12.33203125" bestFit="1" customWidth="1"/>
    <col min="11" max="17" width="13" style="15" customWidth="1"/>
    <col min="18" max="19" width="12.33203125" bestFit="1" customWidth="1"/>
  </cols>
  <sheetData>
    <row r="1" spans="1:17" x14ac:dyDescent="0.55000000000000004">
      <c r="A1" s="16" t="s">
        <v>433</v>
      </c>
      <c r="K1" s="14"/>
      <c r="L1" s="14"/>
      <c r="M1" s="14"/>
      <c r="N1" s="14"/>
      <c r="O1" s="14"/>
      <c r="P1" s="14"/>
      <c r="Q1" s="14"/>
    </row>
    <row r="2" spans="1:17" x14ac:dyDescent="0.55000000000000004">
      <c r="A2" s="17" t="s">
        <v>434</v>
      </c>
      <c r="K2" s="14"/>
      <c r="L2" s="14"/>
      <c r="M2" s="14"/>
      <c r="N2" s="14"/>
      <c r="O2" s="14"/>
      <c r="P2" s="14"/>
      <c r="Q2" s="14"/>
    </row>
    <row r="4" spans="1:17" ht="15.75" x14ac:dyDescent="0.5">
      <c r="A4" s="2" t="s">
        <v>15</v>
      </c>
      <c r="B4" s="2" t="s">
        <v>16</v>
      </c>
    </row>
    <row r="5" spans="1:17" ht="31.5" x14ac:dyDescent="0.45">
      <c r="A5" s="19" t="s">
        <v>22</v>
      </c>
      <c r="B5" s="26" t="s">
        <v>435</v>
      </c>
    </row>
    <row r="6" spans="1:17" ht="31.5" x14ac:dyDescent="0.5">
      <c r="A6" s="23" t="s">
        <v>136</v>
      </c>
      <c r="B6" s="24" t="s">
        <v>137</v>
      </c>
    </row>
    <row r="7" spans="1:17" ht="47.25" x14ac:dyDescent="0.5">
      <c r="A7" s="23" t="s">
        <v>427</v>
      </c>
      <c r="B7" s="24" t="s">
        <v>430</v>
      </c>
    </row>
    <row r="8" spans="1:17" ht="31.5" x14ac:dyDescent="0.5">
      <c r="A8" s="23" t="s">
        <v>108</v>
      </c>
      <c r="B8" s="24" t="s">
        <v>431</v>
      </c>
    </row>
    <row r="9" spans="1:17" ht="31.5" x14ac:dyDescent="0.5">
      <c r="A9" s="23" t="s">
        <v>109</v>
      </c>
      <c r="B9" s="24" t="s">
        <v>432</v>
      </c>
    </row>
    <row r="10" spans="1:17" ht="15.75" x14ac:dyDescent="0.5">
      <c r="A10" s="23"/>
      <c r="B10" s="24"/>
    </row>
    <row r="11" spans="1:17" x14ac:dyDescent="0.55000000000000004">
      <c r="D11" s="1" t="s">
        <v>17</v>
      </c>
      <c r="E11" s="13" t="s">
        <v>22</v>
      </c>
      <c r="F11" s="12">
        <v>1</v>
      </c>
      <c r="G11" s="12">
        <v>2</v>
      </c>
      <c r="H11" s="12">
        <v>3</v>
      </c>
      <c r="K11" s="15" t="b" cm="1">
        <f t="array" ref="K11:M16">_xlfn.LAMBDA(_xlpm.matrix,_xlop.dim,_xlop.method,_xlop.lb,_xlop.ub,
_xlfn.LET(
_xlpm.dim,IF(_xlfn.ISOMITTED(_xlpm.dim),1,_xlpm.dim),
_xlpm.method,IF(_xlfn.ISOMITTED(_xlpm.method),"MAD",_xlpm.method),
_xlpm.lb,IF(_xlfn.ISOMITTED(_xlpm.lb),3,_xlpm.lb),
_xlpm.ub,IF(_xlfn.ISOMITTED(_xlpm.ub),3,_xlpm.ub),
_xlpm.identOut, IF(
_xlpm.dim=1, _xlfn.MAKEARRAY(ROWS(_xlpm.matrix),COLUMNS(_xlpm.matrix), _xlfn.LAMBDA(_xlpm.lin,_xlpm.col, _xlfn.LET(_xlpm.coll, RMMISSING(INDEX(_xlpm.matrix,0,_xlpm.col),_xlpm.dim), _xlpm.mad, MEDIAN(ABS(_xlpm.coll-MEDIAN(_xlpm.coll))), OR( (INDEX(_xlpm.matrix,_xlpm.lin,_xlpm.col) - MEDIAN(_xlpm.coll)) &gt; _xlpm.ub*_xlpm.mad, (MEDIAN(_xlpm.coll) - INDEX(_xlpm.matrix,_xlpm.lin,_xlpm.col)) &gt; _xlpm.lb*_xlpm.mad ) ))),
_xlfn.MAKEARRAY(ROWS(_xlpm.matrix),COLUMNS(_xlpm.matrix), _xlfn.LAMBDA(_xlpm.lin,_xlpm.col,  _xlfn.LET(_xlpm.linn, RMMISSING(INDEX(_xlpm.matrix,_xlpm.lin,0),_xlpm.dim), _xlpm.mad, MEDIAN(ABS(_xlpm.linn-MEDIAN(_xlpm.linn))), OR( (INDEX(_xlpm.matrix,_xlpm.lin,_xlpm.col) - MEDIAN(_xlpm.linn)) &gt; _xlpm.ub*_xlpm.mad, (MEDIAN(_xlpm.linn) - INDEX(_xlpm.matrix,_xlpm.lin,_xlpm.col)) &gt; _xlpm.lb*_xlpm.mad ) )))
),
_xlpm.identOut
))($F$11:$H$16,$F$18,$F$19,$F$20,$F$21)</f>
        <v>0</v>
      </c>
      <c r="L11" s="15" t="b">
        <v>0</v>
      </c>
      <c r="M11" s="15" t="b">
        <v>0</v>
      </c>
    </row>
    <row r="12" spans="1:17" x14ac:dyDescent="0.55000000000000004">
      <c r="F12" s="12">
        <v>4</v>
      </c>
      <c r="G12" s="12">
        <v>2</v>
      </c>
      <c r="H12" s="12">
        <v>6</v>
      </c>
      <c r="K12" s="15" t="b">
        <v>0</v>
      </c>
      <c r="L12" s="15" t="b">
        <v>0</v>
      </c>
      <c r="M12" s="15" t="b">
        <v>0</v>
      </c>
    </row>
    <row r="13" spans="1:17" x14ac:dyDescent="0.55000000000000004">
      <c r="F13" s="12">
        <v>7</v>
      </c>
      <c r="G13" s="12" t="e">
        <f>NA()</f>
        <v>#N/A</v>
      </c>
      <c r="H13" s="12">
        <v>9</v>
      </c>
      <c r="K13" s="15" t="b">
        <v>0</v>
      </c>
      <c r="L13" s="15" t="e">
        <v>#N/A</v>
      </c>
      <c r="M13" s="15" t="b">
        <v>0</v>
      </c>
    </row>
    <row r="14" spans="1:17" ht="14.25" x14ac:dyDescent="0.45">
      <c r="A14"/>
      <c r="F14" s="12">
        <v>1</v>
      </c>
      <c r="G14" s="12">
        <v>11</v>
      </c>
      <c r="H14" s="12">
        <v>2000</v>
      </c>
      <c r="K14" s="15" t="b">
        <v>0</v>
      </c>
      <c r="L14" s="15" t="b">
        <v>0</v>
      </c>
      <c r="M14" s="15" t="b">
        <v>1</v>
      </c>
    </row>
    <row r="15" spans="1:17" x14ac:dyDescent="0.55000000000000004">
      <c r="F15" s="12">
        <v>900</v>
      </c>
      <c r="G15" s="12">
        <v>5</v>
      </c>
      <c r="H15" s="12">
        <v>15</v>
      </c>
      <c r="K15" s="15" t="b">
        <v>1</v>
      </c>
      <c r="L15" s="15" t="b">
        <v>0</v>
      </c>
      <c r="M15" s="15" t="b">
        <v>0</v>
      </c>
    </row>
    <row r="16" spans="1:17" x14ac:dyDescent="0.55000000000000004">
      <c r="F16" s="12">
        <v>16</v>
      </c>
      <c r="G16" s="12">
        <v>17</v>
      </c>
      <c r="H16" s="12">
        <v>18</v>
      </c>
      <c r="K16" s="15" t="b">
        <v>0</v>
      </c>
      <c r="L16" s="15" t="b">
        <v>1</v>
      </c>
      <c r="M16" s="15" t="b">
        <v>0</v>
      </c>
    </row>
    <row r="18" spans="4:17" x14ac:dyDescent="0.55000000000000004">
      <c r="E18" s="13" t="s">
        <v>136</v>
      </c>
      <c r="F18" s="12">
        <v>1</v>
      </c>
    </row>
    <row r="19" spans="4:17" x14ac:dyDescent="0.55000000000000004">
      <c r="E19" s="13" t="s">
        <v>427</v>
      </c>
      <c r="F19" s="12" t="s">
        <v>428</v>
      </c>
    </row>
    <row r="20" spans="4:17" x14ac:dyDescent="0.55000000000000004">
      <c r="E20" s="13" t="s">
        <v>108</v>
      </c>
      <c r="F20" s="12">
        <v>3</v>
      </c>
    </row>
    <row r="21" spans="4:17" x14ac:dyDescent="0.55000000000000004">
      <c r="E21" s="13" t="s">
        <v>109</v>
      </c>
      <c r="F21" s="12">
        <v>3</v>
      </c>
    </row>
    <row r="24" spans="4:17" s="21" customFormat="1" ht="14.25" x14ac:dyDescent="0.45">
      <c r="D24" s="1" t="s">
        <v>17</v>
      </c>
      <c r="E24" s="13" t="s">
        <v>22</v>
      </c>
      <c r="F24" s="12">
        <v>1</v>
      </c>
      <c r="G24" s="12">
        <v>2</v>
      </c>
      <c r="H24" s="12">
        <v>3</v>
      </c>
      <c r="I24"/>
      <c r="J24"/>
      <c r="K24" s="15" t="b" cm="1">
        <f t="array" ref="K24:M29">ISOUTLIER($F$24:$H$29,$F$31,$F$32,$F$33,$F$34)</f>
        <v>0</v>
      </c>
      <c r="L24" s="15" t="b">
        <v>0</v>
      </c>
      <c r="M24" s="15" t="b">
        <v>0</v>
      </c>
      <c r="N24" s="15"/>
      <c r="O24" s="15"/>
      <c r="P24" s="15"/>
      <c r="Q24" s="15"/>
    </row>
    <row r="25" spans="4:17" s="21" customFormat="1" ht="14.25" x14ac:dyDescent="0.45">
      <c r="D25"/>
      <c r="E25"/>
      <c r="F25" s="12">
        <v>4</v>
      </c>
      <c r="G25" s="12">
        <v>2</v>
      </c>
      <c r="H25" s="12">
        <v>6</v>
      </c>
      <c r="I25"/>
      <c r="J25"/>
      <c r="K25" s="15" t="b">
        <v>0</v>
      </c>
      <c r="L25" s="15" t="b">
        <v>0</v>
      </c>
      <c r="M25" s="15" t="b">
        <v>0</v>
      </c>
      <c r="N25" s="15"/>
      <c r="O25" s="15"/>
      <c r="P25" s="15"/>
      <c r="Q25" s="15"/>
    </row>
    <row r="26" spans="4:17" s="21" customFormat="1" ht="14.25" x14ac:dyDescent="0.45">
      <c r="D26"/>
      <c r="E26"/>
      <c r="F26" s="12">
        <v>7</v>
      </c>
      <c r="G26" s="12" t="e">
        <f>NA()</f>
        <v>#N/A</v>
      </c>
      <c r="H26" s="12">
        <v>9</v>
      </c>
      <c r="I26"/>
      <c r="J26"/>
      <c r="K26" s="15" t="b">
        <v>0</v>
      </c>
      <c r="L26" s="15" t="e">
        <v>#N/A</v>
      </c>
      <c r="M26" s="15" t="b">
        <v>0</v>
      </c>
      <c r="N26" s="15"/>
      <c r="O26" s="15"/>
      <c r="P26" s="15"/>
      <c r="Q26" s="15"/>
    </row>
    <row r="27" spans="4:17" s="21" customFormat="1" ht="14.25" x14ac:dyDescent="0.45">
      <c r="D27"/>
      <c r="E27"/>
      <c r="F27" s="12">
        <v>1</v>
      </c>
      <c r="G27" s="12">
        <v>11</v>
      </c>
      <c r="H27" s="12">
        <v>2000</v>
      </c>
      <c r="I27"/>
      <c r="J27"/>
      <c r="K27" s="15" t="b">
        <v>0</v>
      </c>
      <c r="L27" s="15" t="b">
        <v>0</v>
      </c>
      <c r="M27" s="15" t="b">
        <v>1</v>
      </c>
      <c r="N27" s="15"/>
      <c r="O27" s="15"/>
      <c r="P27" s="15"/>
      <c r="Q27" s="15"/>
    </row>
    <row r="28" spans="4:17" s="21" customFormat="1" ht="14.25" x14ac:dyDescent="0.45">
      <c r="D28"/>
      <c r="E28"/>
      <c r="F28" s="12">
        <v>900</v>
      </c>
      <c r="G28" s="12">
        <v>5</v>
      </c>
      <c r="H28" s="12">
        <v>15</v>
      </c>
      <c r="I28"/>
      <c r="J28"/>
      <c r="K28" s="15" t="b">
        <v>1</v>
      </c>
      <c r="L28" s="15" t="b">
        <v>0</v>
      </c>
      <c r="M28" s="15" t="b">
        <v>0</v>
      </c>
      <c r="N28" s="15"/>
      <c r="O28" s="15"/>
      <c r="P28" s="15"/>
      <c r="Q28" s="15"/>
    </row>
    <row r="29" spans="4:17" s="21" customFormat="1" ht="14.25" x14ac:dyDescent="0.45">
      <c r="D29"/>
      <c r="E29"/>
      <c r="F29" s="12">
        <v>16</v>
      </c>
      <c r="G29" s="12">
        <v>17</v>
      </c>
      <c r="H29" s="12">
        <v>18</v>
      </c>
      <c r="I29"/>
      <c r="J29"/>
      <c r="K29" s="15" t="b">
        <v>0</v>
      </c>
      <c r="L29" s="15" t="b">
        <v>0</v>
      </c>
      <c r="M29" s="15" t="b">
        <v>0</v>
      </c>
      <c r="N29" s="15"/>
      <c r="O29" s="15"/>
      <c r="P29" s="15"/>
      <c r="Q29" s="15"/>
    </row>
    <row r="31" spans="4:17" s="21" customFormat="1" ht="14.25" x14ac:dyDescent="0.45">
      <c r="D31"/>
      <c r="E31" s="13" t="s">
        <v>136</v>
      </c>
      <c r="F31" s="12">
        <v>2</v>
      </c>
      <c r="G31"/>
      <c r="H31"/>
      <c r="I31"/>
      <c r="J31"/>
      <c r="K31" s="15"/>
      <c r="L31" s="15"/>
      <c r="M31" s="15"/>
      <c r="N31" s="15"/>
      <c r="O31" s="15"/>
      <c r="P31" s="15"/>
      <c r="Q31" s="15"/>
    </row>
    <row r="32" spans="4:17" x14ac:dyDescent="0.55000000000000004">
      <c r="E32" s="13" t="s">
        <v>427</v>
      </c>
      <c r="F32" s="12" t="s">
        <v>428</v>
      </c>
    </row>
    <row r="33" spans="5:6" x14ac:dyDescent="0.55000000000000004">
      <c r="E33" s="13" t="s">
        <v>108</v>
      </c>
      <c r="F33" s="12">
        <v>3</v>
      </c>
    </row>
    <row r="34" spans="5:6" x14ac:dyDescent="0.55000000000000004">
      <c r="E34" s="13" t="s">
        <v>109</v>
      </c>
      <c r="F34" s="12">
        <v>3</v>
      </c>
    </row>
  </sheetData>
  <pageMargins left="0.511811024" right="0.511811024" top="0.78740157499999996" bottom="0.78740157499999996" header="0.31496062000000002" footer="0.3149606200000000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8392-964F-4588-9CBF-0E0A4E5B4916}">
  <sheetPr codeName="Planilha50">
    <tabColor theme="9" tint="0.59999389629810485"/>
  </sheetPr>
  <dimension ref="A1:Q34"/>
  <sheetViews>
    <sheetView showGridLines="0" workbookViewId="0">
      <selection activeCell="K11" sqref="K11"/>
    </sheetView>
  </sheetViews>
  <sheetFormatPr defaultColWidth="8.796875" defaultRowHeight="18" x14ac:dyDescent="0.55000000000000004"/>
  <cols>
    <col min="1" max="1" width="12.6640625" style="17" customWidth="1"/>
    <col min="2" max="2" width="36.33203125" customWidth="1"/>
    <col min="5" max="6" width="12.33203125" bestFit="1" customWidth="1"/>
    <col min="11" max="13" width="13" style="15" customWidth="1"/>
    <col min="14" max="14" width="8.796875" style="21"/>
    <col min="15" max="17" width="12.33203125" style="21" bestFit="1" customWidth="1"/>
    <col min="18" max="19" width="12.33203125" bestFit="1" customWidth="1"/>
  </cols>
  <sheetData>
    <row r="1" spans="1:13" x14ac:dyDescent="0.55000000000000004">
      <c r="A1" s="16" t="s">
        <v>426</v>
      </c>
      <c r="K1" s="14"/>
      <c r="L1" s="14"/>
      <c r="M1" s="14"/>
    </row>
    <row r="2" spans="1:13" x14ac:dyDescent="0.55000000000000004">
      <c r="A2" s="17" t="s">
        <v>425</v>
      </c>
      <c r="K2" s="14"/>
      <c r="L2" s="14"/>
      <c r="M2" s="14"/>
    </row>
    <row r="4" spans="1:13" ht="15.75" x14ac:dyDescent="0.5">
      <c r="A4" s="2" t="s">
        <v>15</v>
      </c>
      <c r="B4" s="2" t="s">
        <v>16</v>
      </c>
    </row>
    <row r="5" spans="1:13" ht="31.5" x14ac:dyDescent="0.45">
      <c r="A5" s="19" t="s">
        <v>22</v>
      </c>
      <c r="B5" s="26" t="s">
        <v>429</v>
      </c>
    </row>
    <row r="6" spans="1:13" ht="31.5" x14ac:dyDescent="0.5">
      <c r="A6" s="23" t="s">
        <v>136</v>
      </c>
      <c r="B6" s="24" t="s">
        <v>137</v>
      </c>
    </row>
    <row r="7" spans="1:13" ht="47.25" x14ac:dyDescent="0.5">
      <c r="A7" s="23" t="s">
        <v>427</v>
      </c>
      <c r="B7" s="24" t="s">
        <v>430</v>
      </c>
    </row>
    <row r="8" spans="1:13" ht="31.5" x14ac:dyDescent="0.5">
      <c r="A8" s="23" t="s">
        <v>108</v>
      </c>
      <c r="B8" s="24" t="s">
        <v>431</v>
      </c>
    </row>
    <row r="9" spans="1:13" ht="31.5" x14ac:dyDescent="0.5">
      <c r="A9" s="23" t="s">
        <v>109</v>
      </c>
      <c r="B9" s="24" t="s">
        <v>432</v>
      </c>
    </row>
    <row r="10" spans="1:13" ht="15.75" x14ac:dyDescent="0.5">
      <c r="A10" s="23"/>
      <c r="B10" s="24"/>
    </row>
    <row r="11" spans="1:13" x14ac:dyDescent="0.55000000000000004">
      <c r="D11" s="1" t="s">
        <v>17</v>
      </c>
      <c r="E11" s="13" t="s">
        <v>22</v>
      </c>
      <c r="F11" s="12">
        <v>1</v>
      </c>
      <c r="G11" s="12">
        <v>2</v>
      </c>
      <c r="H11" s="12">
        <v>3</v>
      </c>
      <c r="K11" s="15" cm="1">
        <f t="array" ref="K11:M13">_xlfn.LAMBDA(_xlpm.matrix,_xlop.dim,_xlop.method,_xlop.lb,_xlop.ub,
_xlfn.LET(
_xlpm.dim,IF(_xlfn.ISOMITTED(_xlpm.dim),1,_xlpm.dim),
_xlpm.method,IF(_xlfn.ISOMITTED(_xlpm.method),"MAD",_xlpm.method),
_xlpm.lb,IF(_xlfn.ISOMITTED(_xlpm.lb),3,_xlpm.lb),
_xlpm.ub,IF(_xlfn.ISOMITTED(_xlpm.ub),3,_xlpm.ub),
_xlpm.identOut, 1*ISOUTLIER(_xlpm.matrix,_xlpm.dim,_xlpm.method,_xlpm.lb,_xlpm.ub),
IF(_xlpm.dim = 1,
_xlfn._xlws.FILTER( _xlpm.matrix, _xlfn.BYROW(_xlpm.identOut,_xlfn.LAMBDA(_xlpm.row, SUM(IFERROR(_xlpm.row,0))))=0 ),
_xlfn._xlws.FILTER( _xlpm.matrix, _xlfn.BYCOL(_xlpm.identOut,_xlfn.LAMBDA(_xlpm.col, SUM(IFERROR(_xlpm.col,0)) ))=0 ) )
))($F$11:$H$16,$F$18,$F$19,$F$20,$F$21)</f>
        <v>1</v>
      </c>
      <c r="L11" s="15">
        <v>2</v>
      </c>
      <c r="M11" s="15">
        <v>3</v>
      </c>
    </row>
    <row r="12" spans="1:13" x14ac:dyDescent="0.55000000000000004">
      <c r="F12" s="12">
        <v>4</v>
      </c>
      <c r="G12" s="12">
        <v>2</v>
      </c>
      <c r="H12" s="12">
        <v>6</v>
      </c>
      <c r="K12" s="15">
        <v>4</v>
      </c>
      <c r="L12" s="15">
        <v>2</v>
      </c>
      <c r="M12" s="15">
        <v>6</v>
      </c>
    </row>
    <row r="13" spans="1:13" x14ac:dyDescent="0.55000000000000004">
      <c r="F13" s="12">
        <v>7</v>
      </c>
      <c r="G13" s="12" t="e">
        <f>NA()</f>
        <v>#N/A</v>
      </c>
      <c r="H13" s="12">
        <v>9</v>
      </c>
      <c r="K13" s="15">
        <v>7</v>
      </c>
      <c r="L13" s="15" t="e">
        <v>#N/A</v>
      </c>
      <c r="M13" s="15">
        <v>9</v>
      </c>
    </row>
    <row r="14" spans="1:13" ht="14.25" x14ac:dyDescent="0.45">
      <c r="A14"/>
      <c r="F14" s="12">
        <v>1</v>
      </c>
      <c r="G14" s="12">
        <v>11</v>
      </c>
      <c r="H14" s="12">
        <v>2000</v>
      </c>
    </row>
    <row r="15" spans="1:13" x14ac:dyDescent="0.55000000000000004">
      <c r="F15" s="12">
        <v>900</v>
      </c>
      <c r="G15" s="12">
        <v>5</v>
      </c>
      <c r="H15" s="12">
        <v>15</v>
      </c>
    </row>
    <row r="16" spans="1:13" x14ac:dyDescent="0.55000000000000004">
      <c r="F16" s="12">
        <v>16</v>
      </c>
      <c r="G16" s="12">
        <v>17</v>
      </c>
      <c r="H16" s="12">
        <v>18</v>
      </c>
    </row>
    <row r="18" spans="4:13" x14ac:dyDescent="0.55000000000000004">
      <c r="E18" s="13" t="s">
        <v>136</v>
      </c>
      <c r="F18" s="12">
        <v>1</v>
      </c>
    </row>
    <row r="19" spans="4:13" x14ac:dyDescent="0.55000000000000004">
      <c r="E19" s="13" t="s">
        <v>427</v>
      </c>
      <c r="F19" s="12" t="s">
        <v>428</v>
      </c>
    </row>
    <row r="20" spans="4:13" x14ac:dyDescent="0.55000000000000004">
      <c r="E20" s="13" t="s">
        <v>108</v>
      </c>
      <c r="F20" s="12">
        <v>3</v>
      </c>
    </row>
    <row r="21" spans="4:13" x14ac:dyDescent="0.55000000000000004">
      <c r="E21" s="13" t="s">
        <v>109</v>
      </c>
      <c r="F21" s="12">
        <v>3</v>
      </c>
    </row>
    <row r="24" spans="4:13" s="21" customFormat="1" ht="14.25" x14ac:dyDescent="0.45">
      <c r="D24" s="1" t="s">
        <v>17</v>
      </c>
      <c r="E24" s="13" t="s">
        <v>22</v>
      </c>
      <c r="F24" s="12">
        <v>1</v>
      </c>
      <c r="G24" s="12">
        <v>2</v>
      </c>
      <c r="H24" s="12">
        <v>3</v>
      </c>
      <c r="I24"/>
      <c r="J24"/>
      <c r="K24" s="15" cm="1">
        <f t="array" ref="K24:K29">RMOUTLIERS($F$24:$H$29,$F$31,$F$32,$F$33,$F$34)</f>
        <v>2</v>
      </c>
      <c r="L24" s="15"/>
      <c r="M24" s="15"/>
    </row>
    <row r="25" spans="4:13" s="21" customFormat="1" ht="14.25" x14ac:dyDescent="0.45">
      <c r="D25"/>
      <c r="E25"/>
      <c r="F25" s="12">
        <v>4</v>
      </c>
      <c r="G25" s="12">
        <v>2</v>
      </c>
      <c r="H25" s="12">
        <v>6</v>
      </c>
      <c r="I25"/>
      <c r="J25"/>
      <c r="K25" s="15">
        <v>2</v>
      </c>
      <c r="L25" s="15"/>
      <c r="M25" s="15"/>
    </row>
    <row r="26" spans="4:13" s="21" customFormat="1" ht="14.25" x14ac:dyDescent="0.45">
      <c r="D26"/>
      <c r="E26"/>
      <c r="F26" s="12">
        <v>7</v>
      </c>
      <c r="G26" s="12" t="e">
        <f>NA()</f>
        <v>#N/A</v>
      </c>
      <c r="H26" s="12">
        <v>9</v>
      </c>
      <c r="I26"/>
      <c r="J26"/>
      <c r="K26" s="15" t="e">
        <v>#N/A</v>
      </c>
      <c r="L26" s="15"/>
      <c r="M26" s="15"/>
    </row>
    <row r="27" spans="4:13" s="21" customFormat="1" ht="14.25" x14ac:dyDescent="0.45">
      <c r="D27"/>
      <c r="E27"/>
      <c r="F27" s="12">
        <v>1</v>
      </c>
      <c r="G27" s="12">
        <v>11</v>
      </c>
      <c r="H27" s="12">
        <v>2000</v>
      </c>
      <c r="I27"/>
      <c r="J27"/>
      <c r="K27" s="15">
        <v>11</v>
      </c>
      <c r="L27" s="15"/>
      <c r="M27" s="15"/>
    </row>
    <row r="28" spans="4:13" s="21" customFormat="1" ht="14.25" x14ac:dyDescent="0.45">
      <c r="D28"/>
      <c r="E28"/>
      <c r="F28" s="12">
        <v>900</v>
      </c>
      <c r="G28" s="12">
        <v>5</v>
      </c>
      <c r="H28" s="12">
        <v>15</v>
      </c>
      <c r="I28"/>
      <c r="J28"/>
      <c r="K28" s="15">
        <v>5</v>
      </c>
      <c r="L28" s="15"/>
      <c r="M28" s="15"/>
    </row>
    <row r="29" spans="4:13" s="21" customFormat="1" ht="14.25" x14ac:dyDescent="0.45">
      <c r="D29"/>
      <c r="E29"/>
      <c r="F29" s="12">
        <v>16</v>
      </c>
      <c r="G29" s="12">
        <v>17</v>
      </c>
      <c r="H29" s="12">
        <v>18</v>
      </c>
      <c r="I29"/>
      <c r="J29"/>
      <c r="K29" s="15">
        <v>17</v>
      </c>
      <c r="L29" s="15"/>
      <c r="M29" s="15"/>
    </row>
    <row r="31" spans="4:13" s="21" customFormat="1" ht="14.25" x14ac:dyDescent="0.45">
      <c r="D31"/>
      <c r="E31" s="13" t="s">
        <v>136</v>
      </c>
      <c r="F31" s="12">
        <v>2</v>
      </c>
      <c r="G31"/>
      <c r="H31"/>
      <c r="I31"/>
      <c r="J31"/>
      <c r="K31" s="15"/>
      <c r="L31" s="15"/>
      <c r="M31" s="15"/>
    </row>
    <row r="32" spans="4:13" x14ac:dyDescent="0.55000000000000004">
      <c r="E32" s="13" t="s">
        <v>427</v>
      </c>
      <c r="F32" s="12" t="s">
        <v>428</v>
      </c>
    </row>
    <row r="33" spans="5:6" x14ac:dyDescent="0.55000000000000004">
      <c r="E33" s="13" t="s">
        <v>108</v>
      </c>
      <c r="F33" s="12">
        <v>3</v>
      </c>
    </row>
    <row r="34" spans="5:6" x14ac:dyDescent="0.55000000000000004">
      <c r="E34" s="13" t="s">
        <v>109</v>
      </c>
      <c r="F34" s="12">
        <v>3</v>
      </c>
    </row>
  </sheetData>
  <pageMargins left="0.511811024" right="0.511811024" top="0.78740157499999996" bottom="0.78740157499999996" header="0.31496062000000002" footer="0.3149606200000000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BDEBF5-5825-44A0-AAFE-CB64D1323078}">
  <sheetPr codeName="Planilha51">
    <tabColor theme="9" tint="0.59999389629810485"/>
  </sheetPr>
  <dimension ref="A1:Q40"/>
  <sheetViews>
    <sheetView showGridLines="0" topLeftCell="A3" workbookViewId="0">
      <selection activeCell="K11" sqref="K11"/>
    </sheetView>
  </sheetViews>
  <sheetFormatPr defaultColWidth="12.33203125" defaultRowHeight="18" x14ac:dyDescent="0.55000000000000004"/>
  <cols>
    <col min="1" max="1" width="12.6640625" style="17" customWidth="1"/>
    <col min="2" max="2" width="61.33203125" customWidth="1"/>
    <col min="3" max="4" width="8.796875"/>
    <col min="5" max="5" width="12.33203125" bestFit="1" customWidth="1"/>
    <col min="6" max="8" width="11.33203125" customWidth="1"/>
    <col min="9" max="10" width="8.796875"/>
    <col min="11" max="14" width="8.796875" style="15"/>
    <col min="15" max="17" width="12.33203125" style="15" bestFit="1" customWidth="1"/>
    <col min="18" max="18" width="12.33203125" bestFit="1" customWidth="1"/>
  </cols>
  <sheetData>
    <row r="1" spans="1:17" x14ac:dyDescent="0.55000000000000004">
      <c r="A1" s="83" t="s">
        <v>274</v>
      </c>
      <c r="K1" s="14"/>
      <c r="L1" s="14"/>
      <c r="M1" s="14"/>
      <c r="N1" s="14"/>
      <c r="O1" s="14"/>
      <c r="P1" s="14"/>
      <c r="Q1" s="14"/>
    </row>
    <row r="2" spans="1:17" x14ac:dyDescent="0.55000000000000004">
      <c r="A2" s="17" t="s">
        <v>279</v>
      </c>
      <c r="K2" s="14"/>
      <c r="L2" s="14"/>
      <c r="M2" s="14"/>
      <c r="N2" s="14"/>
      <c r="O2" s="14"/>
      <c r="P2" s="14"/>
      <c r="Q2" s="14"/>
    </row>
    <row r="4" spans="1:17" ht="15.75" x14ac:dyDescent="0.5">
      <c r="A4" s="2" t="s">
        <v>15</v>
      </c>
      <c r="B4" s="2" t="s">
        <v>16</v>
      </c>
    </row>
    <row r="5" spans="1:17" ht="15.75" x14ac:dyDescent="0.45">
      <c r="A5" s="23" t="s">
        <v>276</v>
      </c>
      <c r="B5" s="26" t="s">
        <v>280</v>
      </c>
    </row>
    <row r="6" spans="1:17" ht="78.75" x14ac:dyDescent="0.5">
      <c r="A6" s="23" t="s">
        <v>277</v>
      </c>
      <c r="B6" s="24" t="s">
        <v>285</v>
      </c>
    </row>
    <row r="7" spans="1:17" ht="31.5" x14ac:dyDescent="0.5">
      <c r="A7" s="23" t="s">
        <v>278</v>
      </c>
      <c r="B7" s="24" t="s">
        <v>283</v>
      </c>
    </row>
    <row r="8" spans="1:17" ht="47.25" x14ac:dyDescent="0.5">
      <c r="A8" s="23" t="s">
        <v>281</v>
      </c>
      <c r="B8" s="24" t="s">
        <v>282</v>
      </c>
    </row>
    <row r="11" spans="1:17" ht="14.25" x14ac:dyDescent="0.45">
      <c r="A11"/>
      <c r="D11" s="1" t="s">
        <v>17</v>
      </c>
      <c r="E11" s="13" t="s">
        <v>276</v>
      </c>
      <c r="F11" s="12" t="s">
        <v>271</v>
      </c>
      <c r="G11" s="12" t="s">
        <v>272</v>
      </c>
      <c r="H11" s="12" t="s">
        <v>273</v>
      </c>
      <c r="K11" s="15" t="str" cm="1">
        <f t="array" ref="K11:M12">_xlfn.LAMBDA(_xlpm.array,_xlpm.include,_xlop.if_empty,_xlop.headers,
_xlfn.LET(
_xlpm.criteriaDelim, ";",
_xlpm.if_empty, IF(_xlfn.ISOMITTED(_xlpm.if_empty), NA(), _xlpm.if_empty),
_xlpm.headers, IF(_xlfn.ISOMITTED(_xlpm.headers), INDEX(_xlpm.array,1,0), _xlpm.headers),
_xlpm.array, IF(_xlfn.ISOMITTED(_xlpm.headers), SLICE(_xlpm.array,2,-1), _xlpm.array),
_xlpm.include, _xludf.SPLIT(_xlpm.include, _xlpm.criteriaDelim),
_xlpm.actualValue, _xlfn.LAMBDA(_xlpm.value, _xlfn.LET(_xlpm.value,TRIM(_xlpm.value), IF( AND( LEFT(_xlpm.value,1) = """", RIGHT(_xlpm.value,1) = """" ),  MID(_xlpm.value, 2, LEN(_xlpm.value) - 2), VALUE(_xlpm.value) ) ) ),
IFERROR(
_xlfn.REDUCE(_xlpm.array, _xlpm.include,
_xlfn.LAMBDA(_xlpm.accum,_xlpm.criterion,  _xlfn._xlws.FILTER(_xlpm.accum,
_xlfn.IFS(
NOT(ISERR(SEARCH("&lt;&gt;",_xlpm.criterion))), _xlfn.LET( _xlpm.crit, _xlfn.LAMBDA(_xlpm.idx, INDEX(_xludf.SPLIT(_xlpm.criterion, "&lt;&gt;"),1,_xlpm.idx)), _xlpm.colCrit, MATCH( _xlpm.crit(1), _xlpm.headers, 0 ), INDEX(_xlpm.accum,0,_xlpm.colCrit) &lt;&gt;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NOT(ISERR(SEARCH("=",_xlpm.criterion))), _xlfn.LET( _xlpm.crit, _xlfn.LAMBDA(_xlpm.idx, INDEX(_xludf.SPLIT(_xlpm.criterion, "="),1,_xlpm.idx)), _xlpm.colCrit, MATCH( _xlpm.crit(1), _xlpm.headers, 0 ), INDEX(_xlpm.accum,0,_xlpm.colCrit) = _xlpm.actualValue(_xlpm.crit(2)) ),
NOT(ISERR(SEARCH("&gt;",_xlpm.criterion))), _xlfn.LET( _xlpm.crit, _xlfn.LAMBDA(_xlpm.idx, INDEX(_xludf.SPLIT(_xlpm.criterion, "&gt;"),1,_xlpm.idx)), _xlpm.colCrit, MATCH( _xlpm.crit(1), _xlpm.headers, 0 ), INDEX(_xlpm.accum,0,_xlpm.colCrit) &gt; _xlpm.actualValue(_xlpm.crit(2)) ),
NOT(ISERR(SEARCH("&lt;",_xlpm.criterion))), _xlfn.LET( _xlpm.crit, _xlfn.LAMBDA(_xlpm.idx, INDEX(_xludf.SPLIT(_xlpm.criterion, "&lt;"),1,_xlpm.idx)), _xlpm.colCrit, MATCH( _xlpm.crit(1), _xlpm.headers, 0 ), INDEX(_xlpm.accum,0,_xlpm.colCrit) &lt; _xlpm.actualValue(_xlpm.crit(2)) )
)
))), _xlpm.if_empty)
)
)($F$11:$H$20,F22)</f>
        <v>ab</v>
      </c>
      <c r="L11" s="15">
        <v>200</v>
      </c>
      <c r="M11" s="15">
        <v>2000</v>
      </c>
      <c r="O11" s="15" t="b" cm="1">
        <f t="array" ref="O11:O19">ISNUMBER(MATCH(H12:H20,{1000;200},0))</f>
        <v>1</v>
      </c>
    </row>
    <row r="12" spans="1:17" x14ac:dyDescent="0.55000000000000004">
      <c r="F12" s="12">
        <v>10</v>
      </c>
      <c r="G12" s="12">
        <v>100</v>
      </c>
      <c r="H12" s="12">
        <v>1000</v>
      </c>
      <c r="K12" s="15" t="str">
        <v>ab</v>
      </c>
      <c r="L12" s="15">
        <v>300.5</v>
      </c>
      <c r="M12" s="15">
        <v>2000</v>
      </c>
      <c r="O12" s="15" t="b">
        <v>1</v>
      </c>
    </row>
    <row r="13" spans="1:17" x14ac:dyDescent="0.55000000000000004">
      <c r="F13" s="12">
        <v>20</v>
      </c>
      <c r="G13" s="12">
        <v>100</v>
      </c>
      <c r="H13" s="12">
        <v>1000</v>
      </c>
      <c r="O13" s="15" t="b">
        <v>1</v>
      </c>
    </row>
    <row r="14" spans="1:17" x14ac:dyDescent="0.55000000000000004">
      <c r="F14" s="12">
        <v>20</v>
      </c>
      <c r="G14" s="12">
        <v>200</v>
      </c>
      <c r="H14" s="12">
        <v>1000</v>
      </c>
      <c r="O14" s="15" t="b">
        <v>1</v>
      </c>
    </row>
    <row r="15" spans="1:17" x14ac:dyDescent="0.55000000000000004">
      <c r="F15" s="12" t="s">
        <v>284</v>
      </c>
      <c r="G15" s="12">
        <v>100</v>
      </c>
      <c r="H15" s="12">
        <v>1000</v>
      </c>
      <c r="O15" s="15" t="b">
        <v>0</v>
      </c>
    </row>
    <row r="16" spans="1:17" x14ac:dyDescent="0.55000000000000004">
      <c r="F16" s="12" t="s">
        <v>284</v>
      </c>
      <c r="G16" s="12">
        <v>200</v>
      </c>
      <c r="H16" s="12">
        <v>2000</v>
      </c>
      <c r="O16" s="15" t="b">
        <v>0</v>
      </c>
    </row>
    <row r="17" spans="4:17" x14ac:dyDescent="0.55000000000000004">
      <c r="F17" s="12" t="s">
        <v>284</v>
      </c>
      <c r="G17" s="12">
        <v>300.5</v>
      </c>
      <c r="H17" s="12">
        <v>2000</v>
      </c>
      <c r="O17" s="15" t="b">
        <v>0</v>
      </c>
    </row>
    <row r="18" spans="4:17" s="21" customFormat="1" ht="14.25" x14ac:dyDescent="0.45">
      <c r="D18"/>
      <c r="E18"/>
      <c r="F18" s="12" t="s">
        <v>284</v>
      </c>
      <c r="G18" s="12">
        <v>300</v>
      </c>
      <c r="H18" s="12">
        <v>3000</v>
      </c>
      <c r="I18"/>
      <c r="J18"/>
      <c r="K18" s="15"/>
      <c r="L18" s="15"/>
      <c r="M18" s="15"/>
      <c r="N18" s="15"/>
      <c r="O18" s="15" t="b">
        <v>0</v>
      </c>
      <c r="P18" s="15"/>
      <c r="Q18" s="15"/>
    </row>
    <row r="19" spans="4:17" s="21" customFormat="1" ht="14.25" x14ac:dyDescent="0.45">
      <c r="D19"/>
      <c r="E19"/>
      <c r="F19" s="12">
        <v>50</v>
      </c>
      <c r="G19" s="12">
        <v>300</v>
      </c>
      <c r="H19" s="12">
        <v>2000</v>
      </c>
      <c r="I19"/>
      <c r="J19"/>
      <c r="K19" s="15"/>
      <c r="L19" s="15"/>
      <c r="M19" s="15"/>
      <c r="N19" s="15"/>
      <c r="O19" s="15" t="b">
        <v>0</v>
      </c>
      <c r="P19" s="15"/>
      <c r="Q19" s="15"/>
    </row>
    <row r="20" spans="4:17" x14ac:dyDescent="0.55000000000000004">
      <c r="F20" s="12">
        <v>50</v>
      </c>
      <c r="G20" s="12">
        <v>400</v>
      </c>
      <c r="H20" s="12">
        <v>2000</v>
      </c>
    </row>
    <row r="21" spans="4:17" s="21" customFormat="1" ht="14.25" x14ac:dyDescent="0.45">
      <c r="D21"/>
      <c r="E21"/>
      <c r="F21"/>
      <c r="G21"/>
      <c r="H21"/>
      <c r="I21"/>
      <c r="J21"/>
      <c r="K21" s="15"/>
      <c r="L21" s="15"/>
      <c r="M21" s="15"/>
      <c r="N21" s="15"/>
      <c r="O21" s="15"/>
      <c r="P21" s="15"/>
      <c r="Q21" s="15"/>
    </row>
    <row r="22" spans="4:17" x14ac:dyDescent="0.55000000000000004">
      <c r="E22" s="13" t="s">
        <v>277</v>
      </c>
      <c r="F22" s="176" t="s">
        <v>286</v>
      </c>
      <c r="G22" s="177"/>
      <c r="H22" s="178"/>
    </row>
    <row r="25" spans="4:17" x14ac:dyDescent="0.55000000000000004">
      <c r="D25" s="1" t="s">
        <v>17</v>
      </c>
      <c r="E25" s="13" t="s">
        <v>276</v>
      </c>
      <c r="F25" s="12">
        <v>10</v>
      </c>
      <c r="G25" s="12">
        <v>100</v>
      </c>
      <c r="H25" s="12">
        <v>50</v>
      </c>
      <c r="K25" s="15" t="str" cm="1">
        <f t="array" ref="K25:M26">MULTIFILTER($F$25:$H$34,$F$36,$F$38,$F$40:$H$40)</f>
        <v>ab</v>
      </c>
      <c r="L25" s="15">
        <v>200</v>
      </c>
      <c r="M25" s="15">
        <v>2000</v>
      </c>
    </row>
    <row r="26" spans="4:17" x14ac:dyDescent="0.55000000000000004">
      <c r="F26" s="12">
        <v>10</v>
      </c>
      <c r="G26" s="12">
        <v>100</v>
      </c>
      <c r="H26" s="12">
        <v>1000</v>
      </c>
      <c r="K26" s="15" t="str">
        <v>ab</v>
      </c>
      <c r="L26" s="15">
        <v>300</v>
      </c>
      <c r="M26" s="15">
        <v>2000</v>
      </c>
    </row>
    <row r="27" spans="4:17" x14ac:dyDescent="0.55000000000000004">
      <c r="F27" s="12">
        <v>20</v>
      </c>
      <c r="G27" s="12">
        <v>100</v>
      </c>
      <c r="H27" s="12">
        <v>1000</v>
      </c>
    </row>
    <row r="28" spans="4:17" x14ac:dyDescent="0.55000000000000004">
      <c r="F28" s="12">
        <v>20</v>
      </c>
      <c r="G28" s="12">
        <v>200</v>
      </c>
      <c r="H28" s="12">
        <v>1000</v>
      </c>
    </row>
    <row r="29" spans="4:17" x14ac:dyDescent="0.55000000000000004">
      <c r="F29" s="12" t="s">
        <v>284</v>
      </c>
      <c r="G29" s="12">
        <v>100</v>
      </c>
      <c r="H29" s="12">
        <v>1000</v>
      </c>
    </row>
    <row r="30" spans="4:17" x14ac:dyDescent="0.55000000000000004">
      <c r="F30" s="12" t="s">
        <v>284</v>
      </c>
      <c r="G30" s="12">
        <v>200</v>
      </c>
      <c r="H30" s="12">
        <v>2000</v>
      </c>
    </row>
    <row r="31" spans="4:17" x14ac:dyDescent="0.55000000000000004">
      <c r="F31" s="12" t="s">
        <v>284</v>
      </c>
      <c r="G31" s="12">
        <v>300</v>
      </c>
      <c r="H31" s="12">
        <v>2000</v>
      </c>
    </row>
    <row r="32" spans="4:17" x14ac:dyDescent="0.55000000000000004">
      <c r="F32" s="12" t="s">
        <v>284</v>
      </c>
      <c r="G32" s="12">
        <v>300</v>
      </c>
      <c r="H32" s="12">
        <v>3000</v>
      </c>
    </row>
    <row r="33" spans="5:8" x14ac:dyDescent="0.55000000000000004">
      <c r="F33" s="12">
        <v>50</v>
      </c>
      <c r="G33" s="12">
        <v>300</v>
      </c>
      <c r="H33" s="12">
        <v>2000</v>
      </c>
    </row>
    <row r="34" spans="5:8" x14ac:dyDescent="0.55000000000000004">
      <c r="F34" s="12">
        <v>50</v>
      </c>
      <c r="G34" s="12">
        <v>400</v>
      </c>
      <c r="H34" s="12">
        <v>2000</v>
      </c>
    </row>
    <row r="36" spans="5:8" x14ac:dyDescent="0.55000000000000004">
      <c r="E36" s="13" t="s">
        <v>277</v>
      </c>
      <c r="F36" s="176" t="s">
        <v>286</v>
      </c>
      <c r="G36" s="177"/>
      <c r="H36" s="178"/>
    </row>
    <row r="38" spans="5:8" x14ac:dyDescent="0.55000000000000004">
      <c r="E38" s="13" t="s">
        <v>278</v>
      </c>
      <c r="F38" s="12" t="s">
        <v>287</v>
      </c>
    </row>
    <row r="40" spans="5:8" x14ac:dyDescent="0.55000000000000004">
      <c r="E40" s="13" t="s">
        <v>281</v>
      </c>
      <c r="F40" s="12" t="s">
        <v>271</v>
      </c>
      <c r="G40" s="12" t="s">
        <v>272</v>
      </c>
      <c r="H40" s="12" t="s">
        <v>273</v>
      </c>
    </row>
  </sheetData>
  <mergeCells count="2">
    <mergeCell ref="F22:H22"/>
    <mergeCell ref="F36:H36"/>
  </mergeCells>
  <pageMargins left="0.511811024" right="0.511811024" top="0.78740157499999996" bottom="0.78740157499999996" header="0.31496062000000002" footer="0.3149606200000000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32A11-D228-423E-B3B1-97D5898C74B8}">
  <sheetPr codeName="Planilha52">
    <tabColor theme="9" tint="0.59999389629810485"/>
  </sheetPr>
  <dimension ref="A1:M22"/>
  <sheetViews>
    <sheetView showGridLines="0" workbookViewId="0">
      <selection activeCell="I6" sqref="I6"/>
    </sheetView>
  </sheetViews>
  <sheetFormatPr defaultColWidth="12.33203125" defaultRowHeight="18" x14ac:dyDescent="0.55000000000000004"/>
  <cols>
    <col min="1" max="1" width="12.6640625" style="17" customWidth="1"/>
    <col min="2" max="2" width="61.33203125" customWidth="1"/>
    <col min="3" max="4" width="8.796875"/>
    <col min="5" max="5" width="12.33203125" bestFit="1" customWidth="1"/>
    <col min="6" max="8" width="11.33203125" customWidth="1"/>
    <col min="9" max="10" width="8.796875"/>
    <col min="11" max="13" width="8.796875" style="15"/>
    <col min="14" max="14" width="12.33203125" bestFit="1" customWidth="1"/>
  </cols>
  <sheetData>
    <row r="1" spans="1:13" x14ac:dyDescent="0.55000000000000004">
      <c r="A1" s="83" t="s">
        <v>288</v>
      </c>
      <c r="K1" s="14"/>
      <c r="L1" s="14"/>
      <c r="M1" s="14"/>
    </row>
    <row r="2" spans="1:13" x14ac:dyDescent="0.55000000000000004">
      <c r="A2" s="17" t="s">
        <v>322</v>
      </c>
      <c r="K2" s="14"/>
      <c r="L2" s="14"/>
      <c r="M2" s="14"/>
    </row>
    <row r="4" spans="1:13" ht="15.75" x14ac:dyDescent="0.5">
      <c r="A4" s="2" t="s">
        <v>15</v>
      </c>
      <c r="B4" s="2" t="s">
        <v>16</v>
      </c>
    </row>
    <row r="5" spans="1:13" ht="15.75" x14ac:dyDescent="0.45">
      <c r="A5" s="23" t="s">
        <v>289</v>
      </c>
      <c r="B5" s="26" t="s">
        <v>290</v>
      </c>
    </row>
    <row r="6" spans="1:13" ht="31.5" x14ac:dyDescent="0.5">
      <c r="A6" s="23" t="s">
        <v>291</v>
      </c>
      <c r="B6" s="24" t="s">
        <v>293</v>
      </c>
    </row>
    <row r="7" spans="1:13" ht="31.5" x14ac:dyDescent="0.5">
      <c r="A7" s="23" t="s">
        <v>292</v>
      </c>
      <c r="B7" s="24" t="s">
        <v>294</v>
      </c>
    </row>
    <row r="8" spans="1:13" ht="15.75" x14ac:dyDescent="0.5">
      <c r="A8" s="23"/>
      <c r="B8" s="24"/>
    </row>
    <row r="11" spans="1:13" ht="14.25" x14ac:dyDescent="0.45">
      <c r="A11"/>
      <c r="E11" s="13" t="s">
        <v>22</v>
      </c>
      <c r="F11" s="13">
        <v>1</v>
      </c>
      <c r="G11" s="13">
        <v>2</v>
      </c>
      <c r="H11" s="13">
        <v>3</v>
      </c>
      <c r="K11" s="15" cm="1">
        <f t="array" ref="K11:M14">_xlfn.LAMBDA(_xlpm.matrixText,_xlop.lineChar,_xlop.colChar,
_xlfn.LET(
_xlpm.lineChar, IF(_xlfn.ISOMITTED(_xlpm.lineChar), MID( _xlfn.ARRAYTOTEXT({1;1},1), 3, 1), _xlpm.lineChar),
_xlpm.colChar, IF(_xlfn.ISOMITTED(_xlpm.colChar), MID( _xlfn.ARRAYTOTEXT({1,1},1), 3, 1), _xlpm.colChar),
_xlpm.rows, TRANSPOSE( _xludf.SPLIT( _xlfn.LET( _xlpm.matrix, _xlpm.matrixText, MID( _xlpm.matrix, 2, LEN(_xlpm.matrix) -2)), _xlpm.lineChar) ),
_xlpm.actualValue, _xlfn.LAMBDA(_xlpm.value, _xlfn.LET(_xlpm.value,TRIM(_xlpm.value), IF( AND( LEFT(_xlpm.value,1) = """", RIGHT(_xlpm.value,1) = """" ),  MID(_xlpm.value, 2, LEN(_xlpm.value) - 2), VALUE(_xlpm.value) ) ) ),
_xlfn.MAKEARRAY(LENGTH(_xlpm.rows), LENGTH( _xludf.SPLIT( INDEX(_xlpm.rows,1,1), _xlpm.colChar ) ), _xlfn.LAMBDA(_xlpm.row,_xlpm.col,  _xlpm.actualValue( INDEX( _xludf.SPLIT( INDEX(_xlpm.rows,_xlpm.row,1), _xlpm.colChar ), 1, _xlpm.col ) ) ) )
))($F$16,$F$18,$F$20)</f>
        <v>1</v>
      </c>
      <c r="L11" s="15">
        <v>2</v>
      </c>
      <c r="M11" s="15">
        <v>3</v>
      </c>
    </row>
    <row r="12" spans="1:13" x14ac:dyDescent="0.55000000000000004">
      <c r="F12" s="13">
        <v>4</v>
      </c>
      <c r="G12" s="13">
        <v>3</v>
      </c>
      <c r="H12" s="13">
        <v>6</v>
      </c>
      <c r="K12" s="15">
        <v>4</v>
      </c>
      <c r="L12" s="15">
        <v>3</v>
      </c>
      <c r="M12" s="15">
        <v>6</v>
      </c>
    </row>
    <row r="13" spans="1:13" x14ac:dyDescent="0.55000000000000004">
      <c r="F13" s="13">
        <v>7</v>
      </c>
      <c r="G13" s="13">
        <v>8</v>
      </c>
      <c r="H13" s="13">
        <v>9</v>
      </c>
      <c r="K13" s="15">
        <v>7</v>
      </c>
      <c r="L13" s="15">
        <v>8</v>
      </c>
      <c r="M13" s="15">
        <v>9</v>
      </c>
    </row>
    <row r="14" spans="1:13" x14ac:dyDescent="0.55000000000000004">
      <c r="F14" s="13">
        <v>10</v>
      </c>
      <c r="G14" s="13">
        <v>11</v>
      </c>
      <c r="H14" s="13">
        <v>12</v>
      </c>
      <c r="K14" s="15">
        <v>10</v>
      </c>
      <c r="L14" s="15">
        <v>11</v>
      </c>
      <c r="M14" s="15">
        <v>12</v>
      </c>
    </row>
    <row r="16" spans="1:13" x14ac:dyDescent="0.55000000000000004">
      <c r="D16" s="1" t="s">
        <v>17</v>
      </c>
      <c r="E16" s="13" t="s">
        <v>289</v>
      </c>
      <c r="F16" s="179" t="str">
        <f>_xlfn.ARRAYTOTEXT(F11:H14,1)</f>
        <v>{1,2,3;4,3,6;7,8,9;10,11,12}</v>
      </c>
      <c r="G16" s="179"/>
      <c r="H16" s="179"/>
    </row>
    <row r="18" spans="5:13" s="21" customFormat="1" ht="14.25" x14ac:dyDescent="0.45">
      <c r="E18" s="13" t="s">
        <v>291</v>
      </c>
      <c r="F18" s="79" t="str">
        <f>MID(_xlfn.ARRAYTOTEXT({1;1}, 1), 3, 1)</f>
        <v>;</v>
      </c>
      <c r="G18"/>
      <c r="H18"/>
      <c r="I18"/>
      <c r="J18"/>
      <c r="K18" s="15"/>
      <c r="L18" s="15"/>
      <c r="M18" s="15"/>
    </row>
    <row r="19" spans="5:13" s="21" customFormat="1" ht="14.25" x14ac:dyDescent="0.45">
      <c r="E19"/>
      <c r="F19"/>
      <c r="G19"/>
      <c r="H19"/>
      <c r="I19"/>
      <c r="J19"/>
      <c r="K19" s="15" cm="1">
        <f t="array" ref="K19:M22">TEXTTOARRAY($F$16,$F$18,$F$20)</f>
        <v>1</v>
      </c>
      <c r="L19" s="15">
        <v>2</v>
      </c>
      <c r="M19" s="15">
        <v>3</v>
      </c>
    </row>
    <row r="20" spans="5:13" x14ac:dyDescent="0.55000000000000004">
      <c r="E20" s="13" t="s">
        <v>292</v>
      </c>
      <c r="F20" s="79" t="str">
        <f>MID(_xlfn.ARRAYTOTEXT({1,1}, 1), 3, 1)</f>
        <v>,</v>
      </c>
      <c r="K20" s="15">
        <v>4</v>
      </c>
      <c r="L20" s="15">
        <v>3</v>
      </c>
      <c r="M20" s="15">
        <v>6</v>
      </c>
    </row>
    <row r="21" spans="5:13" s="21" customFormat="1" ht="14.25" x14ac:dyDescent="0.45">
      <c r="E21"/>
      <c r="F21"/>
      <c r="G21"/>
      <c r="H21"/>
      <c r="I21"/>
      <c r="J21"/>
      <c r="K21" s="15">
        <v>7</v>
      </c>
      <c r="L21" s="15">
        <v>8</v>
      </c>
      <c r="M21" s="15">
        <v>9</v>
      </c>
    </row>
    <row r="22" spans="5:13" x14ac:dyDescent="0.55000000000000004">
      <c r="K22" s="15">
        <v>10</v>
      </c>
      <c r="L22" s="15">
        <v>11</v>
      </c>
      <c r="M22" s="15">
        <v>12</v>
      </c>
    </row>
  </sheetData>
  <mergeCells count="1">
    <mergeCell ref="F16:H16"/>
  </mergeCells>
  <pageMargins left="0.511811024" right="0.511811024" top="0.78740157499999996" bottom="0.78740157499999996" header="0.31496062000000002" footer="0.3149606200000000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ECA6B-7F09-4F83-9E2B-8DFD2C38F909}">
  <sheetPr codeName="Planilha53">
    <tabColor theme="9" tint="0.59999389629810485"/>
  </sheetPr>
  <dimension ref="A1:K15"/>
  <sheetViews>
    <sheetView showGridLines="0" workbookViewId="0">
      <selection activeCell="H12" sqref="H12"/>
    </sheetView>
  </sheetViews>
  <sheetFormatPr defaultColWidth="12.33203125" defaultRowHeight="18" x14ac:dyDescent="0.55000000000000004"/>
  <cols>
    <col min="1" max="1" width="17.33203125" style="17" customWidth="1"/>
    <col min="2" max="2" width="61.33203125" customWidth="1"/>
    <col min="3" max="3" width="8" customWidth="1"/>
    <col min="5" max="5" width="14" bestFit="1" customWidth="1"/>
    <col min="6" max="6" width="12.33203125" bestFit="1" customWidth="1"/>
    <col min="7" max="7" width="5.1328125" customWidth="1"/>
    <col min="8" max="11" width="12.33203125" style="15"/>
    <col min="12" max="12" width="12.33203125" bestFit="1" customWidth="1"/>
  </cols>
  <sheetData>
    <row r="1" spans="1:11" x14ac:dyDescent="0.55000000000000004">
      <c r="A1" s="83" t="s">
        <v>527</v>
      </c>
      <c r="H1" s="14"/>
      <c r="I1" s="14"/>
      <c r="J1" s="14"/>
      <c r="K1" s="14"/>
    </row>
    <row r="2" spans="1:11" x14ac:dyDescent="0.55000000000000004">
      <c r="A2" s="17" t="s">
        <v>528</v>
      </c>
      <c r="H2" s="14"/>
      <c r="I2" s="14"/>
      <c r="J2" s="14"/>
      <c r="K2" s="14"/>
    </row>
    <row r="4" spans="1:11" ht="15.75" x14ac:dyDescent="0.5">
      <c r="A4" s="2" t="s">
        <v>15</v>
      </c>
      <c r="B4" s="2" t="s">
        <v>16</v>
      </c>
    </row>
    <row r="5" spans="1:11" ht="15.75" x14ac:dyDescent="0.45">
      <c r="A5" s="23" t="s">
        <v>529</v>
      </c>
      <c r="B5" s="26" t="s">
        <v>531</v>
      </c>
    </row>
    <row r="6" spans="1:11" ht="31.5" x14ac:dyDescent="0.5">
      <c r="A6" s="23" t="s">
        <v>530</v>
      </c>
      <c r="B6" s="24" t="s">
        <v>532</v>
      </c>
    </row>
    <row r="7" spans="1:11" ht="31.5" x14ac:dyDescent="0.5">
      <c r="A7" s="23" t="s">
        <v>546</v>
      </c>
      <c r="B7" s="24" t="s">
        <v>1064</v>
      </c>
    </row>
    <row r="8" spans="1:11" ht="31.5" x14ac:dyDescent="0.5">
      <c r="A8" s="23" t="s">
        <v>547</v>
      </c>
      <c r="B8" s="24" t="s">
        <v>1065</v>
      </c>
    </row>
    <row r="9" spans="1:11" ht="15.75" x14ac:dyDescent="0.5">
      <c r="A9" s="23"/>
      <c r="B9" s="24"/>
    </row>
    <row r="12" spans="1:11" x14ac:dyDescent="0.55000000000000004">
      <c r="D12" s="1" t="s">
        <v>17</v>
      </c>
      <c r="E12" s="13" t="s">
        <v>529</v>
      </c>
      <c r="F12" s="111" t="s">
        <v>533</v>
      </c>
      <c r="H12" s="15" t="b" cm="1">
        <f t="array" ref="H12">_xlfn.LAMBDA(_xlpm.text,_xlpm.sequence,_xlop.start_num,_xlop.case_sensitive,
_xlfn.LET(
_xlpm.start_num, IF(_xlfn.ISOMITTED(_xlpm.start_num), 1,_xlpm.start_num),
_xlpm.case_sensistive, IF(_xlfn.ISOMITTED(case_sensistive), FALSE, _xlpm.case_sensitive),
CONTAINS(LEFT(MID(_xlpm.text, _xlpm.start_num, LEN(_xlpm.text) - _xlpm.start_num + 1), LEN(_xlpm.sequence)), _xlpm.sequence, 1, _xlpm.case_sensistive)
))($F$12,$F$13,$F$14,$F$15)</f>
        <v>1</v>
      </c>
      <c r="K12" s="15" t="b" cm="1">
        <f t="array" ref="K12">STARTSWITH($F$12,$F$13,$F$14,$F$15)</f>
        <v>1</v>
      </c>
    </row>
    <row r="13" spans="1:11" x14ac:dyDescent="0.55000000000000004">
      <c r="E13" s="13" t="s">
        <v>530</v>
      </c>
      <c r="F13" s="111" t="s">
        <v>534</v>
      </c>
    </row>
    <row r="14" spans="1:11" s="21" customFormat="1" x14ac:dyDescent="0.55000000000000004">
      <c r="A14" s="17"/>
      <c r="B14"/>
      <c r="C14"/>
      <c r="D14"/>
      <c r="E14" s="13" t="s">
        <v>543</v>
      </c>
      <c r="F14" s="111">
        <v>1</v>
      </c>
      <c r="G14"/>
      <c r="H14" s="15"/>
      <c r="I14" s="15"/>
      <c r="J14" s="15"/>
      <c r="K14" s="15"/>
    </row>
    <row r="15" spans="1:11" s="21" customFormat="1" x14ac:dyDescent="0.55000000000000004">
      <c r="A15" s="17"/>
      <c r="B15"/>
      <c r="C15"/>
      <c r="D15"/>
      <c r="E15" s="13" t="s">
        <v>545</v>
      </c>
      <c r="F15" s="111" t="b">
        <v>1</v>
      </c>
      <c r="G15"/>
      <c r="H15" s="15"/>
      <c r="I15" s="15"/>
      <c r="J15" s="15"/>
      <c r="K15" s="15"/>
    </row>
  </sheetData>
  <pageMargins left="0.511811024" right="0.511811024" top="0.78740157499999996" bottom="0.78740157499999996" header="0.31496062000000002" footer="0.3149606200000000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E0386-2E9F-4038-BABB-E086585CFB2D}">
  <sheetPr codeName="Planilha54">
    <tabColor theme="9" tint="0.59999389629810485"/>
  </sheetPr>
  <dimension ref="A1:K15"/>
  <sheetViews>
    <sheetView showGridLines="0" workbookViewId="0">
      <selection activeCell="H12" sqref="H12"/>
    </sheetView>
  </sheetViews>
  <sheetFormatPr defaultColWidth="12.33203125" defaultRowHeight="18" x14ac:dyDescent="0.55000000000000004"/>
  <cols>
    <col min="1" max="1" width="16.796875" style="17" customWidth="1"/>
    <col min="2" max="2" width="61.33203125" customWidth="1"/>
    <col min="3" max="3" width="8" customWidth="1"/>
    <col min="5" max="5" width="14" bestFit="1" customWidth="1"/>
    <col min="6" max="6" width="12.33203125" bestFit="1" customWidth="1"/>
    <col min="7" max="7" width="5.1328125" customWidth="1"/>
    <col min="8" max="11" width="12.33203125" style="15"/>
    <col min="12" max="12" width="12.33203125" bestFit="1" customWidth="1"/>
  </cols>
  <sheetData>
    <row r="1" spans="1:11" x14ac:dyDescent="0.55000000000000004">
      <c r="A1" s="83" t="s">
        <v>535</v>
      </c>
      <c r="H1" s="14"/>
      <c r="I1" s="14"/>
      <c r="J1" s="14"/>
      <c r="K1" s="14"/>
    </row>
    <row r="2" spans="1:11" x14ac:dyDescent="0.55000000000000004">
      <c r="A2" s="17" t="s">
        <v>536</v>
      </c>
      <c r="H2" s="14"/>
      <c r="I2" s="14"/>
      <c r="J2" s="14"/>
      <c r="K2" s="14"/>
    </row>
    <row r="4" spans="1:11" ht="15.75" x14ac:dyDescent="0.5">
      <c r="A4" s="2" t="s">
        <v>15</v>
      </c>
      <c r="B4" s="2" t="s">
        <v>16</v>
      </c>
    </row>
    <row r="5" spans="1:11" ht="15.75" x14ac:dyDescent="0.45">
      <c r="A5" s="23" t="s">
        <v>529</v>
      </c>
      <c r="B5" s="26" t="s">
        <v>531</v>
      </c>
    </row>
    <row r="6" spans="1:11" ht="31.5" x14ac:dyDescent="0.5">
      <c r="A6" s="23" t="s">
        <v>530</v>
      </c>
      <c r="B6" s="24" t="s">
        <v>537</v>
      </c>
    </row>
    <row r="7" spans="1:11" ht="47.25" x14ac:dyDescent="0.5">
      <c r="A7" s="23" t="s">
        <v>546</v>
      </c>
      <c r="B7" s="24" t="s">
        <v>1066</v>
      </c>
    </row>
    <row r="8" spans="1:11" ht="31.5" x14ac:dyDescent="0.5">
      <c r="A8" s="23" t="s">
        <v>547</v>
      </c>
      <c r="B8" s="24" t="s">
        <v>1065</v>
      </c>
    </row>
    <row r="9" spans="1:11" ht="15.75" x14ac:dyDescent="0.5">
      <c r="A9" s="23"/>
      <c r="B9" s="24"/>
    </row>
    <row r="12" spans="1:11" x14ac:dyDescent="0.55000000000000004">
      <c r="D12" s="1" t="s">
        <v>17</v>
      </c>
      <c r="E12" s="13" t="s">
        <v>529</v>
      </c>
      <c r="F12" s="111" t="s">
        <v>533</v>
      </c>
      <c r="H12" s="15" t="b" cm="1">
        <f t="array" ref="H12">_xlfn.LAMBDA(_xlpm.text,_xlpm.sequence,_xlop.start_num,_xlop.case_sensitive,
_xlfn.LET(
_xlpm.start_num, IF(_xlfn.ISOMITTED(_xlpm.start_num), 1,_xlpm.start_num),
_xlpm.case_sensistive, IF(_xlfn.ISOMITTED(case_sensistive), FALSE, _xlpm.case_sensitive),
CONTAINS(RIGHT(MID(_xlpm.text, 1, LEN(_xlpm.text) - _xlpm.start_num + 1), LEN(_xlpm.sequence)), _xlpm.sequence, 1, _xlpm.case_sensistive)
))($F$12,$F$13,$F$14,$F$15)</f>
        <v>1</v>
      </c>
      <c r="K12" s="15" t="b" cm="1">
        <f t="array" ref="K12">ENDSWITH($F$12,$F$13,$F$14,$F$15)</f>
        <v>1</v>
      </c>
    </row>
    <row r="13" spans="1:11" x14ac:dyDescent="0.55000000000000004">
      <c r="E13" s="13" t="s">
        <v>530</v>
      </c>
      <c r="F13" s="111" t="s">
        <v>538</v>
      </c>
    </row>
    <row r="14" spans="1:11" s="21" customFormat="1" x14ac:dyDescent="0.55000000000000004">
      <c r="A14" s="17"/>
      <c r="B14"/>
      <c r="C14"/>
      <c r="D14"/>
      <c r="E14" s="13" t="s">
        <v>543</v>
      </c>
      <c r="F14" s="111">
        <v>1</v>
      </c>
      <c r="G14"/>
      <c r="H14" s="15"/>
      <c r="I14" s="15"/>
      <c r="J14" s="15"/>
      <c r="K14" s="15"/>
    </row>
    <row r="15" spans="1:11" s="21" customFormat="1" x14ac:dyDescent="0.55000000000000004">
      <c r="A15" s="17"/>
      <c r="B15"/>
      <c r="C15"/>
      <c r="D15"/>
      <c r="E15" s="13" t="s">
        <v>545</v>
      </c>
      <c r="F15" s="111" t="b">
        <v>1</v>
      </c>
      <c r="G15"/>
      <c r="H15" s="15"/>
      <c r="I15" s="15"/>
      <c r="J15" s="15"/>
      <c r="K15" s="15"/>
    </row>
  </sheetData>
  <pageMargins left="0.511811024" right="0.511811024" top="0.78740157499999996" bottom="0.78740157499999996" header="0.31496062000000002" footer="0.3149606200000000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3BEB-0730-4078-B407-5D3362552C62}">
  <sheetPr codeName="Planilha55">
    <tabColor theme="9" tint="0.59999389629810485"/>
  </sheetPr>
  <dimension ref="A1:K15"/>
  <sheetViews>
    <sheetView showGridLines="0" workbookViewId="0">
      <selection activeCell="H12" sqref="H12"/>
    </sheetView>
  </sheetViews>
  <sheetFormatPr defaultColWidth="12.33203125" defaultRowHeight="18" x14ac:dyDescent="0.55000000000000004"/>
  <cols>
    <col min="1" max="1" width="17.1328125" style="17" customWidth="1"/>
    <col min="2" max="2" width="61.33203125" customWidth="1"/>
    <col min="3" max="3" width="8" customWidth="1"/>
    <col min="5" max="5" width="14" bestFit="1" customWidth="1"/>
    <col min="6" max="6" width="12.33203125" bestFit="1" customWidth="1"/>
    <col min="7" max="7" width="5.1328125" customWidth="1"/>
    <col min="8" max="11" width="12.33203125" style="15"/>
    <col min="12" max="12" width="12.33203125" bestFit="1" customWidth="1"/>
  </cols>
  <sheetData>
    <row r="1" spans="1:11" x14ac:dyDescent="0.55000000000000004">
      <c r="A1" s="83" t="s">
        <v>539</v>
      </c>
      <c r="H1" s="14"/>
      <c r="I1" s="14"/>
      <c r="J1" s="14"/>
      <c r="K1" s="14"/>
    </row>
    <row r="2" spans="1:11" x14ac:dyDescent="0.55000000000000004">
      <c r="A2" s="17" t="s">
        <v>540</v>
      </c>
      <c r="H2" s="14"/>
      <c r="I2" s="14"/>
      <c r="J2" s="14"/>
      <c r="K2" s="14"/>
    </row>
    <row r="4" spans="1:11" ht="15.75" x14ac:dyDescent="0.5">
      <c r="A4" s="2" t="s">
        <v>15</v>
      </c>
      <c r="B4" s="2" t="s">
        <v>16</v>
      </c>
    </row>
    <row r="5" spans="1:11" ht="15.75" x14ac:dyDescent="0.45">
      <c r="A5" s="23" t="s">
        <v>529</v>
      </c>
      <c r="B5" s="26" t="s">
        <v>541</v>
      </c>
    </row>
    <row r="6" spans="1:11" ht="15.75" x14ac:dyDescent="0.5">
      <c r="A6" s="23" t="s">
        <v>530</v>
      </c>
      <c r="B6" s="24" t="s">
        <v>542</v>
      </c>
    </row>
    <row r="7" spans="1:11" ht="31.5" x14ac:dyDescent="0.5">
      <c r="A7" s="23" t="s">
        <v>546</v>
      </c>
      <c r="B7" s="24" t="s">
        <v>1064</v>
      </c>
    </row>
    <row r="8" spans="1:11" ht="31.5" x14ac:dyDescent="0.5">
      <c r="A8" s="23" t="s">
        <v>547</v>
      </c>
      <c r="B8" s="24" t="s">
        <v>1065</v>
      </c>
    </row>
    <row r="9" spans="1:11" ht="15.75" x14ac:dyDescent="0.5">
      <c r="A9" s="23"/>
      <c r="B9" s="24"/>
    </row>
    <row r="12" spans="1:11" x14ac:dyDescent="0.55000000000000004">
      <c r="D12" s="1" t="s">
        <v>17</v>
      </c>
      <c r="E12" s="13" t="s">
        <v>529</v>
      </c>
      <c r="F12" s="111" t="s">
        <v>533</v>
      </c>
      <c r="H12" s="15" t="b" cm="1">
        <f t="array" ref="H12">_xlfn.LAMBDA(_xlpm.text,_xlpm.sequence,_xlop.start_num,_xlop.case_sensitive,
_xlfn.LET(
_xlpm.start_num, IF(_xlfn.ISOMITTED(_xlpm.start_num), 1,_xlpm.start_num),
_xlpm.case_sensistive, IF(_xlfn.ISOMITTED(case_sensistive), FALSE, _xlpm.case_sensitive),
IF( _xlpm.case_sensistive, NOT(ISERROR(FIND(_xlpm.sequence, _xlpm.text, _xlpm.start_num))), NOT(ISERROR(SEARCH(_xlpm.sequence, _xlpm.text, _xlpm.start_num))) )
))($F$12,F$13,$F$14,$F$15)</f>
        <v>0</v>
      </c>
      <c r="K12" s="15" t="b" cm="1">
        <f t="array" ref="K12">CONTAINS($F$12,F$13,$F$14,$F$15)</f>
        <v>0</v>
      </c>
    </row>
    <row r="13" spans="1:11" x14ac:dyDescent="0.55000000000000004">
      <c r="E13" s="13" t="s">
        <v>530</v>
      </c>
      <c r="F13" s="111" t="s">
        <v>544</v>
      </c>
    </row>
    <row r="14" spans="1:11" s="21" customFormat="1" x14ac:dyDescent="0.55000000000000004">
      <c r="A14" s="17"/>
      <c r="B14"/>
      <c r="C14"/>
      <c r="D14"/>
      <c r="E14" s="13" t="s">
        <v>543</v>
      </c>
      <c r="F14" s="111">
        <v>1</v>
      </c>
      <c r="G14"/>
      <c r="H14" s="15"/>
      <c r="I14" s="15"/>
      <c r="J14" s="15"/>
      <c r="K14" s="15"/>
    </row>
    <row r="15" spans="1:11" s="21" customFormat="1" x14ac:dyDescent="0.55000000000000004">
      <c r="A15" s="17"/>
      <c r="B15"/>
      <c r="C15"/>
      <c r="D15"/>
      <c r="E15" s="13" t="s">
        <v>545</v>
      </c>
      <c r="F15" s="111" t="b">
        <v>1</v>
      </c>
      <c r="G15"/>
      <c r="H15" s="15"/>
      <c r="I15" s="15"/>
      <c r="J15" s="15"/>
      <c r="K15" s="15"/>
    </row>
  </sheetData>
  <pageMargins left="0.511811024" right="0.511811024" top="0.78740157499999996" bottom="0.78740157499999996" header="0.31496062000000002" footer="0.3149606200000000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D818B-654E-42FA-99B0-D68464DB182B}">
  <sheetPr codeName="Planilha56">
    <tabColor theme="9" tint="0.59999389629810485"/>
  </sheetPr>
  <dimension ref="A1:L20"/>
  <sheetViews>
    <sheetView showGridLines="0" topLeftCell="A3" workbookViewId="0">
      <selection activeCell="H17" sqref="H17"/>
    </sheetView>
  </sheetViews>
  <sheetFormatPr defaultColWidth="12.33203125" defaultRowHeight="18" x14ac:dyDescent="0.55000000000000004"/>
  <cols>
    <col min="1" max="1" width="17.1328125" style="17" customWidth="1"/>
    <col min="2" max="2" width="61.33203125" customWidth="1"/>
    <col min="3" max="3" width="8" customWidth="1"/>
    <col min="5" max="5" width="14" bestFit="1" customWidth="1"/>
    <col min="6" max="6" width="13.6640625" customWidth="1"/>
    <col min="7" max="7" width="5.1328125" customWidth="1"/>
    <col min="8" max="12" width="12.33203125" style="15"/>
    <col min="13" max="13" width="12.33203125" bestFit="1" customWidth="1"/>
  </cols>
  <sheetData>
    <row r="1" spans="1:12" x14ac:dyDescent="0.55000000000000004">
      <c r="A1" s="83" t="s">
        <v>548</v>
      </c>
      <c r="H1" s="14"/>
      <c r="I1" s="14"/>
      <c r="J1" s="14"/>
      <c r="K1" s="14"/>
      <c r="L1" s="14"/>
    </row>
    <row r="2" spans="1:12" x14ac:dyDescent="0.55000000000000004">
      <c r="A2" s="17" t="s">
        <v>549</v>
      </c>
      <c r="H2" s="14"/>
      <c r="I2" s="14"/>
      <c r="J2" s="14"/>
      <c r="K2" s="14"/>
      <c r="L2" s="14"/>
    </row>
    <row r="4" spans="1:12" ht="15.75" x14ac:dyDescent="0.5">
      <c r="A4" s="2" t="s">
        <v>15</v>
      </c>
      <c r="B4" s="2" t="s">
        <v>16</v>
      </c>
    </row>
    <row r="5" spans="1:12" ht="15.75" x14ac:dyDescent="0.5">
      <c r="A5" s="23" t="s">
        <v>550</v>
      </c>
      <c r="B5" s="24" t="s">
        <v>542</v>
      </c>
    </row>
    <row r="6" spans="1:12" ht="15.75" x14ac:dyDescent="0.45">
      <c r="A6" s="23" t="s">
        <v>22</v>
      </c>
      <c r="B6" s="26" t="s">
        <v>541</v>
      </c>
    </row>
    <row r="7" spans="1:12" ht="31.5" x14ac:dyDescent="0.5">
      <c r="A7" s="23" t="s">
        <v>551</v>
      </c>
      <c r="B7" s="24" t="s">
        <v>1067</v>
      </c>
    </row>
    <row r="8" spans="1:12" ht="31.5" x14ac:dyDescent="0.5">
      <c r="A8" s="23" t="s">
        <v>547</v>
      </c>
      <c r="B8" s="24" t="s">
        <v>1068</v>
      </c>
    </row>
    <row r="9" spans="1:12" ht="15.75" x14ac:dyDescent="0.5">
      <c r="A9" s="23"/>
      <c r="B9" s="24"/>
    </row>
    <row r="10" spans="1:12" ht="15.75" x14ac:dyDescent="0.5">
      <c r="A10" s="23"/>
      <c r="B10" s="24"/>
    </row>
    <row r="11" spans="1:12" ht="15.75" x14ac:dyDescent="0.5">
      <c r="A11" s="23"/>
      <c r="B11" s="24"/>
      <c r="D11" s="1" t="s">
        <v>17</v>
      </c>
      <c r="E11" s="13" t="s">
        <v>550</v>
      </c>
      <c r="F11" s="111" t="s">
        <v>552</v>
      </c>
    </row>
    <row r="12" spans="1:12" ht="14.25" x14ac:dyDescent="0.45">
      <c r="A12"/>
    </row>
    <row r="13" spans="1:12" ht="15.75" x14ac:dyDescent="0.5">
      <c r="A13" s="23"/>
      <c r="B13" s="24"/>
      <c r="E13" s="13" t="s">
        <v>22</v>
      </c>
      <c r="F13" s="111" t="s">
        <v>327</v>
      </c>
    </row>
    <row r="14" spans="1:12" ht="15.75" x14ac:dyDescent="0.5">
      <c r="A14" s="23"/>
      <c r="B14" s="24"/>
      <c r="F14" s="111" t="s">
        <v>328</v>
      </c>
    </row>
    <row r="15" spans="1:12" x14ac:dyDescent="0.55000000000000004">
      <c r="F15" s="111" t="s">
        <v>199</v>
      </c>
    </row>
    <row r="16" spans="1:12" x14ac:dyDescent="0.55000000000000004">
      <c r="F16" s="111" t="s">
        <v>552</v>
      </c>
    </row>
    <row r="17" spans="5:12" x14ac:dyDescent="0.55000000000000004">
      <c r="F17" s="111" t="s">
        <v>553</v>
      </c>
      <c r="H17" s="15" t="b" cm="1">
        <f t="array" ref="H17">_xlfn.LAMBDA(_xlpm.element,_xlpm.matrix,_xlop.start_num,_xlop.case_sensitive,
_xlfn.LET(
_xlpm.start_num, IF(_xlfn.ISOMITTED(_xlpm.start_num), 1,_xlpm.start_num),
_xlpm.case_sensitive, IF(_xlfn.ISOMITTED(_xlpm.case_sensitive), FALSE, _xlpm.case_sensitive),
_xlpm.matrix, _xlfn.DROP(VEC(_xlpm.matrix), _xlpm.start_num - 1, 0),
_xlpm.elementFound, NOT(ISERROR(MATCH(_xlpm.element, _xlpm.matrix,0))),
IF(_xlpm.elementFound,
CONTAINS( _xlpm.element, INDEX(_xlpm.matrix, MATCH(_xlpm.element, _xlpm.matrix,0)), 1, _xlpm.case_sensitive ),
FALSE)
))(F$11,$F$13:$F$17,$F$19,$F$20)</f>
        <v>1</v>
      </c>
      <c r="K17" s="15" t="b" cm="1">
        <f t="array" ref="K17">ISMEMBER(F$11,$F$13:$F$17,$F$19,$F$20)</f>
        <v>1</v>
      </c>
    </row>
    <row r="19" spans="5:12" s="21" customFormat="1" ht="14.25" x14ac:dyDescent="0.45">
      <c r="E19" s="13" t="s">
        <v>543</v>
      </c>
      <c r="F19" s="111">
        <v>1</v>
      </c>
      <c r="G19"/>
      <c r="H19" s="15"/>
      <c r="I19" s="15"/>
      <c r="J19" s="15"/>
      <c r="K19" s="15"/>
      <c r="L19" s="15"/>
    </row>
    <row r="20" spans="5:12" s="21" customFormat="1" ht="14.25" x14ac:dyDescent="0.45">
      <c r="E20" s="13" t="s">
        <v>545</v>
      </c>
      <c r="F20" s="111" t="b">
        <v>1</v>
      </c>
      <c r="G20"/>
      <c r="H20" s="15"/>
      <c r="I20" s="15"/>
      <c r="J20" s="15"/>
      <c r="K20" s="15"/>
      <c r="L20" s="15"/>
    </row>
  </sheetData>
  <pageMargins left="0.511811024" right="0.511811024" top="0.78740157499999996" bottom="0.78740157499999996" header="0.31496062000000002" footer="0.3149606200000000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7A682-3F30-4F2C-87E0-751F5AC701F0}">
  <sheetPr codeName="Planilha27">
    <tabColor theme="9" tint="0.59999389629810485"/>
  </sheetPr>
  <dimension ref="A1:J20"/>
  <sheetViews>
    <sheetView showGridLines="0" workbookViewId="0">
      <selection activeCell="J19" sqref="J19"/>
    </sheetView>
  </sheetViews>
  <sheetFormatPr defaultColWidth="8.796875" defaultRowHeight="18" x14ac:dyDescent="0.55000000000000004"/>
  <cols>
    <col min="1" max="1" width="12.6640625" style="17" customWidth="1"/>
    <col min="2" max="3" width="26.33203125" customWidth="1"/>
    <col min="4" max="4" width="8.796875" customWidth="1"/>
    <col min="10" max="10" width="11.33203125" style="15" bestFit="1" customWidth="1"/>
  </cols>
  <sheetData>
    <row r="1" spans="1:10" x14ac:dyDescent="0.55000000000000004">
      <c r="A1" s="16" t="s">
        <v>309</v>
      </c>
      <c r="J1" s="14"/>
    </row>
    <row r="2" spans="1:10" x14ac:dyDescent="0.55000000000000004">
      <c r="A2" s="17" t="s">
        <v>320</v>
      </c>
      <c r="J2" s="14"/>
    </row>
    <row r="4" spans="1:10" ht="15.75" x14ac:dyDescent="0.5">
      <c r="A4" s="2" t="s">
        <v>15</v>
      </c>
      <c r="B4" s="2" t="s">
        <v>16</v>
      </c>
      <c r="C4" s="2"/>
    </row>
    <row r="5" spans="1:10" ht="15.75" x14ac:dyDescent="0.45">
      <c r="A5" s="23" t="s">
        <v>22</v>
      </c>
      <c r="B5" s="26" t="s">
        <v>314</v>
      </c>
      <c r="C5" s="26"/>
    </row>
    <row r="6" spans="1:10" ht="47.25" x14ac:dyDescent="0.45">
      <c r="A6" s="23" t="s">
        <v>310</v>
      </c>
      <c r="B6" s="26" t="s">
        <v>313</v>
      </c>
      <c r="C6" s="26"/>
    </row>
    <row r="7" spans="1:10" ht="47.25" x14ac:dyDescent="0.45">
      <c r="A7" s="23" t="s">
        <v>311</v>
      </c>
      <c r="B7" s="26" t="s">
        <v>312</v>
      </c>
      <c r="C7" s="26"/>
    </row>
    <row r="8" spans="1:10" ht="15.75" x14ac:dyDescent="0.45">
      <c r="A8" s="23"/>
      <c r="B8" s="26"/>
      <c r="C8" s="26"/>
    </row>
    <row r="9" spans="1:10" ht="15.75" x14ac:dyDescent="0.5">
      <c r="A9" s="2" t="s">
        <v>315</v>
      </c>
    </row>
    <row r="10" spans="1:10" ht="15.75" x14ac:dyDescent="0.45">
      <c r="A10" s="23" t="s">
        <v>316</v>
      </c>
    </row>
    <row r="12" spans="1:10" x14ac:dyDescent="0.55000000000000004">
      <c r="D12" s="1" t="s">
        <v>17</v>
      </c>
      <c r="E12" s="13" t="s">
        <v>22</v>
      </c>
      <c r="F12" s="12">
        <v>1</v>
      </c>
      <c r="G12" s="12">
        <v>2</v>
      </c>
      <c r="H12" s="12">
        <v>2</v>
      </c>
      <c r="J12" s="28" cm="1">
        <f t="array" ref="J12:J14">_xlfn.LAMBDA(_xlpm.matrix,_xlop.minInteger,_xlop.maxInteger,
_xlfn.LET(
_xlpm.minInteger, IF( _xlfn.ISOMITTED(_xlpm.minInteger), MIN(_xlpm.matrix), _xlpm.minInteger ),
_xlpm.maxInteger, IF( _xlfn.ISOMITTED(_xlpm.maxInteger), MAX(_xlpm.matrix), _xlpm.maxInteger ),
IFERROR( _xlfn.UNIQUE(_xlfn.VSTACK(VEC(_xlpm.matrix), _xlfn.SEQUENCE(_xlpm.maxInteger-_xlpm.minInteger+1,1,_xlpm.minInteger)),FALSE,TRUE), NA())
))(F12:H16)</f>
        <v>4</v>
      </c>
    </row>
    <row r="13" spans="1:10" x14ac:dyDescent="0.55000000000000004">
      <c r="F13" s="12">
        <v>3</v>
      </c>
      <c r="G13" s="12">
        <v>3</v>
      </c>
      <c r="H13" s="12">
        <v>3</v>
      </c>
      <c r="J13" s="28">
        <v>8</v>
      </c>
    </row>
    <row r="14" spans="1:10" x14ac:dyDescent="0.55000000000000004">
      <c r="F14" s="12">
        <v>5</v>
      </c>
      <c r="G14" s="12">
        <v>6</v>
      </c>
      <c r="H14" s="12">
        <v>6</v>
      </c>
      <c r="J14" s="28">
        <v>11</v>
      </c>
    </row>
    <row r="15" spans="1:10" x14ac:dyDescent="0.55000000000000004">
      <c r="F15" s="12">
        <v>7</v>
      </c>
      <c r="G15" s="12">
        <v>7</v>
      </c>
      <c r="H15" s="12">
        <v>7</v>
      </c>
      <c r="J15" s="27"/>
    </row>
    <row r="16" spans="1:10" x14ac:dyDescent="0.55000000000000004">
      <c r="F16" s="12">
        <v>9</v>
      </c>
      <c r="G16" s="12">
        <v>10</v>
      </c>
      <c r="H16" s="12">
        <v>12</v>
      </c>
      <c r="J16" s="27"/>
    </row>
    <row r="19" spans="4:10" x14ac:dyDescent="0.55000000000000004">
      <c r="D19" s="1" t="s">
        <v>17</v>
      </c>
      <c r="E19" s="13" t="s">
        <v>22</v>
      </c>
      <c r="F19" s="12">
        <v>1</v>
      </c>
      <c r="G19" s="12">
        <v>2</v>
      </c>
      <c r="H19" s="12">
        <v>3</v>
      </c>
      <c r="J19" s="28" t="e" cm="1">
        <f t="array" ref="J19">COMPLEMENT(F19:H20)</f>
        <v>#N/A</v>
      </c>
    </row>
    <row r="20" spans="4:10" x14ac:dyDescent="0.55000000000000004">
      <c r="F20" s="12">
        <v>4</v>
      </c>
      <c r="G20" s="12">
        <v>5</v>
      </c>
      <c r="H20" s="12">
        <v>6</v>
      </c>
      <c r="J20" s="27"/>
    </row>
  </sheetData>
  <pageMargins left="0.511811024" right="0.511811024" top="0.78740157499999996" bottom="0.78740157499999996" header="0.31496062000000002" footer="0.3149606200000000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7B24-7818-435A-BA81-AEC859389AE6}">
  <sheetPr codeName="Planilha57">
    <tabColor theme="9" tint="0.59999389629810485"/>
  </sheetPr>
  <dimension ref="A1:O21"/>
  <sheetViews>
    <sheetView showGridLines="0" workbookViewId="0">
      <selection activeCell="M7" sqref="M7"/>
    </sheetView>
  </sheetViews>
  <sheetFormatPr defaultColWidth="8.796875" defaultRowHeight="18" x14ac:dyDescent="0.55000000000000004"/>
  <cols>
    <col min="1" max="1" width="12.6640625" style="17" customWidth="1"/>
    <col min="2" max="3" width="26.33203125" customWidth="1"/>
    <col min="4" max="4" width="8.796875" customWidth="1"/>
    <col min="10" max="11" width="12.33203125" bestFit="1" customWidth="1"/>
    <col min="13" max="15" width="11.33203125" style="15" bestFit="1" customWidth="1"/>
  </cols>
  <sheetData>
    <row r="1" spans="1:15" x14ac:dyDescent="0.55000000000000004">
      <c r="A1" s="16" t="s">
        <v>385</v>
      </c>
      <c r="M1" s="14"/>
      <c r="N1" s="14"/>
      <c r="O1" s="14"/>
    </row>
    <row r="2" spans="1:15" x14ac:dyDescent="0.55000000000000004">
      <c r="A2" s="17" t="s">
        <v>394</v>
      </c>
      <c r="M2" s="14"/>
      <c r="N2" s="14"/>
      <c r="O2" s="14"/>
    </row>
    <row r="3" spans="1:15" ht="14.25" x14ac:dyDescent="0.45">
      <c r="A3" t="s">
        <v>393</v>
      </c>
    </row>
    <row r="4" spans="1:15" ht="14.25" x14ac:dyDescent="0.45">
      <c r="A4" s="85"/>
    </row>
    <row r="5" spans="1:15" ht="15.75" x14ac:dyDescent="0.5">
      <c r="A5" s="2" t="s">
        <v>15</v>
      </c>
      <c r="B5" s="2" t="s">
        <v>16</v>
      </c>
      <c r="C5" s="2"/>
    </row>
    <row r="6" spans="1:15" ht="15.75" x14ac:dyDescent="0.45">
      <c r="A6" s="23" t="s">
        <v>386</v>
      </c>
      <c r="B6" s="26" t="s">
        <v>314</v>
      </c>
      <c r="C6" s="26"/>
    </row>
    <row r="7" spans="1:15" ht="63" x14ac:dyDescent="0.45">
      <c r="A7" s="23" t="s">
        <v>387</v>
      </c>
      <c r="B7" s="26" t="s">
        <v>392</v>
      </c>
      <c r="C7" s="26"/>
    </row>
    <row r="8" spans="1:15" ht="47.25" x14ac:dyDescent="0.45">
      <c r="A8" s="23" t="s">
        <v>388</v>
      </c>
      <c r="B8" s="26" t="s">
        <v>389</v>
      </c>
      <c r="C8" s="26"/>
    </row>
    <row r="9" spans="1:15" ht="15.75" x14ac:dyDescent="0.45">
      <c r="A9" s="23"/>
      <c r="B9" s="26"/>
      <c r="C9" s="26"/>
    </row>
    <row r="10" spans="1:15" ht="15.75" x14ac:dyDescent="0.45">
      <c r="A10" s="23"/>
    </row>
    <row r="11" spans="1:15" ht="15.75" x14ac:dyDescent="0.45">
      <c r="A11" s="23"/>
    </row>
    <row r="12" spans="1:15" x14ac:dyDescent="0.55000000000000004">
      <c r="J12" s="48" t="s">
        <v>390</v>
      </c>
      <c r="K12" s="48" t="s">
        <v>391</v>
      </c>
    </row>
    <row r="13" spans="1:15" x14ac:dyDescent="0.55000000000000004">
      <c r="D13" s="1" t="s">
        <v>17</v>
      </c>
      <c r="E13" s="13" t="s">
        <v>386</v>
      </c>
      <c r="F13" s="12">
        <v>1</v>
      </c>
      <c r="G13" s="12">
        <v>2</v>
      </c>
      <c r="H13" s="12">
        <v>2</v>
      </c>
      <c r="J13" s="12" t="b">
        <v>1</v>
      </c>
      <c r="K13" s="12" t="b">
        <v>1</v>
      </c>
      <c r="M13" s="28" cm="1">
        <f t="array" ref="M13:O17">_xlfn.LAMBDA(_xlpm.range,_xlop.sortRows,_xlop.asc,
    _xlfn.LET(
        _xlpm.asc, IF(_xlfn.ISOMITTED(_xlpm.asc),TRUE,_xlpm.asc),
        _xlpm.nRows, ROWS(_xlpm.range),
        _xlpm.mCols, COLUMNS(_xlpm.range),
        _xlfn.SWITCH(IF(_xlpm.sortRows,1), 1,
            _xlfn.MAKEARRAY(_xlpm.nRows,_xlpm.mCols,
                _xlfn.LAMBDA(_xlpm.i,_xlpm.j,
                    INDEX( _xlfn.BYROW(_xlpm.range,
                            _xlfn.LAMBDA(_xlpm.value,
                                IF( _xlpm.asc,
                                    _xlfn.LET(_xlpm.sortedValue, _xlfn._xlws.SORT(_xlpm.value,,,TRUE), SLICE(_xlpm.sortedValue,1,1,_xlpm.j,_xlpm.j)),
                                    _xlfn.LET(_xlpm.sortedValue, _xlfn._xlws.SORT(_xlpm.value,,-1,TRUE), SLICE(_xlpm.sortedValue, 1,1,_xlpm.j,_xlpm.j))
                                )
                            )
                    ), _xlpm.i, 1)
                )
            ),
            _xlfn.MAKEARRAY(_xlpm.nRows,_xlpm.mCols,
                _xlfn.LAMBDA(_xlpm.i,_xlpm.j,
                    INDEX( _xlfn.BYCOL(_xlpm.range,
                        _xlfn.LAMBDA(_xlpm.value,
                            IF( _xlpm.asc,
                                _xlfn.LET(_xlpm.sortedValue, _xlfn._xlws.SORT(_xlpm.value,,,FALSE), SLICE(_xlpm.sortedValue, _xlpm.i, _xlpm.i, 1, 1)),
                                _xlfn.LET(_xlpm.sortedValue, _xlfn._xlws.SORT(_xlpm.value,,-1,FALSE), SLICE(_xlpm.sortedValue, _xlpm.i, _xlpm.i, 1, 1))
                            )
                        )
                    ), 1, _xlpm.j)
                )
            )
        )
    )
)(F13:H17,$J$13,$K$13)</f>
        <v>1</v>
      </c>
      <c r="N13" s="28">
        <v>2</v>
      </c>
      <c r="O13" s="28">
        <v>2</v>
      </c>
    </row>
    <row r="14" spans="1:15" x14ac:dyDescent="0.55000000000000004">
      <c r="F14" s="12" t="s">
        <v>328</v>
      </c>
      <c r="G14" s="12" t="s">
        <v>327</v>
      </c>
      <c r="H14" s="12">
        <v>1</v>
      </c>
      <c r="M14" s="28">
        <v>1</v>
      </c>
      <c r="N14" s="28" t="str">
        <v>a</v>
      </c>
      <c r="O14" s="28" t="str">
        <v>b</v>
      </c>
    </row>
    <row r="15" spans="1:15" x14ac:dyDescent="0.55000000000000004">
      <c r="F15" s="12">
        <v>5</v>
      </c>
      <c r="G15" s="12">
        <v>6</v>
      </c>
      <c r="H15" s="12">
        <v>6</v>
      </c>
      <c r="M15" s="28">
        <v>5</v>
      </c>
      <c r="N15" s="28">
        <v>6</v>
      </c>
      <c r="O15" s="28">
        <v>6</v>
      </c>
    </row>
    <row r="16" spans="1:15" x14ac:dyDescent="0.55000000000000004">
      <c r="F16" s="12">
        <v>7</v>
      </c>
      <c r="G16" s="12">
        <v>7</v>
      </c>
      <c r="H16" s="12">
        <v>5</v>
      </c>
      <c r="M16" s="28">
        <v>5</v>
      </c>
      <c r="N16" s="28">
        <v>7</v>
      </c>
      <c r="O16" s="28">
        <v>7</v>
      </c>
    </row>
    <row r="17" spans="4:15" x14ac:dyDescent="0.55000000000000004">
      <c r="F17" s="12">
        <v>9</v>
      </c>
      <c r="G17" s="12">
        <v>10</v>
      </c>
      <c r="H17" s="12">
        <v>12</v>
      </c>
      <c r="M17" s="28">
        <v>9</v>
      </c>
      <c r="N17" s="28">
        <v>10</v>
      </c>
      <c r="O17" s="28">
        <v>12</v>
      </c>
    </row>
    <row r="18" spans="4:15" s="21" customFormat="1" ht="14.25" x14ac:dyDescent="0.45">
      <c r="D18"/>
      <c r="E18"/>
      <c r="F18"/>
      <c r="G18"/>
      <c r="H18"/>
      <c r="I18"/>
      <c r="J18"/>
      <c r="K18"/>
      <c r="L18"/>
      <c r="M18" s="27"/>
      <c r="N18" s="27"/>
      <c r="O18" s="27"/>
    </row>
    <row r="19" spans="4:15" s="21" customFormat="1" ht="14.25" x14ac:dyDescent="0.45">
      <c r="D19"/>
      <c r="E19"/>
      <c r="F19"/>
      <c r="G19"/>
      <c r="H19"/>
      <c r="I19"/>
      <c r="J19" s="48" t="s">
        <v>390</v>
      </c>
      <c r="K19" s="48" t="s">
        <v>391</v>
      </c>
      <c r="L19"/>
      <c r="M19" s="27"/>
      <c r="N19" s="27"/>
      <c r="O19" s="27"/>
    </row>
    <row r="20" spans="4:15" s="21" customFormat="1" ht="14.25" x14ac:dyDescent="0.45">
      <c r="D20" s="1" t="s">
        <v>17</v>
      </c>
      <c r="E20" s="13" t="s">
        <v>386</v>
      </c>
      <c r="F20" s="12">
        <v>10</v>
      </c>
      <c r="G20" s="12">
        <v>2</v>
      </c>
      <c r="H20" s="12">
        <v>30</v>
      </c>
      <c r="I20"/>
      <c r="J20" s="12" t="b">
        <v>0</v>
      </c>
      <c r="K20" s="12" t="b">
        <v>1</v>
      </c>
      <c r="L20"/>
      <c r="M20" s="28" cm="1">
        <f t="array" ref="M20:O21">SORTRANGE($F$20:$H$21,$J$20,$K$20)</f>
        <v>4</v>
      </c>
      <c r="N20" s="28">
        <v>2</v>
      </c>
      <c r="O20" s="28">
        <v>6</v>
      </c>
    </row>
    <row r="21" spans="4:15" s="21" customFormat="1" ht="14.25" x14ac:dyDescent="0.45">
      <c r="D21"/>
      <c r="E21"/>
      <c r="F21" s="12">
        <v>4</v>
      </c>
      <c r="G21" s="12">
        <v>50</v>
      </c>
      <c r="H21" s="12">
        <v>6</v>
      </c>
      <c r="I21"/>
      <c r="J21"/>
      <c r="K21"/>
      <c r="L21"/>
      <c r="M21" s="28">
        <v>10</v>
      </c>
      <c r="N21" s="28">
        <v>50</v>
      </c>
      <c r="O21" s="28">
        <v>30</v>
      </c>
    </row>
  </sheetData>
  <pageMargins left="0.511811024" right="0.511811024" top="0.78740157499999996" bottom="0.78740157499999996" header="0.31496062000000002" footer="0.3149606200000000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01F62-951E-4AA6-89B0-C766D18A6EF8}">
  <sheetPr codeName="Planilha69">
    <tabColor theme="9" tint="0.59999389629810485"/>
  </sheetPr>
  <dimension ref="A1:V21"/>
  <sheetViews>
    <sheetView showGridLines="0" workbookViewId="0">
      <selection activeCell="H6" sqref="H6"/>
    </sheetView>
  </sheetViews>
  <sheetFormatPr defaultColWidth="8.796875" defaultRowHeight="18" x14ac:dyDescent="0.55000000000000004"/>
  <cols>
    <col min="1" max="1" width="19.33203125" style="17" customWidth="1"/>
    <col min="2" max="2" width="65.33203125" customWidth="1"/>
    <col min="3" max="3" width="7.796875" customWidth="1"/>
    <col min="4" max="4" width="8.796875" customWidth="1"/>
    <col min="10" max="11" width="12.33203125" bestFit="1" customWidth="1"/>
    <col min="12" max="12" width="17.6640625" customWidth="1"/>
    <col min="14" max="16" width="11.33203125" style="15" bestFit="1" customWidth="1"/>
    <col min="17" max="20" width="8.796875" style="21"/>
    <col min="21" max="21" width="10.6640625" style="21" customWidth="1"/>
    <col min="22" max="22" width="8.796875" style="21"/>
  </cols>
  <sheetData>
    <row r="1" spans="1:16" x14ac:dyDescent="0.55000000000000004">
      <c r="A1" s="16" t="s">
        <v>916</v>
      </c>
      <c r="N1" s="14"/>
      <c r="O1" s="14"/>
      <c r="P1" s="14"/>
    </row>
    <row r="2" spans="1:16" x14ac:dyDescent="0.55000000000000004">
      <c r="A2" s="17" t="s">
        <v>917</v>
      </c>
      <c r="N2" s="14"/>
      <c r="O2" s="14"/>
      <c r="P2" s="14"/>
    </row>
    <row r="3" spans="1:16" ht="14.25" x14ac:dyDescent="0.45">
      <c r="A3" s="85"/>
    </row>
    <row r="4" spans="1:16" ht="15.75" x14ac:dyDescent="0.5">
      <c r="A4" s="2" t="s">
        <v>15</v>
      </c>
      <c r="B4" s="2" t="s">
        <v>16</v>
      </c>
      <c r="C4" s="2"/>
    </row>
    <row r="5" spans="1:16" ht="15.75" x14ac:dyDescent="0.45">
      <c r="A5" s="23" t="s">
        <v>386</v>
      </c>
      <c r="B5" s="26" t="s">
        <v>314</v>
      </c>
      <c r="C5" s="26"/>
    </row>
    <row r="6" spans="1:16" ht="31.5" x14ac:dyDescent="0.45">
      <c r="A6" s="23" t="s">
        <v>918</v>
      </c>
      <c r="B6" s="26" t="s">
        <v>919</v>
      </c>
      <c r="C6" s="26"/>
    </row>
    <row r="7" spans="1:16" ht="31.5" x14ac:dyDescent="0.45">
      <c r="A7" s="23" t="s">
        <v>388</v>
      </c>
      <c r="B7" s="26" t="s">
        <v>920</v>
      </c>
      <c r="C7" s="26"/>
    </row>
    <row r="8" spans="1:16" ht="48.75" customHeight="1" x14ac:dyDescent="0.45">
      <c r="A8" s="23" t="s">
        <v>922</v>
      </c>
      <c r="B8" s="26" t="s">
        <v>924</v>
      </c>
      <c r="C8" s="26"/>
    </row>
    <row r="9" spans="1:16" ht="15.75" x14ac:dyDescent="0.45">
      <c r="A9" s="23"/>
      <c r="B9" s="26"/>
      <c r="C9" s="26"/>
    </row>
    <row r="10" spans="1:16" ht="15.75" x14ac:dyDescent="0.45">
      <c r="A10" s="23"/>
    </row>
    <row r="11" spans="1:16" ht="15.75" x14ac:dyDescent="0.45">
      <c r="A11" s="23"/>
    </row>
    <row r="13" spans="1:16" x14ac:dyDescent="0.55000000000000004">
      <c r="D13" s="1" t="s">
        <v>17</v>
      </c>
      <c r="E13" s="13" t="s">
        <v>386</v>
      </c>
      <c r="F13" s="12">
        <v>1</v>
      </c>
      <c r="G13" s="12">
        <v>2</v>
      </c>
      <c r="H13" s="12">
        <v>2</v>
      </c>
      <c r="J13" s="48" t="s">
        <v>921</v>
      </c>
      <c r="K13" s="48" t="s">
        <v>391</v>
      </c>
      <c r="L13" s="48" t="s">
        <v>923</v>
      </c>
      <c r="N13" s="28" cm="1">
        <f t="array" ref="N13:P17">_xlfn.LAMBDA(_xlpm.range,_xlop.rankRows,_xlop.asc,_xlop.uniqueRanksOnly,
    _xlfn.LET(
        _xlpm.asc, IF(OR(_xlfn.ISOMITTED(_xlpm.asc),ISBLANK(_xlpm.asc)),TRUE,_xlpm.asc),
        _xlpm.uniqueRanksOnly, IF(OR(_xlfn.ISOMITTED(_xlpm.uniqueRanksOnly),ISBLANK(_xlpm.uniqueRanksOnly)),FALSE,_xlpm.uniqueRanksOnly),
        _xlpm.nRows, ROWS(_xlpm.range),
        _xlpm.mCols, COLUMNS(_xlpm.range),
        _xlfn.SWITCH(IF(_xlpm.rankRows,1), 1,
            _xlfn.LET(_xlpm.nonExclusive, _xlfn.MAKEARRAY(ROWS(_xlpm.range), COLUMNS(_xlpm.range), _xlfn.LAMBDA(_xlpm.row,_xlpm.col,
            IF(_xlpm.asc, SUM(--(INDEX(_xlpm.range,_xlpm.row,0) &lt; INDEX(_xlpm.range,_xlpm.row,_xlpm.col)))+1, SUM(--(INDEX(_xlpm.range,_xlpm.row,0) &gt; INDEX(_xlpm.range,_xlpm.row,_xlpm.col)))+1)
            )),
            IF(_xlpm.uniqueRanksOnly=FALSE, _xlpm.nonExclusive,
            _xlfn.MAKEARRAY(ROWS(_xlpm.range), COLUMNS(_xlpm.range), _xlfn.LAMBDA(_xlpm.row,_xlpm.col,
            INDEX(_xlpm.nonExclusive, _xlpm.row, _xlpm.col) + SUM(1*(INDEX(_xlpm.nonExclusive, _xlpm.row, _xlpm.col)=SLICE(_xlpm.nonExclusive,_xlpm.row,_xlpm.row,1,_xlpm.col))) - 1
            ))
            )),
            _xlfn.LET(_xlpm.nonExclusive, _xlfn.MAKEARRAY(ROWS(_xlpm.range), COLUMNS(_xlpm.range), _xlfn.LAMBDA(_xlpm.row,_xlpm.col,
            IF(_xlpm.asc, SUM(--(INDEX(_xlpm.range,0,_xlpm.col) &lt; INDEX(_xlpm.range,_xlpm.row,_xlpm.col)))+1, SUM(--(INDEX(_xlpm.range,0,_xlpm.col) &gt; INDEX(_xlpm.range,_xlpm.row,_xlpm.col)))+1)
            )),
            IF(_xlpm.uniqueRanksOnly=FALSE, _xlpm.nonExclusive,
            _xlfn.MAKEARRAY(ROWS(_xlpm.range), COLUMNS(_xlpm.range), _xlfn.LAMBDA(_xlpm.row,_xlpm.col,
            INDEX(_xlpm.nonExclusive, _xlpm.row, _xlpm.col) + SUM(1*(INDEX(_xlpm.nonExclusive, _xlpm.row, _xlpm.col)=SLICE(_xlpm.nonExclusive,1,_xlpm.row,_xlpm.col,_xlpm.col))) - 1
            ))
            ))
        )
    )
)(F13:H17,$J$14,$K$14,$L$14)</f>
        <v>1</v>
      </c>
      <c r="O13" s="28">
        <v>2</v>
      </c>
      <c r="P13" s="28">
        <v>2</v>
      </c>
    </row>
    <row r="14" spans="1:16" x14ac:dyDescent="0.55000000000000004">
      <c r="F14" s="12" t="s">
        <v>328</v>
      </c>
      <c r="G14" s="12" t="s">
        <v>327</v>
      </c>
      <c r="H14" s="12">
        <v>1</v>
      </c>
      <c r="J14" s="12" t="b">
        <v>1</v>
      </c>
      <c r="K14" s="12" t="b">
        <v>1</v>
      </c>
      <c r="L14" s="12" t="b">
        <v>0</v>
      </c>
      <c r="N14" s="28">
        <v>3</v>
      </c>
      <c r="O14" s="28">
        <v>2</v>
      </c>
      <c r="P14" s="28">
        <v>1</v>
      </c>
    </row>
    <row r="15" spans="1:16" x14ac:dyDescent="0.55000000000000004">
      <c r="F15" s="12">
        <v>5</v>
      </c>
      <c r="G15" s="12">
        <v>6</v>
      </c>
      <c r="H15" s="12">
        <v>6</v>
      </c>
      <c r="N15" s="28">
        <v>1</v>
      </c>
      <c r="O15" s="28">
        <v>2</v>
      </c>
      <c r="P15" s="28">
        <v>2</v>
      </c>
    </row>
    <row r="16" spans="1:16" x14ac:dyDescent="0.55000000000000004">
      <c r="F16" s="12">
        <v>7</v>
      </c>
      <c r="G16" s="12">
        <v>7</v>
      </c>
      <c r="H16" s="12">
        <v>5</v>
      </c>
      <c r="N16" s="28">
        <v>2</v>
      </c>
      <c r="O16" s="28">
        <v>2</v>
      </c>
      <c r="P16" s="28">
        <v>1</v>
      </c>
    </row>
    <row r="17" spans="4:16" s="21" customFormat="1" ht="14.25" x14ac:dyDescent="0.45">
      <c r="D17"/>
      <c r="E17"/>
      <c r="F17" s="12">
        <v>9</v>
      </c>
      <c r="G17" s="12">
        <v>10</v>
      </c>
      <c r="H17" s="12">
        <v>12</v>
      </c>
      <c r="I17"/>
      <c r="J17"/>
      <c r="K17"/>
      <c r="L17"/>
      <c r="M17"/>
      <c r="N17" s="28">
        <v>1</v>
      </c>
      <c r="O17" s="28">
        <v>2</v>
      </c>
      <c r="P17" s="28">
        <v>3</v>
      </c>
    </row>
    <row r="18" spans="4:16" s="21" customFormat="1" ht="14.25" x14ac:dyDescent="0.45">
      <c r="D18"/>
      <c r="E18"/>
      <c r="F18"/>
      <c r="G18"/>
      <c r="H18"/>
      <c r="I18"/>
      <c r="J18"/>
      <c r="K18"/>
      <c r="L18"/>
      <c r="M18"/>
      <c r="N18" s="27"/>
      <c r="O18" s="27"/>
      <c r="P18" s="27"/>
    </row>
    <row r="19" spans="4:16" s="21" customFormat="1" ht="14.25" x14ac:dyDescent="0.45">
      <c r="D19"/>
      <c r="E19"/>
      <c r="F19"/>
      <c r="G19"/>
      <c r="H19"/>
      <c r="I19"/>
      <c r="J19"/>
      <c r="K19"/>
      <c r="L19"/>
      <c r="M19"/>
      <c r="N19" s="27"/>
      <c r="O19" s="27"/>
      <c r="P19" s="27"/>
    </row>
    <row r="20" spans="4:16" s="21" customFormat="1" ht="14.25" x14ac:dyDescent="0.45">
      <c r="D20" s="1" t="s">
        <v>17</v>
      </c>
      <c r="E20" s="13" t="s">
        <v>386</v>
      </c>
      <c r="F20" s="12">
        <v>10</v>
      </c>
      <c r="G20" s="12">
        <v>2</v>
      </c>
      <c r="H20" s="12">
        <v>30</v>
      </c>
      <c r="I20"/>
      <c r="J20" s="48" t="s">
        <v>921</v>
      </c>
      <c r="K20" s="48" t="s">
        <v>391</v>
      </c>
      <c r="L20" s="48" t="s">
        <v>923</v>
      </c>
      <c r="M20"/>
      <c r="N20" s="28" cm="1">
        <f t="array" ref="N20:P21">RANKRANGE($F$20:$H$21,$J$21,$K$21,$L$21)</f>
        <v>2</v>
      </c>
      <c r="O20" s="28">
        <v>1</v>
      </c>
      <c r="P20" s="28">
        <v>2</v>
      </c>
    </row>
    <row r="21" spans="4:16" s="21" customFormat="1" ht="14.25" x14ac:dyDescent="0.45">
      <c r="D21"/>
      <c r="E21"/>
      <c r="F21" s="12">
        <v>4</v>
      </c>
      <c r="G21" s="12">
        <v>50</v>
      </c>
      <c r="H21" s="12">
        <v>6</v>
      </c>
      <c r="I21"/>
      <c r="J21" s="12" t="b">
        <v>0</v>
      </c>
      <c r="K21" s="12" t="b">
        <v>1</v>
      </c>
      <c r="L21" s="12" t="b">
        <v>0</v>
      </c>
      <c r="M21"/>
      <c r="N21" s="28">
        <v>1</v>
      </c>
      <c r="O21" s="28">
        <v>2</v>
      </c>
      <c r="P21" s="28">
        <v>1</v>
      </c>
    </row>
  </sheetData>
  <pageMargins left="0.511811024" right="0.511811024" top="0.78740157499999996" bottom="0.78740157499999996" header="0.31496062000000002" footer="0.3149606200000000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3BA59-CF44-426C-B632-C67E752CC748}">
  <sheetPr codeName="Planilha58">
    <tabColor theme="9" tint="0.59999389629810485"/>
  </sheetPr>
  <dimension ref="A1:U19"/>
  <sheetViews>
    <sheetView showGridLines="0" workbookViewId="0">
      <selection activeCell="M11" sqref="M11"/>
    </sheetView>
  </sheetViews>
  <sheetFormatPr defaultColWidth="8.796875" defaultRowHeight="18" x14ac:dyDescent="0.55000000000000004"/>
  <cols>
    <col min="1" max="1" width="12.6640625" style="17" customWidth="1"/>
    <col min="2" max="3" width="26.33203125" customWidth="1"/>
    <col min="4" max="4" width="8.796875" customWidth="1"/>
    <col min="13" max="13" width="12.33203125" style="15" bestFit="1" customWidth="1"/>
    <col min="14" max="21" width="8.796875" style="21"/>
  </cols>
  <sheetData>
    <row r="1" spans="1:13" x14ac:dyDescent="0.55000000000000004">
      <c r="A1" s="16" t="s">
        <v>395</v>
      </c>
      <c r="M1" s="14"/>
    </row>
    <row r="2" spans="1:13" x14ac:dyDescent="0.55000000000000004">
      <c r="A2" s="17" t="s">
        <v>396</v>
      </c>
      <c r="M2" s="14"/>
    </row>
    <row r="4" spans="1:13" ht="15.75" x14ac:dyDescent="0.5">
      <c r="A4" s="2" t="s">
        <v>15</v>
      </c>
      <c r="B4" s="2" t="s">
        <v>16</v>
      </c>
      <c r="C4" s="2"/>
    </row>
    <row r="5" spans="1:13" ht="31.5" x14ac:dyDescent="0.45">
      <c r="A5" s="23" t="s">
        <v>397</v>
      </c>
      <c r="B5" s="26" t="s">
        <v>400</v>
      </c>
      <c r="C5" s="26"/>
    </row>
    <row r="6" spans="1:13" ht="15.75" x14ac:dyDescent="0.45">
      <c r="A6" s="23" t="s">
        <v>22</v>
      </c>
      <c r="B6" s="26" t="s">
        <v>314</v>
      </c>
      <c r="C6" s="26"/>
    </row>
    <row r="7" spans="1:13" ht="15.75" x14ac:dyDescent="0.45">
      <c r="A7" s="23"/>
      <c r="B7" s="26"/>
      <c r="C7" s="26"/>
    </row>
    <row r="8" spans="1:13" ht="15.75" x14ac:dyDescent="0.5">
      <c r="A8" s="2" t="s">
        <v>315</v>
      </c>
    </row>
    <row r="9" spans="1:13" ht="15.75" x14ac:dyDescent="0.45">
      <c r="A9" s="23" t="s">
        <v>401</v>
      </c>
    </row>
    <row r="11" spans="1:13" x14ac:dyDescent="0.55000000000000004">
      <c r="D11" s="1" t="s">
        <v>17</v>
      </c>
      <c r="E11" s="13" t="s">
        <v>397</v>
      </c>
      <c r="F11" s="12">
        <v>6</v>
      </c>
      <c r="H11" s="13" t="s">
        <v>22</v>
      </c>
      <c r="I11" s="12">
        <v>1</v>
      </c>
      <c r="J11" s="12">
        <v>2</v>
      </c>
      <c r="K11" s="12">
        <v>2</v>
      </c>
      <c r="M11" s="28" t="b" cm="1">
        <f t="array" ref="M11">_xlfn.LAMBDA(_xlpm.value,_xlpm.matrix,
SUM(1*(_xlpm.matrix=_xlpm.value)) = 1
)($F$11,$I$11:$K$15)</f>
        <v>1</v>
      </c>
    </row>
    <row r="12" spans="1:13" x14ac:dyDescent="0.55000000000000004">
      <c r="I12" s="12">
        <v>3</v>
      </c>
      <c r="J12" s="12">
        <v>3</v>
      </c>
      <c r="K12" s="12">
        <v>3</v>
      </c>
      <c r="M12" s="28"/>
    </row>
    <row r="13" spans="1:13" x14ac:dyDescent="0.55000000000000004">
      <c r="I13" s="12">
        <v>5</v>
      </c>
      <c r="J13" s="12">
        <v>6</v>
      </c>
      <c r="K13" s="12">
        <v>7</v>
      </c>
      <c r="M13" s="28"/>
    </row>
    <row r="14" spans="1:13" x14ac:dyDescent="0.55000000000000004">
      <c r="I14" s="12">
        <v>7</v>
      </c>
      <c r="J14" s="12">
        <v>7</v>
      </c>
      <c r="K14" s="12">
        <v>7</v>
      </c>
      <c r="M14" s="27"/>
    </row>
    <row r="15" spans="1:13" x14ac:dyDescent="0.55000000000000004">
      <c r="I15" s="12">
        <v>9</v>
      </c>
      <c r="J15" s="12">
        <v>10</v>
      </c>
      <c r="K15" s="12">
        <v>12</v>
      </c>
      <c r="M15" s="27"/>
    </row>
    <row r="18" spans="4:13" s="21" customFormat="1" ht="14.25" x14ac:dyDescent="0.45">
      <c r="D18" s="1" t="s">
        <v>17</v>
      </c>
      <c r="E18" s="13" t="s">
        <v>397</v>
      </c>
      <c r="F18" s="12" t="s">
        <v>398</v>
      </c>
      <c r="G18"/>
      <c r="H18" s="13" t="s">
        <v>22</v>
      </c>
      <c r="I18" s="12">
        <v>1</v>
      </c>
      <c r="J18" s="12" t="s">
        <v>399</v>
      </c>
      <c r="K18" s="12" t="s">
        <v>398</v>
      </c>
      <c r="L18"/>
      <c r="M18" s="28" t="b" cm="1">
        <f t="array" ref="M18">ISUNIQUE($F$18,$I$18:$K$19)</f>
        <v>0</v>
      </c>
    </row>
    <row r="19" spans="4:13" s="21" customFormat="1" ht="14.25" x14ac:dyDescent="0.45">
      <c r="D19"/>
      <c r="E19"/>
      <c r="F19"/>
      <c r="G19"/>
      <c r="H19"/>
      <c r="I19" s="12">
        <v>4</v>
      </c>
      <c r="J19" s="12" t="s">
        <v>398</v>
      </c>
      <c r="K19" s="12">
        <v>6</v>
      </c>
      <c r="L19"/>
      <c r="M19" s="27"/>
    </row>
  </sheetData>
  <pageMargins left="0.511811024" right="0.511811024" top="0.78740157499999996" bottom="0.78740157499999996" header="0.31496062000000002" footer="0.3149606200000000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1A9CF-7585-4409-8BCF-5151AE825FCF}">
  <sheetPr codeName="Planilha59">
    <tabColor theme="9" tint="0.59999389629810485"/>
  </sheetPr>
  <dimension ref="A1:M675"/>
  <sheetViews>
    <sheetView showGridLines="0" workbookViewId="0">
      <selection activeCell="L17" sqref="L17"/>
    </sheetView>
  </sheetViews>
  <sheetFormatPr defaultColWidth="8.796875" defaultRowHeight="14.25" x14ac:dyDescent="0.45"/>
  <cols>
    <col min="1" max="1" width="17.6640625" customWidth="1"/>
    <col min="2" max="2" width="43.6640625" customWidth="1"/>
    <col min="3" max="3" width="4.33203125" customWidth="1"/>
    <col min="4" max="4" width="10.6640625" bestFit="1" customWidth="1"/>
    <col min="7" max="7" width="16.796875" bestFit="1" customWidth="1"/>
    <col min="9" max="9" width="10.6640625" bestFit="1" customWidth="1"/>
    <col min="11" max="11" width="4" customWidth="1"/>
    <col min="12" max="12" width="10.6640625" bestFit="1" customWidth="1"/>
    <col min="14" max="15" width="9.6640625" bestFit="1" customWidth="1"/>
  </cols>
  <sheetData>
    <row r="1" spans="1:13" ht="23.25" x14ac:dyDescent="0.7">
      <c r="A1" s="4" t="s">
        <v>554</v>
      </c>
      <c r="B1" s="4"/>
    </row>
    <row r="2" spans="1:13" ht="18" x14ac:dyDescent="0.55000000000000004">
      <c r="A2" s="17" t="s">
        <v>574</v>
      </c>
    </row>
    <row r="3" spans="1:13" ht="18" x14ac:dyDescent="0.55000000000000004">
      <c r="A3" s="17"/>
    </row>
    <row r="4" spans="1:13" ht="15.75" x14ac:dyDescent="0.5">
      <c r="A4" s="2" t="s">
        <v>15</v>
      </c>
      <c r="B4" s="2" t="s">
        <v>16</v>
      </c>
    </row>
    <row r="5" spans="1:13" ht="15.75" x14ac:dyDescent="0.45">
      <c r="A5" s="26" t="s">
        <v>156</v>
      </c>
      <c r="B5" s="26" t="s">
        <v>555</v>
      </c>
    </row>
    <row r="6" spans="1:13" ht="15.75" x14ac:dyDescent="0.45">
      <c r="A6" s="26" t="s">
        <v>165</v>
      </c>
      <c r="B6" s="26" t="s">
        <v>556</v>
      </c>
    </row>
    <row r="7" spans="1:13" ht="15.75" x14ac:dyDescent="0.45">
      <c r="A7" s="26" t="s">
        <v>557</v>
      </c>
      <c r="B7" s="26" t="s">
        <v>558</v>
      </c>
    </row>
    <row r="8" spans="1:13" ht="15.75" x14ac:dyDescent="0.45">
      <c r="A8" s="26" t="s">
        <v>559</v>
      </c>
      <c r="B8" s="26" t="s">
        <v>560</v>
      </c>
    </row>
    <row r="9" spans="1:13" ht="31.5" x14ac:dyDescent="0.45">
      <c r="A9" s="26" t="s">
        <v>561</v>
      </c>
      <c r="B9" s="26" t="s">
        <v>562</v>
      </c>
    </row>
    <row r="10" spans="1:13" ht="31.5" x14ac:dyDescent="0.45">
      <c r="A10" s="26" t="s">
        <v>563</v>
      </c>
      <c r="B10" s="26" t="s">
        <v>564</v>
      </c>
    </row>
    <row r="11" spans="1:13" ht="15.75" x14ac:dyDescent="0.45">
      <c r="A11" s="26"/>
      <c r="B11" s="26"/>
      <c r="F11" s="82" t="s">
        <v>565</v>
      </c>
      <c r="G11" s="12">
        <v>12</v>
      </c>
    </row>
    <row r="12" spans="1:13" ht="15.75" x14ac:dyDescent="0.45">
      <c r="A12" s="26"/>
      <c r="B12" s="26"/>
      <c r="F12" s="82" t="s">
        <v>566</v>
      </c>
      <c r="G12" s="12">
        <v>1</v>
      </c>
    </row>
    <row r="13" spans="1:13" ht="15.75" x14ac:dyDescent="0.45">
      <c r="A13" s="26"/>
      <c r="B13" s="26"/>
      <c r="F13" s="82" t="s">
        <v>567</v>
      </c>
      <c r="G13" s="22" t="s">
        <v>568</v>
      </c>
    </row>
    <row r="14" spans="1:13" x14ac:dyDescent="0.45">
      <c r="A14" s="112"/>
      <c r="B14" s="112"/>
      <c r="L14" t="s">
        <v>554</v>
      </c>
    </row>
    <row r="15" spans="1:13" x14ac:dyDescent="0.45">
      <c r="A15" s="112"/>
      <c r="B15" s="112"/>
      <c r="D15" s="1" t="s">
        <v>569</v>
      </c>
      <c r="E15" s="1" t="s">
        <v>570</v>
      </c>
      <c r="F15" t="s">
        <v>571</v>
      </c>
      <c r="G15" t="s">
        <v>572</v>
      </c>
      <c r="H15" t="s">
        <v>571</v>
      </c>
      <c r="I15" t="s">
        <v>571</v>
      </c>
      <c r="J15" t="s">
        <v>571</v>
      </c>
      <c r="L15" s="180" t="s">
        <v>573</v>
      </c>
      <c r="M15" s="180"/>
    </row>
    <row r="17" spans="4:13" x14ac:dyDescent="0.45">
      <c r="D17" s="113">
        <v>24807</v>
      </c>
      <c r="E17" s="52">
        <v>3.3834970069999999</v>
      </c>
      <c r="F17">
        <f t="shared" ref="F17:F80" si="0">FLOOR(DAYS360(DATE(YEAR(D17),1,1),D17),30)</f>
        <v>330</v>
      </c>
      <c r="G17">
        <f>MOD(F17, 360/$G$12)</f>
        <v>330</v>
      </c>
      <c r="H17">
        <v>1</v>
      </c>
      <c r="I17" s="114">
        <f>D17</f>
        <v>24807</v>
      </c>
      <c r="J17">
        <f>AVERAGEIF($H$17:$H$675,H17,$E$17:$E$675)</f>
        <v>3.3834970069999999</v>
      </c>
      <c r="L17" s="114" cm="1">
        <f t="array" ref="L17:M70">_xlfn.LAMBDA(_xlpm.dates,_xlpm.values,_xlpm.highFreq,_xlpm.lowFreq,_xlop.method,_xlop.onlyValues,
IF(_xlpm.highFreq &lt; _xlpm.lowFreq, "# Cannot disaggregate to lower frequencies",
_xlfn.LET(
_xlpm.method, IF(_xlfn.ISOMITTED(_xlpm.method), "avg", _xlpm.method),
_xlpm.onlyValues, IF(_xlfn.ISOMITTED(_xlpm.onlyValues), FALSE, _xlpm.onlyValues),
_xlpm.step1, _xlfn.MAP(_xlpm.dates, _xlfn.LAMBDA(_xlpm.x, FLOOR(DAYS360(DATE(YEAR(_xlpm.x),1,1),_xlpm.x),30))),
_xlpm.step2, _xlfn.MAP(_xlpm.step1, _xlfn.LAMBDA(_xlpm.x, MOD(_xlpm.x, 360/_xlpm.lowFreq))),
_xlpm.step3, _xlfn.SCAN(0, _xlpm.step2, _xlfn.LAMBDA(_xlpm.accum,_xlpm.x, IF(_xlpm.x&gt;_xlpm.accum, _xlpm.accum, _xlpm.accum+1))),
_xlpm.step4_0, DATE(YEAR(_xlpm.dates), (12/_xlpm.lowFreq)*ROUNDUP(MONTH(_xlpm.dates)/(12/_xlpm.lowFreq),0) - (12/_xlpm.lowFreq) + 1, 1),
_xlpm.completeDates, _xlfn.SCAN(0, _xlpm.step4_0, _xlfn.LAMBDA(_xlpm.accum,_xlpm.x, SUM(1*(_xlpm.step4_0 = _xlpm.x)) = _xlpm.highFreq/_xlpm.lowFreq)),
_xlpm.step4_dates, _xlfn._xlws.FILTER(_xlpm.step4_0, _xlpm.completeDates),
_xlpm.step4_values, _xlfn._xlws.FILTER(_xlpm.values, _xlpm.completeDates),
_xlpm.step5, _xlfn.SWITCH(_xlpm.method,
"avg", _xlfn.MAKEARRAY(ROWS(_xlpm.step4_dates), 1, _xlfn.LAMBDA(_xlpm.row,_xlpm.col, SUM(IF(_xlpm.step4_dates = INDEX(_xlpm.step4_dates, _xlpm.row), _xlpm.step4_values, 0))  /(_xlpm.highFreq/_xlpm.lowFreq) )),
"sum", _xlfn.MAKEARRAY(ROWS(_xlpm.step4_dates), 1, _xlfn.LAMBDA(_xlpm.row,_xlpm.col, SUM(IF(_xlpm.step4_dates = INDEX(_xlpm.step4_dates, _xlpm.row), _xlpm.step4_values, 0)))),
"eop", _xlfn.MAKEARRAY(ROWS(_xlpm.step4_dates), 1, _xlfn.LAMBDA(_xlpm.row,_xlpm.col, _xlfn.TAKE(_xlfn._xlws.FILTER(_xlpm.step4_values, _xlpm.step4_dates = INDEX(_xlpm.step4_dates, _xlpm.row)), -1))),
),
_xlpm.step6, _xlfn.UNIQUE(IF(_xlpm.onlyValues, _xlpm.step5, _xlfn.HSTACK(_xlpm.step4_dates, _xlpm.step5))),
_xlpm.step6
)))($D$17:$D$675, $E$17:$E$675, $G$11, $G$12,$G$13, FALSE)</f>
        <v>24838</v>
      </c>
      <c r="M17">
        <v>4.6117472168333338</v>
      </c>
    </row>
    <row r="18" spans="4:13" x14ac:dyDescent="0.45">
      <c r="D18" s="113">
        <v>24838</v>
      </c>
      <c r="E18" s="52">
        <v>3.6599872919999998</v>
      </c>
      <c r="F18">
        <f t="shared" si="0"/>
        <v>0</v>
      </c>
      <c r="G18">
        <f t="shared" ref="G18:G81" si="1">MOD(F18, 360/$G$12)</f>
        <v>0</v>
      </c>
      <c r="H18">
        <f t="shared" ref="H18:H81" si="2">IF(G18&gt;G17,H17,H17+1)</f>
        <v>2</v>
      </c>
      <c r="I18" s="114">
        <f>EDATE(I17,(H18-H17)*(12/$G$12))</f>
        <v>25173</v>
      </c>
      <c r="J18">
        <f t="shared" ref="J18:J81" si="3">AVERAGEIF($H$17:$H$675,H18,$E$17:$E$675)</f>
        <v>4.6117472168333338</v>
      </c>
      <c r="L18" s="114">
        <v>25204</v>
      </c>
      <c r="M18">
        <v>6.3776569617499996</v>
      </c>
    </row>
    <row r="19" spans="4:13" x14ac:dyDescent="0.45">
      <c r="D19" s="113">
        <v>24869</v>
      </c>
      <c r="E19" s="52">
        <v>3.6820124989999998</v>
      </c>
      <c r="F19">
        <f t="shared" si="0"/>
        <v>30</v>
      </c>
      <c r="G19">
        <f t="shared" si="1"/>
        <v>30</v>
      </c>
      <c r="H19">
        <f t="shared" si="2"/>
        <v>2</v>
      </c>
      <c r="I19" s="114">
        <f t="shared" ref="I19:I82" si="4">EDATE(I18,(H19-H18)*(12/$G$12))</f>
        <v>25173</v>
      </c>
      <c r="J19">
        <f t="shared" si="3"/>
        <v>4.6117472168333338</v>
      </c>
      <c r="L19" s="114">
        <v>25569</v>
      </c>
      <c r="M19">
        <v>7.0800523682500005</v>
      </c>
    </row>
    <row r="20" spans="4:13" x14ac:dyDescent="0.45">
      <c r="D20" s="113">
        <v>24898</v>
      </c>
      <c r="E20" s="52">
        <v>4.1516675889999997</v>
      </c>
      <c r="F20">
        <f t="shared" si="0"/>
        <v>60</v>
      </c>
      <c r="G20">
        <f t="shared" si="1"/>
        <v>60</v>
      </c>
      <c r="H20">
        <f t="shared" si="2"/>
        <v>2</v>
      </c>
      <c r="I20" s="114">
        <f t="shared" si="4"/>
        <v>25173</v>
      </c>
      <c r="J20">
        <f t="shared" si="3"/>
        <v>4.6117472168333338</v>
      </c>
      <c r="L20" s="114">
        <v>25934</v>
      </c>
      <c r="M20">
        <v>5.1329448944166671</v>
      </c>
    </row>
    <row r="21" spans="4:13" x14ac:dyDescent="0.45">
      <c r="D21" s="113">
        <v>24929</v>
      </c>
      <c r="E21" s="52">
        <v>4.1654271740000004</v>
      </c>
      <c r="F21">
        <f t="shared" si="0"/>
        <v>90</v>
      </c>
      <c r="G21">
        <f t="shared" si="1"/>
        <v>90</v>
      </c>
      <c r="H21">
        <f t="shared" si="2"/>
        <v>2</v>
      </c>
      <c r="I21" s="114">
        <f t="shared" si="4"/>
        <v>25173</v>
      </c>
      <c r="J21">
        <f t="shared" si="3"/>
        <v>4.6117472168333338</v>
      </c>
      <c r="L21" s="114">
        <v>26299</v>
      </c>
      <c r="M21">
        <v>3.5712195252499992</v>
      </c>
    </row>
    <row r="22" spans="4:13" x14ac:dyDescent="0.45">
      <c r="D22" s="113">
        <v>24959</v>
      </c>
      <c r="E22" s="52">
        <v>4.0977044740000004</v>
      </c>
      <c r="F22">
        <f t="shared" si="0"/>
        <v>120</v>
      </c>
      <c r="G22">
        <f t="shared" si="1"/>
        <v>120</v>
      </c>
      <c r="H22">
        <f t="shared" si="2"/>
        <v>2</v>
      </c>
      <c r="I22" s="114">
        <f t="shared" si="4"/>
        <v>25173</v>
      </c>
      <c r="J22">
        <f t="shared" si="3"/>
        <v>4.6117472168333338</v>
      </c>
      <c r="L22" s="114">
        <v>26665</v>
      </c>
      <c r="M22">
        <v>3.6103678129166661</v>
      </c>
    </row>
    <row r="23" spans="4:13" x14ac:dyDescent="0.45">
      <c r="D23" s="113">
        <v>24990</v>
      </c>
      <c r="E23" s="52">
        <v>4.5575970979999996</v>
      </c>
      <c r="F23">
        <f t="shared" si="0"/>
        <v>150</v>
      </c>
      <c r="G23">
        <f t="shared" si="1"/>
        <v>150</v>
      </c>
      <c r="H23">
        <f t="shared" si="2"/>
        <v>2</v>
      </c>
      <c r="I23" s="114">
        <f t="shared" si="4"/>
        <v>25173</v>
      </c>
      <c r="J23">
        <f t="shared" si="3"/>
        <v>4.6117472168333338</v>
      </c>
      <c r="L23" s="114">
        <v>27030</v>
      </c>
      <c r="M23">
        <v>8.8286598818333335</v>
      </c>
    </row>
    <row r="24" spans="4:13" x14ac:dyDescent="0.45">
      <c r="D24" s="113">
        <v>25020</v>
      </c>
      <c r="E24" s="52">
        <v>4.7663611880000003</v>
      </c>
      <c r="F24">
        <f t="shared" si="0"/>
        <v>180</v>
      </c>
      <c r="G24">
        <f t="shared" si="1"/>
        <v>180</v>
      </c>
      <c r="H24">
        <f t="shared" si="2"/>
        <v>2</v>
      </c>
      <c r="I24" s="114">
        <f t="shared" si="4"/>
        <v>25173</v>
      </c>
      <c r="J24">
        <f t="shared" si="3"/>
        <v>4.6117472168333338</v>
      </c>
      <c r="L24" s="114">
        <v>27395</v>
      </c>
      <c r="M24">
        <v>9.9582386160833334</v>
      </c>
    </row>
    <row r="25" spans="4:13" x14ac:dyDescent="0.45">
      <c r="D25" s="113">
        <v>25051</v>
      </c>
      <c r="E25" s="52">
        <v>4.9601944309999997</v>
      </c>
      <c r="F25">
        <f t="shared" si="0"/>
        <v>210</v>
      </c>
      <c r="G25">
        <f t="shared" si="1"/>
        <v>210</v>
      </c>
      <c r="H25">
        <f t="shared" si="2"/>
        <v>2</v>
      </c>
      <c r="I25" s="114">
        <f t="shared" si="4"/>
        <v>25173</v>
      </c>
      <c r="J25">
        <f t="shared" si="3"/>
        <v>4.6117472168333338</v>
      </c>
      <c r="L25" s="114">
        <v>27760</v>
      </c>
      <c r="M25">
        <v>7.0692856911666659</v>
      </c>
    </row>
    <row r="26" spans="4:13" x14ac:dyDescent="0.45">
      <c r="D26" s="113">
        <v>25082</v>
      </c>
      <c r="E26" s="52">
        <v>4.9618491809999998</v>
      </c>
      <c r="F26">
        <f t="shared" si="0"/>
        <v>240</v>
      </c>
      <c r="G26">
        <f t="shared" si="1"/>
        <v>240</v>
      </c>
      <c r="H26">
        <f t="shared" si="2"/>
        <v>2</v>
      </c>
      <c r="I26" s="114">
        <f t="shared" si="4"/>
        <v>25173</v>
      </c>
      <c r="J26">
        <f t="shared" si="3"/>
        <v>4.6117472168333338</v>
      </c>
      <c r="L26" s="114">
        <v>28126</v>
      </c>
      <c r="M26">
        <v>6.7075894542500007</v>
      </c>
    </row>
    <row r="27" spans="4:13" x14ac:dyDescent="0.45">
      <c r="D27" s="113">
        <v>25112</v>
      </c>
      <c r="E27" s="52">
        <v>5.1983519090000003</v>
      </c>
      <c r="F27">
        <f t="shared" si="0"/>
        <v>270</v>
      </c>
      <c r="G27">
        <f t="shared" si="1"/>
        <v>270</v>
      </c>
      <c r="H27">
        <f t="shared" si="2"/>
        <v>2</v>
      </c>
      <c r="I27" s="114">
        <f t="shared" si="4"/>
        <v>25173</v>
      </c>
      <c r="J27">
        <f t="shared" si="3"/>
        <v>4.6117472168333338</v>
      </c>
      <c r="L27" s="114">
        <v>28491</v>
      </c>
      <c r="M27">
        <v>8.0957684430000008</v>
      </c>
    </row>
    <row r="28" spans="4:13" x14ac:dyDescent="0.45">
      <c r="D28" s="113">
        <v>25143</v>
      </c>
      <c r="E28" s="52">
        <v>5.4149448370000002</v>
      </c>
      <c r="F28">
        <f t="shared" si="0"/>
        <v>300</v>
      </c>
      <c r="G28">
        <f t="shared" si="1"/>
        <v>300</v>
      </c>
      <c r="H28">
        <f t="shared" si="2"/>
        <v>2</v>
      </c>
      <c r="I28" s="114">
        <f t="shared" si="4"/>
        <v>25173</v>
      </c>
      <c r="J28">
        <f t="shared" si="3"/>
        <v>4.6117472168333338</v>
      </c>
      <c r="L28" s="114">
        <v>28856</v>
      </c>
      <c r="M28">
        <v>10.595650194416667</v>
      </c>
    </row>
    <row r="29" spans="4:13" x14ac:dyDescent="0.45">
      <c r="D29" s="113">
        <v>25173</v>
      </c>
      <c r="E29" s="52">
        <v>5.7248689300000004</v>
      </c>
      <c r="F29">
        <f t="shared" si="0"/>
        <v>330</v>
      </c>
      <c r="G29">
        <f t="shared" si="1"/>
        <v>330</v>
      </c>
      <c r="H29">
        <f t="shared" si="2"/>
        <v>2</v>
      </c>
      <c r="I29" s="114">
        <f t="shared" si="4"/>
        <v>25173</v>
      </c>
      <c r="J29">
        <f t="shared" si="3"/>
        <v>4.6117472168333338</v>
      </c>
      <c r="L29" s="114">
        <v>29221</v>
      </c>
      <c r="M29">
        <v>13.887196271583333</v>
      </c>
    </row>
    <row r="30" spans="4:13" x14ac:dyDescent="0.45">
      <c r="D30" s="113">
        <v>25204</v>
      </c>
      <c r="E30" s="52">
        <v>5.7657630449999999</v>
      </c>
      <c r="F30">
        <f t="shared" si="0"/>
        <v>0</v>
      </c>
      <c r="G30">
        <f t="shared" si="1"/>
        <v>0</v>
      </c>
      <c r="H30">
        <f t="shared" si="2"/>
        <v>3</v>
      </c>
      <c r="I30" s="114">
        <f t="shared" si="4"/>
        <v>25538</v>
      </c>
      <c r="J30">
        <f t="shared" si="3"/>
        <v>6.3776569617499996</v>
      </c>
      <c r="L30" s="114">
        <v>29587</v>
      </c>
      <c r="M30">
        <v>10.789840377166664</v>
      </c>
    </row>
    <row r="31" spans="4:13" x14ac:dyDescent="0.45">
      <c r="D31" s="113">
        <v>25235</v>
      </c>
      <c r="E31" s="52">
        <v>5.7691580010000001</v>
      </c>
      <c r="F31">
        <f t="shared" si="0"/>
        <v>30</v>
      </c>
      <c r="G31">
        <f t="shared" si="1"/>
        <v>30</v>
      </c>
      <c r="H31">
        <f t="shared" si="2"/>
        <v>3</v>
      </c>
      <c r="I31" s="114">
        <f t="shared" si="4"/>
        <v>25538</v>
      </c>
      <c r="J31">
        <f t="shared" si="3"/>
        <v>6.3776569617499996</v>
      </c>
      <c r="L31" s="114">
        <v>29952</v>
      </c>
      <c r="M31">
        <v>7.6841269871666666</v>
      </c>
    </row>
    <row r="32" spans="4:13" x14ac:dyDescent="0.45">
      <c r="D32" s="113">
        <v>25263</v>
      </c>
      <c r="E32" s="52">
        <v>6.1433765319999996</v>
      </c>
      <c r="F32">
        <f t="shared" si="0"/>
        <v>60</v>
      </c>
      <c r="G32">
        <f t="shared" si="1"/>
        <v>60</v>
      </c>
      <c r="H32">
        <f t="shared" si="2"/>
        <v>3</v>
      </c>
      <c r="I32" s="114">
        <f t="shared" si="4"/>
        <v>25538</v>
      </c>
      <c r="J32">
        <f t="shared" si="3"/>
        <v>6.3776569617499996</v>
      </c>
      <c r="L32" s="114">
        <v>30317</v>
      </c>
      <c r="M32">
        <v>3.7056909053333329</v>
      </c>
    </row>
    <row r="33" spans="4:13" x14ac:dyDescent="0.45">
      <c r="D33" s="113">
        <v>25294</v>
      </c>
      <c r="E33" s="52">
        <v>6.5244476179999999</v>
      </c>
      <c r="F33">
        <f t="shared" si="0"/>
        <v>90</v>
      </c>
      <c r="G33">
        <f t="shared" si="1"/>
        <v>90</v>
      </c>
      <c r="H33">
        <f t="shared" si="2"/>
        <v>3</v>
      </c>
      <c r="I33" s="114">
        <f t="shared" si="4"/>
        <v>25538</v>
      </c>
      <c r="J33">
        <f t="shared" si="3"/>
        <v>6.3776569617499996</v>
      </c>
      <c r="L33" s="114">
        <v>30682</v>
      </c>
      <c r="M33">
        <v>4.8335659735833323</v>
      </c>
    </row>
    <row r="34" spans="4:13" x14ac:dyDescent="0.45">
      <c r="D34" s="113">
        <v>25324</v>
      </c>
      <c r="E34" s="52">
        <v>6.7993469629999996</v>
      </c>
      <c r="F34">
        <f t="shared" si="0"/>
        <v>120</v>
      </c>
      <c r="G34">
        <f t="shared" si="1"/>
        <v>120</v>
      </c>
      <c r="H34">
        <f t="shared" si="2"/>
        <v>3</v>
      </c>
      <c r="I34" s="114">
        <f t="shared" si="4"/>
        <v>25538</v>
      </c>
      <c r="J34">
        <f t="shared" si="3"/>
        <v>6.3776569617499996</v>
      </c>
      <c r="L34" s="114">
        <v>31048</v>
      </c>
      <c r="M34">
        <v>4.9301578615000006</v>
      </c>
    </row>
    <row r="35" spans="4:13" x14ac:dyDescent="0.45">
      <c r="D35" s="113">
        <v>25355</v>
      </c>
      <c r="E35" s="52">
        <v>6.3921034069999996</v>
      </c>
      <c r="F35">
        <f t="shared" si="0"/>
        <v>150</v>
      </c>
      <c r="G35">
        <f t="shared" si="1"/>
        <v>150</v>
      </c>
      <c r="H35">
        <f t="shared" si="2"/>
        <v>3</v>
      </c>
      <c r="I35" s="114">
        <f t="shared" si="4"/>
        <v>25538</v>
      </c>
      <c r="J35">
        <f t="shared" si="3"/>
        <v>6.3776569617499996</v>
      </c>
      <c r="L35" s="114">
        <v>31413</v>
      </c>
      <c r="M35">
        <v>5.001338704666666</v>
      </c>
    </row>
    <row r="36" spans="4:13" x14ac:dyDescent="0.45">
      <c r="D36" s="113">
        <v>25385</v>
      </c>
      <c r="E36" s="52">
        <v>6.4049614129999997</v>
      </c>
      <c r="F36">
        <f t="shared" si="0"/>
        <v>180</v>
      </c>
      <c r="G36">
        <f t="shared" si="1"/>
        <v>180</v>
      </c>
      <c r="H36">
        <f t="shared" si="2"/>
        <v>3</v>
      </c>
      <c r="I36" s="114">
        <f t="shared" si="4"/>
        <v>25538</v>
      </c>
      <c r="J36">
        <f t="shared" si="3"/>
        <v>6.3776569617499996</v>
      </c>
      <c r="L36" s="114">
        <v>31778</v>
      </c>
      <c r="M36">
        <v>4.3196375290000004</v>
      </c>
    </row>
    <row r="37" spans="4:13" x14ac:dyDescent="0.45">
      <c r="D37" s="113">
        <v>25416</v>
      </c>
      <c r="E37" s="52">
        <v>6.4303857659999997</v>
      </c>
      <c r="F37">
        <f t="shared" si="0"/>
        <v>210</v>
      </c>
      <c r="G37">
        <f t="shared" si="1"/>
        <v>210</v>
      </c>
      <c r="H37">
        <f t="shared" si="2"/>
        <v>3</v>
      </c>
      <c r="I37" s="114">
        <f t="shared" si="4"/>
        <v>25538</v>
      </c>
      <c r="J37">
        <f t="shared" si="3"/>
        <v>6.3776569617499996</v>
      </c>
      <c r="L37" s="114">
        <v>32143</v>
      </c>
      <c r="M37">
        <v>4.5864143740000012</v>
      </c>
    </row>
    <row r="38" spans="4:13" x14ac:dyDescent="0.45">
      <c r="D38" s="113">
        <v>25447</v>
      </c>
      <c r="E38" s="52">
        <v>6.8507957929999996</v>
      </c>
      <c r="F38">
        <f t="shared" si="0"/>
        <v>240</v>
      </c>
      <c r="G38">
        <f t="shared" si="1"/>
        <v>240</v>
      </c>
      <c r="H38">
        <f t="shared" si="2"/>
        <v>3</v>
      </c>
      <c r="I38" s="114">
        <f t="shared" si="4"/>
        <v>25538</v>
      </c>
      <c r="J38">
        <f t="shared" si="3"/>
        <v>6.3776569617499996</v>
      </c>
      <c r="L38" s="114">
        <v>32509</v>
      </c>
      <c r="M38">
        <v>4.7807034300833333</v>
      </c>
    </row>
    <row r="39" spans="4:13" x14ac:dyDescent="0.45">
      <c r="D39" s="113">
        <v>25477</v>
      </c>
      <c r="E39" s="52">
        <v>6.5747212340000001</v>
      </c>
      <c r="F39">
        <f t="shared" si="0"/>
        <v>270</v>
      </c>
      <c r="G39">
        <f t="shared" si="1"/>
        <v>270</v>
      </c>
      <c r="H39">
        <f t="shared" si="2"/>
        <v>3</v>
      </c>
      <c r="I39" s="114">
        <f t="shared" si="4"/>
        <v>25538</v>
      </c>
      <c r="J39">
        <f t="shared" si="3"/>
        <v>6.3776569617499996</v>
      </c>
      <c r="L39" s="114">
        <v>32874</v>
      </c>
      <c r="M39">
        <v>5.4553513410833325</v>
      </c>
    </row>
    <row r="40" spans="4:13" x14ac:dyDescent="0.45">
      <c r="D40" s="113">
        <v>25508</v>
      </c>
      <c r="E40" s="52">
        <v>6.4517069070000002</v>
      </c>
      <c r="F40">
        <f t="shared" si="0"/>
        <v>300</v>
      </c>
      <c r="G40">
        <f t="shared" si="1"/>
        <v>300</v>
      </c>
      <c r="H40">
        <f t="shared" si="2"/>
        <v>3</v>
      </c>
      <c r="I40" s="114">
        <f t="shared" si="4"/>
        <v>25538</v>
      </c>
      <c r="J40">
        <f t="shared" si="3"/>
        <v>6.3776569617499996</v>
      </c>
      <c r="L40" s="114">
        <v>33239</v>
      </c>
      <c r="M40">
        <v>4.94934712375</v>
      </c>
    </row>
    <row r="41" spans="4:13" x14ac:dyDescent="0.45">
      <c r="D41" s="113">
        <v>25538</v>
      </c>
      <c r="E41" s="52">
        <v>6.4251168620000003</v>
      </c>
      <c r="F41">
        <f t="shared" si="0"/>
        <v>330</v>
      </c>
      <c r="G41">
        <f t="shared" si="1"/>
        <v>330</v>
      </c>
      <c r="H41">
        <f t="shared" si="2"/>
        <v>3</v>
      </c>
      <c r="I41" s="114">
        <f t="shared" si="4"/>
        <v>25538</v>
      </c>
      <c r="J41">
        <f t="shared" si="3"/>
        <v>6.3776569617499996</v>
      </c>
      <c r="L41" s="114">
        <v>33604</v>
      </c>
      <c r="M41">
        <v>3.7854164745833327</v>
      </c>
    </row>
    <row r="42" spans="4:13" x14ac:dyDescent="0.45">
      <c r="D42" s="113">
        <v>25569</v>
      </c>
      <c r="E42" s="52">
        <v>6.6282790609999997</v>
      </c>
      <c r="F42">
        <f t="shared" si="0"/>
        <v>0</v>
      </c>
      <c r="G42">
        <f t="shared" si="1"/>
        <v>0</v>
      </c>
      <c r="H42">
        <f t="shared" si="2"/>
        <v>4</v>
      </c>
      <c r="I42" s="114">
        <f t="shared" si="4"/>
        <v>25903</v>
      </c>
      <c r="J42">
        <f t="shared" si="3"/>
        <v>7.0800523682500005</v>
      </c>
      <c r="L42" s="114">
        <v>33970</v>
      </c>
      <c r="M42">
        <v>3.5075261400833333</v>
      </c>
    </row>
    <row r="43" spans="4:13" x14ac:dyDescent="0.45">
      <c r="D43" s="113">
        <v>25600</v>
      </c>
      <c r="E43" s="52">
        <v>7.0914474900000002</v>
      </c>
      <c r="F43">
        <f t="shared" si="0"/>
        <v>30</v>
      </c>
      <c r="G43">
        <f t="shared" si="1"/>
        <v>30</v>
      </c>
      <c r="H43">
        <f t="shared" si="2"/>
        <v>4</v>
      </c>
      <c r="I43" s="114">
        <f t="shared" si="4"/>
        <v>25903</v>
      </c>
      <c r="J43">
        <f t="shared" si="3"/>
        <v>7.0800523682500005</v>
      </c>
      <c r="L43" s="114">
        <v>34335</v>
      </c>
      <c r="M43">
        <v>3.272151669249999</v>
      </c>
    </row>
    <row r="44" spans="4:13" x14ac:dyDescent="0.45">
      <c r="D44" s="113">
        <v>25628</v>
      </c>
      <c r="E44" s="52">
        <v>7.0305436959999996</v>
      </c>
      <c r="F44">
        <f t="shared" si="0"/>
        <v>60</v>
      </c>
      <c r="G44">
        <f t="shared" si="1"/>
        <v>60</v>
      </c>
      <c r="H44">
        <f t="shared" si="2"/>
        <v>4</v>
      </c>
      <c r="I44" s="114">
        <f t="shared" si="4"/>
        <v>25903</v>
      </c>
      <c r="J44">
        <f t="shared" si="3"/>
        <v>7.0800523682500005</v>
      </c>
      <c r="L44" s="114">
        <v>34700</v>
      </c>
      <c r="M44">
        <v>3.3182595421666665</v>
      </c>
    </row>
    <row r="45" spans="4:13" x14ac:dyDescent="0.45">
      <c r="D45" s="113">
        <v>25659</v>
      </c>
      <c r="E45" s="52">
        <v>6.8554231249999997</v>
      </c>
      <c r="F45">
        <f t="shared" si="0"/>
        <v>90</v>
      </c>
      <c r="G45">
        <f t="shared" si="1"/>
        <v>90</v>
      </c>
      <c r="H45">
        <f t="shared" si="2"/>
        <v>4</v>
      </c>
      <c r="I45" s="114">
        <f t="shared" si="4"/>
        <v>25903</v>
      </c>
      <c r="J45">
        <f t="shared" si="3"/>
        <v>7.0800523682500005</v>
      </c>
      <c r="L45" s="114">
        <v>35065</v>
      </c>
      <c r="M45">
        <v>3.0975148798333336</v>
      </c>
    </row>
    <row r="46" spans="4:13" x14ac:dyDescent="0.45">
      <c r="D46" s="113">
        <v>25689</v>
      </c>
      <c r="E46" s="52">
        <v>6.9858569800000003</v>
      </c>
      <c r="F46">
        <f t="shared" si="0"/>
        <v>120</v>
      </c>
      <c r="G46">
        <f t="shared" si="1"/>
        <v>120</v>
      </c>
      <c r="H46">
        <f t="shared" si="2"/>
        <v>4</v>
      </c>
      <c r="I46" s="114">
        <f t="shared" si="4"/>
        <v>25903</v>
      </c>
      <c r="J46">
        <f t="shared" si="3"/>
        <v>7.0800523682500005</v>
      </c>
      <c r="L46" s="114">
        <v>35431</v>
      </c>
      <c r="M46">
        <v>2.7571370443333336</v>
      </c>
    </row>
    <row r="47" spans="4:13" x14ac:dyDescent="0.45">
      <c r="D47" s="113">
        <v>25720</v>
      </c>
      <c r="E47" s="52">
        <v>7.1913081060000001</v>
      </c>
      <c r="F47">
        <f t="shared" si="0"/>
        <v>150</v>
      </c>
      <c r="G47">
        <f t="shared" si="1"/>
        <v>150</v>
      </c>
      <c r="H47">
        <f t="shared" si="2"/>
        <v>4</v>
      </c>
      <c r="I47" s="114">
        <f t="shared" si="4"/>
        <v>25903</v>
      </c>
      <c r="J47">
        <f t="shared" si="3"/>
        <v>7.0800523682500005</v>
      </c>
      <c r="L47" s="114">
        <v>35796</v>
      </c>
      <c r="M47">
        <v>2.6113656545833339</v>
      </c>
    </row>
    <row r="48" spans="4:13" x14ac:dyDescent="0.45">
      <c r="D48" s="113">
        <v>25750</v>
      </c>
      <c r="E48" s="52">
        <v>7.0471403700000002</v>
      </c>
      <c r="F48">
        <f t="shared" si="0"/>
        <v>180</v>
      </c>
      <c r="G48">
        <f t="shared" si="1"/>
        <v>180</v>
      </c>
      <c r="H48">
        <f t="shared" si="2"/>
        <v>4</v>
      </c>
      <c r="I48" s="114">
        <f t="shared" si="4"/>
        <v>25903</v>
      </c>
      <c r="J48">
        <f t="shared" si="3"/>
        <v>7.0800523682500005</v>
      </c>
      <c r="L48" s="114">
        <v>36161</v>
      </c>
      <c r="M48">
        <v>2.1803319249999999</v>
      </c>
    </row>
    <row r="49" spans="4:13" x14ac:dyDescent="0.45">
      <c r="D49" s="113">
        <v>25781</v>
      </c>
      <c r="E49" s="52">
        <v>7.1544754130000001</v>
      </c>
      <c r="F49">
        <f t="shared" si="0"/>
        <v>210</v>
      </c>
      <c r="G49">
        <f t="shared" si="1"/>
        <v>210</v>
      </c>
      <c r="H49">
        <f t="shared" si="2"/>
        <v>4</v>
      </c>
      <c r="I49" s="114">
        <f t="shared" si="4"/>
        <v>25903</v>
      </c>
      <c r="J49">
        <f t="shared" si="3"/>
        <v>7.0800523682500005</v>
      </c>
      <c r="L49" s="114">
        <v>36526</v>
      </c>
      <c r="M49">
        <v>2.6893860833333325</v>
      </c>
    </row>
    <row r="50" spans="4:13" x14ac:dyDescent="0.45">
      <c r="D50" s="113">
        <v>25812</v>
      </c>
      <c r="E50" s="52">
        <v>7.1211840909999999</v>
      </c>
      <c r="F50">
        <f t="shared" si="0"/>
        <v>240</v>
      </c>
      <c r="G50">
        <f t="shared" si="1"/>
        <v>240</v>
      </c>
      <c r="H50">
        <f t="shared" si="2"/>
        <v>4</v>
      </c>
      <c r="I50" s="114">
        <f t="shared" si="4"/>
        <v>25903</v>
      </c>
      <c r="J50">
        <f t="shared" si="3"/>
        <v>7.0800523682500005</v>
      </c>
      <c r="L50" s="114">
        <v>36892</v>
      </c>
      <c r="M50">
        <v>3.2341506916666671</v>
      </c>
    </row>
    <row r="51" spans="4:13" x14ac:dyDescent="0.45">
      <c r="D51" s="113">
        <v>25842</v>
      </c>
      <c r="E51" s="52">
        <v>7.097174731</v>
      </c>
      <c r="F51">
        <f t="shared" si="0"/>
        <v>270</v>
      </c>
      <c r="G51">
        <f t="shared" si="1"/>
        <v>270</v>
      </c>
      <c r="H51">
        <f t="shared" si="2"/>
        <v>4</v>
      </c>
      <c r="I51" s="114">
        <f t="shared" si="4"/>
        <v>25903</v>
      </c>
      <c r="J51">
        <f t="shared" si="3"/>
        <v>7.0800523682500005</v>
      </c>
      <c r="L51" s="114">
        <v>37257</v>
      </c>
      <c r="M51">
        <v>3.2359565583333332</v>
      </c>
    </row>
    <row r="52" spans="4:13" x14ac:dyDescent="0.45">
      <c r="D52" s="113">
        <v>25873</v>
      </c>
      <c r="E52" s="52">
        <v>7.3767945819999996</v>
      </c>
      <c r="F52">
        <f t="shared" si="0"/>
        <v>300</v>
      </c>
      <c r="G52">
        <f t="shared" si="1"/>
        <v>300</v>
      </c>
      <c r="H52">
        <f t="shared" si="2"/>
        <v>4</v>
      </c>
      <c r="I52" s="114">
        <f t="shared" si="4"/>
        <v>25903</v>
      </c>
      <c r="J52">
        <f t="shared" si="3"/>
        <v>7.0800523682500005</v>
      </c>
      <c r="L52" s="114">
        <v>37622</v>
      </c>
      <c r="M52">
        <v>2.3300123500000001</v>
      </c>
    </row>
    <row r="53" spans="4:13" x14ac:dyDescent="0.45">
      <c r="D53" s="113">
        <v>25903</v>
      </c>
      <c r="E53" s="52">
        <v>7.3810007740000003</v>
      </c>
      <c r="F53">
        <f t="shared" si="0"/>
        <v>330</v>
      </c>
      <c r="G53">
        <f t="shared" si="1"/>
        <v>330</v>
      </c>
      <c r="H53">
        <f t="shared" si="2"/>
        <v>4</v>
      </c>
      <c r="I53" s="114">
        <f t="shared" si="4"/>
        <v>25903</v>
      </c>
      <c r="J53">
        <f t="shared" si="3"/>
        <v>7.0800523682500005</v>
      </c>
      <c r="L53" s="114">
        <v>37987</v>
      </c>
      <c r="M53">
        <v>2.2195945999999998</v>
      </c>
    </row>
    <row r="54" spans="4:13" x14ac:dyDescent="0.45">
      <c r="D54" s="113">
        <v>25934</v>
      </c>
      <c r="E54" s="52">
        <v>7.0426614049999996</v>
      </c>
      <c r="F54">
        <f t="shared" si="0"/>
        <v>0</v>
      </c>
      <c r="G54">
        <f t="shared" si="1"/>
        <v>0</v>
      </c>
      <c r="H54">
        <f t="shared" si="2"/>
        <v>5</v>
      </c>
      <c r="I54" s="114">
        <f t="shared" si="4"/>
        <v>26268</v>
      </c>
      <c r="J54">
        <f t="shared" si="3"/>
        <v>5.1329448944166671</v>
      </c>
      <c r="L54" s="114">
        <v>38353</v>
      </c>
      <c r="M54">
        <v>2.3142403083333334</v>
      </c>
    </row>
    <row r="55" spans="4:13" x14ac:dyDescent="0.45">
      <c r="D55" s="113">
        <v>25965</v>
      </c>
      <c r="E55" s="52">
        <v>6.3603898980000002</v>
      </c>
      <c r="F55">
        <f t="shared" si="0"/>
        <v>30</v>
      </c>
      <c r="G55">
        <f t="shared" si="1"/>
        <v>30</v>
      </c>
      <c r="H55">
        <f t="shared" si="2"/>
        <v>5</v>
      </c>
      <c r="I55" s="114">
        <f t="shared" si="4"/>
        <v>26268</v>
      </c>
      <c r="J55">
        <f t="shared" si="3"/>
        <v>5.1329448944166671</v>
      </c>
      <c r="L55" s="114">
        <v>38718</v>
      </c>
      <c r="M55">
        <v>2.9271037416666665</v>
      </c>
    </row>
    <row r="56" spans="4:13" x14ac:dyDescent="0.45">
      <c r="D56" s="113">
        <v>25993</v>
      </c>
      <c r="E56" s="52">
        <v>5.5335592360000003</v>
      </c>
      <c r="F56">
        <f t="shared" si="0"/>
        <v>60</v>
      </c>
      <c r="G56">
        <f t="shared" si="1"/>
        <v>60</v>
      </c>
      <c r="H56">
        <f t="shared" si="2"/>
        <v>5</v>
      </c>
      <c r="I56" s="114">
        <f t="shared" si="4"/>
        <v>26268</v>
      </c>
      <c r="J56">
        <f t="shared" si="3"/>
        <v>5.1329448944166671</v>
      </c>
      <c r="L56" s="114">
        <v>39083</v>
      </c>
      <c r="M56">
        <v>2.7630326000000003</v>
      </c>
    </row>
    <row r="57" spans="4:13" x14ac:dyDescent="0.45">
      <c r="D57" s="113">
        <v>26024</v>
      </c>
      <c r="E57" s="52">
        <v>5.3382913829999996</v>
      </c>
      <c r="F57">
        <f t="shared" si="0"/>
        <v>90</v>
      </c>
      <c r="G57">
        <f t="shared" si="1"/>
        <v>90</v>
      </c>
      <c r="H57">
        <f t="shared" si="2"/>
        <v>5</v>
      </c>
      <c r="I57" s="114">
        <f t="shared" si="4"/>
        <v>26268</v>
      </c>
      <c r="J57">
        <f t="shared" si="3"/>
        <v>5.1329448944166671</v>
      </c>
      <c r="L57" s="114">
        <v>39448</v>
      </c>
      <c r="M57">
        <v>2.8358705749999999</v>
      </c>
    </row>
    <row r="58" spans="4:13" x14ac:dyDescent="0.45">
      <c r="D58" s="113">
        <v>26054</v>
      </c>
      <c r="E58" s="52">
        <v>5.0942363960000003</v>
      </c>
      <c r="F58">
        <f t="shared" si="0"/>
        <v>120</v>
      </c>
      <c r="G58">
        <f t="shared" si="1"/>
        <v>120</v>
      </c>
      <c r="H58">
        <f t="shared" si="2"/>
        <v>5</v>
      </c>
      <c r="I58" s="114">
        <f t="shared" si="4"/>
        <v>26268</v>
      </c>
      <c r="J58">
        <f t="shared" si="3"/>
        <v>5.1329448944166671</v>
      </c>
      <c r="L58" s="114">
        <v>39814</v>
      </c>
      <c r="M58">
        <v>1.9872083500000002</v>
      </c>
    </row>
    <row r="59" spans="4:13" x14ac:dyDescent="0.45">
      <c r="D59" s="113">
        <v>26085</v>
      </c>
      <c r="E59" s="52">
        <v>5.2732682290000001</v>
      </c>
      <c r="F59">
        <f t="shared" si="0"/>
        <v>150</v>
      </c>
      <c r="G59">
        <f t="shared" si="1"/>
        <v>150</v>
      </c>
      <c r="H59">
        <f t="shared" si="2"/>
        <v>5</v>
      </c>
      <c r="I59" s="114">
        <f t="shared" si="4"/>
        <v>26268</v>
      </c>
      <c r="J59">
        <f t="shared" si="3"/>
        <v>5.1329448944166671</v>
      </c>
      <c r="L59" s="114">
        <v>40179</v>
      </c>
      <c r="M59">
        <v>0.83963542833333349</v>
      </c>
    </row>
    <row r="60" spans="4:13" x14ac:dyDescent="0.45">
      <c r="D60" s="113">
        <v>26115</v>
      </c>
      <c r="E60" s="52">
        <v>5.1995428639999997</v>
      </c>
      <c r="F60">
        <f t="shared" si="0"/>
        <v>180</v>
      </c>
      <c r="G60">
        <f t="shared" si="1"/>
        <v>180</v>
      </c>
      <c r="H60">
        <f t="shared" si="2"/>
        <v>5</v>
      </c>
      <c r="I60" s="114">
        <f t="shared" si="4"/>
        <v>26268</v>
      </c>
      <c r="J60">
        <f t="shared" si="3"/>
        <v>5.1329448944166671</v>
      </c>
      <c r="L60" s="114">
        <v>40544</v>
      </c>
      <c r="M60">
        <v>1.4652805608333332</v>
      </c>
    </row>
    <row r="61" spans="4:13" x14ac:dyDescent="0.45">
      <c r="D61" s="113">
        <v>26146</v>
      </c>
      <c r="E61" s="52">
        <v>4.9479267010000001</v>
      </c>
      <c r="F61">
        <f t="shared" si="0"/>
        <v>210</v>
      </c>
      <c r="G61">
        <f t="shared" si="1"/>
        <v>210</v>
      </c>
      <c r="H61">
        <f t="shared" si="2"/>
        <v>5</v>
      </c>
      <c r="I61" s="114">
        <f t="shared" si="4"/>
        <v>26268</v>
      </c>
      <c r="J61">
        <f t="shared" si="3"/>
        <v>5.1329448944166671</v>
      </c>
      <c r="L61" s="114">
        <v>40909</v>
      </c>
      <c r="M61">
        <v>2.1707786666666671</v>
      </c>
    </row>
    <row r="62" spans="4:13" x14ac:dyDescent="0.45">
      <c r="D62" s="113">
        <v>26177</v>
      </c>
      <c r="E62" s="52">
        <v>4.7075225950000004</v>
      </c>
      <c r="F62">
        <f t="shared" si="0"/>
        <v>240</v>
      </c>
      <c r="G62">
        <f t="shared" si="1"/>
        <v>240</v>
      </c>
      <c r="H62">
        <f t="shared" si="2"/>
        <v>5</v>
      </c>
      <c r="I62" s="114">
        <f t="shared" si="4"/>
        <v>26268</v>
      </c>
      <c r="J62">
        <f t="shared" si="3"/>
        <v>5.1329448944166671</v>
      </c>
      <c r="L62" s="114">
        <v>41275</v>
      </c>
      <c r="M62">
        <v>1.9449664416666668</v>
      </c>
    </row>
    <row r="63" spans="4:13" x14ac:dyDescent="0.45">
      <c r="D63" s="113">
        <v>26207</v>
      </c>
      <c r="E63" s="52">
        <v>4.4112370199999997</v>
      </c>
      <c r="F63">
        <f t="shared" si="0"/>
        <v>270</v>
      </c>
      <c r="G63">
        <f t="shared" si="1"/>
        <v>270</v>
      </c>
      <c r="H63">
        <f t="shared" si="2"/>
        <v>5</v>
      </c>
      <c r="I63" s="114">
        <f t="shared" si="4"/>
        <v>26268</v>
      </c>
      <c r="J63">
        <f t="shared" si="3"/>
        <v>5.1329448944166671</v>
      </c>
      <c r="L63" s="114">
        <v>41640</v>
      </c>
      <c r="M63">
        <v>1.9772887499999998</v>
      </c>
    </row>
    <row r="64" spans="4:13" x14ac:dyDescent="0.45">
      <c r="D64" s="113">
        <v>26238</v>
      </c>
      <c r="E64" s="52">
        <v>3.9786623849999998</v>
      </c>
      <c r="F64">
        <f t="shared" si="0"/>
        <v>300</v>
      </c>
      <c r="G64">
        <f t="shared" si="1"/>
        <v>300</v>
      </c>
      <c r="H64">
        <f t="shared" si="2"/>
        <v>5</v>
      </c>
      <c r="I64" s="114">
        <f t="shared" si="4"/>
        <v>26268</v>
      </c>
      <c r="J64">
        <f t="shared" si="3"/>
        <v>5.1329448944166671</v>
      </c>
      <c r="L64" s="114">
        <v>42005</v>
      </c>
      <c r="M64">
        <v>2.1673172916666665</v>
      </c>
    </row>
    <row r="65" spans="4:13" x14ac:dyDescent="0.45">
      <c r="D65" s="113">
        <v>26268</v>
      </c>
      <c r="E65" s="52">
        <v>3.7080406209999999</v>
      </c>
      <c r="F65">
        <f t="shared" si="0"/>
        <v>330</v>
      </c>
      <c r="G65">
        <f t="shared" si="1"/>
        <v>330</v>
      </c>
      <c r="H65">
        <f t="shared" si="2"/>
        <v>5</v>
      </c>
      <c r="I65" s="114">
        <f t="shared" si="4"/>
        <v>26268</v>
      </c>
      <c r="J65">
        <f t="shared" si="3"/>
        <v>5.1329448944166671</v>
      </c>
      <c r="L65" s="114">
        <v>42370</v>
      </c>
      <c r="M65">
        <v>2.5651574416666669</v>
      </c>
    </row>
    <row r="66" spans="4:13" x14ac:dyDescent="0.45">
      <c r="D66" s="113">
        <v>26299</v>
      </c>
      <c r="E66" s="52">
        <v>3.7559462579999998</v>
      </c>
      <c r="F66">
        <f t="shared" si="0"/>
        <v>0</v>
      </c>
      <c r="G66">
        <f t="shared" si="1"/>
        <v>0</v>
      </c>
      <c r="H66">
        <f t="shared" si="2"/>
        <v>6</v>
      </c>
      <c r="I66" s="114">
        <f t="shared" si="4"/>
        <v>26634</v>
      </c>
      <c r="J66">
        <f t="shared" si="3"/>
        <v>3.5712195252499992</v>
      </c>
      <c r="L66" s="114">
        <v>42736</v>
      </c>
      <c r="M66">
        <v>2.2593830833333333</v>
      </c>
    </row>
    <row r="67" spans="4:13" x14ac:dyDescent="0.45">
      <c r="D67" s="113">
        <v>26330</v>
      </c>
      <c r="E67" s="52">
        <v>3.8646437310000001</v>
      </c>
      <c r="F67">
        <f t="shared" si="0"/>
        <v>30</v>
      </c>
      <c r="G67">
        <f t="shared" si="1"/>
        <v>30</v>
      </c>
      <c r="H67">
        <f t="shared" si="2"/>
        <v>6</v>
      </c>
      <c r="I67" s="114">
        <f t="shared" si="4"/>
        <v>26634</v>
      </c>
      <c r="J67">
        <f t="shared" si="3"/>
        <v>3.5712195252499992</v>
      </c>
      <c r="L67" s="114">
        <v>43101</v>
      </c>
      <c r="M67">
        <v>2.41924275</v>
      </c>
    </row>
    <row r="68" spans="4:13" x14ac:dyDescent="0.45">
      <c r="D68" s="113">
        <v>26359</v>
      </c>
      <c r="E68" s="52">
        <v>4.0785804450000001</v>
      </c>
      <c r="F68">
        <f t="shared" si="0"/>
        <v>60</v>
      </c>
      <c r="G68">
        <f t="shared" si="1"/>
        <v>60</v>
      </c>
      <c r="H68">
        <f t="shared" si="2"/>
        <v>6</v>
      </c>
      <c r="I68" s="114">
        <f t="shared" si="4"/>
        <v>26634</v>
      </c>
      <c r="J68">
        <f t="shared" si="3"/>
        <v>3.5712195252499992</v>
      </c>
      <c r="L68" s="114">
        <v>43466</v>
      </c>
      <c r="M68">
        <v>2.5271332499999999</v>
      </c>
    </row>
    <row r="69" spans="4:13" x14ac:dyDescent="0.45">
      <c r="D69" s="113">
        <v>26390</v>
      </c>
      <c r="E69" s="52">
        <v>3.9910158080000002</v>
      </c>
      <c r="F69">
        <f t="shared" si="0"/>
        <v>90</v>
      </c>
      <c r="G69">
        <f t="shared" si="1"/>
        <v>90</v>
      </c>
      <c r="H69">
        <f t="shared" si="2"/>
        <v>6</v>
      </c>
      <c r="I69" s="114">
        <f t="shared" si="4"/>
        <v>26634</v>
      </c>
      <c r="J69">
        <f t="shared" si="3"/>
        <v>3.5712195252499992</v>
      </c>
      <c r="L69" s="114">
        <v>43831</v>
      </c>
      <c r="M69">
        <v>2.2242969166666668</v>
      </c>
    </row>
    <row r="70" spans="4:13" x14ac:dyDescent="0.45">
      <c r="D70" s="113">
        <v>26420</v>
      </c>
      <c r="E70" s="52">
        <v>3.8807131290000001</v>
      </c>
      <c r="F70">
        <f t="shared" si="0"/>
        <v>120</v>
      </c>
      <c r="G70">
        <f t="shared" si="1"/>
        <v>120</v>
      </c>
      <c r="H70">
        <f t="shared" si="2"/>
        <v>6</v>
      </c>
      <c r="I70" s="114">
        <f t="shared" si="4"/>
        <v>26634</v>
      </c>
      <c r="J70">
        <f t="shared" si="3"/>
        <v>3.5712195252499992</v>
      </c>
      <c r="L70" s="114">
        <v>44197</v>
      </c>
      <c r="M70">
        <v>2.4396640833333336</v>
      </c>
    </row>
    <row r="71" spans="4:13" x14ac:dyDescent="0.45">
      <c r="D71" s="113">
        <v>26451</v>
      </c>
      <c r="E71" s="52">
        <v>3.5042406060000002</v>
      </c>
      <c r="F71">
        <f t="shared" si="0"/>
        <v>150</v>
      </c>
      <c r="G71">
        <f t="shared" si="1"/>
        <v>150</v>
      </c>
      <c r="H71">
        <f t="shared" si="2"/>
        <v>6</v>
      </c>
      <c r="I71" s="114">
        <f t="shared" si="4"/>
        <v>26634</v>
      </c>
      <c r="J71">
        <f t="shared" si="3"/>
        <v>3.5712195252499992</v>
      </c>
      <c r="L71" s="114"/>
    </row>
    <row r="72" spans="4:13" x14ac:dyDescent="0.45">
      <c r="D72" s="113">
        <v>26481</v>
      </c>
      <c r="E72" s="52">
        <v>3.481835749</v>
      </c>
      <c r="F72">
        <f t="shared" si="0"/>
        <v>180</v>
      </c>
      <c r="G72">
        <f t="shared" si="1"/>
        <v>180</v>
      </c>
      <c r="H72">
        <f t="shared" si="2"/>
        <v>6</v>
      </c>
      <c r="I72" s="114">
        <f t="shared" si="4"/>
        <v>26634</v>
      </c>
      <c r="J72">
        <f t="shared" si="3"/>
        <v>3.5712195252499992</v>
      </c>
      <c r="L72" s="114"/>
    </row>
    <row r="73" spans="4:13" x14ac:dyDescent="0.45">
      <c r="D73" s="113">
        <v>26512</v>
      </c>
      <c r="E73" s="52">
        <v>3.3806013190000002</v>
      </c>
      <c r="F73">
        <f t="shared" si="0"/>
        <v>210</v>
      </c>
      <c r="G73">
        <f t="shared" si="1"/>
        <v>210</v>
      </c>
      <c r="H73">
        <f t="shared" si="2"/>
        <v>6</v>
      </c>
      <c r="I73" s="114">
        <f t="shared" si="4"/>
        <v>26634</v>
      </c>
      <c r="J73">
        <f t="shared" si="3"/>
        <v>3.5712195252499992</v>
      </c>
      <c r="L73" s="114"/>
    </row>
    <row r="74" spans="4:13" x14ac:dyDescent="0.45">
      <c r="D74" s="113">
        <v>26543</v>
      </c>
      <c r="E74" s="52">
        <v>3.1378354659999999</v>
      </c>
      <c r="F74">
        <f t="shared" si="0"/>
        <v>240</v>
      </c>
      <c r="G74">
        <f t="shared" si="1"/>
        <v>240</v>
      </c>
      <c r="H74">
        <f t="shared" si="2"/>
        <v>6</v>
      </c>
      <c r="I74" s="114">
        <f t="shared" si="4"/>
        <v>26634</v>
      </c>
      <c r="J74">
        <f t="shared" si="3"/>
        <v>3.5712195252499992</v>
      </c>
      <c r="L74" s="114"/>
    </row>
    <row r="75" spans="4:13" x14ac:dyDescent="0.45">
      <c r="D75" s="113">
        <v>26573</v>
      </c>
      <c r="E75" s="52">
        <v>3.3441400469999998</v>
      </c>
      <c r="F75">
        <f t="shared" si="0"/>
        <v>270</v>
      </c>
      <c r="G75">
        <f t="shared" si="1"/>
        <v>270</v>
      </c>
      <c r="H75">
        <f t="shared" si="2"/>
        <v>6</v>
      </c>
      <c r="I75" s="114">
        <f t="shared" si="4"/>
        <v>26634</v>
      </c>
      <c r="J75">
        <f t="shared" si="3"/>
        <v>3.5712195252499992</v>
      </c>
      <c r="L75" s="114"/>
    </row>
    <row r="76" spans="4:13" x14ac:dyDescent="0.45">
      <c r="D76" s="113">
        <v>26604</v>
      </c>
      <c r="E76" s="52">
        <v>3.2810958440000002</v>
      </c>
      <c r="F76">
        <f t="shared" si="0"/>
        <v>300</v>
      </c>
      <c r="G76">
        <f t="shared" si="1"/>
        <v>300</v>
      </c>
      <c r="H76">
        <f t="shared" si="2"/>
        <v>6</v>
      </c>
      <c r="I76" s="114">
        <f t="shared" si="4"/>
        <v>26634</v>
      </c>
      <c r="J76">
        <f t="shared" si="3"/>
        <v>3.5712195252499992</v>
      </c>
      <c r="L76" s="114"/>
    </row>
    <row r="77" spans="4:13" x14ac:dyDescent="0.45">
      <c r="D77" s="113">
        <v>26634</v>
      </c>
      <c r="E77" s="52">
        <v>3.153985901</v>
      </c>
      <c r="F77">
        <f t="shared" si="0"/>
        <v>330</v>
      </c>
      <c r="G77">
        <f t="shared" si="1"/>
        <v>330</v>
      </c>
      <c r="H77">
        <f t="shared" si="2"/>
        <v>6</v>
      </c>
      <c r="I77" s="114">
        <f t="shared" si="4"/>
        <v>26634</v>
      </c>
      <c r="J77">
        <f t="shared" si="3"/>
        <v>3.5712195252499992</v>
      </c>
      <c r="L77" s="114"/>
    </row>
    <row r="78" spans="4:13" x14ac:dyDescent="0.45">
      <c r="D78" s="113">
        <v>26665</v>
      </c>
      <c r="E78" s="52">
        <v>2.847928102</v>
      </c>
      <c r="F78">
        <f t="shared" si="0"/>
        <v>0</v>
      </c>
      <c r="G78">
        <f t="shared" si="1"/>
        <v>0</v>
      </c>
      <c r="H78">
        <f t="shared" si="2"/>
        <v>7</v>
      </c>
      <c r="I78" s="114">
        <f t="shared" si="4"/>
        <v>26999</v>
      </c>
      <c r="J78">
        <f t="shared" si="3"/>
        <v>3.6103678129166661</v>
      </c>
      <c r="L78" s="114"/>
    </row>
    <row r="79" spans="4:13" x14ac:dyDescent="0.45">
      <c r="D79" s="113">
        <v>26696</v>
      </c>
      <c r="E79" s="52">
        <v>2.8862586640000001</v>
      </c>
      <c r="F79">
        <f t="shared" si="0"/>
        <v>30</v>
      </c>
      <c r="G79">
        <f t="shared" si="1"/>
        <v>30</v>
      </c>
      <c r="H79">
        <f t="shared" si="2"/>
        <v>7</v>
      </c>
      <c r="I79" s="114">
        <f t="shared" si="4"/>
        <v>26999</v>
      </c>
      <c r="J79">
        <f t="shared" si="3"/>
        <v>3.6103678129166661</v>
      </c>
      <c r="L79" s="114"/>
    </row>
    <row r="80" spans="4:13" x14ac:dyDescent="0.45">
      <c r="D80" s="113">
        <v>26724</v>
      </c>
      <c r="E80" s="52">
        <v>2.9342480279999998</v>
      </c>
      <c r="F80">
        <f t="shared" si="0"/>
        <v>60</v>
      </c>
      <c r="G80">
        <f t="shared" si="1"/>
        <v>60</v>
      </c>
      <c r="H80">
        <f t="shared" si="2"/>
        <v>7</v>
      </c>
      <c r="I80" s="114">
        <f t="shared" si="4"/>
        <v>26999</v>
      </c>
      <c r="J80">
        <f t="shared" si="3"/>
        <v>3.6103678129166661</v>
      </c>
      <c r="L80" s="114"/>
    </row>
    <row r="81" spans="4:10" x14ac:dyDescent="0.45">
      <c r="D81" s="113">
        <v>26755</v>
      </c>
      <c r="E81" s="52">
        <v>3.036614659</v>
      </c>
      <c r="F81">
        <f t="shared" ref="F81:F144" si="5">FLOOR(DAYS360(DATE(YEAR(D81),1,1),D81),30)</f>
        <v>90</v>
      </c>
      <c r="G81">
        <f t="shared" si="1"/>
        <v>90</v>
      </c>
      <c r="H81">
        <f t="shared" si="2"/>
        <v>7</v>
      </c>
      <c r="I81" s="114">
        <f t="shared" si="4"/>
        <v>26999</v>
      </c>
      <c r="J81">
        <f t="shared" si="3"/>
        <v>3.6103678129166661</v>
      </c>
    </row>
    <row r="82" spans="4:10" x14ac:dyDescent="0.45">
      <c r="D82" s="113">
        <v>26785</v>
      </c>
      <c r="E82" s="52">
        <v>3.1807359549999998</v>
      </c>
      <c r="F82">
        <f t="shared" si="5"/>
        <v>120</v>
      </c>
      <c r="G82">
        <f t="shared" ref="G82:G145" si="6">MOD(F82, 360/$G$12)</f>
        <v>120</v>
      </c>
      <c r="H82">
        <f t="shared" ref="H82:H145" si="7">IF(G82&gt;G81,H81,H81+1)</f>
        <v>7</v>
      </c>
      <c r="I82" s="114">
        <f t="shared" si="4"/>
        <v>26999</v>
      </c>
      <c r="J82">
        <f t="shared" ref="J82:J145" si="8">AVERAGEIF($H$17:$H$675,H82,$E$17:$E$675)</f>
        <v>3.6103678129166661</v>
      </c>
    </row>
    <row r="83" spans="4:10" x14ac:dyDescent="0.45">
      <c r="D83" s="113">
        <v>26816</v>
      </c>
      <c r="E83" s="52">
        <v>3.1042064479999998</v>
      </c>
      <c r="F83">
        <f t="shared" si="5"/>
        <v>150</v>
      </c>
      <c r="G83">
        <f t="shared" si="6"/>
        <v>150</v>
      </c>
      <c r="H83">
        <f t="shared" si="7"/>
        <v>7</v>
      </c>
      <c r="I83" s="114">
        <f t="shared" ref="I83:I146" si="9">EDATE(I82,(H83-H82)*(12/$G$12))</f>
        <v>26999</v>
      </c>
      <c r="J83">
        <f t="shared" si="8"/>
        <v>3.6103678129166661</v>
      </c>
    </row>
    <row r="84" spans="4:10" x14ac:dyDescent="0.45">
      <c r="D84" s="113">
        <v>26846</v>
      </c>
      <c r="E84" s="52">
        <v>3.0185523559999998</v>
      </c>
      <c r="F84">
        <f t="shared" si="5"/>
        <v>180</v>
      </c>
      <c r="G84">
        <f t="shared" si="6"/>
        <v>180</v>
      </c>
      <c r="H84">
        <f t="shared" si="7"/>
        <v>7</v>
      </c>
      <c r="I84" s="114">
        <f t="shared" si="9"/>
        <v>26999</v>
      </c>
      <c r="J84">
        <f t="shared" si="8"/>
        <v>3.6103678129166661</v>
      </c>
    </row>
    <row r="85" spans="4:10" x14ac:dyDescent="0.45">
      <c r="D85" s="113">
        <v>26877</v>
      </c>
      <c r="E85" s="52">
        <v>3.3290721639999998</v>
      </c>
      <c r="F85">
        <f t="shared" si="5"/>
        <v>210</v>
      </c>
      <c r="G85">
        <f t="shared" si="6"/>
        <v>210</v>
      </c>
      <c r="H85">
        <f t="shared" si="7"/>
        <v>7</v>
      </c>
      <c r="I85" s="114">
        <f t="shared" si="9"/>
        <v>26999</v>
      </c>
      <c r="J85">
        <f t="shared" si="8"/>
        <v>3.6103678129166661</v>
      </c>
    </row>
    <row r="86" spans="4:10" x14ac:dyDescent="0.45">
      <c r="D86" s="113">
        <v>26908</v>
      </c>
      <c r="E86" s="52">
        <v>3.952644678</v>
      </c>
      <c r="F86">
        <f t="shared" si="5"/>
        <v>240</v>
      </c>
      <c r="G86">
        <f t="shared" si="6"/>
        <v>240</v>
      </c>
      <c r="H86">
        <f t="shared" si="7"/>
        <v>7</v>
      </c>
      <c r="I86" s="114">
        <f t="shared" si="9"/>
        <v>26999</v>
      </c>
      <c r="J86">
        <f t="shared" si="8"/>
        <v>3.6103678129166661</v>
      </c>
    </row>
    <row r="87" spans="4:10" x14ac:dyDescent="0.45">
      <c r="D87" s="113">
        <v>26938</v>
      </c>
      <c r="E87" s="52">
        <v>4.7756387560000002</v>
      </c>
      <c r="F87">
        <f t="shared" si="5"/>
        <v>270</v>
      </c>
      <c r="G87">
        <f t="shared" si="6"/>
        <v>270</v>
      </c>
      <c r="H87">
        <f t="shared" si="7"/>
        <v>7</v>
      </c>
      <c r="I87" s="114">
        <f t="shared" si="9"/>
        <v>26999</v>
      </c>
      <c r="J87">
        <f t="shared" si="8"/>
        <v>3.6103678129166661</v>
      </c>
    </row>
    <row r="88" spans="4:10" x14ac:dyDescent="0.45">
      <c r="D88" s="113">
        <v>26969</v>
      </c>
      <c r="E88" s="52">
        <v>4.938670847</v>
      </c>
      <c r="F88">
        <f t="shared" si="5"/>
        <v>300</v>
      </c>
      <c r="G88">
        <f t="shared" si="6"/>
        <v>300</v>
      </c>
      <c r="H88">
        <f t="shared" si="7"/>
        <v>7</v>
      </c>
      <c r="I88" s="114">
        <f t="shared" si="9"/>
        <v>26999</v>
      </c>
      <c r="J88">
        <f t="shared" si="8"/>
        <v>3.6103678129166661</v>
      </c>
    </row>
    <row r="89" spans="4:10" x14ac:dyDescent="0.45">
      <c r="D89" s="113">
        <v>26999</v>
      </c>
      <c r="E89" s="52">
        <v>5.3198430979999998</v>
      </c>
      <c r="F89">
        <f t="shared" si="5"/>
        <v>330</v>
      </c>
      <c r="G89">
        <f t="shared" si="6"/>
        <v>330</v>
      </c>
      <c r="H89">
        <f t="shared" si="7"/>
        <v>7</v>
      </c>
      <c r="I89" s="114">
        <f t="shared" si="9"/>
        <v>26999</v>
      </c>
      <c r="J89">
        <f t="shared" si="8"/>
        <v>3.6103678129166661</v>
      </c>
    </row>
    <row r="90" spans="4:10" x14ac:dyDescent="0.45">
      <c r="D90" s="113">
        <v>27030</v>
      </c>
      <c r="E90" s="52">
        <v>5.8575069649999998</v>
      </c>
      <c r="F90">
        <f t="shared" si="5"/>
        <v>0</v>
      </c>
      <c r="G90">
        <f t="shared" si="6"/>
        <v>0</v>
      </c>
      <c r="H90">
        <f t="shared" si="7"/>
        <v>8</v>
      </c>
      <c r="I90" s="114">
        <f t="shared" si="9"/>
        <v>27364</v>
      </c>
      <c r="J90">
        <f t="shared" si="8"/>
        <v>8.8286598818333335</v>
      </c>
    </row>
    <row r="91" spans="4:10" x14ac:dyDescent="0.45">
      <c r="D91" s="113">
        <v>27061</v>
      </c>
      <c r="E91" s="52">
        <v>6.3039691309999997</v>
      </c>
      <c r="F91">
        <f t="shared" si="5"/>
        <v>30</v>
      </c>
      <c r="G91">
        <f t="shared" si="6"/>
        <v>30</v>
      </c>
      <c r="H91">
        <f t="shared" si="7"/>
        <v>8</v>
      </c>
      <c r="I91" s="114">
        <f t="shared" si="9"/>
        <v>27364</v>
      </c>
      <c r="J91">
        <f t="shared" si="8"/>
        <v>8.8286598818333335</v>
      </c>
    </row>
    <row r="92" spans="4:10" x14ac:dyDescent="0.45">
      <c r="D92" s="113">
        <v>27089</v>
      </c>
      <c r="E92" s="52">
        <v>6.8313937249999999</v>
      </c>
      <c r="F92">
        <f t="shared" si="5"/>
        <v>60</v>
      </c>
      <c r="G92">
        <f t="shared" si="6"/>
        <v>60</v>
      </c>
      <c r="H92">
        <f t="shared" si="7"/>
        <v>8</v>
      </c>
      <c r="I92" s="114">
        <f t="shared" si="9"/>
        <v>27364</v>
      </c>
      <c r="J92">
        <f t="shared" si="8"/>
        <v>8.8286598818333335</v>
      </c>
    </row>
    <row r="93" spans="4:10" x14ac:dyDescent="0.45">
      <c r="D93" s="113">
        <v>27120</v>
      </c>
      <c r="E93" s="52">
        <v>7.1203842069999999</v>
      </c>
      <c r="F93">
        <f t="shared" si="5"/>
        <v>90</v>
      </c>
      <c r="G93">
        <f t="shared" si="6"/>
        <v>90</v>
      </c>
      <c r="H93">
        <f t="shared" si="7"/>
        <v>8</v>
      </c>
      <c r="I93" s="114">
        <f t="shared" si="9"/>
        <v>27364</v>
      </c>
      <c r="J93">
        <f t="shared" si="8"/>
        <v>8.8286598818333335</v>
      </c>
    </row>
    <row r="94" spans="4:10" x14ac:dyDescent="0.45">
      <c r="D94" s="113">
        <v>27150</v>
      </c>
      <c r="E94" s="52">
        <v>7.7496505820000001</v>
      </c>
      <c r="F94">
        <f t="shared" si="5"/>
        <v>120</v>
      </c>
      <c r="G94">
        <f t="shared" si="6"/>
        <v>120</v>
      </c>
      <c r="H94">
        <f t="shared" si="7"/>
        <v>8</v>
      </c>
      <c r="I94" s="114">
        <f t="shared" si="9"/>
        <v>27364</v>
      </c>
      <c r="J94">
        <f t="shared" si="8"/>
        <v>8.8286598818333335</v>
      </c>
    </row>
    <row r="95" spans="4:10" x14ac:dyDescent="0.45">
      <c r="D95" s="113">
        <v>27181</v>
      </c>
      <c r="E95" s="52">
        <v>8.6403215259999993</v>
      </c>
      <c r="F95">
        <f t="shared" si="5"/>
        <v>150</v>
      </c>
      <c r="G95">
        <f t="shared" si="6"/>
        <v>150</v>
      </c>
      <c r="H95">
        <f t="shared" si="7"/>
        <v>8</v>
      </c>
      <c r="I95" s="114">
        <f t="shared" si="9"/>
        <v>27364</v>
      </c>
      <c r="J95">
        <f t="shared" si="8"/>
        <v>8.8286598818333335</v>
      </c>
    </row>
    <row r="96" spans="4:10" x14ac:dyDescent="0.45">
      <c r="D96" s="113">
        <v>27211</v>
      </c>
      <c r="E96" s="52">
        <v>9.5528603709999995</v>
      </c>
      <c r="F96">
        <f t="shared" si="5"/>
        <v>180</v>
      </c>
      <c r="G96">
        <f t="shared" si="6"/>
        <v>180</v>
      </c>
      <c r="H96">
        <f t="shared" si="7"/>
        <v>8</v>
      </c>
      <c r="I96" s="114">
        <f t="shared" si="9"/>
        <v>27364</v>
      </c>
      <c r="J96">
        <f t="shared" si="8"/>
        <v>8.8286598818333335</v>
      </c>
    </row>
    <row r="97" spans="4:10" x14ac:dyDescent="0.45">
      <c r="D97" s="113">
        <v>27242</v>
      </c>
      <c r="E97" s="52">
        <v>10.130319088</v>
      </c>
      <c r="F97">
        <f t="shared" si="5"/>
        <v>210</v>
      </c>
      <c r="G97">
        <f t="shared" si="6"/>
        <v>210</v>
      </c>
      <c r="H97">
        <f t="shared" si="7"/>
        <v>8</v>
      </c>
      <c r="I97" s="114">
        <f t="shared" si="9"/>
        <v>27364</v>
      </c>
      <c r="J97">
        <f t="shared" si="8"/>
        <v>8.8286598818333335</v>
      </c>
    </row>
    <row r="98" spans="4:10" x14ac:dyDescent="0.45">
      <c r="D98" s="113">
        <v>27273</v>
      </c>
      <c r="E98" s="52">
        <v>10.621603910999999</v>
      </c>
      <c r="F98">
        <f t="shared" si="5"/>
        <v>240</v>
      </c>
      <c r="G98">
        <f t="shared" si="6"/>
        <v>240</v>
      </c>
      <c r="H98">
        <f t="shared" si="7"/>
        <v>8</v>
      </c>
      <c r="I98" s="114">
        <f t="shared" si="9"/>
        <v>27364</v>
      </c>
      <c r="J98">
        <f t="shared" si="8"/>
        <v>8.8286598818333335</v>
      </c>
    </row>
    <row r="99" spans="4:10" x14ac:dyDescent="0.45">
      <c r="D99" s="113">
        <v>27303</v>
      </c>
      <c r="E99" s="52">
        <v>10.591306867</v>
      </c>
      <c r="F99">
        <f t="shared" si="5"/>
        <v>270</v>
      </c>
      <c r="G99">
        <f t="shared" si="6"/>
        <v>270</v>
      </c>
      <c r="H99">
        <f t="shared" si="7"/>
        <v>8</v>
      </c>
      <c r="I99" s="114">
        <f t="shared" si="9"/>
        <v>27364</v>
      </c>
      <c r="J99">
        <f t="shared" si="8"/>
        <v>8.8286598818333335</v>
      </c>
    </row>
    <row r="100" spans="4:10" x14ac:dyDescent="0.45">
      <c r="D100" s="113">
        <v>27334</v>
      </c>
      <c r="E100" s="52">
        <v>11.017162794000001</v>
      </c>
      <c r="F100">
        <f t="shared" si="5"/>
        <v>300</v>
      </c>
      <c r="G100">
        <f t="shared" si="6"/>
        <v>300</v>
      </c>
      <c r="H100">
        <f t="shared" si="7"/>
        <v>8</v>
      </c>
      <c r="I100" s="114">
        <f t="shared" si="9"/>
        <v>27364</v>
      </c>
      <c r="J100">
        <f t="shared" si="8"/>
        <v>8.8286598818333335</v>
      </c>
    </row>
    <row r="101" spans="4:10" x14ac:dyDescent="0.45">
      <c r="D101" s="113">
        <v>27364</v>
      </c>
      <c r="E101" s="52">
        <v>11.527439415</v>
      </c>
      <c r="F101">
        <f t="shared" si="5"/>
        <v>330</v>
      </c>
      <c r="G101">
        <f t="shared" si="6"/>
        <v>330</v>
      </c>
      <c r="H101">
        <f t="shared" si="7"/>
        <v>8</v>
      </c>
      <c r="I101" s="114">
        <f t="shared" si="9"/>
        <v>27364</v>
      </c>
      <c r="J101">
        <f t="shared" si="8"/>
        <v>8.8286598818333335</v>
      </c>
    </row>
    <row r="102" spans="4:10" x14ac:dyDescent="0.45">
      <c r="D102" s="113">
        <v>27395</v>
      </c>
      <c r="E102" s="52">
        <v>11.656676859999999</v>
      </c>
      <c r="F102">
        <f t="shared" si="5"/>
        <v>0</v>
      </c>
      <c r="G102">
        <f t="shared" si="6"/>
        <v>0</v>
      </c>
      <c r="H102">
        <f t="shared" si="7"/>
        <v>9</v>
      </c>
      <c r="I102" s="114">
        <f t="shared" si="9"/>
        <v>27729</v>
      </c>
      <c r="J102">
        <f t="shared" si="8"/>
        <v>9.9582386160833334</v>
      </c>
    </row>
    <row r="103" spans="4:10" x14ac:dyDescent="0.45">
      <c r="D103" s="113">
        <v>27426</v>
      </c>
      <c r="E103" s="52">
        <v>11.816414420999999</v>
      </c>
      <c r="F103">
        <f t="shared" si="5"/>
        <v>30</v>
      </c>
      <c r="G103">
        <f t="shared" si="6"/>
        <v>30</v>
      </c>
      <c r="H103">
        <f t="shared" si="7"/>
        <v>9</v>
      </c>
      <c r="I103" s="114">
        <f t="shared" si="9"/>
        <v>27729</v>
      </c>
      <c r="J103">
        <f t="shared" si="8"/>
        <v>9.9582386160833334</v>
      </c>
    </row>
    <row r="104" spans="4:10" x14ac:dyDescent="0.45">
      <c r="D104" s="113">
        <v>27454</v>
      </c>
      <c r="E104" s="52">
        <v>11.603717424999999</v>
      </c>
      <c r="F104">
        <f t="shared" si="5"/>
        <v>60</v>
      </c>
      <c r="G104">
        <f t="shared" si="6"/>
        <v>60</v>
      </c>
      <c r="H104">
        <f t="shared" si="7"/>
        <v>9</v>
      </c>
      <c r="I104" s="114">
        <f t="shared" si="9"/>
        <v>27729</v>
      </c>
      <c r="J104">
        <f t="shared" si="8"/>
        <v>9.9582386160833334</v>
      </c>
    </row>
    <row r="105" spans="4:10" x14ac:dyDescent="0.45">
      <c r="D105" s="113">
        <v>27485</v>
      </c>
      <c r="E105" s="52">
        <v>11.729239119000001</v>
      </c>
      <c r="F105">
        <f t="shared" si="5"/>
        <v>90</v>
      </c>
      <c r="G105">
        <f t="shared" si="6"/>
        <v>90</v>
      </c>
      <c r="H105">
        <f t="shared" si="7"/>
        <v>9</v>
      </c>
      <c r="I105" s="114">
        <f t="shared" si="9"/>
        <v>27729</v>
      </c>
      <c r="J105">
        <f t="shared" si="8"/>
        <v>9.9582386160833334</v>
      </c>
    </row>
    <row r="106" spans="4:10" x14ac:dyDescent="0.45">
      <c r="D106" s="113">
        <v>27515</v>
      </c>
      <c r="E106" s="52">
        <v>10.951529410999999</v>
      </c>
      <c r="F106">
        <f t="shared" si="5"/>
        <v>120</v>
      </c>
      <c r="G106">
        <f t="shared" si="6"/>
        <v>120</v>
      </c>
      <c r="H106">
        <f t="shared" si="7"/>
        <v>9</v>
      </c>
      <c r="I106" s="114">
        <f t="shared" si="9"/>
        <v>27729</v>
      </c>
      <c r="J106">
        <f t="shared" si="8"/>
        <v>9.9582386160833334</v>
      </c>
    </row>
    <row r="107" spans="4:10" x14ac:dyDescent="0.45">
      <c r="D107" s="113">
        <v>27546</v>
      </c>
      <c r="E107" s="52">
        <v>10.455057330000001</v>
      </c>
      <c r="F107">
        <f t="shared" si="5"/>
        <v>150</v>
      </c>
      <c r="G107">
        <f t="shared" si="6"/>
        <v>150</v>
      </c>
      <c r="H107">
        <f t="shared" si="7"/>
        <v>9</v>
      </c>
      <c r="I107" s="114">
        <f t="shared" si="9"/>
        <v>27729</v>
      </c>
      <c r="J107">
        <f t="shared" si="8"/>
        <v>9.9582386160833334</v>
      </c>
    </row>
    <row r="108" spans="4:10" x14ac:dyDescent="0.45">
      <c r="D108" s="113">
        <v>27576</v>
      </c>
      <c r="E108" s="52">
        <v>9.787927045</v>
      </c>
      <c r="F108">
        <f t="shared" si="5"/>
        <v>180</v>
      </c>
      <c r="G108">
        <f t="shared" si="6"/>
        <v>180</v>
      </c>
      <c r="H108">
        <f t="shared" si="7"/>
        <v>9</v>
      </c>
      <c r="I108" s="114">
        <f t="shared" si="9"/>
        <v>27729</v>
      </c>
      <c r="J108">
        <f t="shared" si="8"/>
        <v>9.9582386160833334</v>
      </c>
    </row>
    <row r="109" spans="4:10" x14ac:dyDescent="0.45">
      <c r="D109" s="113">
        <v>27607</v>
      </c>
      <c r="E109" s="52">
        <v>8.9383801950000006</v>
      </c>
      <c r="F109">
        <f t="shared" si="5"/>
        <v>210</v>
      </c>
      <c r="G109">
        <f t="shared" si="6"/>
        <v>210</v>
      </c>
      <c r="H109">
        <f t="shared" si="7"/>
        <v>9</v>
      </c>
      <c r="I109" s="114">
        <f t="shared" si="9"/>
        <v>27729</v>
      </c>
      <c r="J109">
        <f t="shared" si="8"/>
        <v>9.9582386160833334</v>
      </c>
    </row>
    <row r="110" spans="4:10" x14ac:dyDescent="0.45">
      <c r="D110" s="113">
        <v>27638</v>
      </c>
      <c r="E110" s="52">
        <v>8.5543540530000008</v>
      </c>
      <c r="F110">
        <f t="shared" si="5"/>
        <v>240</v>
      </c>
      <c r="G110">
        <f t="shared" si="6"/>
        <v>240</v>
      </c>
      <c r="H110">
        <f t="shared" si="7"/>
        <v>9</v>
      </c>
      <c r="I110" s="114">
        <f t="shared" si="9"/>
        <v>27729</v>
      </c>
      <c r="J110">
        <f t="shared" si="8"/>
        <v>9.9582386160833334</v>
      </c>
    </row>
    <row r="111" spans="4:10" x14ac:dyDescent="0.45">
      <c r="D111" s="113">
        <v>27668</v>
      </c>
      <c r="E111" s="52">
        <v>8.1421027919999993</v>
      </c>
      <c r="F111">
        <f t="shared" si="5"/>
        <v>270</v>
      </c>
      <c r="G111">
        <f t="shared" si="6"/>
        <v>270</v>
      </c>
      <c r="H111">
        <f t="shared" si="7"/>
        <v>9</v>
      </c>
      <c r="I111" s="114">
        <f t="shared" si="9"/>
        <v>27729</v>
      </c>
      <c r="J111">
        <f t="shared" si="8"/>
        <v>9.9582386160833334</v>
      </c>
    </row>
    <row r="112" spans="4:10" x14ac:dyDescent="0.45">
      <c r="D112" s="113">
        <v>27699</v>
      </c>
      <c r="E112" s="52">
        <v>8.1359116599999997</v>
      </c>
      <c r="F112">
        <f t="shared" si="5"/>
        <v>300</v>
      </c>
      <c r="G112">
        <f t="shared" si="6"/>
        <v>300</v>
      </c>
      <c r="H112">
        <f t="shared" si="7"/>
        <v>9</v>
      </c>
      <c r="I112" s="114">
        <f t="shared" si="9"/>
        <v>27729</v>
      </c>
      <c r="J112">
        <f t="shared" si="8"/>
        <v>9.9582386160833334</v>
      </c>
    </row>
    <row r="113" spans="4:10" x14ac:dyDescent="0.45">
      <c r="D113" s="113">
        <v>27729</v>
      </c>
      <c r="E113" s="52">
        <v>7.727553082</v>
      </c>
      <c r="F113">
        <f t="shared" si="5"/>
        <v>330</v>
      </c>
      <c r="G113">
        <f t="shared" si="6"/>
        <v>330</v>
      </c>
      <c r="H113">
        <f t="shared" si="7"/>
        <v>9</v>
      </c>
      <c r="I113" s="114">
        <f t="shared" si="9"/>
        <v>27729</v>
      </c>
      <c r="J113">
        <f t="shared" si="8"/>
        <v>9.9582386160833334</v>
      </c>
    </row>
    <row r="114" spans="4:10" x14ac:dyDescent="0.45">
      <c r="D114" s="113">
        <v>27760</v>
      </c>
      <c r="E114" s="52">
        <v>7.7413635449999996</v>
      </c>
      <c r="F114">
        <f t="shared" si="5"/>
        <v>0</v>
      </c>
      <c r="G114">
        <f t="shared" si="6"/>
        <v>0</v>
      </c>
      <c r="H114">
        <f t="shared" si="7"/>
        <v>10</v>
      </c>
      <c r="I114" s="114">
        <f t="shared" si="9"/>
        <v>28095</v>
      </c>
      <c r="J114">
        <f t="shared" si="8"/>
        <v>7.0692856911666659</v>
      </c>
    </row>
    <row r="115" spans="4:10" x14ac:dyDescent="0.45">
      <c r="D115" s="113">
        <v>27791</v>
      </c>
      <c r="E115" s="52">
        <v>7.4257624089999998</v>
      </c>
      <c r="F115">
        <f t="shared" si="5"/>
        <v>30</v>
      </c>
      <c r="G115">
        <f t="shared" si="6"/>
        <v>30</v>
      </c>
      <c r="H115">
        <f t="shared" si="7"/>
        <v>10</v>
      </c>
      <c r="I115" s="114">
        <f t="shared" si="9"/>
        <v>28095</v>
      </c>
      <c r="J115">
        <f t="shared" si="8"/>
        <v>7.0692856911666659</v>
      </c>
    </row>
    <row r="116" spans="4:10" x14ac:dyDescent="0.45">
      <c r="D116" s="113">
        <v>27820</v>
      </c>
      <c r="E116" s="52">
        <v>7.3884262620000003</v>
      </c>
      <c r="F116">
        <f t="shared" si="5"/>
        <v>60</v>
      </c>
      <c r="G116">
        <f t="shared" si="6"/>
        <v>60</v>
      </c>
      <c r="H116">
        <f t="shared" si="7"/>
        <v>10</v>
      </c>
      <c r="I116" s="114">
        <f t="shared" si="9"/>
        <v>28095</v>
      </c>
      <c r="J116">
        <f t="shared" si="8"/>
        <v>7.0692856911666659</v>
      </c>
    </row>
    <row r="117" spans="4:10" x14ac:dyDescent="0.45">
      <c r="D117" s="113">
        <v>27851</v>
      </c>
      <c r="E117" s="52">
        <v>6.8996299729999997</v>
      </c>
      <c r="F117">
        <f t="shared" si="5"/>
        <v>90</v>
      </c>
      <c r="G117">
        <f t="shared" si="6"/>
        <v>90</v>
      </c>
      <c r="H117">
        <f t="shared" si="7"/>
        <v>10</v>
      </c>
      <c r="I117" s="114">
        <f t="shared" si="9"/>
        <v>28095</v>
      </c>
      <c r="J117">
        <f t="shared" si="8"/>
        <v>7.0692856911666659</v>
      </c>
    </row>
    <row r="118" spans="4:10" x14ac:dyDescent="0.45">
      <c r="D118" s="113">
        <v>27881</v>
      </c>
      <c r="E118" s="52">
        <v>7.0182985809999998</v>
      </c>
      <c r="F118">
        <f t="shared" si="5"/>
        <v>120</v>
      </c>
      <c r="G118">
        <f t="shared" si="6"/>
        <v>120</v>
      </c>
      <c r="H118">
        <f t="shared" si="7"/>
        <v>10</v>
      </c>
      <c r="I118" s="114">
        <f t="shared" si="9"/>
        <v>28095</v>
      </c>
      <c r="J118">
        <f t="shared" si="8"/>
        <v>7.0692856911666659</v>
      </c>
    </row>
    <row r="119" spans="4:10" x14ac:dyDescent="0.45">
      <c r="D119" s="113">
        <v>27912</v>
      </c>
      <c r="E119" s="52">
        <v>6.9228506980000004</v>
      </c>
      <c r="F119">
        <f t="shared" si="5"/>
        <v>150</v>
      </c>
      <c r="G119">
        <f t="shared" si="6"/>
        <v>150</v>
      </c>
      <c r="H119">
        <f t="shared" si="7"/>
        <v>10</v>
      </c>
      <c r="I119" s="114">
        <f t="shared" si="9"/>
        <v>28095</v>
      </c>
      <c r="J119">
        <f t="shared" si="8"/>
        <v>7.0692856911666659</v>
      </c>
    </row>
    <row r="120" spans="4:10" x14ac:dyDescent="0.45">
      <c r="D120" s="113">
        <v>27942</v>
      </c>
      <c r="E120" s="52">
        <v>7.1409922239999997</v>
      </c>
      <c r="F120">
        <f t="shared" si="5"/>
        <v>180</v>
      </c>
      <c r="G120">
        <f t="shared" si="6"/>
        <v>180</v>
      </c>
      <c r="H120">
        <f t="shared" si="7"/>
        <v>10</v>
      </c>
      <c r="I120" s="114">
        <f t="shared" si="9"/>
        <v>28095</v>
      </c>
      <c r="J120">
        <f t="shared" si="8"/>
        <v>7.0692856911666659</v>
      </c>
    </row>
    <row r="121" spans="4:10" x14ac:dyDescent="0.45">
      <c r="D121" s="113">
        <v>27973</v>
      </c>
      <c r="E121" s="52">
        <v>7.4053800609999998</v>
      </c>
      <c r="F121">
        <f t="shared" si="5"/>
        <v>210</v>
      </c>
      <c r="G121">
        <f t="shared" si="6"/>
        <v>210</v>
      </c>
      <c r="H121">
        <f t="shared" si="7"/>
        <v>10</v>
      </c>
      <c r="I121" s="114">
        <f t="shared" si="9"/>
        <v>28095</v>
      </c>
      <c r="J121">
        <f t="shared" si="8"/>
        <v>7.0692856911666659</v>
      </c>
    </row>
    <row r="122" spans="4:10" x14ac:dyDescent="0.45">
      <c r="D122" s="113">
        <v>28004</v>
      </c>
      <c r="E122" s="52">
        <v>7.1253815249999999</v>
      </c>
      <c r="F122">
        <f t="shared" si="5"/>
        <v>240</v>
      </c>
      <c r="G122">
        <f t="shared" si="6"/>
        <v>240</v>
      </c>
      <c r="H122">
        <f t="shared" si="7"/>
        <v>10</v>
      </c>
      <c r="I122" s="114">
        <f t="shared" si="9"/>
        <v>28095</v>
      </c>
      <c r="J122">
        <f t="shared" si="8"/>
        <v>7.0692856911666659</v>
      </c>
    </row>
    <row r="123" spans="4:10" x14ac:dyDescent="0.45">
      <c r="D123" s="113">
        <v>28034</v>
      </c>
      <c r="E123" s="52">
        <v>6.9107866820000003</v>
      </c>
      <c r="F123">
        <f t="shared" si="5"/>
        <v>270</v>
      </c>
      <c r="G123">
        <f t="shared" si="6"/>
        <v>270</v>
      </c>
      <c r="H123">
        <f t="shared" si="7"/>
        <v>10</v>
      </c>
      <c r="I123" s="114">
        <f t="shared" si="9"/>
        <v>28095</v>
      </c>
      <c r="J123">
        <f t="shared" si="8"/>
        <v>7.0692856911666659</v>
      </c>
    </row>
    <row r="124" spans="4:10" x14ac:dyDescent="0.45">
      <c r="D124" s="113">
        <v>28065</v>
      </c>
      <c r="E124" s="52">
        <v>6.6339418229999998</v>
      </c>
      <c r="F124">
        <f t="shared" si="5"/>
        <v>300</v>
      </c>
      <c r="G124">
        <f t="shared" si="6"/>
        <v>300</v>
      </c>
      <c r="H124">
        <f t="shared" si="7"/>
        <v>10</v>
      </c>
      <c r="I124" s="114">
        <f t="shared" si="9"/>
        <v>28095</v>
      </c>
      <c r="J124">
        <f t="shared" si="8"/>
        <v>7.0692856911666659</v>
      </c>
    </row>
    <row r="125" spans="4:10" x14ac:dyDescent="0.45">
      <c r="D125" s="113">
        <v>28095</v>
      </c>
      <c r="E125" s="52">
        <v>6.2186145110000002</v>
      </c>
      <c r="F125">
        <f t="shared" si="5"/>
        <v>330</v>
      </c>
      <c r="G125">
        <f t="shared" si="6"/>
        <v>330</v>
      </c>
      <c r="H125">
        <f t="shared" si="7"/>
        <v>10</v>
      </c>
      <c r="I125" s="114">
        <f t="shared" si="9"/>
        <v>28095</v>
      </c>
      <c r="J125">
        <f t="shared" si="8"/>
        <v>7.0692856911666659</v>
      </c>
    </row>
    <row r="126" spans="4:10" x14ac:dyDescent="0.45">
      <c r="D126" s="113">
        <v>28126</v>
      </c>
      <c r="E126" s="52">
        <v>6.0623023089999997</v>
      </c>
      <c r="F126">
        <f t="shared" si="5"/>
        <v>0</v>
      </c>
      <c r="G126">
        <f t="shared" si="6"/>
        <v>0</v>
      </c>
      <c r="H126">
        <f t="shared" si="7"/>
        <v>11</v>
      </c>
      <c r="I126" s="114">
        <f t="shared" si="9"/>
        <v>28460</v>
      </c>
      <c r="J126">
        <f t="shared" si="8"/>
        <v>6.7075894542500007</v>
      </c>
    </row>
    <row r="127" spans="4:10" x14ac:dyDescent="0.45">
      <c r="D127" s="113">
        <v>28157</v>
      </c>
      <c r="E127" s="52">
        <v>6.0633995870000001</v>
      </c>
      <c r="F127">
        <f t="shared" si="5"/>
        <v>30</v>
      </c>
      <c r="G127">
        <f t="shared" si="6"/>
        <v>30</v>
      </c>
      <c r="H127">
        <f t="shared" si="7"/>
        <v>11</v>
      </c>
      <c r="I127" s="114">
        <f t="shared" si="9"/>
        <v>28460</v>
      </c>
      <c r="J127">
        <f t="shared" si="8"/>
        <v>6.7075894542500007</v>
      </c>
    </row>
    <row r="128" spans="4:10" x14ac:dyDescent="0.45">
      <c r="D128" s="113">
        <v>28185</v>
      </c>
      <c r="E128" s="52">
        <v>6.1122292509999996</v>
      </c>
      <c r="F128">
        <f t="shared" si="5"/>
        <v>60</v>
      </c>
      <c r="G128">
        <f t="shared" si="6"/>
        <v>60</v>
      </c>
      <c r="H128">
        <f t="shared" si="7"/>
        <v>11</v>
      </c>
      <c r="I128" s="114">
        <f t="shared" si="9"/>
        <v>28460</v>
      </c>
      <c r="J128">
        <f t="shared" si="8"/>
        <v>6.7075894542500007</v>
      </c>
    </row>
    <row r="129" spans="4:10" x14ac:dyDescent="0.45">
      <c r="D129" s="113">
        <v>28216</v>
      </c>
      <c r="E129" s="52">
        <v>6.5911595209999998</v>
      </c>
      <c r="F129">
        <f t="shared" si="5"/>
        <v>90</v>
      </c>
      <c r="G129">
        <f t="shared" si="6"/>
        <v>90</v>
      </c>
      <c r="H129">
        <f t="shared" si="7"/>
        <v>11</v>
      </c>
      <c r="I129" s="114">
        <f t="shared" si="9"/>
        <v>28460</v>
      </c>
      <c r="J129">
        <f t="shared" si="8"/>
        <v>6.7075894542500007</v>
      </c>
    </row>
    <row r="130" spans="4:10" x14ac:dyDescent="0.45">
      <c r="D130" s="113">
        <v>28246</v>
      </c>
      <c r="E130" s="52">
        <v>6.7515449869999999</v>
      </c>
      <c r="F130">
        <f t="shared" si="5"/>
        <v>120</v>
      </c>
      <c r="G130">
        <f t="shared" si="6"/>
        <v>120</v>
      </c>
      <c r="H130">
        <f t="shared" si="7"/>
        <v>11</v>
      </c>
      <c r="I130" s="114">
        <f t="shared" si="9"/>
        <v>28460</v>
      </c>
      <c r="J130">
        <f t="shared" si="8"/>
        <v>6.7075894542500007</v>
      </c>
    </row>
    <row r="131" spans="4:10" x14ac:dyDescent="0.45">
      <c r="D131" s="113">
        <v>28277</v>
      </c>
      <c r="E131" s="52">
        <v>6.9309568329999998</v>
      </c>
      <c r="F131">
        <f t="shared" si="5"/>
        <v>150</v>
      </c>
      <c r="G131">
        <f t="shared" si="6"/>
        <v>150</v>
      </c>
      <c r="H131">
        <f t="shared" si="7"/>
        <v>11</v>
      </c>
      <c r="I131" s="114">
        <f t="shared" si="9"/>
        <v>28460</v>
      </c>
      <c r="J131">
        <f t="shared" si="8"/>
        <v>6.7075894542500007</v>
      </c>
    </row>
    <row r="132" spans="4:10" x14ac:dyDescent="0.45">
      <c r="D132" s="113">
        <v>28307</v>
      </c>
      <c r="E132" s="52">
        <v>6.8922193319999998</v>
      </c>
      <c r="F132">
        <f t="shared" si="5"/>
        <v>180</v>
      </c>
      <c r="G132">
        <f t="shared" si="6"/>
        <v>180</v>
      </c>
      <c r="H132">
        <f t="shared" si="7"/>
        <v>11</v>
      </c>
      <c r="I132" s="114">
        <f t="shared" si="9"/>
        <v>28460</v>
      </c>
      <c r="J132">
        <f t="shared" si="8"/>
        <v>6.7075894542500007</v>
      </c>
    </row>
    <row r="133" spans="4:10" x14ac:dyDescent="0.45">
      <c r="D133" s="113">
        <v>28338</v>
      </c>
      <c r="E133" s="52">
        <v>6.8431996660000003</v>
      </c>
      <c r="F133">
        <f t="shared" si="5"/>
        <v>210</v>
      </c>
      <c r="G133">
        <f t="shared" si="6"/>
        <v>210</v>
      </c>
      <c r="H133">
        <f t="shared" si="7"/>
        <v>11</v>
      </c>
      <c r="I133" s="114">
        <f t="shared" si="9"/>
        <v>28460</v>
      </c>
      <c r="J133">
        <f t="shared" si="8"/>
        <v>6.7075894542500007</v>
      </c>
    </row>
    <row r="134" spans="4:10" x14ac:dyDescent="0.45">
      <c r="D134" s="113">
        <v>28369</v>
      </c>
      <c r="E134" s="52">
        <v>6.8835555450000001</v>
      </c>
      <c r="F134">
        <f t="shared" si="5"/>
        <v>240</v>
      </c>
      <c r="G134">
        <f t="shared" si="6"/>
        <v>240</v>
      </c>
      <c r="H134">
        <f t="shared" si="7"/>
        <v>11</v>
      </c>
      <c r="I134" s="114">
        <f t="shared" si="9"/>
        <v>28460</v>
      </c>
      <c r="J134">
        <f t="shared" si="8"/>
        <v>6.7075894542500007</v>
      </c>
    </row>
    <row r="135" spans="4:10" x14ac:dyDescent="0.45">
      <c r="D135" s="113">
        <v>28399</v>
      </c>
      <c r="E135" s="52">
        <v>6.96244877</v>
      </c>
      <c r="F135">
        <f t="shared" si="5"/>
        <v>270</v>
      </c>
      <c r="G135">
        <f t="shared" si="6"/>
        <v>270</v>
      </c>
      <c r="H135">
        <f t="shared" si="7"/>
        <v>11</v>
      </c>
      <c r="I135" s="114">
        <f t="shared" si="9"/>
        <v>28460</v>
      </c>
      <c r="J135">
        <f t="shared" si="8"/>
        <v>6.7075894542500007</v>
      </c>
    </row>
    <row r="136" spans="4:10" x14ac:dyDescent="0.45">
      <c r="D136" s="113">
        <v>28430</v>
      </c>
      <c r="E136" s="52">
        <v>7.010588577</v>
      </c>
      <c r="F136">
        <f t="shared" si="5"/>
        <v>300</v>
      </c>
      <c r="G136">
        <f t="shared" si="6"/>
        <v>300</v>
      </c>
      <c r="H136">
        <f t="shared" si="7"/>
        <v>11</v>
      </c>
      <c r="I136" s="114">
        <f t="shared" si="9"/>
        <v>28460</v>
      </c>
      <c r="J136">
        <f t="shared" si="8"/>
        <v>6.7075894542500007</v>
      </c>
    </row>
    <row r="137" spans="4:10" x14ac:dyDescent="0.45">
      <c r="D137" s="113">
        <v>28460</v>
      </c>
      <c r="E137" s="52">
        <v>7.3874690730000001</v>
      </c>
      <c r="F137">
        <f t="shared" si="5"/>
        <v>330</v>
      </c>
      <c r="G137">
        <f t="shared" si="6"/>
        <v>330</v>
      </c>
      <c r="H137">
        <f t="shared" si="7"/>
        <v>11</v>
      </c>
      <c r="I137" s="114">
        <f t="shared" si="9"/>
        <v>28460</v>
      </c>
      <c r="J137">
        <f t="shared" si="8"/>
        <v>6.7075894542500007</v>
      </c>
    </row>
    <row r="138" spans="4:10" x14ac:dyDescent="0.45">
      <c r="D138" s="113">
        <v>28491</v>
      </c>
      <c r="E138" s="52">
        <v>7.395951567</v>
      </c>
      <c r="F138">
        <f t="shared" si="5"/>
        <v>0</v>
      </c>
      <c r="G138">
        <f t="shared" si="6"/>
        <v>0</v>
      </c>
      <c r="H138">
        <f t="shared" si="7"/>
        <v>12</v>
      </c>
      <c r="I138" s="114">
        <f t="shared" si="9"/>
        <v>28825</v>
      </c>
      <c r="J138">
        <f t="shared" si="8"/>
        <v>8.0957684430000008</v>
      </c>
    </row>
    <row r="139" spans="4:10" x14ac:dyDescent="0.45">
      <c r="D139" s="113">
        <v>28522</v>
      </c>
      <c r="E139" s="52">
        <v>7.3651408920000003</v>
      </c>
      <c r="F139">
        <f t="shared" si="5"/>
        <v>30</v>
      </c>
      <c r="G139">
        <f t="shared" si="6"/>
        <v>30</v>
      </c>
      <c r="H139">
        <f t="shared" si="7"/>
        <v>12</v>
      </c>
      <c r="I139" s="114">
        <f t="shared" si="9"/>
        <v>28825</v>
      </c>
      <c r="J139">
        <f t="shared" si="8"/>
        <v>8.0957684430000008</v>
      </c>
    </row>
    <row r="140" spans="4:10" x14ac:dyDescent="0.45">
      <c r="D140" s="113">
        <v>28550</v>
      </c>
      <c r="E140" s="52">
        <v>7.4578682880000002</v>
      </c>
      <c r="F140">
        <f t="shared" si="5"/>
        <v>60</v>
      </c>
      <c r="G140">
        <f t="shared" si="6"/>
        <v>60</v>
      </c>
      <c r="H140">
        <f t="shared" si="7"/>
        <v>12</v>
      </c>
      <c r="I140" s="114">
        <f t="shared" si="9"/>
        <v>28825</v>
      </c>
      <c r="J140">
        <f t="shared" si="8"/>
        <v>8.0957684430000008</v>
      </c>
    </row>
    <row r="141" spans="4:10" x14ac:dyDescent="0.45">
      <c r="D141" s="113">
        <v>28581</v>
      </c>
      <c r="E141" s="52">
        <v>7.4372113239999997</v>
      </c>
      <c r="F141">
        <f t="shared" si="5"/>
        <v>90</v>
      </c>
      <c r="G141">
        <f t="shared" si="6"/>
        <v>90</v>
      </c>
      <c r="H141">
        <f t="shared" si="7"/>
        <v>12</v>
      </c>
      <c r="I141" s="114">
        <f t="shared" si="9"/>
        <v>28825</v>
      </c>
      <c r="J141">
        <f t="shared" si="8"/>
        <v>8.0957684430000008</v>
      </c>
    </row>
    <row r="142" spans="4:10" x14ac:dyDescent="0.45">
      <c r="D142" s="113">
        <v>28611</v>
      </c>
      <c r="E142" s="52">
        <v>7.6676509060000004</v>
      </c>
      <c r="F142">
        <f t="shared" si="5"/>
        <v>120</v>
      </c>
      <c r="G142">
        <f t="shared" si="6"/>
        <v>120</v>
      </c>
      <c r="H142">
        <f t="shared" si="7"/>
        <v>12</v>
      </c>
      <c r="I142" s="114">
        <f t="shared" si="9"/>
        <v>28825</v>
      </c>
      <c r="J142">
        <f t="shared" si="8"/>
        <v>8.0957684430000008</v>
      </c>
    </row>
    <row r="143" spans="4:10" x14ac:dyDescent="0.45">
      <c r="D143" s="113">
        <v>28642</v>
      </c>
      <c r="E143" s="52">
        <v>7.705467144</v>
      </c>
      <c r="F143">
        <f t="shared" si="5"/>
        <v>150</v>
      </c>
      <c r="G143">
        <f t="shared" si="6"/>
        <v>150</v>
      </c>
      <c r="H143">
        <f t="shared" si="7"/>
        <v>12</v>
      </c>
      <c r="I143" s="114">
        <f t="shared" si="9"/>
        <v>28825</v>
      </c>
      <c r="J143">
        <f t="shared" si="8"/>
        <v>8.0957684430000008</v>
      </c>
    </row>
    <row r="144" spans="4:10" x14ac:dyDescent="0.45">
      <c r="D144" s="113">
        <v>28672</v>
      </c>
      <c r="E144" s="52">
        <v>7.9392109570000002</v>
      </c>
      <c r="F144">
        <f t="shared" si="5"/>
        <v>180</v>
      </c>
      <c r="G144">
        <f t="shared" si="6"/>
        <v>180</v>
      </c>
      <c r="H144">
        <f t="shared" si="7"/>
        <v>12</v>
      </c>
      <c r="I144" s="114">
        <f t="shared" si="9"/>
        <v>28825</v>
      </c>
      <c r="J144">
        <f t="shared" si="8"/>
        <v>8.0957684430000008</v>
      </c>
    </row>
    <row r="145" spans="4:10" x14ac:dyDescent="0.45">
      <c r="D145" s="113">
        <v>28703</v>
      </c>
      <c r="E145" s="52">
        <v>8.2040468959999995</v>
      </c>
      <c r="F145">
        <f t="shared" ref="F145:F208" si="10">FLOOR(DAYS360(DATE(YEAR(D145),1,1),D145),30)</f>
        <v>210</v>
      </c>
      <c r="G145">
        <f t="shared" si="6"/>
        <v>210</v>
      </c>
      <c r="H145">
        <f t="shared" si="7"/>
        <v>12</v>
      </c>
      <c r="I145" s="114">
        <f t="shared" si="9"/>
        <v>28825</v>
      </c>
      <c r="J145">
        <f t="shared" si="8"/>
        <v>8.0957684430000008</v>
      </c>
    </row>
    <row r="146" spans="4:10" x14ac:dyDescent="0.45">
      <c r="D146" s="113">
        <v>28734</v>
      </c>
      <c r="E146" s="52">
        <v>8.6055779940000008</v>
      </c>
      <c r="F146">
        <f t="shared" si="10"/>
        <v>240</v>
      </c>
      <c r="G146">
        <f t="shared" ref="G146:G209" si="11">MOD(F146, 360/$G$12)</f>
        <v>240</v>
      </c>
      <c r="H146">
        <f t="shared" ref="H146:H209" si="12">IF(G146&gt;G145,H145,H145+1)</f>
        <v>12</v>
      </c>
      <c r="I146" s="114">
        <f t="shared" si="9"/>
        <v>28825</v>
      </c>
      <c r="J146">
        <f t="shared" ref="J146:J209" si="13">AVERAGEIF($H$17:$H$675,H146,$E$17:$E$675)</f>
        <v>8.0957684430000008</v>
      </c>
    </row>
    <row r="147" spans="4:10" x14ac:dyDescent="0.45">
      <c r="D147" s="113">
        <v>28764</v>
      </c>
      <c r="E147" s="52">
        <v>9.0624216670000006</v>
      </c>
      <c r="F147">
        <f t="shared" si="10"/>
        <v>270</v>
      </c>
      <c r="G147">
        <f t="shared" si="11"/>
        <v>270</v>
      </c>
      <c r="H147">
        <f t="shared" si="12"/>
        <v>12</v>
      </c>
      <c r="I147" s="114">
        <f t="shared" ref="I147:I210" si="14">EDATE(I146,(H147-H146)*(12/$G$12))</f>
        <v>28825</v>
      </c>
      <c r="J147">
        <f t="shared" si="13"/>
        <v>8.0957684430000008</v>
      </c>
    </row>
    <row r="148" spans="4:10" x14ac:dyDescent="0.45">
      <c r="D148" s="113">
        <v>28795</v>
      </c>
      <c r="E148" s="52">
        <v>9.2375578059999999</v>
      </c>
      <c r="F148">
        <f t="shared" si="10"/>
        <v>300</v>
      </c>
      <c r="G148">
        <f t="shared" si="11"/>
        <v>300</v>
      </c>
      <c r="H148">
        <f t="shared" si="12"/>
        <v>12</v>
      </c>
      <c r="I148" s="114">
        <f t="shared" si="14"/>
        <v>28825</v>
      </c>
      <c r="J148">
        <f t="shared" si="13"/>
        <v>8.0957684430000008</v>
      </c>
    </row>
    <row r="149" spans="4:10" x14ac:dyDescent="0.45">
      <c r="D149" s="113">
        <v>28825</v>
      </c>
      <c r="E149" s="52">
        <v>9.0711158750000003</v>
      </c>
      <c r="F149">
        <f t="shared" si="10"/>
        <v>330</v>
      </c>
      <c r="G149">
        <f t="shared" si="11"/>
        <v>330</v>
      </c>
      <c r="H149">
        <f t="shared" si="12"/>
        <v>12</v>
      </c>
      <c r="I149" s="114">
        <f t="shared" si="14"/>
        <v>28825</v>
      </c>
      <c r="J149">
        <f t="shared" si="13"/>
        <v>8.0957684430000008</v>
      </c>
    </row>
    <row r="150" spans="4:10" x14ac:dyDescent="0.45">
      <c r="D150" s="113">
        <v>28856</v>
      </c>
      <c r="E150" s="52">
        <v>9.0837509220000001</v>
      </c>
      <c r="F150">
        <f t="shared" si="10"/>
        <v>0</v>
      </c>
      <c r="G150">
        <f t="shared" si="11"/>
        <v>0</v>
      </c>
      <c r="H150">
        <f t="shared" si="12"/>
        <v>13</v>
      </c>
      <c r="I150" s="114">
        <f t="shared" si="14"/>
        <v>29190</v>
      </c>
      <c r="J150">
        <f t="shared" si="13"/>
        <v>10.595650194416667</v>
      </c>
    </row>
    <row r="151" spans="4:10" x14ac:dyDescent="0.45">
      <c r="D151" s="113">
        <v>28887</v>
      </c>
      <c r="E151" s="52">
        <v>9.5860347059999995</v>
      </c>
      <c r="F151">
        <f t="shared" si="10"/>
        <v>30</v>
      </c>
      <c r="G151">
        <f t="shared" si="11"/>
        <v>30</v>
      </c>
      <c r="H151">
        <f t="shared" si="12"/>
        <v>13</v>
      </c>
      <c r="I151" s="114">
        <f t="shared" si="14"/>
        <v>29190</v>
      </c>
      <c r="J151">
        <f t="shared" si="13"/>
        <v>10.595650194416667</v>
      </c>
    </row>
    <row r="152" spans="4:10" x14ac:dyDescent="0.45">
      <c r="D152" s="113">
        <v>28915</v>
      </c>
      <c r="E152" s="52">
        <v>9.6898524239999997</v>
      </c>
      <c r="F152">
        <f t="shared" si="10"/>
        <v>60</v>
      </c>
      <c r="G152">
        <f t="shared" si="11"/>
        <v>60</v>
      </c>
      <c r="H152">
        <f t="shared" si="12"/>
        <v>13</v>
      </c>
      <c r="I152" s="114">
        <f t="shared" si="14"/>
        <v>29190</v>
      </c>
      <c r="J152">
        <f t="shared" si="13"/>
        <v>10.595650194416667</v>
      </c>
    </row>
    <row r="153" spans="4:10" x14ac:dyDescent="0.45">
      <c r="D153" s="113">
        <v>28946</v>
      </c>
      <c r="E153" s="52">
        <v>9.9340986390000001</v>
      </c>
      <c r="F153">
        <f t="shared" si="10"/>
        <v>90</v>
      </c>
      <c r="G153">
        <f t="shared" si="11"/>
        <v>90</v>
      </c>
      <c r="H153">
        <f t="shared" si="12"/>
        <v>13</v>
      </c>
      <c r="I153" s="114">
        <f t="shared" si="14"/>
        <v>29190</v>
      </c>
      <c r="J153">
        <f t="shared" si="13"/>
        <v>10.595650194416667</v>
      </c>
    </row>
    <row r="154" spans="4:10" x14ac:dyDescent="0.45">
      <c r="D154" s="113">
        <v>28976</v>
      </c>
      <c r="E154" s="52">
        <v>10.09794116</v>
      </c>
      <c r="F154">
        <f t="shared" si="10"/>
        <v>120</v>
      </c>
      <c r="G154">
        <f t="shared" si="11"/>
        <v>120</v>
      </c>
      <c r="H154">
        <f t="shared" si="12"/>
        <v>13</v>
      </c>
      <c r="I154" s="114">
        <f t="shared" si="14"/>
        <v>29190</v>
      </c>
      <c r="J154">
        <f t="shared" si="13"/>
        <v>10.595650194416667</v>
      </c>
    </row>
    <row r="155" spans="4:10" x14ac:dyDescent="0.45">
      <c r="D155" s="113">
        <v>29007</v>
      </c>
      <c r="E155" s="52">
        <v>10.284819787</v>
      </c>
      <c r="F155">
        <f t="shared" si="10"/>
        <v>150</v>
      </c>
      <c r="G155">
        <f t="shared" si="11"/>
        <v>150</v>
      </c>
      <c r="H155">
        <f t="shared" si="12"/>
        <v>13</v>
      </c>
      <c r="I155" s="114">
        <f t="shared" si="14"/>
        <v>29190</v>
      </c>
      <c r="J155">
        <f t="shared" si="13"/>
        <v>10.595650194416667</v>
      </c>
    </row>
    <row r="156" spans="4:10" x14ac:dyDescent="0.45">
      <c r="D156" s="113">
        <v>29037</v>
      </c>
      <c r="E156" s="52">
        <v>10.521237318000001</v>
      </c>
      <c r="F156">
        <f t="shared" si="10"/>
        <v>180</v>
      </c>
      <c r="G156">
        <f t="shared" si="11"/>
        <v>180</v>
      </c>
      <c r="H156">
        <f t="shared" si="12"/>
        <v>13</v>
      </c>
      <c r="I156" s="114">
        <f t="shared" si="14"/>
        <v>29190</v>
      </c>
      <c r="J156">
        <f t="shared" si="13"/>
        <v>10.595650194416667</v>
      </c>
    </row>
    <row r="157" spans="4:10" x14ac:dyDescent="0.45">
      <c r="D157" s="113">
        <v>29068</v>
      </c>
      <c r="E157" s="52">
        <v>10.954395742999999</v>
      </c>
      <c r="F157">
        <f t="shared" si="10"/>
        <v>210</v>
      </c>
      <c r="G157">
        <f t="shared" si="11"/>
        <v>210</v>
      </c>
      <c r="H157">
        <f t="shared" si="12"/>
        <v>13</v>
      </c>
      <c r="I157" s="114">
        <f t="shared" si="14"/>
        <v>29190</v>
      </c>
      <c r="J157">
        <f t="shared" si="13"/>
        <v>10.595650194416667</v>
      </c>
    </row>
    <row r="158" spans="4:10" x14ac:dyDescent="0.45">
      <c r="D158" s="113">
        <v>29099</v>
      </c>
      <c r="E158" s="52">
        <v>11.002540622</v>
      </c>
      <c r="F158">
        <f t="shared" si="10"/>
        <v>240</v>
      </c>
      <c r="G158">
        <f t="shared" si="11"/>
        <v>240</v>
      </c>
      <c r="H158">
        <f t="shared" si="12"/>
        <v>13</v>
      </c>
      <c r="I158" s="114">
        <f t="shared" si="14"/>
        <v>29190</v>
      </c>
      <c r="J158">
        <f t="shared" si="13"/>
        <v>10.595650194416667</v>
      </c>
    </row>
    <row r="159" spans="4:10" x14ac:dyDescent="0.45">
      <c r="D159" s="113">
        <v>29129</v>
      </c>
      <c r="E159" s="52">
        <v>11.279514365000001</v>
      </c>
      <c r="F159">
        <f t="shared" si="10"/>
        <v>270</v>
      </c>
      <c r="G159">
        <f t="shared" si="11"/>
        <v>270</v>
      </c>
      <c r="H159">
        <f t="shared" si="12"/>
        <v>13</v>
      </c>
      <c r="I159" s="114">
        <f t="shared" si="14"/>
        <v>29190</v>
      </c>
      <c r="J159">
        <f t="shared" si="13"/>
        <v>10.595650194416667</v>
      </c>
    </row>
    <row r="160" spans="4:10" x14ac:dyDescent="0.45">
      <c r="D160" s="113">
        <v>29160</v>
      </c>
      <c r="E160" s="52">
        <v>11.951758189</v>
      </c>
      <c r="F160">
        <f t="shared" si="10"/>
        <v>300</v>
      </c>
      <c r="G160">
        <f t="shared" si="11"/>
        <v>300</v>
      </c>
      <c r="H160">
        <f t="shared" si="12"/>
        <v>13</v>
      </c>
      <c r="I160" s="114">
        <f t="shared" si="14"/>
        <v>29190</v>
      </c>
      <c r="J160">
        <f t="shared" si="13"/>
        <v>10.595650194416667</v>
      </c>
    </row>
    <row r="161" spans="4:10" x14ac:dyDescent="0.45">
      <c r="D161" s="113">
        <v>29190</v>
      </c>
      <c r="E161" s="52">
        <v>12.761858458000001</v>
      </c>
      <c r="F161">
        <f t="shared" si="10"/>
        <v>330</v>
      </c>
      <c r="G161">
        <f t="shared" si="11"/>
        <v>330</v>
      </c>
      <c r="H161">
        <f t="shared" si="12"/>
        <v>13</v>
      </c>
      <c r="I161" s="114">
        <f t="shared" si="14"/>
        <v>29190</v>
      </c>
      <c r="J161">
        <f t="shared" si="13"/>
        <v>10.595650194416667</v>
      </c>
    </row>
    <row r="162" spans="4:10" x14ac:dyDescent="0.45">
      <c r="D162" s="113">
        <v>29221</v>
      </c>
      <c r="E162" s="52">
        <v>13.499249243</v>
      </c>
      <c r="F162">
        <f t="shared" si="10"/>
        <v>0</v>
      </c>
      <c r="G162">
        <f t="shared" si="11"/>
        <v>0</v>
      </c>
      <c r="H162">
        <f t="shared" si="12"/>
        <v>14</v>
      </c>
      <c r="I162" s="114">
        <f t="shared" si="14"/>
        <v>29556</v>
      </c>
      <c r="J162">
        <f t="shared" si="13"/>
        <v>13.887196271583333</v>
      </c>
    </row>
    <row r="163" spans="4:10" x14ac:dyDescent="0.45">
      <c r="D163" s="113">
        <v>29252</v>
      </c>
      <c r="E163" s="52">
        <v>13.627778119</v>
      </c>
      <c r="F163">
        <f t="shared" si="10"/>
        <v>30</v>
      </c>
      <c r="G163">
        <f t="shared" si="11"/>
        <v>30</v>
      </c>
      <c r="H163">
        <f t="shared" si="12"/>
        <v>14</v>
      </c>
      <c r="I163" s="114">
        <f t="shared" si="14"/>
        <v>29556</v>
      </c>
      <c r="J163">
        <f t="shared" si="13"/>
        <v>13.887196271583333</v>
      </c>
    </row>
    <row r="164" spans="4:10" x14ac:dyDescent="0.45">
      <c r="D164" s="113">
        <v>29281</v>
      </c>
      <c r="E164" s="52">
        <v>14.361385885000001</v>
      </c>
      <c r="F164">
        <f t="shared" si="10"/>
        <v>60</v>
      </c>
      <c r="G164">
        <f t="shared" si="11"/>
        <v>60</v>
      </c>
      <c r="H164">
        <f t="shared" si="12"/>
        <v>14</v>
      </c>
      <c r="I164" s="114">
        <f t="shared" si="14"/>
        <v>29556</v>
      </c>
      <c r="J164">
        <f t="shared" si="13"/>
        <v>13.887196271583333</v>
      </c>
    </row>
    <row r="165" spans="4:10" x14ac:dyDescent="0.45">
      <c r="D165" s="113">
        <v>29312</v>
      </c>
      <c r="E165" s="52">
        <v>14.786779516999999</v>
      </c>
      <c r="F165">
        <f t="shared" si="10"/>
        <v>90</v>
      </c>
      <c r="G165">
        <f t="shared" si="11"/>
        <v>90</v>
      </c>
      <c r="H165">
        <f t="shared" si="12"/>
        <v>14</v>
      </c>
      <c r="I165" s="114">
        <f t="shared" si="14"/>
        <v>29556</v>
      </c>
      <c r="J165">
        <f t="shared" si="13"/>
        <v>13.887196271583333</v>
      </c>
    </row>
    <row r="166" spans="4:10" x14ac:dyDescent="0.45">
      <c r="D166" s="113">
        <v>29342</v>
      </c>
      <c r="E166" s="52">
        <v>15.147255921999999</v>
      </c>
      <c r="F166">
        <f t="shared" si="10"/>
        <v>120</v>
      </c>
      <c r="G166">
        <f t="shared" si="11"/>
        <v>120</v>
      </c>
      <c r="H166">
        <f t="shared" si="12"/>
        <v>14</v>
      </c>
      <c r="I166" s="114">
        <f t="shared" si="14"/>
        <v>29556</v>
      </c>
      <c r="J166">
        <f t="shared" si="13"/>
        <v>13.887196271583333</v>
      </c>
    </row>
    <row r="167" spans="4:10" x14ac:dyDescent="0.45">
      <c r="D167" s="113">
        <v>29373</v>
      </c>
      <c r="E167" s="52">
        <v>15.810582065</v>
      </c>
      <c r="F167">
        <f t="shared" si="10"/>
        <v>150</v>
      </c>
      <c r="G167">
        <f t="shared" si="11"/>
        <v>150</v>
      </c>
      <c r="H167">
        <f t="shared" si="12"/>
        <v>14</v>
      </c>
      <c r="I167" s="114">
        <f t="shared" si="14"/>
        <v>29556</v>
      </c>
      <c r="J167">
        <f t="shared" si="13"/>
        <v>13.887196271583333</v>
      </c>
    </row>
    <row r="168" spans="4:10" x14ac:dyDescent="0.45">
      <c r="D168" s="113">
        <v>29403</v>
      </c>
      <c r="E168" s="52">
        <v>14.178529783</v>
      </c>
      <c r="F168">
        <f t="shared" si="10"/>
        <v>180</v>
      </c>
      <c r="G168">
        <f t="shared" si="11"/>
        <v>180</v>
      </c>
      <c r="H168">
        <f t="shared" si="12"/>
        <v>14</v>
      </c>
      <c r="I168" s="114">
        <f t="shared" si="14"/>
        <v>29556</v>
      </c>
      <c r="J168">
        <f t="shared" si="13"/>
        <v>13.887196271583333</v>
      </c>
    </row>
    <row r="169" spans="4:10" x14ac:dyDescent="0.45">
      <c r="D169" s="113">
        <v>29434</v>
      </c>
      <c r="E169" s="52">
        <v>13.314194421</v>
      </c>
      <c r="F169">
        <f t="shared" si="10"/>
        <v>210</v>
      </c>
      <c r="G169">
        <f t="shared" si="11"/>
        <v>210</v>
      </c>
      <c r="H169">
        <f t="shared" si="12"/>
        <v>14</v>
      </c>
      <c r="I169" s="114">
        <f t="shared" si="14"/>
        <v>29556</v>
      </c>
      <c r="J169">
        <f t="shared" si="13"/>
        <v>13.887196271583333</v>
      </c>
    </row>
    <row r="170" spans="4:10" x14ac:dyDescent="0.45">
      <c r="D170" s="113">
        <v>29465</v>
      </c>
      <c r="E170" s="52">
        <v>13.136608244</v>
      </c>
      <c r="F170">
        <f t="shared" si="10"/>
        <v>240</v>
      </c>
      <c r="G170">
        <f t="shared" si="11"/>
        <v>240</v>
      </c>
      <c r="H170">
        <f t="shared" si="12"/>
        <v>14</v>
      </c>
      <c r="I170" s="114">
        <f t="shared" si="14"/>
        <v>29556</v>
      </c>
      <c r="J170">
        <f t="shared" si="13"/>
        <v>13.887196271583333</v>
      </c>
    </row>
    <row r="171" spans="4:10" x14ac:dyDescent="0.45">
      <c r="D171" s="113">
        <v>29495</v>
      </c>
      <c r="E171" s="52">
        <v>13.133051948</v>
      </c>
      <c r="F171">
        <f t="shared" si="10"/>
        <v>270</v>
      </c>
      <c r="G171">
        <f t="shared" si="11"/>
        <v>270</v>
      </c>
      <c r="H171">
        <f t="shared" si="12"/>
        <v>14</v>
      </c>
      <c r="I171" s="114">
        <f t="shared" si="14"/>
        <v>29556</v>
      </c>
      <c r="J171">
        <f t="shared" si="13"/>
        <v>13.887196271583333</v>
      </c>
    </row>
    <row r="172" spans="4:10" x14ac:dyDescent="0.45">
      <c r="D172" s="113">
        <v>29526</v>
      </c>
      <c r="E172" s="52">
        <v>12.918697160000001</v>
      </c>
      <c r="F172">
        <f t="shared" si="10"/>
        <v>300</v>
      </c>
      <c r="G172">
        <f t="shared" si="11"/>
        <v>300</v>
      </c>
      <c r="H172">
        <f t="shared" si="12"/>
        <v>14</v>
      </c>
      <c r="I172" s="114">
        <f t="shared" si="14"/>
        <v>29556</v>
      </c>
      <c r="J172">
        <f t="shared" si="13"/>
        <v>13.887196271583333</v>
      </c>
    </row>
    <row r="173" spans="4:10" x14ac:dyDescent="0.45">
      <c r="D173" s="113">
        <v>29556</v>
      </c>
      <c r="E173" s="52">
        <v>12.732242952</v>
      </c>
      <c r="F173">
        <f t="shared" si="10"/>
        <v>330</v>
      </c>
      <c r="G173">
        <f t="shared" si="11"/>
        <v>330</v>
      </c>
      <c r="H173">
        <f t="shared" si="12"/>
        <v>14</v>
      </c>
      <c r="I173" s="114">
        <f t="shared" si="14"/>
        <v>29556</v>
      </c>
      <c r="J173">
        <f t="shared" si="13"/>
        <v>13.887196271583333</v>
      </c>
    </row>
    <row r="174" spans="4:10" x14ac:dyDescent="0.45">
      <c r="D174" s="113">
        <v>29587</v>
      </c>
      <c r="E174" s="52">
        <v>12.062863603</v>
      </c>
      <c r="F174">
        <f t="shared" si="10"/>
        <v>0</v>
      </c>
      <c r="G174">
        <f t="shared" si="11"/>
        <v>0</v>
      </c>
      <c r="H174">
        <f t="shared" si="12"/>
        <v>15</v>
      </c>
      <c r="I174" s="114">
        <f t="shared" si="14"/>
        <v>29921</v>
      </c>
      <c r="J174">
        <f t="shared" si="13"/>
        <v>10.789840377166664</v>
      </c>
    </row>
    <row r="175" spans="4:10" x14ac:dyDescent="0.45">
      <c r="D175" s="113">
        <v>29618</v>
      </c>
      <c r="E175" s="52">
        <v>11.274926045999999</v>
      </c>
      <c r="F175">
        <f t="shared" si="10"/>
        <v>30</v>
      </c>
      <c r="G175">
        <f t="shared" si="11"/>
        <v>30</v>
      </c>
      <c r="H175">
        <f t="shared" si="12"/>
        <v>15</v>
      </c>
      <c r="I175" s="114">
        <f t="shared" si="14"/>
        <v>29921</v>
      </c>
      <c r="J175">
        <f t="shared" si="13"/>
        <v>10.789840377166664</v>
      </c>
    </row>
    <row r="176" spans="4:10" x14ac:dyDescent="0.45">
      <c r="D176" s="113">
        <v>29646</v>
      </c>
      <c r="E176" s="52">
        <v>10.363727852</v>
      </c>
      <c r="F176">
        <f t="shared" si="10"/>
        <v>60</v>
      </c>
      <c r="G176">
        <f t="shared" si="11"/>
        <v>60</v>
      </c>
      <c r="H176">
        <f t="shared" si="12"/>
        <v>15</v>
      </c>
      <c r="I176" s="114">
        <f t="shared" si="14"/>
        <v>29921</v>
      </c>
      <c r="J176">
        <f t="shared" si="13"/>
        <v>10.789840377166664</v>
      </c>
    </row>
    <row r="177" spans="4:10" x14ac:dyDescent="0.45">
      <c r="D177" s="113">
        <v>29677</v>
      </c>
      <c r="E177" s="52">
        <v>9.7525891530000006</v>
      </c>
      <c r="F177">
        <f t="shared" si="10"/>
        <v>90</v>
      </c>
      <c r="G177">
        <f t="shared" si="11"/>
        <v>90</v>
      </c>
      <c r="H177">
        <f t="shared" si="12"/>
        <v>15</v>
      </c>
      <c r="I177" s="114">
        <f t="shared" si="14"/>
        <v>29921</v>
      </c>
      <c r="J177">
        <f t="shared" si="13"/>
        <v>10.789840377166664</v>
      </c>
    </row>
    <row r="178" spans="4:10" x14ac:dyDescent="0.45">
      <c r="D178" s="113">
        <v>29707</v>
      </c>
      <c r="E178" s="52">
        <v>9.6458873549999993</v>
      </c>
      <c r="F178">
        <f t="shared" si="10"/>
        <v>120</v>
      </c>
      <c r="G178">
        <f t="shared" si="11"/>
        <v>120</v>
      </c>
      <c r="H178">
        <f t="shared" si="12"/>
        <v>15</v>
      </c>
      <c r="I178" s="114">
        <f t="shared" si="14"/>
        <v>29921</v>
      </c>
      <c r="J178">
        <f t="shared" si="13"/>
        <v>10.789840377166664</v>
      </c>
    </row>
    <row r="179" spans="4:10" x14ac:dyDescent="0.45">
      <c r="D179" s="113">
        <v>29738</v>
      </c>
      <c r="E179" s="52">
        <v>9.2502109990000001</v>
      </c>
      <c r="F179">
        <f t="shared" si="10"/>
        <v>150</v>
      </c>
      <c r="G179">
        <f t="shared" si="11"/>
        <v>150</v>
      </c>
      <c r="H179">
        <f t="shared" si="12"/>
        <v>15</v>
      </c>
      <c r="I179" s="114">
        <f t="shared" si="14"/>
        <v>29921</v>
      </c>
      <c r="J179">
        <f t="shared" si="13"/>
        <v>10.789840377166664</v>
      </c>
    </row>
    <row r="180" spans="4:10" x14ac:dyDescent="0.45">
      <c r="D180" s="113">
        <v>29768</v>
      </c>
      <c r="E180" s="52">
        <v>11.274384725999999</v>
      </c>
      <c r="F180">
        <f t="shared" si="10"/>
        <v>180</v>
      </c>
      <c r="G180">
        <f t="shared" si="11"/>
        <v>180</v>
      </c>
      <c r="H180">
        <f t="shared" si="12"/>
        <v>15</v>
      </c>
      <c r="I180" s="114">
        <f t="shared" si="14"/>
        <v>29921</v>
      </c>
      <c r="J180">
        <f t="shared" si="13"/>
        <v>10.789840377166664</v>
      </c>
    </row>
    <row r="181" spans="4:10" x14ac:dyDescent="0.45">
      <c r="D181" s="113">
        <v>29799</v>
      </c>
      <c r="E181" s="52">
        <v>11.853018154000001</v>
      </c>
      <c r="F181">
        <f t="shared" si="10"/>
        <v>210</v>
      </c>
      <c r="G181">
        <f t="shared" si="11"/>
        <v>210</v>
      </c>
      <c r="H181">
        <f t="shared" si="12"/>
        <v>15</v>
      </c>
      <c r="I181" s="114">
        <f t="shared" si="14"/>
        <v>29921</v>
      </c>
      <c r="J181">
        <f t="shared" si="13"/>
        <v>10.789840377166664</v>
      </c>
    </row>
    <row r="182" spans="4:10" x14ac:dyDescent="0.45">
      <c r="D182" s="113">
        <v>29830</v>
      </c>
      <c r="E182" s="52">
        <v>12.262533118</v>
      </c>
      <c r="F182">
        <f t="shared" si="10"/>
        <v>240</v>
      </c>
      <c r="G182">
        <f t="shared" si="11"/>
        <v>240</v>
      </c>
      <c r="H182">
        <f t="shared" si="12"/>
        <v>15</v>
      </c>
      <c r="I182" s="114">
        <f t="shared" si="14"/>
        <v>29921</v>
      </c>
      <c r="J182">
        <f t="shared" si="13"/>
        <v>10.789840377166664</v>
      </c>
    </row>
    <row r="183" spans="4:10" x14ac:dyDescent="0.45">
      <c r="D183" s="113">
        <v>29860</v>
      </c>
      <c r="E183" s="52">
        <v>11.298313544000001</v>
      </c>
      <c r="F183">
        <f t="shared" si="10"/>
        <v>270</v>
      </c>
      <c r="G183">
        <f t="shared" si="11"/>
        <v>270</v>
      </c>
      <c r="H183">
        <f t="shared" si="12"/>
        <v>15</v>
      </c>
      <c r="I183" s="114">
        <f t="shared" si="14"/>
        <v>29921</v>
      </c>
      <c r="J183">
        <f t="shared" si="13"/>
        <v>10.789840377166664</v>
      </c>
    </row>
    <row r="184" spans="4:10" x14ac:dyDescent="0.45">
      <c r="D184" s="113">
        <v>29891</v>
      </c>
      <c r="E184" s="52">
        <v>10.554645194000001</v>
      </c>
      <c r="F184">
        <f t="shared" si="10"/>
        <v>300</v>
      </c>
      <c r="G184">
        <f t="shared" si="11"/>
        <v>300</v>
      </c>
      <c r="H184">
        <f t="shared" si="12"/>
        <v>15</v>
      </c>
      <c r="I184" s="114">
        <f t="shared" si="14"/>
        <v>29921</v>
      </c>
      <c r="J184">
        <f t="shared" si="13"/>
        <v>10.789840377166664</v>
      </c>
    </row>
    <row r="185" spans="4:10" x14ac:dyDescent="0.45">
      <c r="D185" s="113">
        <v>29921</v>
      </c>
      <c r="E185" s="52">
        <v>9.8849847820000001</v>
      </c>
      <c r="F185">
        <f t="shared" si="10"/>
        <v>330</v>
      </c>
      <c r="G185">
        <f t="shared" si="11"/>
        <v>330</v>
      </c>
      <c r="H185">
        <f t="shared" si="12"/>
        <v>15</v>
      </c>
      <c r="I185" s="114">
        <f t="shared" si="14"/>
        <v>29921</v>
      </c>
      <c r="J185">
        <f t="shared" si="13"/>
        <v>10.789840377166664</v>
      </c>
    </row>
    <row r="186" spans="4:10" x14ac:dyDescent="0.45">
      <c r="D186" s="113">
        <v>29952</v>
      </c>
      <c r="E186" s="52">
        <v>9.4991964729999996</v>
      </c>
      <c r="F186">
        <f t="shared" si="10"/>
        <v>0</v>
      </c>
      <c r="G186">
        <f t="shared" si="11"/>
        <v>0</v>
      </c>
      <c r="H186">
        <f t="shared" si="12"/>
        <v>16</v>
      </c>
      <c r="I186" s="114">
        <f t="shared" si="14"/>
        <v>30286</v>
      </c>
      <c r="J186">
        <f t="shared" si="13"/>
        <v>7.6841269871666666</v>
      </c>
    </row>
    <row r="187" spans="4:10" x14ac:dyDescent="0.45">
      <c r="D187" s="113">
        <v>29983</v>
      </c>
      <c r="E187" s="52">
        <v>9.5676904900000004</v>
      </c>
      <c r="F187">
        <f t="shared" si="10"/>
        <v>30</v>
      </c>
      <c r="G187">
        <f t="shared" si="11"/>
        <v>30</v>
      </c>
      <c r="H187">
        <f t="shared" si="12"/>
        <v>16</v>
      </c>
      <c r="I187" s="114">
        <f t="shared" si="14"/>
        <v>30286</v>
      </c>
      <c r="J187">
        <f t="shared" si="13"/>
        <v>7.6841269871666666</v>
      </c>
    </row>
    <row r="188" spans="4:10" x14ac:dyDescent="0.45">
      <c r="D188" s="113">
        <v>30011</v>
      </c>
      <c r="E188" s="52">
        <v>8.9206482870000006</v>
      </c>
      <c r="F188">
        <f t="shared" si="10"/>
        <v>60</v>
      </c>
      <c r="G188">
        <f t="shared" si="11"/>
        <v>60</v>
      </c>
      <c r="H188">
        <f t="shared" si="12"/>
        <v>16</v>
      </c>
      <c r="I188" s="114">
        <f t="shared" si="14"/>
        <v>30286</v>
      </c>
      <c r="J188">
        <f t="shared" si="13"/>
        <v>7.6841269871666666</v>
      </c>
    </row>
    <row r="189" spans="4:10" x14ac:dyDescent="0.45">
      <c r="D189" s="113">
        <v>30042</v>
      </c>
      <c r="E189" s="52">
        <v>9.1122021629999992</v>
      </c>
      <c r="F189">
        <f t="shared" si="10"/>
        <v>90</v>
      </c>
      <c r="G189">
        <f t="shared" si="11"/>
        <v>90</v>
      </c>
      <c r="H189">
        <f t="shared" si="12"/>
        <v>16</v>
      </c>
      <c r="I189" s="114">
        <f t="shared" si="14"/>
        <v>30286</v>
      </c>
      <c r="J189">
        <f t="shared" si="13"/>
        <v>7.6841269871666666</v>
      </c>
    </row>
    <row r="190" spans="4:10" x14ac:dyDescent="0.45">
      <c r="D190" s="113">
        <v>30072</v>
      </c>
      <c r="E190" s="52">
        <v>9.0847988500000003</v>
      </c>
      <c r="F190">
        <f t="shared" si="10"/>
        <v>120</v>
      </c>
      <c r="G190">
        <f t="shared" si="11"/>
        <v>120</v>
      </c>
      <c r="H190">
        <f t="shared" si="12"/>
        <v>16</v>
      </c>
      <c r="I190" s="114">
        <f t="shared" si="14"/>
        <v>30286</v>
      </c>
      <c r="J190">
        <f t="shared" si="13"/>
        <v>7.6841269871666666</v>
      </c>
    </row>
    <row r="191" spans="4:10" x14ac:dyDescent="0.45">
      <c r="D191" s="113">
        <v>30103</v>
      </c>
      <c r="E191" s="52">
        <v>8.9098368269999995</v>
      </c>
      <c r="F191">
        <f t="shared" si="10"/>
        <v>150</v>
      </c>
      <c r="G191">
        <f t="shared" si="11"/>
        <v>150</v>
      </c>
      <c r="H191">
        <f t="shared" si="12"/>
        <v>16</v>
      </c>
      <c r="I191" s="114">
        <f t="shared" si="14"/>
        <v>30286</v>
      </c>
      <c r="J191">
        <f t="shared" si="13"/>
        <v>7.6841269871666666</v>
      </c>
    </row>
    <row r="192" spans="4:10" x14ac:dyDescent="0.45">
      <c r="D192" s="113">
        <v>30133</v>
      </c>
      <c r="E192" s="52">
        <v>7.9125604279999999</v>
      </c>
      <c r="F192">
        <f t="shared" si="10"/>
        <v>180</v>
      </c>
      <c r="G192">
        <f t="shared" si="11"/>
        <v>180</v>
      </c>
      <c r="H192">
        <f t="shared" si="12"/>
        <v>16</v>
      </c>
      <c r="I192" s="114">
        <f t="shared" si="14"/>
        <v>30286</v>
      </c>
      <c r="J192">
        <f t="shared" si="13"/>
        <v>7.6841269871666666</v>
      </c>
    </row>
    <row r="193" spans="4:10" x14ac:dyDescent="0.45">
      <c r="D193" s="113">
        <v>30164</v>
      </c>
      <c r="E193" s="52">
        <v>7.3514673330000004</v>
      </c>
      <c r="F193">
        <f t="shared" si="10"/>
        <v>210</v>
      </c>
      <c r="G193">
        <f t="shared" si="11"/>
        <v>210</v>
      </c>
      <c r="H193">
        <f t="shared" si="12"/>
        <v>16</v>
      </c>
      <c r="I193" s="114">
        <f t="shared" si="14"/>
        <v>30286</v>
      </c>
      <c r="J193">
        <f t="shared" si="13"/>
        <v>7.6841269871666666</v>
      </c>
    </row>
    <row r="194" spans="4:10" x14ac:dyDescent="0.45">
      <c r="D194" s="113">
        <v>30195</v>
      </c>
      <c r="E194" s="52">
        <v>6.0034093349999997</v>
      </c>
      <c r="F194">
        <f t="shared" si="10"/>
        <v>240</v>
      </c>
      <c r="G194">
        <f t="shared" si="11"/>
        <v>240</v>
      </c>
      <c r="H194">
        <f t="shared" si="12"/>
        <v>16</v>
      </c>
      <c r="I194" s="114">
        <f t="shared" si="14"/>
        <v>30286</v>
      </c>
      <c r="J194">
        <f t="shared" si="13"/>
        <v>7.6841269871666666</v>
      </c>
    </row>
    <row r="195" spans="4:10" x14ac:dyDescent="0.45">
      <c r="D195" s="113">
        <v>30225</v>
      </c>
      <c r="E195" s="52">
        <v>6.0009044039999999</v>
      </c>
      <c r="F195">
        <f t="shared" si="10"/>
        <v>270</v>
      </c>
      <c r="G195">
        <f t="shared" si="11"/>
        <v>270</v>
      </c>
      <c r="H195">
        <f t="shared" si="12"/>
        <v>16</v>
      </c>
      <c r="I195" s="114">
        <f t="shared" si="14"/>
        <v>30286</v>
      </c>
      <c r="J195">
        <f t="shared" si="13"/>
        <v>7.6841269871666666</v>
      </c>
    </row>
    <row r="196" spans="4:10" x14ac:dyDescent="0.45">
      <c r="D196" s="113">
        <v>30256</v>
      </c>
      <c r="E196" s="52">
        <v>5.3278237710000003</v>
      </c>
      <c r="F196">
        <f t="shared" si="10"/>
        <v>300</v>
      </c>
      <c r="G196">
        <f t="shared" si="11"/>
        <v>300</v>
      </c>
      <c r="H196">
        <f t="shared" si="12"/>
        <v>16</v>
      </c>
      <c r="I196" s="114">
        <f t="shared" si="14"/>
        <v>30286</v>
      </c>
      <c r="J196">
        <f t="shared" si="13"/>
        <v>7.6841269871666666</v>
      </c>
    </row>
    <row r="197" spans="4:10" x14ac:dyDescent="0.45">
      <c r="D197" s="113">
        <v>30286</v>
      </c>
      <c r="E197" s="52">
        <v>4.518985485</v>
      </c>
      <c r="F197">
        <f t="shared" si="10"/>
        <v>330</v>
      </c>
      <c r="G197">
        <f t="shared" si="11"/>
        <v>330</v>
      </c>
      <c r="H197">
        <f t="shared" si="12"/>
        <v>16</v>
      </c>
      <c r="I197" s="114">
        <f t="shared" si="14"/>
        <v>30286</v>
      </c>
      <c r="J197">
        <f t="shared" si="13"/>
        <v>7.6841269871666666</v>
      </c>
    </row>
    <row r="198" spans="4:10" x14ac:dyDescent="0.45">
      <c r="D198" s="113">
        <v>30317</v>
      </c>
      <c r="E198" s="52">
        <v>4.6955983540000004</v>
      </c>
      <c r="F198">
        <f t="shared" si="10"/>
        <v>0</v>
      </c>
      <c r="G198">
        <f t="shared" si="11"/>
        <v>0</v>
      </c>
      <c r="H198">
        <f t="shared" si="12"/>
        <v>17</v>
      </c>
      <c r="I198" s="114">
        <f t="shared" si="14"/>
        <v>30651</v>
      </c>
      <c r="J198">
        <f t="shared" si="13"/>
        <v>3.7056909053333329</v>
      </c>
    </row>
    <row r="199" spans="4:10" x14ac:dyDescent="0.45">
      <c r="D199" s="113">
        <v>30348</v>
      </c>
      <c r="E199" s="52">
        <v>4.6278356699999996</v>
      </c>
      <c r="F199">
        <f t="shared" si="10"/>
        <v>30</v>
      </c>
      <c r="G199">
        <f t="shared" si="11"/>
        <v>30</v>
      </c>
      <c r="H199">
        <f t="shared" si="12"/>
        <v>17</v>
      </c>
      <c r="I199" s="114">
        <f t="shared" si="14"/>
        <v>30651</v>
      </c>
      <c r="J199">
        <f t="shared" si="13"/>
        <v>3.7056909053333329</v>
      </c>
    </row>
    <row r="200" spans="4:10" x14ac:dyDescent="0.45">
      <c r="D200" s="113">
        <v>30376</v>
      </c>
      <c r="E200" s="52">
        <v>4.8558131429999998</v>
      </c>
      <c r="F200">
        <f t="shared" si="10"/>
        <v>60</v>
      </c>
      <c r="G200">
        <f t="shared" si="11"/>
        <v>60</v>
      </c>
      <c r="H200">
        <f t="shared" si="12"/>
        <v>17</v>
      </c>
      <c r="I200" s="114">
        <f t="shared" si="14"/>
        <v>30651</v>
      </c>
      <c r="J200">
        <f t="shared" si="13"/>
        <v>3.7056909053333329</v>
      </c>
    </row>
    <row r="201" spans="4:10" x14ac:dyDescent="0.45">
      <c r="D201" s="113">
        <v>30407</v>
      </c>
      <c r="E201" s="52">
        <v>4.4569335309999998</v>
      </c>
      <c r="F201">
        <f t="shared" si="10"/>
        <v>90</v>
      </c>
      <c r="G201">
        <f t="shared" si="11"/>
        <v>90</v>
      </c>
      <c r="H201">
        <f t="shared" si="12"/>
        <v>17</v>
      </c>
      <c r="I201" s="114">
        <f t="shared" si="14"/>
        <v>30651</v>
      </c>
      <c r="J201">
        <f t="shared" si="13"/>
        <v>3.7056909053333329</v>
      </c>
    </row>
    <row r="202" spans="4:10" x14ac:dyDescent="0.45">
      <c r="D202" s="113">
        <v>30437</v>
      </c>
      <c r="E202" s="52">
        <v>3.5496237289999999</v>
      </c>
      <c r="F202">
        <f t="shared" si="10"/>
        <v>120</v>
      </c>
      <c r="G202">
        <f t="shared" si="11"/>
        <v>120</v>
      </c>
      <c r="H202">
        <f t="shared" si="12"/>
        <v>17</v>
      </c>
      <c r="I202" s="114">
        <f t="shared" si="14"/>
        <v>30651</v>
      </c>
      <c r="J202">
        <f t="shared" si="13"/>
        <v>3.7056909053333329</v>
      </c>
    </row>
    <row r="203" spans="4:10" x14ac:dyDescent="0.45">
      <c r="D203" s="113">
        <v>30468</v>
      </c>
      <c r="E203" s="52">
        <v>2.8437396810000002</v>
      </c>
      <c r="F203">
        <f t="shared" si="10"/>
        <v>150</v>
      </c>
      <c r="G203">
        <f t="shared" si="11"/>
        <v>150</v>
      </c>
      <c r="H203">
        <f t="shared" si="12"/>
        <v>17</v>
      </c>
      <c r="I203" s="114">
        <f t="shared" si="14"/>
        <v>30651</v>
      </c>
      <c r="J203">
        <f t="shared" si="13"/>
        <v>3.7056909053333329</v>
      </c>
    </row>
    <row r="204" spans="4:10" x14ac:dyDescent="0.45">
      <c r="D204" s="113">
        <v>30498</v>
      </c>
      <c r="E204" s="52">
        <v>2.6307551980000001</v>
      </c>
      <c r="F204">
        <f t="shared" si="10"/>
        <v>180</v>
      </c>
      <c r="G204">
        <f t="shared" si="11"/>
        <v>180</v>
      </c>
      <c r="H204">
        <f t="shared" si="12"/>
        <v>17</v>
      </c>
      <c r="I204" s="114">
        <f t="shared" si="14"/>
        <v>30651</v>
      </c>
      <c r="J204">
        <f t="shared" si="13"/>
        <v>3.7056909053333329</v>
      </c>
    </row>
    <row r="205" spans="4:10" x14ac:dyDescent="0.45">
      <c r="D205" s="113">
        <v>30529</v>
      </c>
      <c r="E205" s="52">
        <v>2.5534009750000002</v>
      </c>
      <c r="F205">
        <f t="shared" si="10"/>
        <v>210</v>
      </c>
      <c r="G205">
        <f t="shared" si="11"/>
        <v>210</v>
      </c>
      <c r="H205">
        <f t="shared" si="12"/>
        <v>17</v>
      </c>
      <c r="I205" s="114">
        <f t="shared" si="14"/>
        <v>30651</v>
      </c>
      <c r="J205">
        <f t="shared" si="13"/>
        <v>3.7056909053333329</v>
      </c>
    </row>
    <row r="206" spans="4:10" x14ac:dyDescent="0.45">
      <c r="D206" s="113">
        <v>30560</v>
      </c>
      <c r="E206" s="52">
        <v>2.9440045709999998</v>
      </c>
      <c r="F206">
        <f t="shared" si="10"/>
        <v>240</v>
      </c>
      <c r="G206">
        <f t="shared" si="11"/>
        <v>240</v>
      </c>
      <c r="H206">
        <f t="shared" si="12"/>
        <v>17</v>
      </c>
      <c r="I206" s="114">
        <f t="shared" si="14"/>
        <v>30651</v>
      </c>
      <c r="J206">
        <f t="shared" si="13"/>
        <v>3.7056909053333329</v>
      </c>
    </row>
    <row r="207" spans="4:10" x14ac:dyDescent="0.45">
      <c r="D207" s="113">
        <v>30590</v>
      </c>
      <c r="E207" s="52">
        <v>3.0933123600000001</v>
      </c>
      <c r="F207">
        <f t="shared" si="10"/>
        <v>270</v>
      </c>
      <c r="G207">
        <f t="shared" si="11"/>
        <v>270</v>
      </c>
      <c r="H207">
        <f t="shared" si="12"/>
        <v>17</v>
      </c>
      <c r="I207" s="114">
        <f t="shared" si="14"/>
        <v>30651</v>
      </c>
      <c r="J207">
        <f t="shared" si="13"/>
        <v>3.7056909053333329</v>
      </c>
    </row>
    <row r="208" spans="4:10" x14ac:dyDescent="0.45">
      <c r="D208" s="113">
        <v>30621</v>
      </c>
      <c r="E208" s="52">
        <v>3.751793567</v>
      </c>
      <c r="F208">
        <f t="shared" si="10"/>
        <v>300</v>
      </c>
      <c r="G208">
        <f t="shared" si="11"/>
        <v>300</v>
      </c>
      <c r="H208">
        <f t="shared" si="12"/>
        <v>17</v>
      </c>
      <c r="I208" s="114">
        <f t="shared" si="14"/>
        <v>30651</v>
      </c>
      <c r="J208">
        <f t="shared" si="13"/>
        <v>3.7056909053333329</v>
      </c>
    </row>
    <row r="209" spans="4:10" x14ac:dyDescent="0.45">
      <c r="D209" s="113">
        <v>30651</v>
      </c>
      <c r="E209" s="52">
        <v>4.4654800850000003</v>
      </c>
      <c r="F209">
        <f t="shared" ref="F209:F272" si="15">FLOOR(DAYS360(DATE(YEAR(D209),1,1),D209),30)</f>
        <v>330</v>
      </c>
      <c r="G209">
        <f t="shared" si="11"/>
        <v>330</v>
      </c>
      <c r="H209">
        <f t="shared" si="12"/>
        <v>17</v>
      </c>
      <c r="I209" s="114">
        <f t="shared" si="14"/>
        <v>30651</v>
      </c>
      <c r="J209">
        <f t="shared" si="13"/>
        <v>3.7056909053333329</v>
      </c>
    </row>
    <row r="210" spans="4:10" x14ac:dyDescent="0.45">
      <c r="D210" s="113">
        <v>30682</v>
      </c>
      <c r="E210" s="52">
        <v>4.4857625480000003</v>
      </c>
      <c r="F210">
        <f t="shared" si="15"/>
        <v>0</v>
      </c>
      <c r="G210">
        <f t="shared" ref="G210:G273" si="16">MOD(F210, 360/$G$12)</f>
        <v>0</v>
      </c>
      <c r="H210">
        <f t="shared" ref="H210:H273" si="17">IF(G210&gt;G209,H209,H209+1)</f>
        <v>18</v>
      </c>
      <c r="I210" s="114">
        <f t="shared" si="14"/>
        <v>31017</v>
      </c>
      <c r="J210">
        <f t="shared" ref="J210:J273" si="18">AVERAGEIF($H$17:$H$675,H210,$E$17:$E$675)</f>
        <v>4.8335659735833323</v>
      </c>
    </row>
    <row r="211" spans="4:10" x14ac:dyDescent="0.45">
      <c r="D211" s="113">
        <v>30713</v>
      </c>
      <c r="E211" s="52">
        <v>4.5245638689999996</v>
      </c>
      <c r="F211">
        <f t="shared" si="15"/>
        <v>30</v>
      </c>
      <c r="G211">
        <f t="shared" si="16"/>
        <v>30</v>
      </c>
      <c r="H211">
        <f t="shared" si="17"/>
        <v>18</v>
      </c>
      <c r="I211" s="114">
        <f t="shared" ref="I211:I274" si="19">EDATE(I210,(H211-H210)*(12/$G$12))</f>
        <v>31017</v>
      </c>
      <c r="J211">
        <f t="shared" si="18"/>
        <v>4.8335659735833323</v>
      </c>
    </row>
    <row r="212" spans="4:10" x14ac:dyDescent="0.45">
      <c r="D212" s="113">
        <v>30742</v>
      </c>
      <c r="E212" s="52">
        <v>4.65415841</v>
      </c>
      <c r="F212">
        <f t="shared" si="15"/>
        <v>60</v>
      </c>
      <c r="G212">
        <f t="shared" si="16"/>
        <v>60</v>
      </c>
      <c r="H212">
        <f t="shared" si="17"/>
        <v>18</v>
      </c>
      <c r="I212" s="114">
        <f t="shared" si="19"/>
        <v>31017</v>
      </c>
      <c r="J212">
        <f t="shared" si="18"/>
        <v>4.8335659735833323</v>
      </c>
    </row>
    <row r="213" spans="4:10" x14ac:dyDescent="0.45">
      <c r="D213" s="113">
        <v>30773</v>
      </c>
      <c r="E213" s="52">
        <v>4.6463190030000003</v>
      </c>
      <c r="F213">
        <f t="shared" si="15"/>
        <v>90</v>
      </c>
      <c r="G213">
        <f t="shared" si="16"/>
        <v>90</v>
      </c>
      <c r="H213">
        <f t="shared" si="17"/>
        <v>18</v>
      </c>
      <c r="I213" s="114">
        <f t="shared" si="19"/>
        <v>31017</v>
      </c>
      <c r="J213">
        <f t="shared" si="18"/>
        <v>4.8335659735833323</v>
      </c>
    </row>
    <row r="214" spans="4:10" x14ac:dyDescent="0.45">
      <c r="D214" s="113">
        <v>30803</v>
      </c>
      <c r="E214" s="52">
        <v>4.708074066</v>
      </c>
      <c r="F214">
        <f t="shared" si="15"/>
        <v>120</v>
      </c>
      <c r="G214">
        <f t="shared" si="16"/>
        <v>120</v>
      </c>
      <c r="H214">
        <f t="shared" si="17"/>
        <v>18</v>
      </c>
      <c r="I214" s="114">
        <f t="shared" si="19"/>
        <v>31017</v>
      </c>
      <c r="J214">
        <f t="shared" si="18"/>
        <v>4.8335659735833323</v>
      </c>
    </row>
    <row r="215" spans="4:10" x14ac:dyDescent="0.45">
      <c r="D215" s="113">
        <v>30834</v>
      </c>
      <c r="E215" s="52">
        <v>4.7874854930000001</v>
      </c>
      <c r="F215">
        <f t="shared" si="15"/>
        <v>150</v>
      </c>
      <c r="G215">
        <f t="shared" si="16"/>
        <v>150</v>
      </c>
      <c r="H215">
        <f t="shared" si="17"/>
        <v>18</v>
      </c>
      <c r="I215" s="114">
        <f t="shared" si="19"/>
        <v>31017</v>
      </c>
      <c r="J215">
        <f t="shared" si="18"/>
        <v>4.8335659735833323</v>
      </c>
    </row>
    <row r="216" spans="4:10" x14ac:dyDescent="0.45">
      <c r="D216" s="113">
        <v>30864</v>
      </c>
      <c r="E216" s="52">
        <v>4.8970927209999999</v>
      </c>
      <c r="F216">
        <f t="shared" si="15"/>
        <v>180</v>
      </c>
      <c r="G216">
        <f t="shared" si="16"/>
        <v>180</v>
      </c>
      <c r="H216">
        <f t="shared" si="17"/>
        <v>18</v>
      </c>
      <c r="I216" s="114">
        <f t="shared" si="19"/>
        <v>31017</v>
      </c>
      <c r="J216">
        <f t="shared" si="18"/>
        <v>4.8335659735833323</v>
      </c>
    </row>
    <row r="217" spans="4:10" x14ac:dyDescent="0.45">
      <c r="D217" s="113">
        <v>30895</v>
      </c>
      <c r="E217" s="52">
        <v>5.0329396070000003</v>
      </c>
      <c r="F217">
        <f t="shared" si="15"/>
        <v>210</v>
      </c>
      <c r="G217">
        <f t="shared" si="16"/>
        <v>210</v>
      </c>
      <c r="H217">
        <f t="shared" si="17"/>
        <v>18</v>
      </c>
      <c r="I217" s="114">
        <f t="shared" si="19"/>
        <v>31017</v>
      </c>
      <c r="J217">
        <f t="shared" si="18"/>
        <v>4.8335659735833323</v>
      </c>
    </row>
    <row r="218" spans="4:10" x14ac:dyDescent="0.45">
      <c r="D218" s="113">
        <v>30926</v>
      </c>
      <c r="E218" s="52">
        <v>5.1406121410000001</v>
      </c>
      <c r="F218">
        <f t="shared" si="15"/>
        <v>240</v>
      </c>
      <c r="G218">
        <f t="shared" si="16"/>
        <v>240</v>
      </c>
      <c r="H218">
        <f t="shared" si="17"/>
        <v>18</v>
      </c>
      <c r="I218" s="114">
        <f t="shared" si="19"/>
        <v>31017</v>
      </c>
      <c r="J218">
        <f t="shared" si="18"/>
        <v>4.8335659735833323</v>
      </c>
    </row>
    <row r="219" spans="4:10" x14ac:dyDescent="0.45">
      <c r="D219" s="113">
        <v>30956</v>
      </c>
      <c r="E219" s="52">
        <v>5.1038577089999997</v>
      </c>
      <c r="F219">
        <f t="shared" si="15"/>
        <v>270</v>
      </c>
      <c r="G219">
        <f t="shared" si="16"/>
        <v>270</v>
      </c>
      <c r="H219">
        <f t="shared" si="17"/>
        <v>18</v>
      </c>
      <c r="I219" s="114">
        <f t="shared" si="19"/>
        <v>31017</v>
      </c>
      <c r="J219">
        <f t="shared" si="18"/>
        <v>4.8335659735833323</v>
      </c>
    </row>
    <row r="220" spans="4:10" x14ac:dyDescent="0.45">
      <c r="D220" s="113">
        <v>30987</v>
      </c>
      <c r="E220" s="52">
        <v>4.9689868940000004</v>
      </c>
      <c r="F220">
        <f t="shared" si="15"/>
        <v>300</v>
      </c>
      <c r="G220">
        <f t="shared" si="16"/>
        <v>300</v>
      </c>
      <c r="H220">
        <f t="shared" si="17"/>
        <v>18</v>
      </c>
      <c r="I220" s="114">
        <f t="shared" si="19"/>
        <v>31017</v>
      </c>
      <c r="J220">
        <f t="shared" si="18"/>
        <v>4.8335659735833323</v>
      </c>
    </row>
    <row r="221" spans="4:10" x14ac:dyDescent="0.45">
      <c r="D221" s="113">
        <v>31017</v>
      </c>
      <c r="E221" s="52">
        <v>5.052939222</v>
      </c>
      <c r="F221">
        <f t="shared" si="15"/>
        <v>330</v>
      </c>
      <c r="G221">
        <f t="shared" si="16"/>
        <v>330</v>
      </c>
      <c r="H221">
        <f t="shared" si="17"/>
        <v>18</v>
      </c>
      <c r="I221" s="114">
        <f t="shared" si="19"/>
        <v>31017</v>
      </c>
      <c r="J221">
        <f t="shared" si="18"/>
        <v>4.8335659735833323</v>
      </c>
    </row>
    <row r="222" spans="4:10" x14ac:dyDescent="0.45">
      <c r="D222" s="113">
        <v>31048</v>
      </c>
      <c r="E222" s="52">
        <v>4.7267104709999996</v>
      </c>
      <c r="F222">
        <f t="shared" si="15"/>
        <v>0</v>
      </c>
      <c r="G222">
        <f t="shared" si="16"/>
        <v>0</v>
      </c>
      <c r="H222">
        <f t="shared" si="17"/>
        <v>19</v>
      </c>
      <c r="I222" s="114">
        <f t="shared" si="19"/>
        <v>31382</v>
      </c>
      <c r="J222">
        <f t="shared" si="18"/>
        <v>4.9301578615000006</v>
      </c>
    </row>
    <row r="223" spans="4:10" x14ac:dyDescent="0.45">
      <c r="D223" s="113">
        <v>31079</v>
      </c>
      <c r="E223" s="52">
        <v>4.8717014609999998</v>
      </c>
      <c r="F223">
        <f t="shared" si="15"/>
        <v>30</v>
      </c>
      <c r="G223">
        <f t="shared" si="16"/>
        <v>30</v>
      </c>
      <c r="H223">
        <f t="shared" si="17"/>
        <v>19</v>
      </c>
      <c r="I223" s="114">
        <f t="shared" si="19"/>
        <v>31382</v>
      </c>
      <c r="J223">
        <f t="shared" si="18"/>
        <v>4.9301578615000006</v>
      </c>
    </row>
    <row r="224" spans="4:10" x14ac:dyDescent="0.45">
      <c r="D224" s="113">
        <v>31107</v>
      </c>
      <c r="E224" s="52">
        <v>4.9620720360000004</v>
      </c>
      <c r="F224">
        <f t="shared" si="15"/>
        <v>60</v>
      </c>
      <c r="G224">
        <f t="shared" si="16"/>
        <v>60</v>
      </c>
      <c r="H224">
        <f t="shared" si="17"/>
        <v>19</v>
      </c>
      <c r="I224" s="114">
        <f t="shared" si="19"/>
        <v>31382</v>
      </c>
      <c r="J224">
        <f t="shared" si="18"/>
        <v>4.9301578615000006</v>
      </c>
    </row>
    <row r="225" spans="4:10" x14ac:dyDescent="0.45">
      <c r="D225" s="113">
        <v>31138</v>
      </c>
      <c r="E225" s="52">
        <v>4.7541342909999997</v>
      </c>
      <c r="F225">
        <f t="shared" si="15"/>
        <v>90</v>
      </c>
      <c r="G225">
        <f t="shared" si="16"/>
        <v>90</v>
      </c>
      <c r="H225">
        <f t="shared" si="17"/>
        <v>19</v>
      </c>
      <c r="I225" s="114">
        <f t="shared" si="19"/>
        <v>31382</v>
      </c>
      <c r="J225">
        <f t="shared" si="18"/>
        <v>4.9301578615000006</v>
      </c>
    </row>
    <row r="226" spans="4:10" x14ac:dyDescent="0.45">
      <c r="D226" s="113">
        <v>31168</v>
      </c>
      <c r="E226" s="52">
        <v>5.0371209209999996</v>
      </c>
      <c r="F226">
        <f t="shared" si="15"/>
        <v>120</v>
      </c>
      <c r="G226">
        <f t="shared" si="16"/>
        <v>120</v>
      </c>
      <c r="H226">
        <f t="shared" si="17"/>
        <v>19</v>
      </c>
      <c r="I226" s="114">
        <f t="shared" si="19"/>
        <v>31382</v>
      </c>
      <c r="J226">
        <f t="shared" si="18"/>
        <v>4.9301578615000006</v>
      </c>
    </row>
    <row r="227" spans="4:10" x14ac:dyDescent="0.45">
      <c r="D227" s="113">
        <v>31199</v>
      </c>
      <c r="E227" s="52">
        <v>5.05654234</v>
      </c>
      <c r="F227">
        <f t="shared" si="15"/>
        <v>150</v>
      </c>
      <c r="G227">
        <f t="shared" si="16"/>
        <v>150</v>
      </c>
      <c r="H227">
        <f t="shared" si="17"/>
        <v>19</v>
      </c>
      <c r="I227" s="114">
        <f t="shared" si="19"/>
        <v>31382</v>
      </c>
      <c r="J227">
        <f t="shared" si="18"/>
        <v>4.9301578615000006</v>
      </c>
    </row>
    <row r="228" spans="4:10" x14ac:dyDescent="0.45">
      <c r="D228" s="113">
        <v>31229</v>
      </c>
      <c r="E228" s="52">
        <v>4.9482953180000004</v>
      </c>
      <c r="F228">
        <f t="shared" si="15"/>
        <v>180</v>
      </c>
      <c r="G228">
        <f t="shared" si="16"/>
        <v>180</v>
      </c>
      <c r="H228">
        <f t="shared" si="17"/>
        <v>19</v>
      </c>
      <c r="I228" s="114">
        <f t="shared" si="19"/>
        <v>31382</v>
      </c>
      <c r="J228">
        <f t="shared" si="18"/>
        <v>4.9301578615000006</v>
      </c>
    </row>
    <row r="229" spans="4:10" x14ac:dyDescent="0.45">
      <c r="D229" s="113">
        <v>31260</v>
      </c>
      <c r="E229" s="52">
        <v>4.94547442</v>
      </c>
      <c r="F229">
        <f t="shared" si="15"/>
        <v>210</v>
      </c>
      <c r="G229">
        <f t="shared" si="16"/>
        <v>210</v>
      </c>
      <c r="H229">
        <f t="shared" si="17"/>
        <v>19</v>
      </c>
      <c r="I229" s="114">
        <f t="shared" si="19"/>
        <v>31382</v>
      </c>
      <c r="J229">
        <f t="shared" si="18"/>
        <v>4.9301578615000006</v>
      </c>
    </row>
    <row r="230" spans="4:10" x14ac:dyDescent="0.45">
      <c r="D230" s="113">
        <v>31291</v>
      </c>
      <c r="E230" s="52">
        <v>4.7871651000000002</v>
      </c>
      <c r="F230">
        <f t="shared" si="15"/>
        <v>240</v>
      </c>
      <c r="G230">
        <f t="shared" si="16"/>
        <v>240</v>
      </c>
      <c r="H230">
        <f t="shared" si="17"/>
        <v>19</v>
      </c>
      <c r="I230" s="114">
        <f t="shared" si="19"/>
        <v>31382</v>
      </c>
      <c r="J230">
        <f t="shared" si="18"/>
        <v>4.9301578615000006</v>
      </c>
    </row>
    <row r="231" spans="4:10" x14ac:dyDescent="0.45">
      <c r="D231" s="113">
        <v>31321</v>
      </c>
      <c r="E231" s="52">
        <v>4.8919508040000004</v>
      </c>
      <c r="F231">
        <f t="shared" si="15"/>
        <v>270</v>
      </c>
      <c r="G231">
        <f t="shared" si="16"/>
        <v>270</v>
      </c>
      <c r="H231">
        <f t="shared" si="17"/>
        <v>19</v>
      </c>
      <c r="I231" s="114">
        <f t="shared" si="19"/>
        <v>31382</v>
      </c>
      <c r="J231">
        <f t="shared" si="18"/>
        <v>4.9301578615000006</v>
      </c>
    </row>
    <row r="232" spans="4:10" x14ac:dyDescent="0.45">
      <c r="D232" s="113">
        <v>31352</v>
      </c>
      <c r="E232" s="52">
        <v>5.1499951690000003</v>
      </c>
      <c r="F232">
        <f t="shared" si="15"/>
        <v>300</v>
      </c>
      <c r="G232">
        <f t="shared" si="16"/>
        <v>300</v>
      </c>
      <c r="H232">
        <f t="shared" si="17"/>
        <v>19</v>
      </c>
      <c r="I232" s="114">
        <f t="shared" si="19"/>
        <v>31382</v>
      </c>
      <c r="J232">
        <f t="shared" si="18"/>
        <v>4.9301578615000006</v>
      </c>
    </row>
    <row r="233" spans="4:10" x14ac:dyDescent="0.45">
      <c r="D233" s="113">
        <v>31382</v>
      </c>
      <c r="E233" s="52">
        <v>5.0307320070000001</v>
      </c>
      <c r="F233">
        <f t="shared" si="15"/>
        <v>330</v>
      </c>
      <c r="G233">
        <f t="shared" si="16"/>
        <v>330</v>
      </c>
      <c r="H233">
        <f t="shared" si="17"/>
        <v>19</v>
      </c>
      <c r="I233" s="114">
        <f t="shared" si="19"/>
        <v>31382</v>
      </c>
      <c r="J233">
        <f t="shared" si="18"/>
        <v>4.9301578615000006</v>
      </c>
    </row>
    <row r="234" spans="4:10" x14ac:dyDescent="0.45">
      <c r="D234" s="113">
        <v>31413</v>
      </c>
      <c r="E234" s="52">
        <v>5.2969611319999998</v>
      </c>
      <c r="F234">
        <f t="shared" si="15"/>
        <v>0</v>
      </c>
      <c r="G234">
        <f t="shared" si="16"/>
        <v>0</v>
      </c>
      <c r="H234">
        <f t="shared" si="17"/>
        <v>20</v>
      </c>
      <c r="I234" s="114">
        <f t="shared" si="19"/>
        <v>31747</v>
      </c>
      <c r="J234">
        <f t="shared" si="18"/>
        <v>5.001338704666666</v>
      </c>
    </row>
    <row r="235" spans="4:10" x14ac:dyDescent="0.45">
      <c r="D235" s="113">
        <v>31444</v>
      </c>
      <c r="E235" s="52">
        <v>5.1249475760000003</v>
      </c>
      <c r="F235">
        <f t="shared" si="15"/>
        <v>30</v>
      </c>
      <c r="G235">
        <f t="shared" si="16"/>
        <v>30</v>
      </c>
      <c r="H235">
        <f t="shared" si="17"/>
        <v>20</v>
      </c>
      <c r="I235" s="114">
        <f t="shared" si="19"/>
        <v>31747</v>
      </c>
      <c r="J235">
        <f t="shared" si="18"/>
        <v>5.001338704666666</v>
      </c>
    </row>
    <row r="236" spans="4:10" x14ac:dyDescent="0.45">
      <c r="D236" s="113">
        <v>31472</v>
      </c>
      <c r="E236" s="52">
        <v>5.2298542609999998</v>
      </c>
      <c r="F236">
        <f t="shared" si="15"/>
        <v>60</v>
      </c>
      <c r="G236">
        <f t="shared" si="16"/>
        <v>60</v>
      </c>
      <c r="H236">
        <f t="shared" si="17"/>
        <v>20</v>
      </c>
      <c r="I236" s="114">
        <f t="shared" si="19"/>
        <v>31747</v>
      </c>
      <c r="J236">
        <f t="shared" si="18"/>
        <v>5.001338704666666</v>
      </c>
    </row>
    <row r="237" spans="4:10" x14ac:dyDescent="0.45">
      <c r="D237" s="113">
        <v>31503</v>
      </c>
      <c r="E237" s="52">
        <v>5.3708572510000003</v>
      </c>
      <c r="F237">
        <f t="shared" si="15"/>
        <v>90</v>
      </c>
      <c r="G237">
        <f t="shared" si="16"/>
        <v>90</v>
      </c>
      <c r="H237">
        <f t="shared" si="17"/>
        <v>20</v>
      </c>
      <c r="I237" s="114">
        <f t="shared" si="19"/>
        <v>31747</v>
      </c>
      <c r="J237">
        <f t="shared" si="18"/>
        <v>5.001338704666666</v>
      </c>
    </row>
    <row r="238" spans="4:10" x14ac:dyDescent="0.45">
      <c r="D238" s="113">
        <v>31533</v>
      </c>
      <c r="E238" s="52">
        <v>5.0407416810000001</v>
      </c>
      <c r="F238">
        <f t="shared" si="15"/>
        <v>120</v>
      </c>
      <c r="G238">
        <f t="shared" si="16"/>
        <v>120</v>
      </c>
      <c r="H238">
        <f t="shared" si="17"/>
        <v>20</v>
      </c>
      <c r="I238" s="114">
        <f t="shared" si="19"/>
        <v>31747</v>
      </c>
      <c r="J238">
        <f t="shared" si="18"/>
        <v>5.001338704666666</v>
      </c>
    </row>
    <row r="239" spans="4:10" x14ac:dyDescent="0.45">
      <c r="D239" s="113">
        <v>31564</v>
      </c>
      <c r="E239" s="52">
        <v>5.0420808880000001</v>
      </c>
      <c r="F239">
        <f t="shared" si="15"/>
        <v>150</v>
      </c>
      <c r="G239">
        <f t="shared" si="16"/>
        <v>150</v>
      </c>
      <c r="H239">
        <f t="shared" si="17"/>
        <v>20</v>
      </c>
      <c r="I239" s="114">
        <f t="shared" si="19"/>
        <v>31747</v>
      </c>
      <c r="J239">
        <f t="shared" si="18"/>
        <v>5.001338704666666</v>
      </c>
    </row>
    <row r="240" spans="4:10" x14ac:dyDescent="0.45">
      <c r="D240" s="113">
        <v>31594</v>
      </c>
      <c r="E240" s="52">
        <v>4.9752910610000001</v>
      </c>
      <c r="F240">
        <f t="shared" si="15"/>
        <v>180</v>
      </c>
      <c r="G240">
        <f t="shared" si="16"/>
        <v>180</v>
      </c>
      <c r="H240">
        <f t="shared" si="17"/>
        <v>20</v>
      </c>
      <c r="I240" s="114">
        <f t="shared" si="19"/>
        <v>31747</v>
      </c>
      <c r="J240">
        <f t="shared" si="18"/>
        <v>5.001338704666666</v>
      </c>
    </row>
    <row r="241" spans="4:10" x14ac:dyDescent="0.45">
      <c r="D241" s="113">
        <v>31625</v>
      </c>
      <c r="E241" s="52">
        <v>4.8382609969999999</v>
      </c>
      <c r="F241">
        <f t="shared" si="15"/>
        <v>210</v>
      </c>
      <c r="G241">
        <f t="shared" si="16"/>
        <v>210</v>
      </c>
      <c r="H241">
        <f t="shared" si="17"/>
        <v>20</v>
      </c>
      <c r="I241" s="114">
        <f t="shared" si="19"/>
        <v>31747</v>
      </c>
      <c r="J241">
        <f t="shared" si="18"/>
        <v>5.001338704666666</v>
      </c>
    </row>
    <row r="242" spans="4:10" x14ac:dyDescent="0.45">
      <c r="D242" s="113">
        <v>31656</v>
      </c>
      <c r="E242" s="52">
        <v>4.9629733890000001</v>
      </c>
      <c r="F242">
        <f t="shared" si="15"/>
        <v>240</v>
      </c>
      <c r="G242">
        <f t="shared" si="16"/>
        <v>240</v>
      </c>
      <c r="H242">
        <f t="shared" si="17"/>
        <v>20</v>
      </c>
      <c r="I242" s="114">
        <f t="shared" si="19"/>
        <v>31747</v>
      </c>
      <c r="J242">
        <f t="shared" si="18"/>
        <v>5.001338704666666</v>
      </c>
    </row>
    <row r="243" spans="4:10" x14ac:dyDescent="0.45">
      <c r="D243" s="113">
        <v>31686</v>
      </c>
      <c r="E243" s="52">
        <v>4.8976573019999998</v>
      </c>
      <c r="F243">
        <f t="shared" si="15"/>
        <v>270</v>
      </c>
      <c r="G243">
        <f t="shared" si="16"/>
        <v>270</v>
      </c>
      <c r="H243">
        <f t="shared" si="17"/>
        <v>20</v>
      </c>
      <c r="I243" s="114">
        <f t="shared" si="19"/>
        <v>31747</v>
      </c>
      <c r="J243">
        <f t="shared" si="18"/>
        <v>5.001338704666666</v>
      </c>
    </row>
    <row r="244" spans="4:10" x14ac:dyDescent="0.45">
      <c r="D244" s="113">
        <v>31717</v>
      </c>
      <c r="E244" s="52">
        <v>4.5912479980000001</v>
      </c>
      <c r="F244">
        <f t="shared" si="15"/>
        <v>300</v>
      </c>
      <c r="G244">
        <f t="shared" si="16"/>
        <v>300</v>
      </c>
      <c r="H244">
        <f t="shared" si="17"/>
        <v>20</v>
      </c>
      <c r="I244" s="114">
        <f t="shared" si="19"/>
        <v>31747</v>
      </c>
      <c r="J244">
        <f t="shared" si="18"/>
        <v>5.001338704666666</v>
      </c>
    </row>
    <row r="245" spans="4:10" x14ac:dyDescent="0.45">
      <c r="D245" s="113">
        <v>31747</v>
      </c>
      <c r="E245" s="52">
        <v>4.6451909200000001</v>
      </c>
      <c r="F245">
        <f t="shared" si="15"/>
        <v>330</v>
      </c>
      <c r="G245">
        <f t="shared" si="16"/>
        <v>330</v>
      </c>
      <c r="H245">
        <f t="shared" si="17"/>
        <v>20</v>
      </c>
      <c r="I245" s="114">
        <f t="shared" si="19"/>
        <v>31747</v>
      </c>
      <c r="J245">
        <f t="shared" si="18"/>
        <v>5.001338704666666</v>
      </c>
    </row>
    <row r="246" spans="4:10" x14ac:dyDescent="0.45">
      <c r="D246" s="113">
        <v>31778</v>
      </c>
      <c r="E246" s="52">
        <v>4.4817982250000004</v>
      </c>
      <c r="F246">
        <f t="shared" si="15"/>
        <v>0</v>
      </c>
      <c r="G246">
        <f t="shared" si="16"/>
        <v>0</v>
      </c>
      <c r="H246">
        <f t="shared" si="17"/>
        <v>21</v>
      </c>
      <c r="I246" s="114">
        <f t="shared" si="19"/>
        <v>32112</v>
      </c>
      <c r="J246">
        <f t="shared" si="18"/>
        <v>4.3196375290000004</v>
      </c>
    </row>
    <row r="247" spans="4:10" x14ac:dyDescent="0.45">
      <c r="D247" s="113">
        <v>31809</v>
      </c>
      <c r="E247" s="52">
        <v>4.4409315899999999</v>
      </c>
      <c r="F247">
        <f t="shared" si="15"/>
        <v>30</v>
      </c>
      <c r="G247">
        <f t="shared" si="16"/>
        <v>30</v>
      </c>
      <c r="H247">
        <f t="shared" si="17"/>
        <v>21</v>
      </c>
      <c r="I247" s="114">
        <f t="shared" si="19"/>
        <v>32112</v>
      </c>
      <c r="J247">
        <f t="shared" si="18"/>
        <v>4.3196375290000004</v>
      </c>
    </row>
    <row r="248" spans="4:10" x14ac:dyDescent="0.45">
      <c r="D248" s="113">
        <v>31837</v>
      </c>
      <c r="E248" s="52">
        <v>4.2637921890000001</v>
      </c>
      <c r="F248">
        <f t="shared" si="15"/>
        <v>60</v>
      </c>
      <c r="G248">
        <f t="shared" si="16"/>
        <v>60</v>
      </c>
      <c r="H248">
        <f t="shared" si="17"/>
        <v>21</v>
      </c>
      <c r="I248" s="114">
        <f t="shared" si="19"/>
        <v>32112</v>
      </c>
      <c r="J248">
        <f t="shared" si="18"/>
        <v>4.3196375290000004</v>
      </c>
    </row>
    <row r="249" spans="4:10" x14ac:dyDescent="0.45">
      <c r="D249" s="113">
        <v>31868</v>
      </c>
      <c r="E249" s="52">
        <v>4.3580797840000001</v>
      </c>
      <c r="F249">
        <f t="shared" si="15"/>
        <v>90</v>
      </c>
      <c r="G249">
        <f t="shared" si="16"/>
        <v>90</v>
      </c>
      <c r="H249">
        <f t="shared" si="17"/>
        <v>21</v>
      </c>
      <c r="I249" s="114">
        <f t="shared" si="19"/>
        <v>32112</v>
      </c>
      <c r="J249">
        <f t="shared" si="18"/>
        <v>4.3196375290000004</v>
      </c>
    </row>
    <row r="250" spans="4:10" x14ac:dyDescent="0.45">
      <c r="D250" s="113">
        <v>31898</v>
      </c>
      <c r="E250" s="52">
        <v>4.4169176590000001</v>
      </c>
      <c r="F250">
        <f t="shared" si="15"/>
        <v>120</v>
      </c>
      <c r="G250">
        <f t="shared" si="16"/>
        <v>120</v>
      </c>
      <c r="H250">
        <f t="shared" si="17"/>
        <v>21</v>
      </c>
      <c r="I250" s="114">
        <f t="shared" si="19"/>
        <v>32112</v>
      </c>
      <c r="J250">
        <f t="shared" si="18"/>
        <v>4.3196375290000004</v>
      </c>
    </row>
    <row r="251" spans="4:10" x14ac:dyDescent="0.45">
      <c r="D251" s="113">
        <v>31929</v>
      </c>
      <c r="E251" s="52">
        <v>4.1753918619999997</v>
      </c>
      <c r="F251">
        <f t="shared" si="15"/>
        <v>150</v>
      </c>
      <c r="G251">
        <f t="shared" si="16"/>
        <v>150</v>
      </c>
      <c r="H251">
        <f t="shared" si="17"/>
        <v>21</v>
      </c>
      <c r="I251" s="114">
        <f t="shared" si="19"/>
        <v>32112</v>
      </c>
      <c r="J251">
        <f t="shared" si="18"/>
        <v>4.3196375290000004</v>
      </c>
    </row>
    <row r="252" spans="4:10" x14ac:dyDescent="0.45">
      <c r="D252" s="113">
        <v>31959</v>
      </c>
      <c r="E252" s="52">
        <v>4.1664900080000002</v>
      </c>
      <c r="F252">
        <f t="shared" si="15"/>
        <v>180</v>
      </c>
      <c r="G252">
        <f t="shared" si="16"/>
        <v>180</v>
      </c>
      <c r="H252">
        <f t="shared" si="17"/>
        <v>21</v>
      </c>
      <c r="I252" s="114">
        <f t="shared" si="19"/>
        <v>32112</v>
      </c>
      <c r="J252">
        <f t="shared" si="18"/>
        <v>4.3196375290000004</v>
      </c>
    </row>
    <row r="253" spans="4:10" x14ac:dyDescent="0.45">
      <c r="D253" s="113">
        <v>31990</v>
      </c>
      <c r="E253" s="52">
        <v>4.2808984069999996</v>
      </c>
      <c r="F253">
        <f t="shared" si="15"/>
        <v>210</v>
      </c>
      <c r="G253">
        <f t="shared" si="16"/>
        <v>210</v>
      </c>
      <c r="H253">
        <f t="shared" si="17"/>
        <v>21</v>
      </c>
      <c r="I253" s="114">
        <f t="shared" si="19"/>
        <v>32112</v>
      </c>
      <c r="J253">
        <f t="shared" si="18"/>
        <v>4.3196375290000004</v>
      </c>
    </row>
    <row r="254" spans="4:10" x14ac:dyDescent="0.45">
      <c r="D254" s="113">
        <v>32021</v>
      </c>
      <c r="E254" s="52">
        <v>4.2910357479999996</v>
      </c>
      <c r="F254">
        <f t="shared" si="15"/>
        <v>240</v>
      </c>
      <c r="G254">
        <f t="shared" si="16"/>
        <v>240</v>
      </c>
      <c r="H254">
        <f t="shared" si="17"/>
        <v>21</v>
      </c>
      <c r="I254" s="114">
        <f t="shared" si="19"/>
        <v>32112</v>
      </c>
      <c r="J254">
        <f t="shared" si="18"/>
        <v>4.3196375290000004</v>
      </c>
    </row>
    <row r="255" spans="4:10" x14ac:dyDescent="0.45">
      <c r="D255" s="113">
        <v>32051</v>
      </c>
      <c r="E255" s="52">
        <v>4.3430674309999997</v>
      </c>
      <c r="F255">
        <f t="shared" si="15"/>
        <v>270</v>
      </c>
      <c r="G255">
        <f t="shared" si="16"/>
        <v>270</v>
      </c>
      <c r="H255">
        <f t="shared" si="17"/>
        <v>21</v>
      </c>
      <c r="I255" s="114">
        <f t="shared" si="19"/>
        <v>32112</v>
      </c>
      <c r="J255">
        <f t="shared" si="18"/>
        <v>4.3196375290000004</v>
      </c>
    </row>
    <row r="256" spans="4:10" x14ac:dyDescent="0.45">
      <c r="D256" s="113">
        <v>32082</v>
      </c>
      <c r="E256" s="52">
        <v>4.3146642960000001</v>
      </c>
      <c r="F256">
        <f t="shared" si="15"/>
        <v>300</v>
      </c>
      <c r="G256">
        <f t="shared" si="16"/>
        <v>300</v>
      </c>
      <c r="H256">
        <f t="shared" si="17"/>
        <v>21</v>
      </c>
      <c r="I256" s="114">
        <f t="shared" si="19"/>
        <v>32112</v>
      </c>
      <c r="J256">
        <f t="shared" si="18"/>
        <v>4.3196375290000004</v>
      </c>
    </row>
    <row r="257" spans="4:10" x14ac:dyDescent="0.45">
      <c r="D257" s="113">
        <v>32112</v>
      </c>
      <c r="E257" s="52">
        <v>4.3025831490000002</v>
      </c>
      <c r="F257">
        <f t="shared" si="15"/>
        <v>330</v>
      </c>
      <c r="G257">
        <f t="shared" si="16"/>
        <v>330</v>
      </c>
      <c r="H257">
        <f t="shared" si="17"/>
        <v>21</v>
      </c>
      <c r="I257" s="114">
        <f t="shared" si="19"/>
        <v>32112</v>
      </c>
      <c r="J257">
        <f t="shared" si="18"/>
        <v>4.3196375290000004</v>
      </c>
    </row>
    <row r="258" spans="4:10" x14ac:dyDescent="0.45">
      <c r="D258" s="113">
        <v>32143</v>
      </c>
      <c r="E258" s="52">
        <v>4.3836404230000001</v>
      </c>
      <c r="F258">
        <f t="shared" si="15"/>
        <v>0</v>
      </c>
      <c r="G258">
        <f t="shared" si="16"/>
        <v>0</v>
      </c>
      <c r="H258">
        <f t="shared" si="17"/>
        <v>22</v>
      </c>
      <c r="I258" s="114">
        <f t="shared" si="19"/>
        <v>32478</v>
      </c>
      <c r="J258">
        <f t="shared" si="18"/>
        <v>4.5864143740000012</v>
      </c>
    </row>
    <row r="259" spans="4:10" x14ac:dyDescent="0.45">
      <c r="D259" s="113">
        <v>32174</v>
      </c>
      <c r="E259" s="52">
        <v>4.3865534090000002</v>
      </c>
      <c r="F259">
        <f t="shared" si="15"/>
        <v>30</v>
      </c>
      <c r="G259">
        <f t="shared" si="16"/>
        <v>30</v>
      </c>
      <c r="H259">
        <f t="shared" si="17"/>
        <v>22</v>
      </c>
      <c r="I259" s="114">
        <f t="shared" si="19"/>
        <v>32478</v>
      </c>
      <c r="J259">
        <f t="shared" si="18"/>
        <v>4.5864143740000012</v>
      </c>
    </row>
    <row r="260" spans="4:10" x14ac:dyDescent="0.45">
      <c r="D260" s="113">
        <v>32203</v>
      </c>
      <c r="E260" s="52">
        <v>4.451939222</v>
      </c>
      <c r="F260">
        <f t="shared" si="15"/>
        <v>60</v>
      </c>
      <c r="G260">
        <f t="shared" si="16"/>
        <v>60</v>
      </c>
      <c r="H260">
        <f t="shared" si="17"/>
        <v>22</v>
      </c>
      <c r="I260" s="114">
        <f t="shared" si="19"/>
        <v>32478</v>
      </c>
      <c r="J260">
        <f t="shared" si="18"/>
        <v>4.5864143740000012</v>
      </c>
    </row>
    <row r="261" spans="4:10" x14ac:dyDescent="0.45">
      <c r="D261" s="113">
        <v>32234</v>
      </c>
      <c r="E261" s="52">
        <v>4.3884529030000001</v>
      </c>
      <c r="F261">
        <f t="shared" si="15"/>
        <v>90</v>
      </c>
      <c r="G261">
        <f t="shared" si="16"/>
        <v>90</v>
      </c>
      <c r="H261">
        <f t="shared" si="17"/>
        <v>22</v>
      </c>
      <c r="I261" s="114">
        <f t="shared" si="19"/>
        <v>32478</v>
      </c>
      <c r="J261">
        <f t="shared" si="18"/>
        <v>4.5864143740000012</v>
      </c>
    </row>
    <row r="262" spans="4:10" x14ac:dyDescent="0.45">
      <c r="D262" s="113">
        <v>32264</v>
      </c>
      <c r="E262" s="52">
        <v>4.445286952</v>
      </c>
      <c r="F262">
        <f t="shared" si="15"/>
        <v>120</v>
      </c>
      <c r="G262">
        <f t="shared" si="16"/>
        <v>120</v>
      </c>
      <c r="H262">
        <f t="shared" si="17"/>
        <v>22</v>
      </c>
      <c r="I262" s="114">
        <f t="shared" si="19"/>
        <v>32478</v>
      </c>
      <c r="J262">
        <f t="shared" si="18"/>
        <v>4.5864143740000012</v>
      </c>
    </row>
    <row r="263" spans="4:10" x14ac:dyDescent="0.45">
      <c r="D263" s="113">
        <v>32295</v>
      </c>
      <c r="E263" s="52">
        <v>4.6853843240000002</v>
      </c>
      <c r="F263">
        <f t="shared" si="15"/>
        <v>150</v>
      </c>
      <c r="G263">
        <f t="shared" si="16"/>
        <v>150</v>
      </c>
      <c r="H263">
        <f t="shared" si="17"/>
        <v>22</v>
      </c>
      <c r="I263" s="114">
        <f t="shared" si="19"/>
        <v>32478</v>
      </c>
      <c r="J263">
        <f t="shared" si="18"/>
        <v>4.5864143740000012</v>
      </c>
    </row>
    <row r="264" spans="4:10" x14ac:dyDescent="0.45">
      <c r="D264" s="113">
        <v>32325</v>
      </c>
      <c r="E264" s="52">
        <v>4.7120558920000004</v>
      </c>
      <c r="F264">
        <f t="shared" si="15"/>
        <v>180</v>
      </c>
      <c r="G264">
        <f t="shared" si="16"/>
        <v>180</v>
      </c>
      <c r="H264">
        <f t="shared" si="17"/>
        <v>22</v>
      </c>
      <c r="I264" s="114">
        <f t="shared" si="19"/>
        <v>32478</v>
      </c>
      <c r="J264">
        <f t="shared" si="18"/>
        <v>4.5864143740000012</v>
      </c>
    </row>
    <row r="265" spans="4:10" x14ac:dyDescent="0.45">
      <c r="D265" s="113">
        <v>32356</v>
      </c>
      <c r="E265" s="52">
        <v>4.685749317</v>
      </c>
      <c r="F265">
        <f t="shared" si="15"/>
        <v>210</v>
      </c>
      <c r="G265">
        <f t="shared" si="16"/>
        <v>210</v>
      </c>
      <c r="H265">
        <f t="shared" si="17"/>
        <v>22</v>
      </c>
      <c r="I265" s="114">
        <f t="shared" si="19"/>
        <v>32478</v>
      </c>
      <c r="J265">
        <f t="shared" si="18"/>
        <v>4.5864143740000012</v>
      </c>
    </row>
    <row r="266" spans="4:10" x14ac:dyDescent="0.45">
      <c r="D266" s="113">
        <v>32387</v>
      </c>
      <c r="E266" s="52">
        <v>4.7310291299999996</v>
      </c>
      <c r="F266">
        <f t="shared" si="15"/>
        <v>240</v>
      </c>
      <c r="G266">
        <f t="shared" si="16"/>
        <v>240</v>
      </c>
      <c r="H266">
        <f t="shared" si="17"/>
        <v>22</v>
      </c>
      <c r="I266" s="114">
        <f t="shared" si="19"/>
        <v>32478</v>
      </c>
      <c r="J266">
        <f t="shared" si="18"/>
        <v>4.5864143740000012</v>
      </c>
    </row>
    <row r="267" spans="4:10" x14ac:dyDescent="0.45">
      <c r="D267" s="113">
        <v>32417</v>
      </c>
      <c r="E267" s="52">
        <v>4.6162818059999999</v>
      </c>
      <c r="F267">
        <f t="shared" si="15"/>
        <v>270</v>
      </c>
      <c r="G267">
        <f t="shared" si="16"/>
        <v>270</v>
      </c>
      <c r="H267">
        <f t="shared" si="17"/>
        <v>22</v>
      </c>
      <c r="I267" s="114">
        <f t="shared" si="19"/>
        <v>32478</v>
      </c>
      <c r="J267">
        <f t="shared" si="18"/>
        <v>4.5864143740000012</v>
      </c>
    </row>
    <row r="268" spans="4:10" x14ac:dyDescent="0.45">
      <c r="D268" s="113">
        <v>32448</v>
      </c>
      <c r="E268" s="52">
        <v>4.751873732</v>
      </c>
      <c r="F268">
        <f t="shared" si="15"/>
        <v>300</v>
      </c>
      <c r="G268">
        <f t="shared" si="16"/>
        <v>300</v>
      </c>
      <c r="H268">
        <f t="shared" si="17"/>
        <v>22</v>
      </c>
      <c r="I268" s="114">
        <f t="shared" si="19"/>
        <v>32478</v>
      </c>
      <c r="J268">
        <f t="shared" si="18"/>
        <v>4.5864143740000012</v>
      </c>
    </row>
    <row r="269" spans="4:10" x14ac:dyDescent="0.45">
      <c r="D269" s="113">
        <v>32478</v>
      </c>
      <c r="E269" s="52">
        <v>4.7987253780000003</v>
      </c>
      <c r="F269">
        <f t="shared" si="15"/>
        <v>330</v>
      </c>
      <c r="G269">
        <f t="shared" si="16"/>
        <v>330</v>
      </c>
      <c r="H269">
        <f t="shared" si="17"/>
        <v>22</v>
      </c>
      <c r="I269" s="114">
        <f t="shared" si="19"/>
        <v>32478</v>
      </c>
      <c r="J269">
        <f t="shared" si="18"/>
        <v>4.5864143740000012</v>
      </c>
    </row>
    <row r="270" spans="4:10" x14ac:dyDescent="0.45">
      <c r="D270" s="113">
        <v>32509</v>
      </c>
      <c r="E270" s="52">
        <v>4.7567832619999999</v>
      </c>
      <c r="F270">
        <f t="shared" si="15"/>
        <v>0</v>
      </c>
      <c r="G270">
        <f t="shared" si="16"/>
        <v>0</v>
      </c>
      <c r="H270">
        <f t="shared" si="17"/>
        <v>23</v>
      </c>
      <c r="I270" s="114">
        <f t="shared" si="19"/>
        <v>32843</v>
      </c>
      <c r="J270">
        <f t="shared" si="18"/>
        <v>4.7807034300833333</v>
      </c>
    </row>
    <row r="271" spans="4:10" x14ac:dyDescent="0.45">
      <c r="D271" s="113">
        <v>32540</v>
      </c>
      <c r="E271" s="52">
        <v>4.7924268489999999</v>
      </c>
      <c r="F271">
        <f t="shared" si="15"/>
        <v>30</v>
      </c>
      <c r="G271">
        <f t="shared" si="16"/>
        <v>30</v>
      </c>
      <c r="H271">
        <f t="shared" si="17"/>
        <v>23</v>
      </c>
      <c r="I271" s="114">
        <f t="shared" si="19"/>
        <v>32843</v>
      </c>
      <c r="J271">
        <f t="shared" si="18"/>
        <v>4.7807034300833333</v>
      </c>
    </row>
    <row r="272" spans="4:10" x14ac:dyDescent="0.45">
      <c r="D272" s="113">
        <v>32568</v>
      </c>
      <c r="E272" s="52">
        <v>4.7603527689999998</v>
      </c>
      <c r="F272">
        <f t="shared" si="15"/>
        <v>60</v>
      </c>
      <c r="G272">
        <f t="shared" si="16"/>
        <v>60</v>
      </c>
      <c r="H272">
        <f t="shared" si="17"/>
        <v>23</v>
      </c>
      <c r="I272" s="114">
        <f t="shared" si="19"/>
        <v>32843</v>
      </c>
      <c r="J272">
        <f t="shared" si="18"/>
        <v>4.7807034300833333</v>
      </c>
    </row>
    <row r="273" spans="4:10" x14ac:dyDescent="0.45">
      <c r="D273" s="113">
        <v>32599</v>
      </c>
      <c r="E273" s="52">
        <v>4.6271309870000001</v>
      </c>
      <c r="F273">
        <f t="shared" ref="F273:F336" si="20">FLOOR(DAYS360(DATE(YEAR(D273),1,1),D273),30)</f>
        <v>90</v>
      </c>
      <c r="G273">
        <f t="shared" si="16"/>
        <v>90</v>
      </c>
      <c r="H273">
        <f t="shared" si="17"/>
        <v>23</v>
      </c>
      <c r="I273" s="114">
        <f t="shared" si="19"/>
        <v>32843</v>
      </c>
      <c r="J273">
        <f t="shared" si="18"/>
        <v>4.7807034300833333</v>
      </c>
    </row>
    <row r="274" spans="4:10" x14ac:dyDescent="0.45">
      <c r="D274" s="113">
        <v>32629</v>
      </c>
      <c r="E274" s="52">
        <v>4.751380664</v>
      </c>
      <c r="F274">
        <f t="shared" si="20"/>
        <v>120</v>
      </c>
      <c r="G274">
        <f t="shared" ref="G274:G337" si="21">MOD(F274, 360/$G$12)</f>
        <v>120</v>
      </c>
      <c r="H274">
        <f t="shared" ref="H274:H337" si="22">IF(G274&gt;G273,H273,H273+1)</f>
        <v>23</v>
      </c>
      <c r="I274" s="114">
        <f t="shared" si="19"/>
        <v>32843</v>
      </c>
      <c r="J274">
        <f t="shared" ref="J274:J337" si="23">AVERAGEIF($H$17:$H$675,H274,$E$17:$E$675)</f>
        <v>4.7807034300833333</v>
      </c>
    </row>
    <row r="275" spans="4:10" x14ac:dyDescent="0.45">
      <c r="D275" s="113">
        <v>32660</v>
      </c>
      <c r="E275" s="52">
        <v>4.7538013059999997</v>
      </c>
      <c r="F275">
        <f t="shared" si="20"/>
        <v>150</v>
      </c>
      <c r="G275">
        <f t="shared" si="21"/>
        <v>150</v>
      </c>
      <c r="H275">
        <f t="shared" si="22"/>
        <v>23</v>
      </c>
      <c r="I275" s="114">
        <f t="shared" ref="I275:I338" si="24">EDATE(I274,(H275-H274)*(12/$G$12))</f>
        <v>32843</v>
      </c>
      <c r="J275">
        <f t="shared" si="23"/>
        <v>4.7807034300833333</v>
      </c>
    </row>
    <row r="276" spans="4:10" x14ac:dyDescent="0.45">
      <c r="D276" s="113">
        <v>32690</v>
      </c>
      <c r="E276" s="52">
        <v>4.9052476020000002</v>
      </c>
      <c r="F276">
        <f t="shared" si="20"/>
        <v>180</v>
      </c>
      <c r="G276">
        <f t="shared" si="21"/>
        <v>180</v>
      </c>
      <c r="H276">
        <f t="shared" si="22"/>
        <v>23</v>
      </c>
      <c r="I276" s="114">
        <f t="shared" si="24"/>
        <v>32843</v>
      </c>
      <c r="J276">
        <f t="shared" si="23"/>
        <v>4.7807034300833333</v>
      </c>
    </row>
    <row r="277" spans="4:10" x14ac:dyDescent="0.45">
      <c r="D277" s="113">
        <v>32721</v>
      </c>
      <c r="E277" s="52">
        <v>4.8655221529999997</v>
      </c>
      <c r="F277">
        <f t="shared" si="20"/>
        <v>210</v>
      </c>
      <c r="G277">
        <f t="shared" si="21"/>
        <v>210</v>
      </c>
      <c r="H277">
        <f t="shared" si="22"/>
        <v>23</v>
      </c>
      <c r="I277" s="114">
        <f t="shared" si="24"/>
        <v>32843</v>
      </c>
      <c r="J277">
        <f t="shared" si="23"/>
        <v>4.7807034300833333</v>
      </c>
    </row>
    <row r="278" spans="4:10" x14ac:dyDescent="0.45">
      <c r="D278" s="113">
        <v>32752</v>
      </c>
      <c r="E278" s="52">
        <v>4.684441734</v>
      </c>
      <c r="F278">
        <f t="shared" si="20"/>
        <v>240</v>
      </c>
      <c r="G278">
        <f t="shared" si="21"/>
        <v>240</v>
      </c>
      <c r="H278">
        <f t="shared" si="22"/>
        <v>23</v>
      </c>
      <c r="I278" s="114">
        <f t="shared" si="24"/>
        <v>32843</v>
      </c>
      <c r="J278">
        <f t="shared" si="23"/>
        <v>4.7807034300833333</v>
      </c>
    </row>
    <row r="279" spans="4:10" x14ac:dyDescent="0.45">
      <c r="D279" s="113">
        <v>32782</v>
      </c>
      <c r="E279" s="52">
        <v>4.8173996600000004</v>
      </c>
      <c r="F279">
        <f t="shared" si="20"/>
        <v>270</v>
      </c>
      <c r="G279">
        <f t="shared" si="21"/>
        <v>270</v>
      </c>
      <c r="H279">
        <f t="shared" si="22"/>
        <v>23</v>
      </c>
      <c r="I279" s="114">
        <f t="shared" si="24"/>
        <v>32843</v>
      </c>
      <c r="J279">
        <f t="shared" si="23"/>
        <v>4.7807034300833333</v>
      </c>
    </row>
    <row r="280" spans="4:10" x14ac:dyDescent="0.45">
      <c r="D280" s="113">
        <v>32813</v>
      </c>
      <c r="E280" s="52">
        <v>4.8112187720000001</v>
      </c>
      <c r="F280">
        <f t="shared" si="20"/>
        <v>300</v>
      </c>
      <c r="G280">
        <f t="shared" si="21"/>
        <v>300</v>
      </c>
      <c r="H280">
        <f t="shared" si="22"/>
        <v>23</v>
      </c>
      <c r="I280" s="114">
        <f t="shared" si="24"/>
        <v>32843</v>
      </c>
      <c r="J280">
        <f t="shared" si="23"/>
        <v>4.7807034300833333</v>
      </c>
    </row>
    <row r="281" spans="4:10" x14ac:dyDescent="0.45">
      <c r="D281" s="113">
        <v>32843</v>
      </c>
      <c r="E281" s="52">
        <v>4.8427354029999998</v>
      </c>
      <c r="F281">
        <f t="shared" si="20"/>
        <v>330</v>
      </c>
      <c r="G281">
        <f t="shared" si="21"/>
        <v>330</v>
      </c>
      <c r="H281">
        <f t="shared" si="22"/>
        <v>23</v>
      </c>
      <c r="I281" s="114">
        <f t="shared" si="24"/>
        <v>32843</v>
      </c>
      <c r="J281">
        <f t="shared" si="23"/>
        <v>4.7807034300833333</v>
      </c>
    </row>
    <row r="282" spans="4:10" x14ac:dyDescent="0.45">
      <c r="D282" s="113">
        <v>32874</v>
      </c>
      <c r="E282" s="52">
        <v>4.9205888599999996</v>
      </c>
      <c r="F282">
        <f t="shared" si="20"/>
        <v>0</v>
      </c>
      <c r="G282">
        <f t="shared" si="21"/>
        <v>0</v>
      </c>
      <c r="H282">
        <f t="shared" si="22"/>
        <v>24</v>
      </c>
      <c r="I282" s="114">
        <f t="shared" si="24"/>
        <v>33208</v>
      </c>
      <c r="J282">
        <f t="shared" si="23"/>
        <v>5.4553513410833325</v>
      </c>
    </row>
    <row r="283" spans="4:10" x14ac:dyDescent="0.45">
      <c r="D283" s="113">
        <v>32905</v>
      </c>
      <c r="E283" s="52">
        <v>4.9355264639999996</v>
      </c>
      <c r="F283">
        <f t="shared" si="20"/>
        <v>30</v>
      </c>
      <c r="G283">
        <f t="shared" si="21"/>
        <v>30</v>
      </c>
      <c r="H283">
        <f t="shared" si="22"/>
        <v>24</v>
      </c>
      <c r="I283" s="114">
        <f t="shared" si="24"/>
        <v>33208</v>
      </c>
      <c r="J283">
        <f t="shared" si="23"/>
        <v>5.4553513410833325</v>
      </c>
    </row>
    <row r="284" spans="4:10" x14ac:dyDescent="0.45">
      <c r="D284" s="113">
        <v>32933</v>
      </c>
      <c r="E284" s="52">
        <v>5.2087008810000004</v>
      </c>
      <c r="F284">
        <f t="shared" si="20"/>
        <v>60</v>
      </c>
      <c r="G284">
        <f t="shared" si="21"/>
        <v>60</v>
      </c>
      <c r="H284">
        <f t="shared" si="22"/>
        <v>24</v>
      </c>
      <c r="I284" s="114">
        <f t="shared" si="24"/>
        <v>33208</v>
      </c>
      <c r="J284">
        <f t="shared" si="23"/>
        <v>5.4553513410833325</v>
      </c>
    </row>
    <row r="285" spans="4:10" x14ac:dyDescent="0.45">
      <c r="D285" s="113">
        <v>32964</v>
      </c>
      <c r="E285" s="52">
        <v>5.2941335580000004</v>
      </c>
      <c r="F285">
        <f t="shared" si="20"/>
        <v>90</v>
      </c>
      <c r="G285">
        <f t="shared" si="21"/>
        <v>90</v>
      </c>
      <c r="H285">
        <f t="shared" si="22"/>
        <v>24</v>
      </c>
      <c r="I285" s="114">
        <f t="shared" si="24"/>
        <v>33208</v>
      </c>
      <c r="J285">
        <f t="shared" si="23"/>
        <v>5.4553513410833325</v>
      </c>
    </row>
    <row r="286" spans="4:10" x14ac:dyDescent="0.45">
      <c r="D286" s="113">
        <v>32994</v>
      </c>
      <c r="E286" s="52">
        <v>5.1837540669999997</v>
      </c>
      <c r="F286">
        <f t="shared" si="20"/>
        <v>120</v>
      </c>
      <c r="G286">
        <f t="shared" si="21"/>
        <v>120</v>
      </c>
      <c r="H286">
        <f t="shared" si="22"/>
        <v>24</v>
      </c>
      <c r="I286" s="114">
        <f t="shared" si="24"/>
        <v>33208</v>
      </c>
      <c r="J286">
        <f t="shared" si="23"/>
        <v>5.4553513410833325</v>
      </c>
    </row>
    <row r="287" spans="4:10" x14ac:dyDescent="0.45">
      <c r="D287" s="113">
        <v>33025</v>
      </c>
      <c r="E287" s="52">
        <v>5.3884568829999999</v>
      </c>
      <c r="F287">
        <f t="shared" si="20"/>
        <v>150</v>
      </c>
      <c r="G287">
        <f t="shared" si="21"/>
        <v>150</v>
      </c>
      <c r="H287">
        <f t="shared" si="22"/>
        <v>24</v>
      </c>
      <c r="I287" s="114">
        <f t="shared" si="24"/>
        <v>33208</v>
      </c>
      <c r="J287">
        <f t="shared" si="23"/>
        <v>5.4553513410833325</v>
      </c>
    </row>
    <row r="288" spans="4:10" x14ac:dyDescent="0.45">
      <c r="D288" s="113">
        <v>33055</v>
      </c>
      <c r="E288" s="52">
        <v>5.5350718839999997</v>
      </c>
      <c r="F288">
        <f t="shared" si="20"/>
        <v>180</v>
      </c>
      <c r="G288">
        <f t="shared" si="21"/>
        <v>180</v>
      </c>
      <c r="H288">
        <f t="shared" si="22"/>
        <v>24</v>
      </c>
      <c r="I288" s="114">
        <f t="shared" si="24"/>
        <v>33208</v>
      </c>
      <c r="J288">
        <f t="shared" si="23"/>
        <v>5.4553513410833325</v>
      </c>
    </row>
    <row r="289" spans="4:10" x14ac:dyDescent="0.45">
      <c r="D289" s="113">
        <v>33086</v>
      </c>
      <c r="E289" s="52">
        <v>5.8559035579999996</v>
      </c>
      <c r="F289">
        <f t="shared" si="20"/>
        <v>210</v>
      </c>
      <c r="G289">
        <f t="shared" si="21"/>
        <v>210</v>
      </c>
      <c r="H289">
        <f t="shared" si="22"/>
        <v>24</v>
      </c>
      <c r="I289" s="114">
        <f t="shared" si="24"/>
        <v>33208</v>
      </c>
      <c r="J289">
        <f t="shared" si="23"/>
        <v>5.4553513410833325</v>
      </c>
    </row>
    <row r="290" spans="4:10" x14ac:dyDescent="0.45">
      <c r="D290" s="113">
        <v>33117</v>
      </c>
      <c r="E290" s="52">
        <v>5.9486603489999998</v>
      </c>
      <c r="F290">
        <f t="shared" si="20"/>
        <v>240</v>
      </c>
      <c r="G290">
        <f t="shared" si="21"/>
        <v>240</v>
      </c>
      <c r="H290">
        <f t="shared" si="22"/>
        <v>24</v>
      </c>
      <c r="I290" s="114">
        <f t="shared" si="24"/>
        <v>33208</v>
      </c>
      <c r="J290">
        <f t="shared" si="23"/>
        <v>5.4553513410833325</v>
      </c>
    </row>
    <row r="291" spans="4:10" x14ac:dyDescent="0.45">
      <c r="D291" s="113">
        <v>33147</v>
      </c>
      <c r="E291" s="52">
        <v>5.8174509680000002</v>
      </c>
      <c r="F291">
        <f t="shared" si="20"/>
        <v>270</v>
      </c>
      <c r="G291">
        <f t="shared" si="21"/>
        <v>270</v>
      </c>
      <c r="H291">
        <f t="shared" si="22"/>
        <v>24</v>
      </c>
      <c r="I291" s="114">
        <f t="shared" si="24"/>
        <v>33208</v>
      </c>
      <c r="J291">
        <f t="shared" si="23"/>
        <v>5.4553513410833325</v>
      </c>
    </row>
    <row r="292" spans="4:10" x14ac:dyDescent="0.45">
      <c r="D292" s="113">
        <v>33178</v>
      </c>
      <c r="E292" s="52">
        <v>5.7034192600000004</v>
      </c>
      <c r="F292">
        <f t="shared" si="20"/>
        <v>300</v>
      </c>
      <c r="G292">
        <f t="shared" si="21"/>
        <v>300</v>
      </c>
      <c r="H292">
        <f t="shared" si="22"/>
        <v>24</v>
      </c>
      <c r="I292" s="114">
        <f t="shared" si="24"/>
        <v>33208</v>
      </c>
      <c r="J292">
        <f t="shared" si="23"/>
        <v>5.4553513410833325</v>
      </c>
    </row>
    <row r="293" spans="4:10" x14ac:dyDescent="0.45">
      <c r="D293" s="113">
        <v>33208</v>
      </c>
      <c r="E293" s="52">
        <v>5.6725493609999997</v>
      </c>
      <c r="F293">
        <f t="shared" si="20"/>
        <v>330</v>
      </c>
      <c r="G293">
        <f t="shared" si="21"/>
        <v>330</v>
      </c>
      <c r="H293">
        <f t="shared" si="22"/>
        <v>24</v>
      </c>
      <c r="I293" s="114">
        <f t="shared" si="24"/>
        <v>33208</v>
      </c>
      <c r="J293">
        <f t="shared" si="23"/>
        <v>5.4553513410833325</v>
      </c>
    </row>
    <row r="294" spans="4:10" x14ac:dyDescent="0.45">
      <c r="D294" s="113">
        <v>33239</v>
      </c>
      <c r="E294" s="52">
        <v>5.8390290059999996</v>
      </c>
      <c r="F294">
        <f t="shared" si="20"/>
        <v>0</v>
      </c>
      <c r="G294">
        <f t="shared" si="21"/>
        <v>0</v>
      </c>
      <c r="H294">
        <f t="shared" si="22"/>
        <v>25</v>
      </c>
      <c r="I294" s="114">
        <f t="shared" si="24"/>
        <v>33573</v>
      </c>
      <c r="J294">
        <f t="shared" si="23"/>
        <v>4.94934712375</v>
      </c>
    </row>
    <row r="295" spans="4:10" x14ac:dyDescent="0.45">
      <c r="D295" s="113">
        <v>33270</v>
      </c>
      <c r="E295" s="52">
        <v>5.8834369190000002</v>
      </c>
      <c r="F295">
        <f t="shared" si="20"/>
        <v>30</v>
      </c>
      <c r="G295">
        <f t="shared" si="21"/>
        <v>30</v>
      </c>
      <c r="H295">
        <f t="shared" si="22"/>
        <v>25</v>
      </c>
      <c r="I295" s="114">
        <f t="shared" si="24"/>
        <v>33573</v>
      </c>
      <c r="J295">
        <f t="shared" si="23"/>
        <v>4.94934712375</v>
      </c>
    </row>
    <row r="296" spans="4:10" x14ac:dyDescent="0.45">
      <c r="D296" s="113">
        <v>33298</v>
      </c>
      <c r="E296" s="52">
        <v>5.496431415</v>
      </c>
      <c r="F296">
        <f t="shared" si="20"/>
        <v>60</v>
      </c>
      <c r="G296">
        <f t="shared" si="21"/>
        <v>60</v>
      </c>
      <c r="H296">
        <f t="shared" si="22"/>
        <v>25</v>
      </c>
      <c r="I296" s="114">
        <f t="shared" si="24"/>
        <v>33573</v>
      </c>
      <c r="J296">
        <f t="shared" si="23"/>
        <v>4.94934712375</v>
      </c>
    </row>
    <row r="297" spans="4:10" x14ac:dyDescent="0.45">
      <c r="D297" s="113">
        <v>33329</v>
      </c>
      <c r="E297" s="52">
        <v>5.302381155</v>
      </c>
      <c r="F297">
        <f t="shared" si="20"/>
        <v>90</v>
      </c>
      <c r="G297">
        <f t="shared" si="21"/>
        <v>90</v>
      </c>
      <c r="H297">
        <f t="shared" si="22"/>
        <v>25</v>
      </c>
      <c r="I297" s="114">
        <f t="shared" si="24"/>
        <v>33573</v>
      </c>
      <c r="J297">
        <f t="shared" si="23"/>
        <v>4.94934712375</v>
      </c>
    </row>
    <row r="298" spans="4:10" x14ac:dyDescent="0.45">
      <c r="D298" s="113">
        <v>33359</v>
      </c>
      <c r="E298" s="52">
        <v>5.248477287</v>
      </c>
      <c r="F298">
        <f t="shared" si="20"/>
        <v>120</v>
      </c>
      <c r="G298">
        <f t="shared" si="21"/>
        <v>120</v>
      </c>
      <c r="H298">
        <f t="shared" si="22"/>
        <v>25</v>
      </c>
      <c r="I298" s="114">
        <f t="shared" si="24"/>
        <v>33573</v>
      </c>
      <c r="J298">
        <f t="shared" si="23"/>
        <v>4.94934712375</v>
      </c>
    </row>
    <row r="299" spans="4:10" x14ac:dyDescent="0.45">
      <c r="D299" s="113">
        <v>33390</v>
      </c>
      <c r="E299" s="52">
        <v>4.9599784720000004</v>
      </c>
      <c r="F299">
        <f t="shared" si="20"/>
        <v>150</v>
      </c>
      <c r="G299">
        <f t="shared" si="21"/>
        <v>150</v>
      </c>
      <c r="H299">
        <f t="shared" si="22"/>
        <v>25</v>
      </c>
      <c r="I299" s="114">
        <f t="shared" si="24"/>
        <v>33573</v>
      </c>
      <c r="J299">
        <f t="shared" si="23"/>
        <v>4.94934712375</v>
      </c>
    </row>
    <row r="300" spans="4:10" x14ac:dyDescent="0.45">
      <c r="D300" s="113">
        <v>33420</v>
      </c>
      <c r="E300" s="52">
        <v>4.7357086930000003</v>
      </c>
      <c r="F300">
        <f t="shared" si="20"/>
        <v>180</v>
      </c>
      <c r="G300">
        <f t="shared" si="21"/>
        <v>180</v>
      </c>
      <c r="H300">
        <f t="shared" si="22"/>
        <v>25</v>
      </c>
      <c r="I300" s="114">
        <f t="shared" si="24"/>
        <v>33573</v>
      </c>
      <c r="J300">
        <f t="shared" si="23"/>
        <v>4.94934712375</v>
      </c>
    </row>
    <row r="301" spans="4:10" x14ac:dyDescent="0.45">
      <c r="D301" s="113">
        <v>33451</v>
      </c>
      <c r="E301" s="52">
        <v>4.413788018</v>
      </c>
      <c r="F301">
        <f t="shared" si="20"/>
        <v>210</v>
      </c>
      <c r="G301">
        <f t="shared" si="21"/>
        <v>210</v>
      </c>
      <c r="H301">
        <f t="shared" si="22"/>
        <v>25</v>
      </c>
      <c r="I301" s="114">
        <f t="shared" si="24"/>
        <v>33573</v>
      </c>
      <c r="J301">
        <f t="shared" si="23"/>
        <v>4.94934712375</v>
      </c>
    </row>
    <row r="302" spans="4:10" x14ac:dyDescent="0.45">
      <c r="D302" s="113">
        <v>33482</v>
      </c>
      <c r="E302" s="52">
        <v>4.465741661</v>
      </c>
      <c r="F302">
        <f t="shared" si="20"/>
        <v>240</v>
      </c>
      <c r="G302">
        <f t="shared" si="21"/>
        <v>240</v>
      </c>
      <c r="H302">
        <f t="shared" si="22"/>
        <v>25</v>
      </c>
      <c r="I302" s="114">
        <f t="shared" si="24"/>
        <v>33573</v>
      </c>
      <c r="J302">
        <f t="shared" si="23"/>
        <v>4.94934712375</v>
      </c>
    </row>
    <row r="303" spans="4:10" x14ac:dyDescent="0.45">
      <c r="D303" s="113">
        <v>33512</v>
      </c>
      <c r="E303" s="52">
        <v>4.3105972350000004</v>
      </c>
      <c r="F303">
        <f t="shared" si="20"/>
        <v>270</v>
      </c>
      <c r="G303">
        <f t="shared" si="21"/>
        <v>270</v>
      </c>
      <c r="H303">
        <f t="shared" si="22"/>
        <v>25</v>
      </c>
      <c r="I303" s="114">
        <f t="shared" si="24"/>
        <v>33573</v>
      </c>
      <c r="J303">
        <f t="shared" si="23"/>
        <v>4.94934712375</v>
      </c>
    </row>
    <row r="304" spans="4:10" x14ac:dyDescent="0.45">
      <c r="D304" s="113">
        <v>33543</v>
      </c>
      <c r="E304" s="52">
        <v>4.3700032210000002</v>
      </c>
      <c r="F304">
        <f t="shared" si="20"/>
        <v>300</v>
      </c>
      <c r="G304">
        <f t="shared" si="21"/>
        <v>300</v>
      </c>
      <c r="H304">
        <f t="shared" si="22"/>
        <v>25</v>
      </c>
      <c r="I304" s="114">
        <f t="shared" si="24"/>
        <v>33573</v>
      </c>
      <c r="J304">
        <f t="shared" si="23"/>
        <v>4.94934712375</v>
      </c>
    </row>
    <row r="305" spans="4:10" x14ac:dyDescent="0.45">
      <c r="D305" s="113">
        <v>33573</v>
      </c>
      <c r="E305" s="52">
        <v>4.3665924030000003</v>
      </c>
      <c r="F305">
        <f t="shared" si="20"/>
        <v>330</v>
      </c>
      <c r="G305">
        <f t="shared" si="21"/>
        <v>330</v>
      </c>
      <c r="H305">
        <f t="shared" si="22"/>
        <v>25</v>
      </c>
      <c r="I305" s="114">
        <f t="shared" si="24"/>
        <v>33573</v>
      </c>
      <c r="J305">
        <f t="shared" si="23"/>
        <v>4.94934712375</v>
      </c>
    </row>
    <row r="306" spans="4:10" x14ac:dyDescent="0.45">
      <c r="D306" s="113">
        <v>33604</v>
      </c>
      <c r="E306" s="52">
        <v>4.0699133710000002</v>
      </c>
      <c r="F306">
        <f t="shared" si="20"/>
        <v>0</v>
      </c>
      <c r="G306">
        <f t="shared" si="21"/>
        <v>0</v>
      </c>
      <c r="H306">
        <f t="shared" si="22"/>
        <v>26</v>
      </c>
      <c r="I306" s="114">
        <f t="shared" si="24"/>
        <v>33939</v>
      </c>
      <c r="J306">
        <f t="shared" si="23"/>
        <v>3.7854164745833327</v>
      </c>
    </row>
    <row r="307" spans="4:10" x14ac:dyDescent="0.45">
      <c r="D307" s="113">
        <v>33635</v>
      </c>
      <c r="E307" s="52">
        <v>3.8781843540000001</v>
      </c>
      <c r="F307">
        <f t="shared" si="20"/>
        <v>30</v>
      </c>
      <c r="G307">
        <f t="shared" si="21"/>
        <v>30</v>
      </c>
      <c r="H307">
        <f t="shared" si="22"/>
        <v>26</v>
      </c>
      <c r="I307" s="114">
        <f t="shared" si="24"/>
        <v>33939</v>
      </c>
      <c r="J307">
        <f t="shared" si="23"/>
        <v>3.7854164745833327</v>
      </c>
    </row>
    <row r="308" spans="4:10" x14ac:dyDescent="0.45">
      <c r="D308" s="113">
        <v>33664</v>
      </c>
      <c r="E308" s="52">
        <v>3.990512759</v>
      </c>
      <c r="F308">
        <f t="shared" si="20"/>
        <v>60</v>
      </c>
      <c r="G308">
        <f t="shared" si="21"/>
        <v>60</v>
      </c>
      <c r="H308">
        <f t="shared" si="22"/>
        <v>26</v>
      </c>
      <c r="I308" s="114">
        <f t="shared" si="24"/>
        <v>33939</v>
      </c>
      <c r="J308">
        <f t="shared" si="23"/>
        <v>3.7854164745833327</v>
      </c>
    </row>
    <row r="309" spans="4:10" x14ac:dyDescent="0.45">
      <c r="D309" s="113">
        <v>33695</v>
      </c>
      <c r="E309" s="52">
        <v>4.0775431190000004</v>
      </c>
      <c r="F309">
        <f t="shared" si="20"/>
        <v>90</v>
      </c>
      <c r="G309">
        <f t="shared" si="21"/>
        <v>90</v>
      </c>
      <c r="H309">
        <f t="shared" si="22"/>
        <v>26</v>
      </c>
      <c r="I309" s="114">
        <f t="shared" si="24"/>
        <v>33939</v>
      </c>
      <c r="J309">
        <f t="shared" si="23"/>
        <v>3.7854164745833327</v>
      </c>
    </row>
    <row r="310" spans="4:10" x14ac:dyDescent="0.45">
      <c r="D310" s="113">
        <v>33725</v>
      </c>
      <c r="E310" s="52">
        <v>3.9378608939999999</v>
      </c>
      <c r="F310">
        <f t="shared" si="20"/>
        <v>120</v>
      </c>
      <c r="G310">
        <f t="shared" si="21"/>
        <v>120</v>
      </c>
      <c r="H310">
        <f t="shared" si="22"/>
        <v>26</v>
      </c>
      <c r="I310" s="114">
        <f t="shared" si="24"/>
        <v>33939</v>
      </c>
      <c r="J310">
        <f t="shared" si="23"/>
        <v>3.7854164745833327</v>
      </c>
    </row>
    <row r="311" spans="4:10" x14ac:dyDescent="0.45">
      <c r="D311" s="113">
        <v>33756</v>
      </c>
      <c r="E311" s="52">
        <v>3.875841001</v>
      </c>
      <c r="F311">
        <f t="shared" si="20"/>
        <v>150</v>
      </c>
      <c r="G311">
        <f t="shared" si="21"/>
        <v>150</v>
      </c>
      <c r="H311">
        <f t="shared" si="22"/>
        <v>26</v>
      </c>
      <c r="I311" s="114">
        <f t="shared" si="24"/>
        <v>33939</v>
      </c>
      <c r="J311">
        <f t="shared" si="23"/>
        <v>3.7854164745833327</v>
      </c>
    </row>
    <row r="312" spans="4:10" x14ac:dyDescent="0.45">
      <c r="D312" s="113">
        <v>33786</v>
      </c>
      <c r="E312" s="52">
        <v>3.7853442259999999</v>
      </c>
      <c r="F312">
        <f t="shared" si="20"/>
        <v>180</v>
      </c>
      <c r="G312">
        <f t="shared" si="21"/>
        <v>180</v>
      </c>
      <c r="H312">
        <f t="shared" si="22"/>
        <v>26</v>
      </c>
      <c r="I312" s="114">
        <f t="shared" si="24"/>
        <v>33939</v>
      </c>
      <c r="J312">
        <f t="shared" si="23"/>
        <v>3.7854164745833327</v>
      </c>
    </row>
    <row r="313" spans="4:10" x14ac:dyDescent="0.45">
      <c r="D313" s="113">
        <v>33817</v>
      </c>
      <c r="E313" s="52">
        <v>3.6443497960000002</v>
      </c>
      <c r="F313">
        <f t="shared" si="20"/>
        <v>210</v>
      </c>
      <c r="G313">
        <f t="shared" si="21"/>
        <v>210</v>
      </c>
      <c r="H313">
        <f t="shared" si="22"/>
        <v>26</v>
      </c>
      <c r="I313" s="114">
        <f t="shared" si="24"/>
        <v>33939</v>
      </c>
      <c r="J313">
        <f t="shared" si="23"/>
        <v>3.7854164745833327</v>
      </c>
    </row>
    <row r="314" spans="4:10" x14ac:dyDescent="0.45">
      <c r="D314" s="113">
        <v>33848</v>
      </c>
      <c r="E314" s="52">
        <v>3.3635660409999999</v>
      </c>
      <c r="F314">
        <f t="shared" si="20"/>
        <v>240</v>
      </c>
      <c r="G314">
        <f t="shared" si="21"/>
        <v>240</v>
      </c>
      <c r="H314">
        <f t="shared" si="22"/>
        <v>26</v>
      </c>
      <c r="I314" s="114">
        <f t="shared" si="24"/>
        <v>33939</v>
      </c>
      <c r="J314">
        <f t="shared" si="23"/>
        <v>3.7854164745833327</v>
      </c>
    </row>
    <row r="315" spans="4:10" x14ac:dyDescent="0.45">
      <c r="D315" s="113">
        <v>33878</v>
      </c>
      <c r="E315" s="52">
        <v>3.6549505959999999</v>
      </c>
      <c r="F315">
        <f t="shared" si="20"/>
        <v>270</v>
      </c>
      <c r="G315">
        <f t="shared" si="21"/>
        <v>270</v>
      </c>
      <c r="H315">
        <f t="shared" si="22"/>
        <v>26</v>
      </c>
      <c r="I315" s="114">
        <f t="shared" si="24"/>
        <v>33939</v>
      </c>
      <c r="J315">
        <f t="shared" si="23"/>
        <v>3.7854164745833327</v>
      </c>
    </row>
    <row r="316" spans="4:10" x14ac:dyDescent="0.45">
      <c r="D316" s="113">
        <v>33909</v>
      </c>
      <c r="E316" s="52">
        <v>3.6494029760000002</v>
      </c>
      <c r="F316">
        <f t="shared" si="20"/>
        <v>300</v>
      </c>
      <c r="G316">
        <f t="shared" si="21"/>
        <v>300</v>
      </c>
      <c r="H316">
        <f t="shared" si="22"/>
        <v>26</v>
      </c>
      <c r="I316" s="114">
        <f t="shared" si="24"/>
        <v>33939</v>
      </c>
      <c r="J316">
        <f t="shared" si="23"/>
        <v>3.7854164745833327</v>
      </c>
    </row>
    <row r="317" spans="4:10" x14ac:dyDescent="0.45">
      <c r="D317" s="113">
        <v>33939</v>
      </c>
      <c r="E317" s="52">
        <v>3.4975285619999998</v>
      </c>
      <c r="F317">
        <f t="shared" si="20"/>
        <v>330</v>
      </c>
      <c r="G317">
        <f t="shared" si="21"/>
        <v>330</v>
      </c>
      <c r="H317">
        <f t="shared" si="22"/>
        <v>26</v>
      </c>
      <c r="I317" s="114">
        <f t="shared" si="24"/>
        <v>33939</v>
      </c>
      <c r="J317">
        <f t="shared" si="23"/>
        <v>3.7854164745833327</v>
      </c>
    </row>
    <row r="318" spans="4:10" x14ac:dyDescent="0.45">
      <c r="D318" s="113">
        <v>33970</v>
      </c>
      <c r="E318" s="52">
        <v>3.547354737</v>
      </c>
      <c r="F318">
        <f t="shared" si="20"/>
        <v>0</v>
      </c>
      <c r="G318">
        <f t="shared" si="21"/>
        <v>0</v>
      </c>
      <c r="H318">
        <f t="shared" si="22"/>
        <v>27</v>
      </c>
      <c r="I318" s="114">
        <f t="shared" si="24"/>
        <v>34304</v>
      </c>
      <c r="J318">
        <f t="shared" si="23"/>
        <v>3.5075261400833333</v>
      </c>
    </row>
    <row r="319" spans="4:10" x14ac:dyDescent="0.45">
      <c r="D319" s="113">
        <v>34001</v>
      </c>
      <c r="E319" s="52">
        <v>3.5806677219999998</v>
      </c>
      <c r="F319">
        <f t="shared" si="20"/>
        <v>30</v>
      </c>
      <c r="G319">
        <f t="shared" si="21"/>
        <v>30</v>
      </c>
      <c r="H319">
        <f t="shared" si="22"/>
        <v>27</v>
      </c>
      <c r="I319" s="114">
        <f t="shared" si="24"/>
        <v>34304</v>
      </c>
      <c r="J319">
        <f t="shared" si="23"/>
        <v>3.5075261400833333</v>
      </c>
    </row>
    <row r="320" spans="4:10" x14ac:dyDescent="0.45">
      <c r="D320" s="113">
        <v>34029</v>
      </c>
      <c r="E320" s="52">
        <v>3.3531606090000001</v>
      </c>
      <c r="F320">
        <f t="shared" si="20"/>
        <v>60</v>
      </c>
      <c r="G320">
        <f t="shared" si="21"/>
        <v>60</v>
      </c>
      <c r="H320">
        <f t="shared" si="22"/>
        <v>27</v>
      </c>
      <c r="I320" s="114">
        <f t="shared" si="24"/>
        <v>34304</v>
      </c>
      <c r="J320">
        <f t="shared" si="23"/>
        <v>3.5075261400833333</v>
      </c>
    </row>
    <row r="321" spans="4:10" x14ac:dyDescent="0.45">
      <c r="D321" s="113">
        <v>34060</v>
      </c>
      <c r="E321" s="52">
        <v>3.422176699</v>
      </c>
      <c r="F321">
        <f t="shared" si="20"/>
        <v>90</v>
      </c>
      <c r="G321">
        <f t="shared" si="21"/>
        <v>90</v>
      </c>
      <c r="H321">
        <f t="shared" si="22"/>
        <v>27</v>
      </c>
      <c r="I321" s="114">
        <f t="shared" si="24"/>
        <v>34304</v>
      </c>
      <c r="J321">
        <f t="shared" si="23"/>
        <v>3.5075261400833333</v>
      </c>
    </row>
    <row r="322" spans="4:10" x14ac:dyDescent="0.45">
      <c r="D322" s="113">
        <v>34090</v>
      </c>
      <c r="E322" s="52">
        <v>3.5514312829999999</v>
      </c>
      <c r="F322">
        <f t="shared" si="20"/>
        <v>120</v>
      </c>
      <c r="G322">
        <f t="shared" si="21"/>
        <v>120</v>
      </c>
      <c r="H322">
        <f t="shared" si="22"/>
        <v>27</v>
      </c>
      <c r="I322" s="114">
        <f t="shared" si="24"/>
        <v>34304</v>
      </c>
      <c r="J322">
        <f t="shared" si="23"/>
        <v>3.5075261400833333</v>
      </c>
    </row>
    <row r="323" spans="4:10" x14ac:dyDescent="0.45">
      <c r="D323" s="113">
        <v>34121</v>
      </c>
      <c r="E323" s="52">
        <v>3.5834288729999999</v>
      </c>
      <c r="F323">
        <f t="shared" si="20"/>
        <v>150</v>
      </c>
      <c r="G323">
        <f t="shared" si="21"/>
        <v>150</v>
      </c>
      <c r="H323">
        <f t="shared" si="22"/>
        <v>27</v>
      </c>
      <c r="I323" s="114">
        <f t="shared" si="24"/>
        <v>34304</v>
      </c>
      <c r="J323">
        <f t="shared" si="23"/>
        <v>3.5075261400833333</v>
      </c>
    </row>
    <row r="324" spans="4:10" x14ac:dyDescent="0.45">
      <c r="D324" s="113">
        <v>34151</v>
      </c>
      <c r="E324" s="52">
        <v>3.437046316</v>
      </c>
      <c r="F324">
        <f t="shared" si="20"/>
        <v>180</v>
      </c>
      <c r="G324">
        <f t="shared" si="21"/>
        <v>180</v>
      </c>
      <c r="H324">
        <f t="shared" si="22"/>
        <v>27</v>
      </c>
      <c r="I324" s="114">
        <f t="shared" si="24"/>
        <v>34304</v>
      </c>
      <c r="J324">
        <f t="shared" si="23"/>
        <v>3.5075261400833333</v>
      </c>
    </row>
    <row r="325" spans="4:10" x14ac:dyDescent="0.45">
      <c r="D325" s="113">
        <v>34182</v>
      </c>
      <c r="E325" s="52">
        <v>3.5227390860000001</v>
      </c>
      <c r="F325">
        <f t="shared" si="20"/>
        <v>210</v>
      </c>
      <c r="G325">
        <f t="shared" si="21"/>
        <v>210</v>
      </c>
      <c r="H325">
        <f t="shared" si="22"/>
        <v>27</v>
      </c>
      <c r="I325" s="114">
        <f t="shared" si="24"/>
        <v>34304</v>
      </c>
      <c r="J325">
        <f t="shared" si="23"/>
        <v>3.5075261400833333</v>
      </c>
    </row>
    <row r="326" spans="4:10" x14ac:dyDescent="0.45">
      <c r="D326" s="113">
        <v>34213</v>
      </c>
      <c r="E326" s="52">
        <v>3.6560386810000001</v>
      </c>
      <c r="F326">
        <f t="shared" si="20"/>
        <v>240</v>
      </c>
      <c r="G326">
        <f t="shared" si="21"/>
        <v>240</v>
      </c>
      <c r="H326">
        <f t="shared" si="22"/>
        <v>27</v>
      </c>
      <c r="I326" s="114">
        <f t="shared" si="24"/>
        <v>34304</v>
      </c>
      <c r="J326">
        <f t="shared" si="23"/>
        <v>3.5075261400833333</v>
      </c>
    </row>
    <row r="327" spans="4:10" x14ac:dyDescent="0.45">
      <c r="D327" s="113">
        <v>34243</v>
      </c>
      <c r="E327" s="52">
        <v>3.4333214430000001</v>
      </c>
      <c r="F327">
        <f t="shared" si="20"/>
        <v>270</v>
      </c>
      <c r="G327">
        <f t="shared" si="21"/>
        <v>270</v>
      </c>
      <c r="H327">
        <f t="shared" si="22"/>
        <v>27</v>
      </c>
      <c r="I327" s="114">
        <f t="shared" si="24"/>
        <v>34304</v>
      </c>
      <c r="J327">
        <f t="shared" si="23"/>
        <v>3.5075261400833333</v>
      </c>
    </row>
    <row r="328" spans="4:10" x14ac:dyDescent="0.45">
      <c r="D328" s="113">
        <v>34274</v>
      </c>
      <c r="E328" s="52">
        <v>3.4451255070000002</v>
      </c>
      <c r="F328">
        <f t="shared" si="20"/>
        <v>300</v>
      </c>
      <c r="G328">
        <f t="shared" si="21"/>
        <v>300</v>
      </c>
      <c r="H328">
        <f t="shared" si="22"/>
        <v>27</v>
      </c>
      <c r="I328" s="114">
        <f t="shared" si="24"/>
        <v>34304</v>
      </c>
      <c r="J328">
        <f t="shared" si="23"/>
        <v>3.5075261400833333</v>
      </c>
    </row>
    <row r="329" spans="4:10" x14ac:dyDescent="0.45">
      <c r="D329" s="113">
        <v>34304</v>
      </c>
      <c r="E329" s="52">
        <v>3.5578227249999999</v>
      </c>
      <c r="F329">
        <f t="shared" si="20"/>
        <v>330</v>
      </c>
      <c r="G329">
        <f t="shared" si="21"/>
        <v>330</v>
      </c>
      <c r="H329">
        <f t="shared" si="22"/>
        <v>27</v>
      </c>
      <c r="I329" s="114">
        <f t="shared" si="24"/>
        <v>34304</v>
      </c>
      <c r="J329">
        <f t="shared" si="23"/>
        <v>3.5075261400833333</v>
      </c>
    </row>
    <row r="330" spans="4:10" x14ac:dyDescent="0.45">
      <c r="D330" s="113">
        <v>34335</v>
      </c>
      <c r="E330" s="52">
        <v>3.3843729640000002</v>
      </c>
      <c r="F330">
        <f t="shared" si="20"/>
        <v>0</v>
      </c>
      <c r="G330">
        <f t="shared" si="21"/>
        <v>0</v>
      </c>
      <c r="H330">
        <f t="shared" si="22"/>
        <v>28</v>
      </c>
      <c r="I330" s="114">
        <f t="shared" si="24"/>
        <v>34669</v>
      </c>
      <c r="J330">
        <f t="shared" si="23"/>
        <v>3.272151669249999</v>
      </c>
    </row>
    <row r="331" spans="4:10" x14ac:dyDescent="0.45">
      <c r="D331" s="113">
        <v>34366</v>
      </c>
      <c r="E331" s="52">
        <v>3.424654259</v>
      </c>
      <c r="F331">
        <f t="shared" si="20"/>
        <v>30</v>
      </c>
      <c r="G331">
        <f t="shared" si="21"/>
        <v>30</v>
      </c>
      <c r="H331">
        <f t="shared" si="22"/>
        <v>28</v>
      </c>
      <c r="I331" s="114">
        <f t="shared" si="24"/>
        <v>34669</v>
      </c>
      <c r="J331">
        <f t="shared" si="23"/>
        <v>3.272151669249999</v>
      </c>
    </row>
    <row r="332" spans="4:10" x14ac:dyDescent="0.45">
      <c r="D332" s="113">
        <v>34394</v>
      </c>
      <c r="E332" s="52">
        <v>3.5788332860000001</v>
      </c>
      <c r="F332">
        <f t="shared" si="20"/>
        <v>60</v>
      </c>
      <c r="G332">
        <f t="shared" si="21"/>
        <v>60</v>
      </c>
      <c r="H332">
        <f t="shared" si="22"/>
        <v>28</v>
      </c>
      <c r="I332" s="114">
        <f t="shared" si="24"/>
        <v>34669</v>
      </c>
      <c r="J332">
        <f t="shared" si="23"/>
        <v>3.272151669249999</v>
      </c>
    </row>
    <row r="333" spans="4:10" x14ac:dyDescent="0.45">
      <c r="D333" s="113">
        <v>34425</v>
      </c>
      <c r="E333" s="52">
        <v>3.3640641379999998</v>
      </c>
      <c r="F333">
        <f t="shared" si="20"/>
        <v>90</v>
      </c>
      <c r="G333">
        <f t="shared" si="21"/>
        <v>90</v>
      </c>
      <c r="H333">
        <f t="shared" si="22"/>
        <v>28</v>
      </c>
      <c r="I333" s="114">
        <f t="shared" si="24"/>
        <v>34669</v>
      </c>
      <c r="J333">
        <f t="shared" si="23"/>
        <v>3.272151669249999</v>
      </c>
    </row>
    <row r="334" spans="4:10" x14ac:dyDescent="0.45">
      <c r="D334" s="113">
        <v>34455</v>
      </c>
      <c r="E334" s="52">
        <v>3.238103819</v>
      </c>
      <c r="F334">
        <f t="shared" si="20"/>
        <v>120</v>
      </c>
      <c r="G334">
        <f t="shared" si="21"/>
        <v>120</v>
      </c>
      <c r="H334">
        <f t="shared" si="22"/>
        <v>28</v>
      </c>
      <c r="I334" s="114">
        <f t="shared" si="24"/>
        <v>34669</v>
      </c>
      <c r="J334">
        <f t="shared" si="23"/>
        <v>3.272151669249999</v>
      </c>
    </row>
    <row r="335" spans="4:10" x14ac:dyDescent="0.45">
      <c r="D335" s="113">
        <v>34486</v>
      </c>
      <c r="E335" s="52">
        <v>3.2075408329999999</v>
      </c>
      <c r="F335">
        <f t="shared" si="20"/>
        <v>150</v>
      </c>
      <c r="G335">
        <f t="shared" si="21"/>
        <v>150</v>
      </c>
      <c r="H335">
        <f t="shared" si="22"/>
        <v>28</v>
      </c>
      <c r="I335" s="114">
        <f t="shared" si="24"/>
        <v>34669</v>
      </c>
      <c r="J335">
        <f t="shared" si="23"/>
        <v>3.272151669249999</v>
      </c>
    </row>
    <row r="336" spans="4:10" x14ac:dyDescent="0.45">
      <c r="D336" s="113">
        <v>34516</v>
      </c>
      <c r="E336" s="52">
        <v>3.245680943</v>
      </c>
      <c r="F336">
        <f t="shared" si="20"/>
        <v>180</v>
      </c>
      <c r="G336">
        <f t="shared" si="21"/>
        <v>180</v>
      </c>
      <c r="H336">
        <f t="shared" si="22"/>
        <v>28</v>
      </c>
      <c r="I336" s="114">
        <f t="shared" si="24"/>
        <v>34669</v>
      </c>
      <c r="J336">
        <f t="shared" si="23"/>
        <v>3.272151669249999</v>
      </c>
    </row>
    <row r="337" spans="4:10" x14ac:dyDescent="0.45">
      <c r="D337" s="113">
        <v>34547</v>
      </c>
      <c r="E337" s="52">
        <v>3.3188647310000001</v>
      </c>
      <c r="F337">
        <f t="shared" ref="F337:F400" si="25">FLOOR(DAYS360(DATE(YEAR(D337),1,1),D337),30)</f>
        <v>210</v>
      </c>
      <c r="G337">
        <f t="shared" si="21"/>
        <v>210</v>
      </c>
      <c r="H337">
        <f t="shared" si="22"/>
        <v>28</v>
      </c>
      <c r="I337" s="114">
        <f t="shared" si="24"/>
        <v>34669</v>
      </c>
      <c r="J337">
        <f t="shared" si="23"/>
        <v>3.272151669249999</v>
      </c>
    </row>
    <row r="338" spans="4:10" x14ac:dyDescent="0.45">
      <c r="D338" s="113">
        <v>34578</v>
      </c>
      <c r="E338" s="52">
        <v>3.267212367</v>
      </c>
      <c r="F338">
        <f t="shared" si="25"/>
        <v>240</v>
      </c>
      <c r="G338">
        <f t="shared" ref="G338:G401" si="26">MOD(F338, 360/$G$12)</f>
        <v>240</v>
      </c>
      <c r="H338">
        <f t="shared" ref="H338:H401" si="27">IF(G338&gt;G337,H337,H337+1)</f>
        <v>28</v>
      </c>
      <c r="I338" s="114">
        <f t="shared" si="24"/>
        <v>34669</v>
      </c>
      <c r="J338">
        <f t="shared" ref="J338:J401" si="28">AVERAGEIF($H$17:$H$675,H338,$E$17:$E$675)</f>
        <v>3.272151669249999</v>
      </c>
    </row>
    <row r="339" spans="4:10" x14ac:dyDescent="0.45">
      <c r="D339" s="113">
        <v>34608</v>
      </c>
      <c r="E339" s="52">
        <v>3.1787400909999999</v>
      </c>
      <c r="F339">
        <f t="shared" si="25"/>
        <v>270</v>
      </c>
      <c r="G339">
        <f t="shared" si="26"/>
        <v>270</v>
      </c>
      <c r="H339">
        <f t="shared" si="27"/>
        <v>28</v>
      </c>
      <c r="I339" s="114">
        <f t="shared" ref="I339:I402" si="29">EDATE(I338,(H339-H338)*(12/$G$12))</f>
        <v>34669</v>
      </c>
      <c r="J339">
        <f t="shared" si="28"/>
        <v>3.272151669249999</v>
      </c>
    </row>
    <row r="340" spans="4:10" x14ac:dyDescent="0.45">
      <c r="D340" s="113">
        <v>34639</v>
      </c>
      <c r="E340" s="52">
        <v>3.1420926250000001</v>
      </c>
      <c r="F340">
        <f t="shared" si="25"/>
        <v>300</v>
      </c>
      <c r="G340">
        <f t="shared" si="26"/>
        <v>300</v>
      </c>
      <c r="H340">
        <f t="shared" si="27"/>
        <v>28</v>
      </c>
      <c r="I340" s="114">
        <f t="shared" si="29"/>
        <v>34669</v>
      </c>
      <c r="J340">
        <f t="shared" si="28"/>
        <v>3.272151669249999</v>
      </c>
    </row>
    <row r="341" spans="4:10" x14ac:dyDescent="0.45">
      <c r="D341" s="113">
        <v>34669</v>
      </c>
      <c r="E341" s="52">
        <v>2.9156599750000001</v>
      </c>
      <c r="F341">
        <f t="shared" si="25"/>
        <v>330</v>
      </c>
      <c r="G341">
        <f t="shared" si="26"/>
        <v>330</v>
      </c>
      <c r="H341">
        <f t="shared" si="27"/>
        <v>28</v>
      </c>
      <c r="I341" s="114">
        <f t="shared" si="29"/>
        <v>34669</v>
      </c>
      <c r="J341">
        <f t="shared" si="28"/>
        <v>3.272151669249999</v>
      </c>
    </row>
    <row r="342" spans="4:10" x14ac:dyDescent="0.45">
      <c r="D342" s="113">
        <v>34700</v>
      </c>
      <c r="E342" s="52">
        <v>3.159681044</v>
      </c>
      <c r="F342">
        <f t="shared" si="25"/>
        <v>0</v>
      </c>
      <c r="G342">
        <f t="shared" si="26"/>
        <v>0</v>
      </c>
      <c r="H342">
        <f t="shared" si="27"/>
        <v>29</v>
      </c>
      <c r="I342" s="114">
        <f t="shared" si="29"/>
        <v>35034</v>
      </c>
      <c r="J342">
        <f t="shared" si="28"/>
        <v>3.3182595421666665</v>
      </c>
    </row>
    <row r="343" spans="4:10" x14ac:dyDescent="0.45">
      <c r="D343" s="113">
        <v>34731</v>
      </c>
      <c r="E343" s="52">
        <v>3.139699974</v>
      </c>
      <c r="F343">
        <f t="shared" si="25"/>
        <v>30</v>
      </c>
      <c r="G343">
        <f t="shared" si="26"/>
        <v>30</v>
      </c>
      <c r="H343">
        <f t="shared" si="27"/>
        <v>29</v>
      </c>
      <c r="I343" s="114">
        <f t="shared" si="29"/>
        <v>35034</v>
      </c>
      <c r="J343">
        <f t="shared" si="28"/>
        <v>3.3182595421666665</v>
      </c>
    </row>
    <row r="344" spans="4:10" x14ac:dyDescent="0.45">
      <c r="D344" s="113">
        <v>34759</v>
      </c>
      <c r="E344" s="52">
        <v>3.1844824909999998</v>
      </c>
      <c r="F344">
        <f t="shared" si="25"/>
        <v>60</v>
      </c>
      <c r="G344">
        <f t="shared" si="26"/>
        <v>60</v>
      </c>
      <c r="H344">
        <f t="shared" si="27"/>
        <v>29</v>
      </c>
      <c r="I344" s="114">
        <f t="shared" si="29"/>
        <v>35034</v>
      </c>
      <c r="J344">
        <f t="shared" si="28"/>
        <v>3.3182595421666665</v>
      </c>
    </row>
    <row r="345" spans="4:10" x14ac:dyDescent="0.45">
      <c r="D345" s="113">
        <v>34790</v>
      </c>
      <c r="E345" s="52">
        <v>3.3229161170000001</v>
      </c>
      <c r="F345">
        <f t="shared" si="25"/>
        <v>90</v>
      </c>
      <c r="G345">
        <f t="shared" si="26"/>
        <v>90</v>
      </c>
      <c r="H345">
        <f t="shared" si="27"/>
        <v>29</v>
      </c>
      <c r="I345" s="114">
        <f t="shared" si="29"/>
        <v>35034</v>
      </c>
      <c r="J345">
        <f t="shared" si="28"/>
        <v>3.3182595421666665</v>
      </c>
    </row>
    <row r="346" spans="4:10" x14ac:dyDescent="0.45">
      <c r="D346" s="113">
        <v>34820</v>
      </c>
      <c r="E346" s="52">
        <v>3.367477772</v>
      </c>
      <c r="F346">
        <f t="shared" si="25"/>
        <v>120</v>
      </c>
      <c r="G346">
        <f t="shared" si="26"/>
        <v>120</v>
      </c>
      <c r="H346">
        <f t="shared" si="27"/>
        <v>29</v>
      </c>
      <c r="I346" s="114">
        <f t="shared" si="29"/>
        <v>35034</v>
      </c>
      <c r="J346">
        <f t="shared" si="28"/>
        <v>3.3182595421666665</v>
      </c>
    </row>
    <row r="347" spans="4:10" x14ac:dyDescent="0.45">
      <c r="D347" s="113">
        <v>34851</v>
      </c>
      <c r="E347" s="52">
        <v>3.34707431</v>
      </c>
      <c r="F347">
        <f t="shared" si="25"/>
        <v>150</v>
      </c>
      <c r="G347">
        <f t="shared" si="26"/>
        <v>150</v>
      </c>
      <c r="H347">
        <f t="shared" si="27"/>
        <v>29</v>
      </c>
      <c r="I347" s="114">
        <f t="shared" si="29"/>
        <v>35034</v>
      </c>
      <c r="J347">
        <f t="shared" si="28"/>
        <v>3.3182595421666665</v>
      </c>
    </row>
    <row r="348" spans="4:10" x14ac:dyDescent="0.45">
      <c r="D348" s="113">
        <v>34881</v>
      </c>
      <c r="E348" s="52">
        <v>3.402097044</v>
      </c>
      <c r="F348">
        <f t="shared" si="25"/>
        <v>180</v>
      </c>
      <c r="G348">
        <f t="shared" si="26"/>
        <v>180</v>
      </c>
      <c r="H348">
        <f t="shared" si="27"/>
        <v>29</v>
      </c>
      <c r="I348" s="114">
        <f t="shared" si="29"/>
        <v>35034</v>
      </c>
      <c r="J348">
        <f t="shared" si="28"/>
        <v>3.3182595421666665</v>
      </c>
    </row>
    <row r="349" spans="4:10" x14ac:dyDescent="0.45">
      <c r="D349" s="113">
        <v>34912</v>
      </c>
      <c r="E349" s="52">
        <v>3.2555600490000001</v>
      </c>
      <c r="F349">
        <f t="shared" si="25"/>
        <v>210</v>
      </c>
      <c r="G349">
        <f t="shared" si="26"/>
        <v>210</v>
      </c>
      <c r="H349">
        <f t="shared" si="27"/>
        <v>29</v>
      </c>
      <c r="I349" s="114">
        <f t="shared" si="29"/>
        <v>35034</v>
      </c>
      <c r="J349">
        <f t="shared" si="28"/>
        <v>3.3182595421666665</v>
      </c>
    </row>
    <row r="350" spans="4:10" x14ac:dyDescent="0.45">
      <c r="D350" s="113">
        <v>34943</v>
      </c>
      <c r="E350" s="52">
        <v>3.3682078089999998</v>
      </c>
      <c r="F350">
        <f t="shared" si="25"/>
        <v>240</v>
      </c>
      <c r="G350">
        <f t="shared" si="26"/>
        <v>240</v>
      </c>
      <c r="H350">
        <f t="shared" si="27"/>
        <v>29</v>
      </c>
      <c r="I350" s="114">
        <f t="shared" si="29"/>
        <v>35034</v>
      </c>
      <c r="J350">
        <f t="shared" si="28"/>
        <v>3.3182595421666665</v>
      </c>
    </row>
    <row r="351" spans="4:10" x14ac:dyDescent="0.45">
      <c r="D351" s="113">
        <v>34973</v>
      </c>
      <c r="E351" s="52">
        <v>3.4792874660000002</v>
      </c>
      <c r="F351">
        <f t="shared" si="25"/>
        <v>270</v>
      </c>
      <c r="G351">
        <f t="shared" si="26"/>
        <v>270</v>
      </c>
      <c r="H351">
        <f t="shared" si="27"/>
        <v>29</v>
      </c>
      <c r="I351" s="114">
        <f t="shared" si="29"/>
        <v>35034</v>
      </c>
      <c r="J351">
        <f t="shared" si="28"/>
        <v>3.3182595421666665</v>
      </c>
    </row>
    <row r="352" spans="4:10" x14ac:dyDescent="0.45">
      <c r="D352" s="113">
        <v>35004</v>
      </c>
      <c r="E352" s="52">
        <v>3.394879542</v>
      </c>
      <c r="F352">
        <f t="shared" si="25"/>
        <v>300</v>
      </c>
      <c r="G352">
        <f t="shared" si="26"/>
        <v>300</v>
      </c>
      <c r="H352">
        <f t="shared" si="27"/>
        <v>29</v>
      </c>
      <c r="I352" s="114">
        <f t="shared" si="29"/>
        <v>35034</v>
      </c>
      <c r="J352">
        <f t="shared" si="28"/>
        <v>3.3182595421666665</v>
      </c>
    </row>
    <row r="353" spans="4:10" x14ac:dyDescent="0.45">
      <c r="D353" s="113">
        <v>35034</v>
      </c>
      <c r="E353" s="52">
        <v>3.397750888</v>
      </c>
      <c r="F353">
        <f t="shared" si="25"/>
        <v>330</v>
      </c>
      <c r="G353">
        <f t="shared" si="26"/>
        <v>330</v>
      </c>
      <c r="H353">
        <f t="shared" si="27"/>
        <v>29</v>
      </c>
      <c r="I353" s="114">
        <f t="shared" si="29"/>
        <v>35034</v>
      </c>
      <c r="J353">
        <f t="shared" si="28"/>
        <v>3.3182595421666665</v>
      </c>
    </row>
    <row r="354" spans="4:10" x14ac:dyDescent="0.45">
      <c r="D354" s="113">
        <v>35065</v>
      </c>
      <c r="E354" s="52">
        <v>3.2942967049999998</v>
      </c>
      <c r="F354">
        <f t="shared" si="25"/>
        <v>0</v>
      </c>
      <c r="G354">
        <f t="shared" si="26"/>
        <v>0</v>
      </c>
      <c r="H354">
        <f t="shared" si="27"/>
        <v>30</v>
      </c>
      <c r="I354" s="114">
        <f t="shared" si="29"/>
        <v>35400</v>
      </c>
      <c r="J354">
        <f t="shared" si="28"/>
        <v>3.0975148798333336</v>
      </c>
    </row>
    <row r="355" spans="4:10" x14ac:dyDescent="0.45">
      <c r="D355" s="113">
        <v>35096</v>
      </c>
      <c r="E355" s="52">
        <v>3.278044833</v>
      </c>
      <c r="F355">
        <f t="shared" si="25"/>
        <v>30</v>
      </c>
      <c r="G355">
        <f t="shared" si="26"/>
        <v>30</v>
      </c>
      <c r="H355">
        <f t="shared" si="27"/>
        <v>30</v>
      </c>
      <c r="I355" s="114">
        <f t="shared" si="29"/>
        <v>35400</v>
      </c>
      <c r="J355">
        <f t="shared" si="28"/>
        <v>3.0975148798333336</v>
      </c>
    </row>
    <row r="356" spans="4:10" x14ac:dyDescent="0.45">
      <c r="D356" s="113">
        <v>35125</v>
      </c>
      <c r="E356" s="52">
        <v>3.1512329600000002</v>
      </c>
      <c r="F356">
        <f t="shared" si="25"/>
        <v>60</v>
      </c>
      <c r="G356">
        <f t="shared" si="26"/>
        <v>60</v>
      </c>
      <c r="H356">
        <f t="shared" si="27"/>
        <v>30</v>
      </c>
      <c r="I356" s="114">
        <f t="shared" si="29"/>
        <v>35400</v>
      </c>
      <c r="J356">
        <f t="shared" si="28"/>
        <v>3.0975148798333336</v>
      </c>
    </row>
    <row r="357" spans="4:10" x14ac:dyDescent="0.45">
      <c r="D357" s="113">
        <v>35156</v>
      </c>
      <c r="E357" s="52">
        <v>3.0214190420000002</v>
      </c>
      <c r="F357">
        <f t="shared" si="25"/>
        <v>90</v>
      </c>
      <c r="G357">
        <f t="shared" si="26"/>
        <v>90</v>
      </c>
      <c r="H357">
        <f t="shared" si="27"/>
        <v>30</v>
      </c>
      <c r="I357" s="114">
        <f t="shared" si="29"/>
        <v>35400</v>
      </c>
      <c r="J357">
        <f t="shared" si="28"/>
        <v>3.0975148798333336</v>
      </c>
    </row>
    <row r="358" spans="4:10" x14ac:dyDescent="0.45">
      <c r="D358" s="113">
        <v>35186</v>
      </c>
      <c r="E358" s="52">
        <v>3.065009249</v>
      </c>
      <c r="F358">
        <f t="shared" si="25"/>
        <v>120</v>
      </c>
      <c r="G358">
        <f t="shared" si="26"/>
        <v>120</v>
      </c>
      <c r="H358">
        <f t="shared" si="27"/>
        <v>30</v>
      </c>
      <c r="I358" s="114">
        <f t="shared" si="29"/>
        <v>35400</v>
      </c>
      <c r="J358">
        <f t="shared" si="28"/>
        <v>3.0975148798333336</v>
      </c>
    </row>
    <row r="359" spans="4:10" x14ac:dyDescent="0.45">
      <c r="D359" s="113">
        <v>35217</v>
      </c>
      <c r="E359" s="52">
        <v>3.0665103980000001</v>
      </c>
      <c r="F359">
        <f t="shared" si="25"/>
        <v>150</v>
      </c>
      <c r="G359">
        <f t="shared" si="26"/>
        <v>150</v>
      </c>
      <c r="H359">
        <f t="shared" si="27"/>
        <v>30</v>
      </c>
      <c r="I359" s="114">
        <f t="shared" si="29"/>
        <v>35400</v>
      </c>
      <c r="J359">
        <f t="shared" si="28"/>
        <v>3.0975148798333336</v>
      </c>
    </row>
    <row r="360" spans="4:10" x14ac:dyDescent="0.45">
      <c r="D360" s="113">
        <v>35247</v>
      </c>
      <c r="E360" s="52">
        <v>3.1031348639999998</v>
      </c>
      <c r="F360">
        <f t="shared" si="25"/>
        <v>180</v>
      </c>
      <c r="G360">
        <f t="shared" si="26"/>
        <v>180</v>
      </c>
      <c r="H360">
        <f t="shared" si="27"/>
        <v>30</v>
      </c>
      <c r="I360" s="114">
        <f t="shared" si="29"/>
        <v>35400</v>
      </c>
      <c r="J360">
        <f t="shared" si="28"/>
        <v>3.0975148798333336</v>
      </c>
    </row>
    <row r="361" spans="4:10" x14ac:dyDescent="0.45">
      <c r="D361" s="113">
        <v>35278</v>
      </c>
      <c r="E361" s="52">
        <v>3.0962431339999998</v>
      </c>
      <c r="F361">
        <f t="shared" si="25"/>
        <v>210</v>
      </c>
      <c r="G361">
        <f t="shared" si="26"/>
        <v>210</v>
      </c>
      <c r="H361">
        <f t="shared" si="27"/>
        <v>30</v>
      </c>
      <c r="I361" s="114">
        <f t="shared" si="29"/>
        <v>35400</v>
      </c>
      <c r="J361">
        <f t="shared" si="28"/>
        <v>3.0975148798333336</v>
      </c>
    </row>
    <row r="362" spans="4:10" x14ac:dyDescent="0.45">
      <c r="D362" s="113">
        <v>35309</v>
      </c>
      <c r="E362" s="52">
        <v>3.0767095719999999</v>
      </c>
      <c r="F362">
        <f t="shared" si="25"/>
        <v>240</v>
      </c>
      <c r="G362">
        <f t="shared" si="26"/>
        <v>240</v>
      </c>
      <c r="H362">
        <f t="shared" si="27"/>
        <v>30</v>
      </c>
      <c r="I362" s="114">
        <f t="shared" si="29"/>
        <v>35400</v>
      </c>
      <c r="J362">
        <f t="shared" si="28"/>
        <v>3.0975148798333336</v>
      </c>
    </row>
    <row r="363" spans="4:10" x14ac:dyDescent="0.45">
      <c r="D363" s="113">
        <v>35339</v>
      </c>
      <c r="E363" s="52">
        <v>2.9573286240000001</v>
      </c>
      <c r="F363">
        <f t="shared" si="25"/>
        <v>270</v>
      </c>
      <c r="G363">
        <f t="shared" si="26"/>
        <v>270</v>
      </c>
      <c r="H363">
        <f t="shared" si="27"/>
        <v>30</v>
      </c>
      <c r="I363" s="114">
        <f t="shared" si="29"/>
        <v>35400</v>
      </c>
      <c r="J363">
        <f t="shared" si="28"/>
        <v>3.0975148798333336</v>
      </c>
    </row>
    <row r="364" spans="4:10" x14ac:dyDescent="0.45">
      <c r="D364" s="113">
        <v>35370</v>
      </c>
      <c r="E364" s="52">
        <v>2.99348831</v>
      </c>
      <c r="F364">
        <f t="shared" si="25"/>
        <v>300</v>
      </c>
      <c r="G364">
        <f t="shared" si="26"/>
        <v>300</v>
      </c>
      <c r="H364">
        <f t="shared" si="27"/>
        <v>30</v>
      </c>
      <c r="I364" s="114">
        <f t="shared" si="29"/>
        <v>35400</v>
      </c>
      <c r="J364">
        <f t="shared" si="28"/>
        <v>3.0975148798333336</v>
      </c>
    </row>
    <row r="365" spans="4:10" x14ac:dyDescent="0.45">
      <c r="D365" s="113">
        <v>35400</v>
      </c>
      <c r="E365" s="52">
        <v>3.0667608670000002</v>
      </c>
      <c r="F365">
        <f t="shared" si="25"/>
        <v>330</v>
      </c>
      <c r="G365">
        <f t="shared" si="26"/>
        <v>330</v>
      </c>
      <c r="H365">
        <f t="shared" si="27"/>
        <v>30</v>
      </c>
      <c r="I365" s="114">
        <f t="shared" si="29"/>
        <v>35400</v>
      </c>
      <c r="J365">
        <f t="shared" si="28"/>
        <v>3.0975148798333336</v>
      </c>
    </row>
    <row r="366" spans="4:10" x14ac:dyDescent="0.45">
      <c r="D366" s="113">
        <v>35431</v>
      </c>
      <c r="E366" s="52">
        <v>2.9248529579999998</v>
      </c>
      <c r="F366">
        <f t="shared" si="25"/>
        <v>0</v>
      </c>
      <c r="G366">
        <f t="shared" si="26"/>
        <v>0</v>
      </c>
      <c r="H366">
        <f t="shared" si="27"/>
        <v>31</v>
      </c>
      <c r="I366" s="114">
        <f t="shared" si="29"/>
        <v>35765</v>
      </c>
      <c r="J366">
        <f t="shared" si="28"/>
        <v>2.7571370443333336</v>
      </c>
    </row>
    <row r="367" spans="4:10" x14ac:dyDescent="0.45">
      <c r="D367" s="113">
        <v>35462</v>
      </c>
      <c r="E367" s="52">
        <v>2.8154920489999999</v>
      </c>
      <c r="F367">
        <f t="shared" si="25"/>
        <v>30</v>
      </c>
      <c r="G367">
        <f t="shared" si="26"/>
        <v>30</v>
      </c>
      <c r="H367">
        <f t="shared" si="27"/>
        <v>31</v>
      </c>
      <c r="I367" s="114">
        <f t="shared" si="29"/>
        <v>35765</v>
      </c>
      <c r="J367">
        <f t="shared" si="28"/>
        <v>2.7571370443333336</v>
      </c>
    </row>
    <row r="368" spans="4:10" x14ac:dyDescent="0.45">
      <c r="D368" s="113">
        <v>35490</v>
      </c>
      <c r="E368" s="52">
        <v>2.8684481609999999</v>
      </c>
      <c r="F368">
        <f t="shared" si="25"/>
        <v>60</v>
      </c>
      <c r="G368">
        <f t="shared" si="26"/>
        <v>60</v>
      </c>
      <c r="H368">
        <f t="shared" si="27"/>
        <v>31</v>
      </c>
      <c r="I368" s="114">
        <f t="shared" si="29"/>
        <v>35765</v>
      </c>
      <c r="J368">
        <f t="shared" si="28"/>
        <v>2.7571370443333336</v>
      </c>
    </row>
    <row r="369" spans="4:10" x14ac:dyDescent="0.45">
      <c r="D369" s="113">
        <v>35521</v>
      </c>
      <c r="E369" s="52">
        <v>2.9248815160000001</v>
      </c>
      <c r="F369">
        <f t="shared" si="25"/>
        <v>90</v>
      </c>
      <c r="G369">
        <f t="shared" si="26"/>
        <v>90</v>
      </c>
      <c r="H369">
        <f t="shared" si="27"/>
        <v>31</v>
      </c>
      <c r="I369" s="114">
        <f t="shared" si="29"/>
        <v>35765</v>
      </c>
      <c r="J369">
        <f t="shared" si="28"/>
        <v>2.7571370443333336</v>
      </c>
    </row>
    <row r="370" spans="4:10" x14ac:dyDescent="0.45">
      <c r="D370" s="113">
        <v>35551</v>
      </c>
      <c r="E370" s="52">
        <v>2.883239208</v>
      </c>
      <c r="F370">
        <f t="shared" si="25"/>
        <v>120</v>
      </c>
      <c r="G370">
        <f t="shared" si="26"/>
        <v>120</v>
      </c>
      <c r="H370">
        <f t="shared" si="27"/>
        <v>31</v>
      </c>
      <c r="I370" s="114">
        <f t="shared" si="29"/>
        <v>35765</v>
      </c>
      <c r="J370">
        <f t="shared" si="28"/>
        <v>2.7571370443333336</v>
      </c>
    </row>
    <row r="371" spans="4:10" x14ac:dyDescent="0.45">
      <c r="D371" s="113">
        <v>35582</v>
      </c>
      <c r="E371" s="52">
        <v>2.8415075559999998</v>
      </c>
      <c r="F371">
        <f t="shared" si="25"/>
        <v>150</v>
      </c>
      <c r="G371">
        <f t="shared" si="26"/>
        <v>150</v>
      </c>
      <c r="H371">
        <f t="shared" si="27"/>
        <v>31</v>
      </c>
      <c r="I371" s="114">
        <f t="shared" si="29"/>
        <v>35765</v>
      </c>
      <c r="J371">
        <f t="shared" si="28"/>
        <v>2.7571370443333336</v>
      </c>
    </row>
    <row r="372" spans="4:10" x14ac:dyDescent="0.45">
      <c r="D372" s="113">
        <v>35612</v>
      </c>
      <c r="E372" s="52">
        <v>2.7643113669999999</v>
      </c>
      <c r="F372">
        <f t="shared" si="25"/>
        <v>180</v>
      </c>
      <c r="G372">
        <f t="shared" si="26"/>
        <v>180</v>
      </c>
      <c r="H372">
        <f t="shared" si="27"/>
        <v>31</v>
      </c>
      <c r="I372" s="114">
        <f t="shared" si="29"/>
        <v>35765</v>
      </c>
      <c r="J372">
        <f t="shared" si="28"/>
        <v>2.7571370443333336</v>
      </c>
    </row>
    <row r="373" spans="4:10" x14ac:dyDescent="0.45">
      <c r="D373" s="113">
        <v>35643</v>
      </c>
      <c r="E373" s="52">
        <v>2.6686607009999999</v>
      </c>
      <c r="F373">
        <f t="shared" si="25"/>
        <v>210</v>
      </c>
      <c r="G373">
        <f t="shared" si="26"/>
        <v>210</v>
      </c>
      <c r="H373">
        <f t="shared" si="27"/>
        <v>31</v>
      </c>
      <c r="I373" s="114">
        <f t="shared" si="29"/>
        <v>35765</v>
      </c>
      <c r="J373">
        <f t="shared" si="28"/>
        <v>2.7571370443333336</v>
      </c>
    </row>
    <row r="374" spans="4:10" x14ac:dyDescent="0.45">
      <c r="D374" s="113">
        <v>35674</v>
      </c>
      <c r="E374" s="52">
        <v>2.5588931449999999</v>
      </c>
      <c r="F374">
        <f t="shared" si="25"/>
        <v>240</v>
      </c>
      <c r="G374">
        <f t="shared" si="26"/>
        <v>240</v>
      </c>
      <c r="H374">
        <f t="shared" si="27"/>
        <v>31</v>
      </c>
      <c r="I374" s="114">
        <f t="shared" si="29"/>
        <v>35765</v>
      </c>
      <c r="J374">
        <f t="shared" si="28"/>
        <v>2.7571370443333336</v>
      </c>
    </row>
    <row r="375" spans="4:10" x14ac:dyDescent="0.45">
      <c r="D375" s="113">
        <v>35704</v>
      </c>
      <c r="E375" s="52">
        <v>2.6338840370000001</v>
      </c>
      <c r="F375">
        <f t="shared" si="25"/>
        <v>270</v>
      </c>
      <c r="G375">
        <f t="shared" si="26"/>
        <v>270</v>
      </c>
      <c r="H375">
        <f t="shared" si="27"/>
        <v>31</v>
      </c>
      <c r="I375" s="114">
        <f t="shared" si="29"/>
        <v>35765</v>
      </c>
      <c r="J375">
        <f t="shared" si="28"/>
        <v>2.7571370443333336</v>
      </c>
    </row>
    <row r="376" spans="4:10" x14ac:dyDescent="0.45">
      <c r="D376" s="113">
        <v>35735</v>
      </c>
      <c r="E376" s="52">
        <v>2.5648882020000001</v>
      </c>
      <c r="F376">
        <f t="shared" si="25"/>
        <v>300</v>
      </c>
      <c r="G376">
        <f t="shared" si="26"/>
        <v>300</v>
      </c>
      <c r="H376">
        <f t="shared" si="27"/>
        <v>31</v>
      </c>
      <c r="I376" s="114">
        <f t="shared" si="29"/>
        <v>35765</v>
      </c>
      <c r="J376">
        <f t="shared" si="28"/>
        <v>2.7571370443333336</v>
      </c>
    </row>
    <row r="377" spans="4:10" x14ac:dyDescent="0.45">
      <c r="D377" s="113">
        <v>35765</v>
      </c>
      <c r="E377" s="52">
        <v>2.6365856320000001</v>
      </c>
      <c r="F377">
        <f t="shared" si="25"/>
        <v>330</v>
      </c>
      <c r="G377">
        <f t="shared" si="26"/>
        <v>330</v>
      </c>
      <c r="H377">
        <f t="shared" si="27"/>
        <v>31</v>
      </c>
      <c r="I377" s="114">
        <f t="shared" si="29"/>
        <v>35765</v>
      </c>
      <c r="J377">
        <f t="shared" si="28"/>
        <v>2.7571370443333336</v>
      </c>
    </row>
    <row r="378" spans="4:10" x14ac:dyDescent="0.45">
      <c r="D378" s="113">
        <v>35796</v>
      </c>
      <c r="E378" s="52">
        <v>2.6863129969999999</v>
      </c>
      <c r="F378">
        <f t="shared" si="25"/>
        <v>0</v>
      </c>
      <c r="G378">
        <f t="shared" si="26"/>
        <v>0</v>
      </c>
      <c r="H378">
        <f t="shared" si="27"/>
        <v>32</v>
      </c>
      <c r="I378" s="114">
        <f t="shared" si="29"/>
        <v>36130</v>
      </c>
      <c r="J378">
        <f t="shared" si="28"/>
        <v>2.6113656545833339</v>
      </c>
    </row>
    <row r="379" spans="4:10" x14ac:dyDescent="0.45">
      <c r="D379" s="113">
        <v>35827</v>
      </c>
      <c r="E379" s="52">
        <v>2.7023556800000001</v>
      </c>
      <c r="F379">
        <f t="shared" si="25"/>
        <v>30</v>
      </c>
      <c r="G379">
        <f t="shared" si="26"/>
        <v>30</v>
      </c>
      <c r="H379">
        <f t="shared" si="27"/>
        <v>32</v>
      </c>
      <c r="I379" s="114">
        <f t="shared" si="29"/>
        <v>36130</v>
      </c>
      <c r="J379">
        <f t="shared" si="28"/>
        <v>2.6113656545833339</v>
      </c>
    </row>
    <row r="380" spans="4:10" x14ac:dyDescent="0.45">
      <c r="D380" s="113">
        <v>35855</v>
      </c>
      <c r="E380" s="52">
        <v>2.6827929410000002</v>
      </c>
      <c r="F380">
        <f t="shared" si="25"/>
        <v>60</v>
      </c>
      <c r="G380">
        <f t="shared" si="26"/>
        <v>60</v>
      </c>
      <c r="H380">
        <f t="shared" si="27"/>
        <v>32</v>
      </c>
      <c r="I380" s="114">
        <f t="shared" si="29"/>
        <v>36130</v>
      </c>
      <c r="J380">
        <f t="shared" si="28"/>
        <v>2.6113656545833339</v>
      </c>
    </row>
    <row r="381" spans="4:10" x14ac:dyDescent="0.45">
      <c r="D381" s="113">
        <v>35886</v>
      </c>
      <c r="E381" s="52">
        <v>2.6505509269999998</v>
      </c>
      <c r="F381">
        <f t="shared" si="25"/>
        <v>90</v>
      </c>
      <c r="G381">
        <f t="shared" si="26"/>
        <v>90</v>
      </c>
      <c r="H381">
        <f t="shared" si="27"/>
        <v>32</v>
      </c>
      <c r="I381" s="114">
        <f t="shared" si="29"/>
        <v>36130</v>
      </c>
      <c r="J381">
        <f t="shared" si="28"/>
        <v>2.6113656545833339</v>
      </c>
    </row>
    <row r="382" spans="4:10" x14ac:dyDescent="0.45">
      <c r="D382" s="113">
        <v>35916</v>
      </c>
      <c r="E382" s="52">
        <v>2.6211999459999999</v>
      </c>
      <c r="F382">
        <f t="shared" si="25"/>
        <v>120</v>
      </c>
      <c r="G382">
        <f t="shared" si="26"/>
        <v>120</v>
      </c>
      <c r="H382">
        <f t="shared" si="27"/>
        <v>32</v>
      </c>
      <c r="I382" s="114">
        <f t="shared" si="29"/>
        <v>36130</v>
      </c>
      <c r="J382">
        <f t="shared" si="28"/>
        <v>2.6113656545833339</v>
      </c>
    </row>
    <row r="383" spans="4:10" x14ac:dyDescent="0.45">
      <c r="D383" s="113">
        <v>35947</v>
      </c>
      <c r="E383" s="52">
        <v>2.610692088</v>
      </c>
      <c r="F383">
        <f t="shared" si="25"/>
        <v>150</v>
      </c>
      <c r="G383">
        <f t="shared" si="26"/>
        <v>150</v>
      </c>
      <c r="H383">
        <f t="shared" si="27"/>
        <v>32</v>
      </c>
      <c r="I383" s="114">
        <f t="shared" si="29"/>
        <v>36130</v>
      </c>
      <c r="J383">
        <f t="shared" si="28"/>
        <v>2.6113656545833339</v>
      </c>
    </row>
    <row r="384" spans="4:10" x14ac:dyDescent="0.45">
      <c r="D384" s="113">
        <v>35977</v>
      </c>
      <c r="E384" s="52">
        <v>2.613395599</v>
      </c>
      <c r="F384">
        <f t="shared" si="25"/>
        <v>180</v>
      </c>
      <c r="G384">
        <f t="shared" si="26"/>
        <v>180</v>
      </c>
      <c r="H384">
        <f t="shared" si="27"/>
        <v>32</v>
      </c>
      <c r="I384" s="114">
        <f t="shared" si="29"/>
        <v>36130</v>
      </c>
      <c r="J384">
        <f t="shared" si="28"/>
        <v>2.6113656545833339</v>
      </c>
    </row>
    <row r="385" spans="4:10" x14ac:dyDescent="0.45">
      <c r="D385" s="113">
        <v>36008</v>
      </c>
      <c r="E385" s="52">
        <v>2.643666793</v>
      </c>
      <c r="F385">
        <f t="shared" si="25"/>
        <v>210</v>
      </c>
      <c r="G385">
        <f t="shared" si="26"/>
        <v>210</v>
      </c>
      <c r="H385">
        <f t="shared" si="27"/>
        <v>32</v>
      </c>
      <c r="I385" s="114">
        <f t="shared" si="29"/>
        <v>36130</v>
      </c>
      <c r="J385">
        <f t="shared" si="28"/>
        <v>2.6113656545833339</v>
      </c>
    </row>
    <row r="386" spans="4:10" x14ac:dyDescent="0.45">
      <c r="D386" s="113">
        <v>36039</v>
      </c>
      <c r="E386" s="52">
        <v>2.603431515</v>
      </c>
      <c r="F386">
        <f t="shared" si="25"/>
        <v>240</v>
      </c>
      <c r="G386">
        <f t="shared" si="26"/>
        <v>240</v>
      </c>
      <c r="H386">
        <f t="shared" si="27"/>
        <v>32</v>
      </c>
      <c r="I386" s="114">
        <f t="shared" si="29"/>
        <v>36130</v>
      </c>
      <c r="J386">
        <f t="shared" si="28"/>
        <v>2.6113656545833339</v>
      </c>
    </row>
    <row r="387" spans="4:10" x14ac:dyDescent="0.45">
      <c r="D387" s="113">
        <v>36069</v>
      </c>
      <c r="E387" s="52">
        <v>2.5443529100000002</v>
      </c>
      <c r="F387">
        <f t="shared" si="25"/>
        <v>270</v>
      </c>
      <c r="G387">
        <f t="shared" si="26"/>
        <v>270</v>
      </c>
      <c r="H387">
        <f t="shared" si="27"/>
        <v>32</v>
      </c>
      <c r="I387" s="114">
        <f t="shared" si="29"/>
        <v>36130</v>
      </c>
      <c r="J387">
        <f t="shared" si="28"/>
        <v>2.6113656545833339</v>
      </c>
    </row>
    <row r="388" spans="4:10" x14ac:dyDescent="0.45">
      <c r="D388" s="113">
        <v>36100</v>
      </c>
      <c r="E388" s="52">
        <v>2.5314469270000002</v>
      </c>
      <c r="F388">
        <f t="shared" si="25"/>
        <v>300</v>
      </c>
      <c r="G388">
        <f t="shared" si="26"/>
        <v>300</v>
      </c>
      <c r="H388">
        <f t="shared" si="27"/>
        <v>32</v>
      </c>
      <c r="I388" s="114">
        <f t="shared" si="29"/>
        <v>36130</v>
      </c>
      <c r="J388">
        <f t="shared" si="28"/>
        <v>2.6113656545833339</v>
      </c>
    </row>
    <row r="389" spans="4:10" x14ac:dyDescent="0.45">
      <c r="D389" s="113">
        <v>36130</v>
      </c>
      <c r="E389" s="52">
        <v>2.446189532</v>
      </c>
      <c r="F389">
        <f t="shared" si="25"/>
        <v>330</v>
      </c>
      <c r="G389">
        <f t="shared" si="26"/>
        <v>330</v>
      </c>
      <c r="H389">
        <f t="shared" si="27"/>
        <v>32</v>
      </c>
      <c r="I389" s="114">
        <f t="shared" si="29"/>
        <v>36130</v>
      </c>
      <c r="J389">
        <f t="shared" si="28"/>
        <v>2.6113656545833339</v>
      </c>
    </row>
    <row r="390" spans="4:10" x14ac:dyDescent="0.45">
      <c r="D390" s="113">
        <v>36161</v>
      </c>
      <c r="E390" s="52">
        <v>2.3907588</v>
      </c>
      <c r="F390">
        <f t="shared" si="25"/>
        <v>0</v>
      </c>
      <c r="G390">
        <f t="shared" si="26"/>
        <v>0</v>
      </c>
      <c r="H390">
        <f t="shared" si="27"/>
        <v>33</v>
      </c>
      <c r="I390" s="114">
        <f t="shared" si="29"/>
        <v>36495</v>
      </c>
      <c r="J390">
        <f t="shared" si="28"/>
        <v>2.1803319249999999</v>
      </c>
    </row>
    <row r="391" spans="4:10" x14ac:dyDescent="0.45">
      <c r="D391" s="113">
        <v>36192</v>
      </c>
      <c r="E391" s="52">
        <v>2.3238316000000001</v>
      </c>
      <c r="F391">
        <f t="shared" si="25"/>
        <v>30</v>
      </c>
      <c r="G391">
        <f t="shared" si="26"/>
        <v>30</v>
      </c>
      <c r="H391">
        <f t="shared" si="27"/>
        <v>33</v>
      </c>
      <c r="I391" s="114">
        <f t="shared" si="29"/>
        <v>36495</v>
      </c>
      <c r="J391">
        <f t="shared" si="28"/>
        <v>2.1803319249999999</v>
      </c>
    </row>
    <row r="392" spans="4:10" x14ac:dyDescent="0.45">
      <c r="D392" s="113">
        <v>36220</v>
      </c>
      <c r="E392" s="52">
        <v>2.2464618999999999</v>
      </c>
      <c r="F392">
        <f t="shared" si="25"/>
        <v>60</v>
      </c>
      <c r="G392">
        <f t="shared" si="26"/>
        <v>60</v>
      </c>
      <c r="H392">
        <f t="shared" si="27"/>
        <v>33</v>
      </c>
      <c r="I392" s="114">
        <f t="shared" si="29"/>
        <v>36495</v>
      </c>
      <c r="J392">
        <f t="shared" si="28"/>
        <v>2.1803319249999999</v>
      </c>
    </row>
    <row r="393" spans="4:10" x14ac:dyDescent="0.45">
      <c r="D393" s="113">
        <v>36251</v>
      </c>
      <c r="E393" s="52">
        <v>2.2358612999999998</v>
      </c>
      <c r="F393">
        <f t="shared" si="25"/>
        <v>90</v>
      </c>
      <c r="G393">
        <f t="shared" si="26"/>
        <v>90</v>
      </c>
      <c r="H393">
        <f t="shared" si="27"/>
        <v>33</v>
      </c>
      <c r="I393" s="114">
        <f t="shared" si="29"/>
        <v>36495</v>
      </c>
      <c r="J393">
        <f t="shared" si="28"/>
        <v>2.1803319249999999</v>
      </c>
    </row>
    <row r="394" spans="4:10" x14ac:dyDescent="0.45">
      <c r="D394" s="113">
        <v>36281</v>
      </c>
      <c r="E394" s="52">
        <v>2.1625266999999999</v>
      </c>
      <c r="F394">
        <f t="shared" si="25"/>
        <v>120</v>
      </c>
      <c r="G394">
        <f t="shared" si="26"/>
        <v>120</v>
      </c>
      <c r="H394">
        <f t="shared" si="27"/>
        <v>33</v>
      </c>
      <c r="I394" s="114">
        <f t="shared" si="29"/>
        <v>36495</v>
      </c>
      <c r="J394">
        <f t="shared" si="28"/>
        <v>2.1803319249999999</v>
      </c>
    </row>
    <row r="395" spans="4:10" x14ac:dyDescent="0.45">
      <c r="D395" s="113">
        <v>36312</v>
      </c>
      <c r="E395" s="52">
        <v>2.0812547000000001</v>
      </c>
      <c r="F395">
        <f t="shared" si="25"/>
        <v>150</v>
      </c>
      <c r="G395">
        <f t="shared" si="26"/>
        <v>150</v>
      </c>
      <c r="H395">
        <f t="shared" si="27"/>
        <v>33</v>
      </c>
      <c r="I395" s="114">
        <f t="shared" si="29"/>
        <v>36495</v>
      </c>
      <c r="J395">
        <f t="shared" si="28"/>
        <v>2.1803319249999999</v>
      </c>
    </row>
    <row r="396" spans="4:10" x14ac:dyDescent="0.45">
      <c r="D396" s="113">
        <v>36342</v>
      </c>
      <c r="E396" s="52">
        <v>2.1244532999999999</v>
      </c>
      <c r="F396">
        <f t="shared" si="25"/>
        <v>180</v>
      </c>
      <c r="G396">
        <f t="shared" si="26"/>
        <v>180</v>
      </c>
      <c r="H396">
        <f t="shared" si="27"/>
        <v>33</v>
      </c>
      <c r="I396" s="114">
        <f t="shared" si="29"/>
        <v>36495</v>
      </c>
      <c r="J396">
        <f t="shared" si="28"/>
        <v>2.1803319249999999</v>
      </c>
    </row>
    <row r="397" spans="4:10" x14ac:dyDescent="0.45">
      <c r="D397" s="113">
        <v>36373</v>
      </c>
      <c r="E397" s="52">
        <v>2.1074136999999999</v>
      </c>
      <c r="F397">
        <f t="shared" si="25"/>
        <v>210</v>
      </c>
      <c r="G397">
        <f t="shared" si="26"/>
        <v>210</v>
      </c>
      <c r="H397">
        <f t="shared" si="27"/>
        <v>33</v>
      </c>
      <c r="I397" s="114">
        <f t="shared" si="29"/>
        <v>36495</v>
      </c>
      <c r="J397">
        <f t="shared" si="28"/>
        <v>2.1803319249999999</v>
      </c>
    </row>
    <row r="398" spans="4:10" x14ac:dyDescent="0.45">
      <c r="D398" s="113">
        <v>36404</v>
      </c>
      <c r="E398" s="52">
        <v>2.0832918999999999</v>
      </c>
      <c r="F398">
        <f t="shared" si="25"/>
        <v>240</v>
      </c>
      <c r="G398">
        <f t="shared" si="26"/>
        <v>240</v>
      </c>
      <c r="H398">
        <f t="shared" si="27"/>
        <v>33</v>
      </c>
      <c r="I398" s="114">
        <f t="shared" si="29"/>
        <v>36495</v>
      </c>
      <c r="J398">
        <f t="shared" si="28"/>
        <v>2.1803319249999999</v>
      </c>
    </row>
    <row r="399" spans="4:10" x14ac:dyDescent="0.45">
      <c r="D399" s="113">
        <v>36434</v>
      </c>
      <c r="E399" s="52">
        <v>2.0639533000000001</v>
      </c>
      <c r="F399">
        <f t="shared" si="25"/>
        <v>270</v>
      </c>
      <c r="G399">
        <f t="shared" si="26"/>
        <v>270</v>
      </c>
      <c r="H399">
        <f t="shared" si="27"/>
        <v>33</v>
      </c>
      <c r="I399" s="114">
        <f t="shared" si="29"/>
        <v>36495</v>
      </c>
      <c r="J399">
        <f t="shared" si="28"/>
        <v>2.1803319249999999</v>
      </c>
    </row>
    <row r="400" spans="4:10" x14ac:dyDescent="0.45">
      <c r="D400" s="113">
        <v>36465</v>
      </c>
      <c r="E400" s="52">
        <v>2.1623250999999999</v>
      </c>
      <c r="F400">
        <f t="shared" si="25"/>
        <v>300</v>
      </c>
      <c r="G400">
        <f t="shared" si="26"/>
        <v>300</v>
      </c>
      <c r="H400">
        <f t="shared" si="27"/>
        <v>33</v>
      </c>
      <c r="I400" s="114">
        <f t="shared" si="29"/>
        <v>36495</v>
      </c>
      <c r="J400">
        <f t="shared" si="28"/>
        <v>2.1803319249999999</v>
      </c>
    </row>
    <row r="401" spans="4:10" x14ac:dyDescent="0.45">
      <c r="D401" s="113">
        <v>36495</v>
      </c>
      <c r="E401" s="52">
        <v>2.1818507999999999</v>
      </c>
      <c r="F401">
        <f t="shared" ref="F401:F464" si="30">FLOOR(DAYS360(DATE(YEAR(D401),1,1),D401),30)</f>
        <v>330</v>
      </c>
      <c r="G401">
        <f t="shared" si="26"/>
        <v>330</v>
      </c>
      <c r="H401">
        <f t="shared" si="27"/>
        <v>33</v>
      </c>
      <c r="I401" s="114">
        <f t="shared" si="29"/>
        <v>36495</v>
      </c>
      <c r="J401">
        <f t="shared" si="28"/>
        <v>2.1803319249999999</v>
      </c>
    </row>
    <row r="402" spans="4:10" x14ac:dyDescent="0.45">
      <c r="D402" s="113">
        <v>36526</v>
      </c>
      <c r="E402" s="52">
        <v>2.3501949999999998</v>
      </c>
      <c r="F402">
        <f t="shared" si="30"/>
        <v>0</v>
      </c>
      <c r="G402">
        <f t="shared" ref="G402:G465" si="31">MOD(F402, 360/$G$12)</f>
        <v>0</v>
      </c>
      <c r="H402">
        <f t="shared" ref="H402:H465" si="32">IF(G402&gt;G401,H401,H401+1)</f>
        <v>34</v>
      </c>
      <c r="I402" s="114">
        <f t="shared" si="29"/>
        <v>36861</v>
      </c>
      <c r="J402">
        <f t="shared" ref="J402:J465" si="33">AVERAGEIF($H$17:$H$675,H402,$E$17:$E$675)</f>
        <v>2.6893860833333325</v>
      </c>
    </row>
    <row r="403" spans="4:10" x14ac:dyDescent="0.45">
      <c r="D403" s="113">
        <v>36557</v>
      </c>
      <c r="E403" s="52">
        <v>2.3950909</v>
      </c>
      <c r="F403">
        <f t="shared" si="30"/>
        <v>30</v>
      </c>
      <c r="G403">
        <f t="shared" si="31"/>
        <v>30</v>
      </c>
      <c r="H403">
        <f t="shared" si="32"/>
        <v>34</v>
      </c>
      <c r="I403" s="114">
        <f t="shared" ref="I403:I466" si="34">EDATE(I402,(H403-H402)*(12/$G$12))</f>
        <v>36861</v>
      </c>
      <c r="J403">
        <f t="shared" si="33"/>
        <v>2.6893860833333325</v>
      </c>
    </row>
    <row r="404" spans="4:10" x14ac:dyDescent="0.45">
      <c r="D404" s="113">
        <v>36586</v>
      </c>
      <c r="E404" s="52">
        <v>2.4989588999999999</v>
      </c>
      <c r="F404">
        <f t="shared" si="30"/>
        <v>60</v>
      </c>
      <c r="G404">
        <f t="shared" si="31"/>
        <v>60</v>
      </c>
      <c r="H404">
        <f t="shared" si="32"/>
        <v>34</v>
      </c>
      <c r="I404" s="114">
        <f t="shared" si="34"/>
        <v>36861</v>
      </c>
      <c r="J404">
        <f t="shared" si="33"/>
        <v>2.6893860833333325</v>
      </c>
    </row>
    <row r="405" spans="4:10" x14ac:dyDescent="0.45">
      <c r="D405" s="113">
        <v>36617</v>
      </c>
      <c r="E405" s="52">
        <v>2.4247193999999999</v>
      </c>
      <c r="F405">
        <f t="shared" si="30"/>
        <v>90</v>
      </c>
      <c r="G405">
        <f t="shared" si="31"/>
        <v>90</v>
      </c>
      <c r="H405">
        <f t="shared" si="32"/>
        <v>34</v>
      </c>
      <c r="I405" s="114">
        <f t="shared" si="34"/>
        <v>36861</v>
      </c>
      <c r="J405">
        <f t="shared" si="33"/>
        <v>2.6893860833333325</v>
      </c>
    </row>
    <row r="406" spans="4:10" x14ac:dyDescent="0.45">
      <c r="D406" s="113">
        <v>36647</v>
      </c>
      <c r="E406" s="52">
        <v>2.5736327000000001</v>
      </c>
      <c r="F406">
        <f t="shared" si="30"/>
        <v>120</v>
      </c>
      <c r="G406">
        <f t="shared" si="31"/>
        <v>120</v>
      </c>
      <c r="H406">
        <f t="shared" si="32"/>
        <v>34</v>
      </c>
      <c r="I406" s="114">
        <f t="shared" si="34"/>
        <v>36861</v>
      </c>
      <c r="J406">
        <f t="shared" si="33"/>
        <v>2.6893860833333325</v>
      </c>
    </row>
    <row r="407" spans="4:10" x14ac:dyDescent="0.45">
      <c r="D407" s="113">
        <v>36678</v>
      </c>
      <c r="E407" s="52">
        <v>2.7153641999999998</v>
      </c>
      <c r="F407">
        <f t="shared" si="30"/>
        <v>150</v>
      </c>
      <c r="G407">
        <f t="shared" si="31"/>
        <v>150</v>
      </c>
      <c r="H407">
        <f t="shared" si="32"/>
        <v>34</v>
      </c>
      <c r="I407" s="114">
        <f t="shared" si="34"/>
        <v>36861</v>
      </c>
      <c r="J407">
        <f t="shared" si="33"/>
        <v>2.6893860833333325</v>
      </c>
    </row>
    <row r="408" spans="4:10" x14ac:dyDescent="0.45">
      <c r="D408" s="113">
        <v>36708</v>
      </c>
      <c r="E408" s="52">
        <v>2.7240004999999998</v>
      </c>
      <c r="F408">
        <f t="shared" si="30"/>
        <v>180</v>
      </c>
      <c r="G408">
        <f t="shared" si="31"/>
        <v>180</v>
      </c>
      <c r="H408">
        <f t="shared" si="32"/>
        <v>34</v>
      </c>
      <c r="I408" s="114">
        <f t="shared" si="34"/>
        <v>36861</v>
      </c>
      <c r="J408">
        <f t="shared" si="33"/>
        <v>2.6893860833333325</v>
      </c>
    </row>
    <row r="409" spans="4:10" x14ac:dyDescent="0.45">
      <c r="D409" s="113">
        <v>36739</v>
      </c>
      <c r="E409" s="52">
        <v>2.8853852</v>
      </c>
      <c r="F409">
        <f t="shared" si="30"/>
        <v>210</v>
      </c>
      <c r="G409">
        <f t="shared" si="31"/>
        <v>210</v>
      </c>
      <c r="H409">
        <f t="shared" si="32"/>
        <v>34</v>
      </c>
      <c r="I409" s="114">
        <f t="shared" si="34"/>
        <v>36861</v>
      </c>
      <c r="J409">
        <f t="shared" si="33"/>
        <v>2.6893860833333325</v>
      </c>
    </row>
    <row r="410" spans="4:10" x14ac:dyDescent="0.45">
      <c r="D410" s="113">
        <v>36770</v>
      </c>
      <c r="E410" s="52">
        <v>2.9087960000000002</v>
      </c>
      <c r="F410">
        <f t="shared" si="30"/>
        <v>240</v>
      </c>
      <c r="G410">
        <f t="shared" si="31"/>
        <v>240</v>
      </c>
      <c r="H410">
        <f t="shared" si="32"/>
        <v>34</v>
      </c>
      <c r="I410" s="114">
        <f t="shared" si="34"/>
        <v>36861</v>
      </c>
      <c r="J410">
        <f t="shared" si="33"/>
        <v>2.6893860833333325</v>
      </c>
    </row>
    <row r="411" spans="4:10" x14ac:dyDescent="0.45">
      <c r="D411" s="113">
        <v>36800</v>
      </c>
      <c r="E411" s="52">
        <v>2.9310364999999998</v>
      </c>
      <c r="F411">
        <f t="shared" si="30"/>
        <v>270</v>
      </c>
      <c r="G411">
        <f t="shared" si="31"/>
        <v>270</v>
      </c>
      <c r="H411">
        <f t="shared" si="32"/>
        <v>34</v>
      </c>
      <c r="I411" s="114">
        <f t="shared" si="34"/>
        <v>36861</v>
      </c>
      <c r="J411">
        <f t="shared" si="33"/>
        <v>2.6893860833333325</v>
      </c>
    </row>
    <row r="412" spans="4:10" x14ac:dyDescent="0.45">
      <c r="D412" s="113">
        <v>36831</v>
      </c>
      <c r="E412" s="52">
        <v>2.8816134</v>
      </c>
      <c r="F412">
        <f t="shared" si="30"/>
        <v>300</v>
      </c>
      <c r="G412">
        <f t="shared" si="31"/>
        <v>300</v>
      </c>
      <c r="H412">
        <f t="shared" si="32"/>
        <v>34</v>
      </c>
      <c r="I412" s="114">
        <f t="shared" si="34"/>
        <v>36861</v>
      </c>
      <c r="J412">
        <f t="shared" si="33"/>
        <v>2.6893860833333325</v>
      </c>
    </row>
    <row r="413" spans="4:10" x14ac:dyDescent="0.45">
      <c r="D413" s="113">
        <v>36861</v>
      </c>
      <c r="E413" s="52">
        <v>2.9838402999999998</v>
      </c>
      <c r="F413">
        <f t="shared" si="30"/>
        <v>330</v>
      </c>
      <c r="G413">
        <f t="shared" si="31"/>
        <v>330</v>
      </c>
      <c r="H413">
        <f t="shared" si="32"/>
        <v>34</v>
      </c>
      <c r="I413" s="114">
        <f t="shared" si="34"/>
        <v>36861</v>
      </c>
      <c r="J413">
        <f t="shared" si="33"/>
        <v>2.6893860833333325</v>
      </c>
    </row>
    <row r="414" spans="4:10" x14ac:dyDescent="0.45">
      <c r="D414" s="113">
        <v>36892</v>
      </c>
      <c r="E414" s="52">
        <v>2.8896430999999998</v>
      </c>
      <c r="F414">
        <f t="shared" si="30"/>
        <v>0</v>
      </c>
      <c r="G414">
        <f t="shared" si="31"/>
        <v>0</v>
      </c>
      <c r="H414">
        <f t="shared" si="32"/>
        <v>35</v>
      </c>
      <c r="I414" s="114">
        <f t="shared" si="34"/>
        <v>37226</v>
      </c>
      <c r="J414">
        <f t="shared" si="33"/>
        <v>3.2341506916666671</v>
      </c>
    </row>
    <row r="415" spans="4:10" x14ac:dyDescent="0.45">
      <c r="D415" s="113">
        <v>36923</v>
      </c>
      <c r="E415" s="52">
        <v>2.9893325000000002</v>
      </c>
      <c r="F415">
        <f t="shared" si="30"/>
        <v>30</v>
      </c>
      <c r="G415">
        <f t="shared" si="31"/>
        <v>30</v>
      </c>
      <c r="H415">
        <f t="shared" si="32"/>
        <v>35</v>
      </c>
      <c r="I415" s="114">
        <f t="shared" si="34"/>
        <v>37226</v>
      </c>
      <c r="J415">
        <f t="shared" si="33"/>
        <v>3.2341506916666671</v>
      </c>
    </row>
    <row r="416" spans="4:10" x14ac:dyDescent="0.45">
      <c r="D416" s="113">
        <v>36951</v>
      </c>
      <c r="E416" s="52">
        <v>2.9711853000000001</v>
      </c>
      <c r="F416">
        <f t="shared" si="30"/>
        <v>60</v>
      </c>
      <c r="G416">
        <f t="shared" si="31"/>
        <v>60</v>
      </c>
      <c r="H416">
        <f t="shared" si="32"/>
        <v>35</v>
      </c>
      <c r="I416" s="114">
        <f t="shared" si="34"/>
        <v>37226</v>
      </c>
      <c r="J416">
        <f t="shared" si="33"/>
        <v>3.2341506916666671</v>
      </c>
    </row>
    <row r="417" spans="4:10" x14ac:dyDescent="0.45">
      <c r="D417" s="113">
        <v>36982</v>
      </c>
      <c r="E417" s="52">
        <v>3.1007641000000001</v>
      </c>
      <c r="F417">
        <f t="shared" si="30"/>
        <v>90</v>
      </c>
      <c r="G417">
        <f t="shared" si="31"/>
        <v>90</v>
      </c>
      <c r="H417">
        <f t="shared" si="32"/>
        <v>35</v>
      </c>
      <c r="I417" s="114">
        <f t="shared" si="34"/>
        <v>37226</v>
      </c>
      <c r="J417">
        <f t="shared" si="33"/>
        <v>3.2341506916666671</v>
      </c>
    </row>
    <row r="418" spans="4:10" x14ac:dyDescent="0.45">
      <c r="D418" s="113">
        <v>37012</v>
      </c>
      <c r="E418" s="52">
        <v>3.0843327</v>
      </c>
      <c r="F418">
        <f t="shared" si="30"/>
        <v>120</v>
      </c>
      <c r="G418">
        <f t="shared" si="31"/>
        <v>120</v>
      </c>
      <c r="H418">
        <f t="shared" si="32"/>
        <v>35</v>
      </c>
      <c r="I418" s="114">
        <f t="shared" si="34"/>
        <v>37226</v>
      </c>
      <c r="J418">
        <f t="shared" si="33"/>
        <v>3.2341506916666671</v>
      </c>
    </row>
    <row r="419" spans="4:10" x14ac:dyDescent="0.45">
      <c r="D419" s="113">
        <v>37043</v>
      </c>
      <c r="E419" s="52">
        <v>3.2118098000000002</v>
      </c>
      <c r="F419">
        <f t="shared" si="30"/>
        <v>150</v>
      </c>
      <c r="G419">
        <f t="shared" si="31"/>
        <v>150</v>
      </c>
      <c r="H419">
        <f t="shared" si="32"/>
        <v>35</v>
      </c>
      <c r="I419" s="114">
        <f t="shared" si="34"/>
        <v>37226</v>
      </c>
      <c r="J419">
        <f t="shared" si="33"/>
        <v>3.2341506916666671</v>
      </c>
    </row>
    <row r="420" spans="4:10" x14ac:dyDescent="0.45">
      <c r="D420" s="113">
        <v>37073</v>
      </c>
      <c r="E420" s="52">
        <v>3.2190557000000002</v>
      </c>
      <c r="F420">
        <f t="shared" si="30"/>
        <v>180</v>
      </c>
      <c r="G420">
        <f t="shared" si="31"/>
        <v>180</v>
      </c>
      <c r="H420">
        <f t="shared" si="32"/>
        <v>35</v>
      </c>
      <c r="I420" s="114">
        <f t="shared" si="34"/>
        <v>37226</v>
      </c>
      <c r="J420">
        <f t="shared" si="33"/>
        <v>3.2341506916666671</v>
      </c>
    </row>
    <row r="421" spans="4:10" x14ac:dyDescent="0.45">
      <c r="D421" s="113">
        <v>37104</v>
      </c>
      <c r="E421" s="52">
        <v>3.2635089000000002</v>
      </c>
      <c r="F421">
        <f t="shared" si="30"/>
        <v>210</v>
      </c>
      <c r="G421">
        <f t="shared" si="31"/>
        <v>210</v>
      </c>
      <c r="H421">
        <f t="shared" si="32"/>
        <v>35</v>
      </c>
      <c r="I421" s="114">
        <f t="shared" si="34"/>
        <v>37226</v>
      </c>
      <c r="J421">
        <f t="shared" si="33"/>
        <v>3.2341506916666671</v>
      </c>
    </row>
    <row r="422" spans="4:10" x14ac:dyDescent="0.45">
      <c r="D422" s="113">
        <v>37135</v>
      </c>
      <c r="E422" s="52">
        <v>3.3990087</v>
      </c>
      <c r="F422">
        <f t="shared" si="30"/>
        <v>240</v>
      </c>
      <c r="G422">
        <f t="shared" si="31"/>
        <v>240</v>
      </c>
      <c r="H422">
        <f t="shared" si="32"/>
        <v>35</v>
      </c>
      <c r="I422" s="114">
        <f t="shared" si="34"/>
        <v>37226</v>
      </c>
      <c r="J422">
        <f t="shared" si="33"/>
        <v>3.2341506916666671</v>
      </c>
    </row>
    <row r="423" spans="4:10" x14ac:dyDescent="0.45">
      <c r="D423" s="113">
        <v>37165</v>
      </c>
      <c r="E423" s="52">
        <v>3.4934371</v>
      </c>
      <c r="F423">
        <f t="shared" si="30"/>
        <v>270</v>
      </c>
      <c r="G423">
        <f t="shared" si="31"/>
        <v>270</v>
      </c>
      <c r="H423">
        <f t="shared" si="32"/>
        <v>35</v>
      </c>
      <c r="I423" s="114">
        <f t="shared" si="34"/>
        <v>37226</v>
      </c>
      <c r="J423">
        <f t="shared" si="33"/>
        <v>3.2341506916666671</v>
      </c>
    </row>
    <row r="424" spans="4:10" x14ac:dyDescent="0.45">
      <c r="D424" s="113">
        <v>37196</v>
      </c>
      <c r="E424" s="52">
        <v>3.6122717</v>
      </c>
      <c r="F424">
        <f t="shared" si="30"/>
        <v>300</v>
      </c>
      <c r="G424">
        <f t="shared" si="31"/>
        <v>300</v>
      </c>
      <c r="H424">
        <f t="shared" si="32"/>
        <v>35</v>
      </c>
      <c r="I424" s="114">
        <f t="shared" si="34"/>
        <v>37226</v>
      </c>
      <c r="J424">
        <f t="shared" si="33"/>
        <v>3.2341506916666671</v>
      </c>
    </row>
    <row r="425" spans="4:10" x14ac:dyDescent="0.45">
      <c r="D425" s="113">
        <v>37226</v>
      </c>
      <c r="E425" s="52">
        <v>3.5754587</v>
      </c>
      <c r="F425">
        <f t="shared" si="30"/>
        <v>330</v>
      </c>
      <c r="G425">
        <f t="shared" si="31"/>
        <v>330</v>
      </c>
      <c r="H425">
        <f t="shared" si="32"/>
        <v>35</v>
      </c>
      <c r="I425" s="114">
        <f t="shared" si="34"/>
        <v>37226</v>
      </c>
      <c r="J425">
        <f t="shared" si="33"/>
        <v>3.2341506916666671</v>
      </c>
    </row>
    <row r="426" spans="4:10" x14ac:dyDescent="0.45">
      <c r="D426" s="113">
        <v>37257</v>
      </c>
      <c r="E426" s="52">
        <v>3.5684398000000002</v>
      </c>
      <c r="F426">
        <f t="shared" si="30"/>
        <v>0</v>
      </c>
      <c r="G426">
        <f t="shared" si="31"/>
        <v>0</v>
      </c>
      <c r="H426">
        <f t="shared" si="32"/>
        <v>36</v>
      </c>
      <c r="I426" s="114">
        <f t="shared" si="34"/>
        <v>37591</v>
      </c>
      <c r="J426">
        <f t="shared" si="33"/>
        <v>3.2359565583333332</v>
      </c>
    </row>
    <row r="427" spans="4:10" x14ac:dyDescent="0.45">
      <c r="D427" s="113">
        <v>37288</v>
      </c>
      <c r="E427" s="52">
        <v>3.5387816999999999</v>
      </c>
      <c r="F427">
        <f t="shared" si="30"/>
        <v>30</v>
      </c>
      <c r="G427">
        <f t="shared" si="31"/>
        <v>30</v>
      </c>
      <c r="H427">
        <f t="shared" si="32"/>
        <v>36</v>
      </c>
      <c r="I427" s="114">
        <f t="shared" si="34"/>
        <v>37591</v>
      </c>
      <c r="J427">
        <f t="shared" si="33"/>
        <v>3.2359565583333332</v>
      </c>
    </row>
    <row r="428" spans="4:10" x14ac:dyDescent="0.45">
      <c r="D428" s="113">
        <v>37316</v>
      </c>
      <c r="E428" s="52">
        <v>3.4801449999999998</v>
      </c>
      <c r="F428">
        <f t="shared" si="30"/>
        <v>60</v>
      </c>
      <c r="G428">
        <f t="shared" si="31"/>
        <v>60</v>
      </c>
      <c r="H428">
        <f t="shared" si="32"/>
        <v>36</v>
      </c>
      <c r="I428" s="114">
        <f t="shared" si="34"/>
        <v>37591</v>
      </c>
      <c r="J428">
        <f t="shared" si="33"/>
        <v>3.2359565583333332</v>
      </c>
    </row>
    <row r="429" spans="4:10" x14ac:dyDescent="0.45">
      <c r="D429" s="113">
        <v>37347</v>
      </c>
      <c r="E429" s="52">
        <v>3.4775060999999998</v>
      </c>
      <c r="F429">
        <f t="shared" si="30"/>
        <v>90</v>
      </c>
      <c r="G429">
        <f t="shared" si="31"/>
        <v>90</v>
      </c>
      <c r="H429">
        <f t="shared" si="32"/>
        <v>36</v>
      </c>
      <c r="I429" s="114">
        <f t="shared" si="34"/>
        <v>37591</v>
      </c>
      <c r="J429">
        <f t="shared" si="33"/>
        <v>3.2359565583333332</v>
      </c>
    </row>
    <row r="430" spans="4:10" x14ac:dyDescent="0.45">
      <c r="D430" s="113">
        <v>37377</v>
      </c>
      <c r="E430" s="52">
        <v>3.4632676999999998</v>
      </c>
      <c r="F430">
        <f t="shared" si="30"/>
        <v>120</v>
      </c>
      <c r="G430">
        <f t="shared" si="31"/>
        <v>120</v>
      </c>
      <c r="H430">
        <f t="shared" si="32"/>
        <v>36</v>
      </c>
      <c r="I430" s="114">
        <f t="shared" si="34"/>
        <v>37591</v>
      </c>
      <c r="J430">
        <f t="shared" si="33"/>
        <v>3.2359565583333332</v>
      </c>
    </row>
    <row r="431" spans="4:10" x14ac:dyDescent="0.45">
      <c r="D431" s="113">
        <v>37408</v>
      </c>
      <c r="E431" s="52">
        <v>3.2512148999999999</v>
      </c>
      <c r="F431">
        <f t="shared" si="30"/>
        <v>150</v>
      </c>
      <c r="G431">
        <f t="shared" si="31"/>
        <v>150</v>
      </c>
      <c r="H431">
        <f t="shared" si="32"/>
        <v>36</v>
      </c>
      <c r="I431" s="114">
        <f t="shared" si="34"/>
        <v>37591</v>
      </c>
      <c r="J431">
        <f t="shared" si="33"/>
        <v>3.2359565583333332</v>
      </c>
    </row>
    <row r="432" spans="4:10" x14ac:dyDescent="0.45">
      <c r="D432" s="113">
        <v>37438</v>
      </c>
      <c r="E432" s="52">
        <v>3.2740984000000002</v>
      </c>
      <c r="F432">
        <f t="shared" si="30"/>
        <v>180</v>
      </c>
      <c r="G432">
        <f t="shared" si="31"/>
        <v>180</v>
      </c>
      <c r="H432">
        <f t="shared" si="32"/>
        <v>36</v>
      </c>
      <c r="I432" s="114">
        <f t="shared" si="34"/>
        <v>37591</v>
      </c>
      <c r="J432">
        <f t="shared" si="33"/>
        <v>3.2359565583333332</v>
      </c>
    </row>
    <row r="433" spans="4:10" x14ac:dyDescent="0.45">
      <c r="D433" s="113">
        <v>37469</v>
      </c>
      <c r="E433" s="52">
        <v>3.1567968999999998</v>
      </c>
      <c r="F433">
        <f t="shared" si="30"/>
        <v>210</v>
      </c>
      <c r="G433">
        <f t="shared" si="31"/>
        <v>210</v>
      </c>
      <c r="H433">
        <f t="shared" si="32"/>
        <v>36</v>
      </c>
      <c r="I433" s="114">
        <f t="shared" si="34"/>
        <v>37591</v>
      </c>
      <c r="J433">
        <f t="shared" si="33"/>
        <v>3.2359565583333332</v>
      </c>
    </row>
    <row r="434" spans="4:10" x14ac:dyDescent="0.45">
      <c r="D434" s="113">
        <v>37500</v>
      </c>
      <c r="E434" s="52">
        <v>3.0374650999999999</v>
      </c>
      <c r="F434">
        <f t="shared" si="30"/>
        <v>240</v>
      </c>
      <c r="G434">
        <f t="shared" si="31"/>
        <v>240</v>
      </c>
      <c r="H434">
        <f t="shared" si="32"/>
        <v>36</v>
      </c>
      <c r="I434" s="114">
        <f t="shared" si="34"/>
        <v>37591</v>
      </c>
      <c r="J434">
        <f t="shared" si="33"/>
        <v>3.2359565583333332</v>
      </c>
    </row>
    <row r="435" spans="4:10" x14ac:dyDescent="0.45">
      <c r="D435" s="113">
        <v>37530</v>
      </c>
      <c r="E435" s="52">
        <v>2.9477484999999999</v>
      </c>
      <c r="F435">
        <f t="shared" si="30"/>
        <v>270</v>
      </c>
      <c r="G435">
        <f t="shared" si="31"/>
        <v>270</v>
      </c>
      <c r="H435">
        <f t="shared" si="32"/>
        <v>36</v>
      </c>
      <c r="I435" s="114">
        <f t="shared" si="34"/>
        <v>37591</v>
      </c>
      <c r="J435">
        <f t="shared" si="33"/>
        <v>3.2359565583333332</v>
      </c>
    </row>
    <row r="436" spans="4:10" x14ac:dyDescent="0.45">
      <c r="D436" s="113">
        <v>37561</v>
      </c>
      <c r="E436" s="52">
        <v>2.8341831000000002</v>
      </c>
      <c r="F436">
        <f t="shared" si="30"/>
        <v>300</v>
      </c>
      <c r="G436">
        <f t="shared" si="31"/>
        <v>300</v>
      </c>
      <c r="H436">
        <f t="shared" si="32"/>
        <v>36</v>
      </c>
      <c r="I436" s="114">
        <f t="shared" si="34"/>
        <v>37591</v>
      </c>
      <c r="J436">
        <f t="shared" si="33"/>
        <v>3.2359565583333332</v>
      </c>
    </row>
    <row r="437" spans="4:10" x14ac:dyDescent="0.45">
      <c r="D437" s="113">
        <v>37591</v>
      </c>
      <c r="E437" s="52">
        <v>2.8018315</v>
      </c>
      <c r="F437">
        <f t="shared" si="30"/>
        <v>330</v>
      </c>
      <c r="G437">
        <f t="shared" si="31"/>
        <v>330</v>
      </c>
      <c r="H437">
        <f t="shared" si="32"/>
        <v>36</v>
      </c>
      <c r="I437" s="114">
        <f t="shared" si="34"/>
        <v>37591</v>
      </c>
      <c r="J437">
        <f t="shared" si="33"/>
        <v>3.2359565583333332</v>
      </c>
    </row>
    <row r="438" spans="4:10" x14ac:dyDescent="0.45">
      <c r="D438" s="113">
        <v>37622</v>
      </c>
      <c r="E438" s="52">
        <v>2.7875530999999998</v>
      </c>
      <c r="F438">
        <f t="shared" si="30"/>
        <v>0</v>
      </c>
      <c r="G438">
        <f t="shared" si="31"/>
        <v>0</v>
      </c>
      <c r="H438">
        <f t="shared" si="32"/>
        <v>37</v>
      </c>
      <c r="I438" s="114">
        <f t="shared" si="34"/>
        <v>37956</v>
      </c>
      <c r="J438">
        <f t="shared" si="33"/>
        <v>2.3300123500000001</v>
      </c>
    </row>
    <row r="439" spans="4:10" x14ac:dyDescent="0.45">
      <c r="D439" s="113">
        <v>37653</v>
      </c>
      <c r="E439" s="52">
        <v>2.7046594000000002</v>
      </c>
      <c r="F439">
        <f t="shared" si="30"/>
        <v>30</v>
      </c>
      <c r="G439">
        <f t="shared" si="31"/>
        <v>30</v>
      </c>
      <c r="H439">
        <f t="shared" si="32"/>
        <v>37</v>
      </c>
      <c r="I439" s="114">
        <f t="shared" si="34"/>
        <v>37956</v>
      </c>
      <c r="J439">
        <f t="shared" si="33"/>
        <v>2.3300123500000001</v>
      </c>
    </row>
    <row r="440" spans="4:10" x14ac:dyDescent="0.45">
      <c r="D440" s="113">
        <v>37681</v>
      </c>
      <c r="E440" s="52">
        <v>2.6277872000000002</v>
      </c>
      <c r="F440">
        <f t="shared" si="30"/>
        <v>60</v>
      </c>
      <c r="G440">
        <f t="shared" si="31"/>
        <v>60</v>
      </c>
      <c r="H440">
        <f t="shared" si="32"/>
        <v>37</v>
      </c>
      <c r="I440" s="114">
        <f t="shared" si="34"/>
        <v>37956</v>
      </c>
      <c r="J440">
        <f t="shared" si="33"/>
        <v>2.3300123500000001</v>
      </c>
    </row>
    <row r="441" spans="4:10" x14ac:dyDescent="0.45">
      <c r="D441" s="113">
        <v>37712</v>
      </c>
      <c r="E441" s="52">
        <v>2.4593490999999998</v>
      </c>
      <c r="F441">
        <f t="shared" si="30"/>
        <v>90</v>
      </c>
      <c r="G441">
        <f t="shared" si="31"/>
        <v>90</v>
      </c>
      <c r="H441">
        <f t="shared" si="32"/>
        <v>37</v>
      </c>
      <c r="I441" s="114">
        <f t="shared" si="34"/>
        <v>37956</v>
      </c>
      <c r="J441">
        <f t="shared" si="33"/>
        <v>2.3300123500000001</v>
      </c>
    </row>
    <row r="442" spans="4:10" x14ac:dyDescent="0.45">
      <c r="D442" s="113">
        <v>37742</v>
      </c>
      <c r="E442" s="52">
        <v>2.3483407000000001</v>
      </c>
      <c r="F442">
        <f t="shared" si="30"/>
        <v>120</v>
      </c>
      <c r="G442">
        <f t="shared" si="31"/>
        <v>120</v>
      </c>
      <c r="H442">
        <f t="shared" si="32"/>
        <v>37</v>
      </c>
      <c r="I442" s="114">
        <f t="shared" si="34"/>
        <v>37956</v>
      </c>
      <c r="J442">
        <f t="shared" si="33"/>
        <v>2.3300123500000001</v>
      </c>
    </row>
    <row r="443" spans="4:10" x14ac:dyDescent="0.45">
      <c r="D443" s="113">
        <v>37773</v>
      </c>
      <c r="E443" s="52">
        <v>2.27155</v>
      </c>
      <c r="F443">
        <f t="shared" si="30"/>
        <v>150</v>
      </c>
      <c r="G443">
        <f t="shared" si="31"/>
        <v>150</v>
      </c>
      <c r="H443">
        <f t="shared" si="32"/>
        <v>37</v>
      </c>
      <c r="I443" s="114">
        <f t="shared" si="34"/>
        <v>37956</v>
      </c>
      <c r="J443">
        <f t="shared" si="33"/>
        <v>2.3300123500000001</v>
      </c>
    </row>
    <row r="444" spans="4:10" x14ac:dyDescent="0.45">
      <c r="D444" s="113">
        <v>37803</v>
      </c>
      <c r="E444" s="52">
        <v>2.2372079999999999</v>
      </c>
      <c r="F444">
        <f t="shared" si="30"/>
        <v>180</v>
      </c>
      <c r="G444">
        <f t="shared" si="31"/>
        <v>180</v>
      </c>
      <c r="H444">
        <f t="shared" si="32"/>
        <v>37</v>
      </c>
      <c r="I444" s="114">
        <f t="shared" si="34"/>
        <v>37956</v>
      </c>
      <c r="J444">
        <f t="shared" si="33"/>
        <v>2.3300123500000001</v>
      </c>
    </row>
    <row r="445" spans="4:10" x14ac:dyDescent="0.45">
      <c r="D445" s="113">
        <v>37834</v>
      </c>
      <c r="E445" s="52">
        <v>2.1655338</v>
      </c>
      <c r="F445">
        <f t="shared" si="30"/>
        <v>210</v>
      </c>
      <c r="G445">
        <f t="shared" si="31"/>
        <v>210</v>
      </c>
      <c r="H445">
        <f t="shared" si="32"/>
        <v>37</v>
      </c>
      <c r="I445" s="114">
        <f t="shared" si="34"/>
        <v>37956</v>
      </c>
      <c r="J445">
        <f t="shared" si="33"/>
        <v>2.3300123500000001</v>
      </c>
    </row>
    <row r="446" spans="4:10" x14ac:dyDescent="0.45">
      <c r="D446" s="113">
        <v>37865</v>
      </c>
      <c r="E446" s="52">
        <v>2.1842475000000001</v>
      </c>
      <c r="F446">
        <f t="shared" si="30"/>
        <v>240</v>
      </c>
      <c r="G446">
        <f t="shared" si="31"/>
        <v>240</v>
      </c>
      <c r="H446">
        <f t="shared" si="32"/>
        <v>37</v>
      </c>
      <c r="I446" s="114">
        <f t="shared" si="34"/>
        <v>37956</v>
      </c>
      <c r="J446">
        <f t="shared" si="33"/>
        <v>2.3300123500000001</v>
      </c>
    </row>
    <row r="447" spans="4:10" x14ac:dyDescent="0.45">
      <c r="D447" s="113">
        <v>37895</v>
      </c>
      <c r="E447" s="52">
        <v>2.1611132999999998</v>
      </c>
      <c r="F447">
        <f t="shared" si="30"/>
        <v>270</v>
      </c>
      <c r="G447">
        <f t="shared" si="31"/>
        <v>270</v>
      </c>
      <c r="H447">
        <f t="shared" si="32"/>
        <v>37</v>
      </c>
      <c r="I447" s="114">
        <f t="shared" si="34"/>
        <v>37956</v>
      </c>
      <c r="J447">
        <f t="shared" si="33"/>
        <v>2.3300123500000001</v>
      </c>
    </row>
    <row r="448" spans="4:10" x14ac:dyDescent="0.45">
      <c r="D448" s="113">
        <v>37926</v>
      </c>
      <c r="E448" s="52">
        <v>2.0365931000000002</v>
      </c>
      <c r="F448">
        <f t="shared" si="30"/>
        <v>300</v>
      </c>
      <c r="G448">
        <f t="shared" si="31"/>
        <v>300</v>
      </c>
      <c r="H448">
        <f t="shared" si="32"/>
        <v>37</v>
      </c>
      <c r="I448" s="114">
        <f t="shared" si="34"/>
        <v>37956</v>
      </c>
      <c r="J448">
        <f t="shared" si="33"/>
        <v>2.3300123500000001</v>
      </c>
    </row>
    <row r="449" spans="4:10" x14ac:dyDescent="0.45">
      <c r="D449" s="113">
        <v>37956</v>
      </c>
      <c r="E449" s="52">
        <v>1.976213</v>
      </c>
      <c r="F449">
        <f t="shared" si="30"/>
        <v>330</v>
      </c>
      <c r="G449">
        <f t="shared" si="31"/>
        <v>330</v>
      </c>
      <c r="H449">
        <f t="shared" si="32"/>
        <v>37</v>
      </c>
      <c r="I449" s="114">
        <f t="shared" si="34"/>
        <v>37956</v>
      </c>
      <c r="J449">
        <f t="shared" si="33"/>
        <v>2.3300123500000001</v>
      </c>
    </row>
    <row r="450" spans="4:10" x14ac:dyDescent="0.45">
      <c r="D450" s="113">
        <v>37987</v>
      </c>
      <c r="E450" s="52">
        <v>1.9607228999999999</v>
      </c>
      <c r="F450">
        <f t="shared" si="30"/>
        <v>0</v>
      </c>
      <c r="G450">
        <f t="shared" si="31"/>
        <v>0</v>
      </c>
      <c r="H450">
        <f t="shared" si="32"/>
        <v>38</v>
      </c>
      <c r="I450" s="114">
        <f t="shared" si="34"/>
        <v>38322</v>
      </c>
      <c r="J450">
        <f t="shared" si="33"/>
        <v>2.2195945999999998</v>
      </c>
    </row>
    <row r="451" spans="4:10" x14ac:dyDescent="0.45">
      <c r="D451" s="113">
        <v>38018</v>
      </c>
      <c r="E451" s="52">
        <v>2.0481367000000001</v>
      </c>
      <c r="F451">
        <f t="shared" si="30"/>
        <v>30</v>
      </c>
      <c r="G451">
        <f t="shared" si="31"/>
        <v>30</v>
      </c>
      <c r="H451">
        <f t="shared" si="32"/>
        <v>38</v>
      </c>
      <c r="I451" s="114">
        <f t="shared" si="34"/>
        <v>38322</v>
      </c>
      <c r="J451">
        <f t="shared" si="33"/>
        <v>2.2195945999999998</v>
      </c>
    </row>
    <row r="452" spans="4:10" x14ac:dyDescent="0.45">
      <c r="D452" s="113">
        <v>38047</v>
      </c>
      <c r="E452" s="52">
        <v>2.1370610999999999</v>
      </c>
      <c r="F452">
        <f t="shared" si="30"/>
        <v>60</v>
      </c>
      <c r="G452">
        <f t="shared" si="31"/>
        <v>60</v>
      </c>
      <c r="H452">
        <f t="shared" si="32"/>
        <v>38</v>
      </c>
      <c r="I452" s="114">
        <f t="shared" si="34"/>
        <v>38322</v>
      </c>
      <c r="J452">
        <f t="shared" si="33"/>
        <v>2.2195945999999998</v>
      </c>
    </row>
    <row r="453" spans="4:10" x14ac:dyDescent="0.45">
      <c r="D453" s="113">
        <v>38078</v>
      </c>
      <c r="E453" s="52">
        <v>2.2577612999999999</v>
      </c>
      <c r="F453">
        <f t="shared" si="30"/>
        <v>90</v>
      </c>
      <c r="G453">
        <f t="shared" si="31"/>
        <v>90</v>
      </c>
      <c r="H453">
        <f t="shared" si="32"/>
        <v>38</v>
      </c>
      <c r="I453" s="114">
        <f t="shared" si="34"/>
        <v>38322</v>
      </c>
      <c r="J453">
        <f t="shared" si="33"/>
        <v>2.2195945999999998</v>
      </c>
    </row>
    <row r="454" spans="4:10" x14ac:dyDescent="0.45">
      <c r="D454" s="113">
        <v>38108</v>
      </c>
      <c r="E454" s="52">
        <v>2.2378638</v>
      </c>
      <c r="F454">
        <f t="shared" si="30"/>
        <v>120</v>
      </c>
      <c r="G454">
        <f t="shared" si="31"/>
        <v>120</v>
      </c>
      <c r="H454">
        <f t="shared" si="32"/>
        <v>38</v>
      </c>
      <c r="I454" s="114">
        <f t="shared" si="34"/>
        <v>38322</v>
      </c>
      <c r="J454">
        <f t="shared" si="33"/>
        <v>2.2195945999999998</v>
      </c>
    </row>
    <row r="455" spans="4:10" x14ac:dyDescent="0.45">
      <c r="D455" s="113">
        <v>38139</v>
      </c>
      <c r="E455" s="52">
        <v>2.3794884000000001</v>
      </c>
      <c r="F455">
        <f t="shared" si="30"/>
        <v>150</v>
      </c>
      <c r="G455">
        <f t="shared" si="31"/>
        <v>150</v>
      </c>
      <c r="H455">
        <f t="shared" si="32"/>
        <v>38</v>
      </c>
      <c r="I455" s="114">
        <f t="shared" si="34"/>
        <v>38322</v>
      </c>
      <c r="J455">
        <f t="shared" si="33"/>
        <v>2.2195945999999998</v>
      </c>
    </row>
    <row r="456" spans="4:10" x14ac:dyDescent="0.45">
      <c r="D456" s="113">
        <v>38169</v>
      </c>
      <c r="E456" s="52">
        <v>2.2638524000000002</v>
      </c>
      <c r="F456">
        <f t="shared" si="30"/>
        <v>180</v>
      </c>
      <c r="G456">
        <f t="shared" si="31"/>
        <v>180</v>
      </c>
      <c r="H456">
        <f t="shared" si="32"/>
        <v>38</v>
      </c>
      <c r="I456" s="114">
        <f t="shared" si="34"/>
        <v>38322</v>
      </c>
      <c r="J456">
        <f t="shared" si="33"/>
        <v>2.2195945999999998</v>
      </c>
    </row>
    <row r="457" spans="4:10" x14ac:dyDescent="0.45">
      <c r="D457" s="113">
        <v>38200</v>
      </c>
      <c r="E457" s="52">
        <v>2.2577292</v>
      </c>
      <c r="F457">
        <f t="shared" si="30"/>
        <v>210</v>
      </c>
      <c r="G457">
        <f t="shared" si="31"/>
        <v>210</v>
      </c>
      <c r="H457">
        <f t="shared" si="32"/>
        <v>38</v>
      </c>
      <c r="I457" s="114">
        <f t="shared" si="34"/>
        <v>38322</v>
      </c>
      <c r="J457">
        <f t="shared" si="33"/>
        <v>2.2195945999999998</v>
      </c>
    </row>
    <row r="458" spans="4:10" x14ac:dyDescent="0.45">
      <c r="D458" s="113">
        <v>38231</v>
      </c>
      <c r="E458" s="52">
        <v>2.2402009999999999</v>
      </c>
      <c r="F458">
        <f t="shared" si="30"/>
        <v>240</v>
      </c>
      <c r="G458">
        <f t="shared" si="31"/>
        <v>240</v>
      </c>
      <c r="H458">
        <f t="shared" si="32"/>
        <v>38</v>
      </c>
      <c r="I458" s="114">
        <f t="shared" si="34"/>
        <v>38322</v>
      </c>
      <c r="J458">
        <f t="shared" si="33"/>
        <v>2.2195945999999998</v>
      </c>
    </row>
    <row r="459" spans="4:10" x14ac:dyDescent="0.45">
      <c r="D459" s="113">
        <v>38261</v>
      </c>
      <c r="E459" s="52">
        <v>2.2372193999999999</v>
      </c>
      <c r="F459">
        <f t="shared" si="30"/>
        <v>270</v>
      </c>
      <c r="G459">
        <f t="shared" si="31"/>
        <v>270</v>
      </c>
      <c r="H459">
        <f t="shared" si="32"/>
        <v>38</v>
      </c>
      <c r="I459" s="114">
        <f t="shared" si="34"/>
        <v>38322</v>
      </c>
      <c r="J459">
        <f t="shared" si="33"/>
        <v>2.2195945999999998</v>
      </c>
    </row>
    <row r="460" spans="4:10" x14ac:dyDescent="0.45">
      <c r="D460" s="113">
        <v>38292</v>
      </c>
      <c r="E460" s="52">
        <v>2.3012131</v>
      </c>
      <c r="F460">
        <f t="shared" si="30"/>
        <v>300</v>
      </c>
      <c r="G460">
        <f t="shared" si="31"/>
        <v>300</v>
      </c>
      <c r="H460">
        <f t="shared" si="32"/>
        <v>38</v>
      </c>
      <c r="I460" s="114">
        <f t="shared" si="34"/>
        <v>38322</v>
      </c>
      <c r="J460">
        <f t="shared" si="33"/>
        <v>2.2195945999999998</v>
      </c>
    </row>
    <row r="461" spans="4:10" x14ac:dyDescent="0.45">
      <c r="D461" s="113">
        <v>38322</v>
      </c>
      <c r="E461" s="52">
        <v>2.3138858999999998</v>
      </c>
      <c r="F461">
        <f t="shared" si="30"/>
        <v>330</v>
      </c>
      <c r="G461">
        <f t="shared" si="31"/>
        <v>330</v>
      </c>
      <c r="H461">
        <f t="shared" si="32"/>
        <v>38</v>
      </c>
      <c r="I461" s="114">
        <f t="shared" si="34"/>
        <v>38322</v>
      </c>
      <c r="J461">
        <f t="shared" si="33"/>
        <v>2.2195945999999998</v>
      </c>
    </row>
    <row r="462" spans="4:10" x14ac:dyDescent="0.45">
      <c r="D462" s="113">
        <v>38353</v>
      </c>
      <c r="E462" s="52">
        <v>2.3158903</v>
      </c>
      <c r="F462">
        <f t="shared" si="30"/>
        <v>0</v>
      </c>
      <c r="G462">
        <f t="shared" si="31"/>
        <v>0</v>
      </c>
      <c r="H462">
        <f t="shared" si="32"/>
        <v>39</v>
      </c>
      <c r="I462" s="114">
        <f t="shared" si="34"/>
        <v>38687</v>
      </c>
      <c r="J462">
        <f t="shared" si="33"/>
        <v>2.3142403083333334</v>
      </c>
    </row>
    <row r="463" spans="4:10" x14ac:dyDescent="0.45">
      <c r="D463" s="113">
        <v>38384</v>
      </c>
      <c r="E463" s="52">
        <v>2.2862448999999998</v>
      </c>
      <c r="F463">
        <f t="shared" si="30"/>
        <v>30</v>
      </c>
      <c r="G463">
        <f t="shared" si="31"/>
        <v>30</v>
      </c>
      <c r="H463">
        <f t="shared" si="32"/>
        <v>39</v>
      </c>
      <c r="I463" s="114">
        <f t="shared" si="34"/>
        <v>38687</v>
      </c>
      <c r="J463">
        <f t="shared" si="33"/>
        <v>2.3142403083333334</v>
      </c>
    </row>
    <row r="464" spans="4:10" x14ac:dyDescent="0.45">
      <c r="D464" s="113">
        <v>38412</v>
      </c>
      <c r="E464" s="52">
        <v>2.2461525999999998</v>
      </c>
      <c r="F464">
        <f t="shared" si="30"/>
        <v>60</v>
      </c>
      <c r="G464">
        <f t="shared" si="31"/>
        <v>60</v>
      </c>
      <c r="H464">
        <f t="shared" si="32"/>
        <v>39</v>
      </c>
      <c r="I464" s="114">
        <f t="shared" si="34"/>
        <v>38687</v>
      </c>
      <c r="J464">
        <f t="shared" si="33"/>
        <v>2.3142403083333334</v>
      </c>
    </row>
    <row r="465" spans="4:10" x14ac:dyDescent="0.45">
      <c r="D465" s="113">
        <v>38443</v>
      </c>
      <c r="E465" s="52">
        <v>2.2397222999999999</v>
      </c>
      <c r="F465">
        <f t="shared" ref="F465:F528" si="35">FLOOR(DAYS360(DATE(YEAR(D465),1,1),D465),30)</f>
        <v>90</v>
      </c>
      <c r="G465">
        <f t="shared" si="31"/>
        <v>90</v>
      </c>
      <c r="H465">
        <f t="shared" si="32"/>
        <v>39</v>
      </c>
      <c r="I465" s="114">
        <f t="shared" si="34"/>
        <v>38687</v>
      </c>
      <c r="J465">
        <f t="shared" si="33"/>
        <v>2.3142403083333334</v>
      </c>
    </row>
    <row r="466" spans="4:10" x14ac:dyDescent="0.45">
      <c r="D466" s="113">
        <v>38473</v>
      </c>
      <c r="E466" s="52">
        <v>2.3579552000000001</v>
      </c>
      <c r="F466">
        <f t="shared" si="35"/>
        <v>120</v>
      </c>
      <c r="G466">
        <f t="shared" ref="G466:G529" si="36">MOD(F466, 360/$G$12)</f>
        <v>120</v>
      </c>
      <c r="H466">
        <f t="shared" ref="H466:H529" si="37">IF(G466&gt;G465,H465,H465+1)</f>
        <v>39</v>
      </c>
      <c r="I466" s="114">
        <f t="shared" si="34"/>
        <v>38687</v>
      </c>
      <c r="J466">
        <f t="shared" ref="J466:J529" si="38">AVERAGEIF($H$17:$H$675,H466,$E$17:$E$675)</f>
        <v>2.3142403083333334</v>
      </c>
    </row>
    <row r="467" spans="4:10" x14ac:dyDescent="0.45">
      <c r="D467" s="113">
        <v>38504</v>
      </c>
      <c r="E467" s="52">
        <v>2.1993551999999998</v>
      </c>
      <c r="F467">
        <f t="shared" si="35"/>
        <v>150</v>
      </c>
      <c r="G467">
        <f t="shared" si="36"/>
        <v>150</v>
      </c>
      <c r="H467">
        <f t="shared" si="37"/>
        <v>39</v>
      </c>
      <c r="I467" s="114">
        <f t="shared" ref="I467:I530" si="39">EDATE(I466,(H467-H466)*(12/$G$12))</f>
        <v>38687</v>
      </c>
      <c r="J467">
        <f t="shared" si="38"/>
        <v>2.3142403083333334</v>
      </c>
    </row>
    <row r="468" spans="4:10" x14ac:dyDescent="0.45">
      <c r="D468" s="113">
        <v>38534</v>
      </c>
      <c r="E468" s="52">
        <v>2.3010793999999999</v>
      </c>
      <c r="F468">
        <f t="shared" si="35"/>
        <v>180</v>
      </c>
      <c r="G468">
        <f t="shared" si="36"/>
        <v>180</v>
      </c>
      <c r="H468">
        <f t="shared" si="37"/>
        <v>39</v>
      </c>
      <c r="I468" s="114">
        <f t="shared" si="39"/>
        <v>38687</v>
      </c>
      <c r="J468">
        <f t="shared" si="38"/>
        <v>2.3142403083333334</v>
      </c>
    </row>
    <row r="469" spans="4:10" x14ac:dyDescent="0.45">
      <c r="D469" s="113">
        <v>38565</v>
      </c>
      <c r="E469" s="52">
        <v>2.2644058999999999</v>
      </c>
      <c r="F469">
        <f t="shared" si="35"/>
        <v>210</v>
      </c>
      <c r="G469">
        <f t="shared" si="36"/>
        <v>210</v>
      </c>
      <c r="H469">
        <f t="shared" si="37"/>
        <v>39</v>
      </c>
      <c r="I469" s="114">
        <f t="shared" si="39"/>
        <v>38687</v>
      </c>
      <c r="J469">
        <f t="shared" si="38"/>
        <v>2.3142403083333334</v>
      </c>
    </row>
    <row r="470" spans="4:10" x14ac:dyDescent="0.45">
      <c r="D470" s="113">
        <v>38596</v>
      </c>
      <c r="E470" s="52">
        <v>2.3340762000000002</v>
      </c>
      <c r="F470">
        <f t="shared" si="35"/>
        <v>240</v>
      </c>
      <c r="G470">
        <f t="shared" si="36"/>
        <v>240</v>
      </c>
      <c r="H470">
        <f t="shared" si="37"/>
        <v>39</v>
      </c>
      <c r="I470" s="114">
        <f t="shared" si="39"/>
        <v>38687</v>
      </c>
      <c r="J470">
        <f t="shared" si="38"/>
        <v>2.3142403083333334</v>
      </c>
    </row>
    <row r="471" spans="4:10" x14ac:dyDescent="0.45">
      <c r="D471" s="113">
        <v>38626</v>
      </c>
      <c r="E471" s="52">
        <v>2.3253024</v>
      </c>
      <c r="F471">
        <f t="shared" si="35"/>
        <v>270</v>
      </c>
      <c r="G471">
        <f t="shared" si="36"/>
        <v>270</v>
      </c>
      <c r="H471">
        <f t="shared" si="37"/>
        <v>39</v>
      </c>
      <c r="I471" s="114">
        <f t="shared" si="39"/>
        <v>38687</v>
      </c>
      <c r="J471">
        <f t="shared" si="38"/>
        <v>2.3142403083333334</v>
      </c>
    </row>
    <row r="472" spans="4:10" x14ac:dyDescent="0.45">
      <c r="D472" s="113">
        <v>38657</v>
      </c>
      <c r="E472" s="52">
        <v>2.4316658000000002</v>
      </c>
      <c r="F472">
        <f t="shared" si="35"/>
        <v>300</v>
      </c>
      <c r="G472">
        <f t="shared" si="36"/>
        <v>300</v>
      </c>
      <c r="H472">
        <f t="shared" si="37"/>
        <v>39</v>
      </c>
      <c r="I472" s="114">
        <f t="shared" si="39"/>
        <v>38687</v>
      </c>
      <c r="J472">
        <f t="shared" si="38"/>
        <v>2.3142403083333334</v>
      </c>
    </row>
    <row r="473" spans="4:10" x14ac:dyDescent="0.45">
      <c r="D473" s="113">
        <v>38687</v>
      </c>
      <c r="E473" s="52">
        <v>2.4690335000000001</v>
      </c>
      <c r="F473">
        <f t="shared" si="35"/>
        <v>330</v>
      </c>
      <c r="G473">
        <f t="shared" si="36"/>
        <v>330</v>
      </c>
      <c r="H473">
        <f t="shared" si="37"/>
        <v>39</v>
      </c>
      <c r="I473" s="114">
        <f t="shared" si="39"/>
        <v>38687</v>
      </c>
      <c r="J473">
        <f t="shared" si="38"/>
        <v>2.3142403083333334</v>
      </c>
    </row>
    <row r="474" spans="4:10" x14ac:dyDescent="0.45">
      <c r="D474" s="113">
        <v>38718</v>
      </c>
      <c r="E474" s="52">
        <v>2.4510190999999999</v>
      </c>
      <c r="F474">
        <f t="shared" si="35"/>
        <v>0</v>
      </c>
      <c r="G474">
        <f t="shared" si="36"/>
        <v>0</v>
      </c>
      <c r="H474">
        <f t="shared" si="37"/>
        <v>40</v>
      </c>
      <c r="I474" s="114">
        <f t="shared" si="39"/>
        <v>39052</v>
      </c>
      <c r="J474">
        <f t="shared" si="38"/>
        <v>2.9271037416666665</v>
      </c>
    </row>
    <row r="475" spans="4:10" x14ac:dyDescent="0.45">
      <c r="D475" s="113">
        <v>38749</v>
      </c>
      <c r="E475" s="52">
        <v>2.4992554</v>
      </c>
      <c r="F475">
        <f t="shared" si="35"/>
        <v>30</v>
      </c>
      <c r="G475">
        <f t="shared" si="36"/>
        <v>30</v>
      </c>
      <c r="H475">
        <f t="shared" si="37"/>
        <v>40</v>
      </c>
      <c r="I475" s="114">
        <f t="shared" si="39"/>
        <v>39052</v>
      </c>
      <c r="J475">
        <f t="shared" si="38"/>
        <v>2.9271037416666665</v>
      </c>
    </row>
    <row r="476" spans="4:10" x14ac:dyDescent="0.45">
      <c r="D476" s="113">
        <v>38777</v>
      </c>
      <c r="E476" s="52">
        <v>2.5812189999999999</v>
      </c>
      <c r="F476">
        <f t="shared" si="35"/>
        <v>60</v>
      </c>
      <c r="G476">
        <f t="shared" si="36"/>
        <v>60</v>
      </c>
      <c r="H476">
        <f t="shared" si="37"/>
        <v>40</v>
      </c>
      <c r="I476" s="114">
        <f t="shared" si="39"/>
        <v>39052</v>
      </c>
      <c r="J476">
        <f t="shared" si="38"/>
        <v>2.9271037416666665</v>
      </c>
    </row>
    <row r="477" spans="4:10" x14ac:dyDescent="0.45">
      <c r="D477" s="113">
        <v>38808</v>
      </c>
      <c r="E477" s="52">
        <v>2.6806926</v>
      </c>
      <c r="F477">
        <f t="shared" si="35"/>
        <v>90</v>
      </c>
      <c r="G477">
        <f t="shared" si="36"/>
        <v>90</v>
      </c>
      <c r="H477">
        <f t="shared" si="37"/>
        <v>40</v>
      </c>
      <c r="I477" s="114">
        <f t="shared" si="39"/>
        <v>39052</v>
      </c>
      <c r="J477">
        <f t="shared" si="38"/>
        <v>2.9271037416666665</v>
      </c>
    </row>
    <row r="478" spans="4:10" x14ac:dyDescent="0.45">
      <c r="D478" s="113">
        <v>38838</v>
      </c>
      <c r="E478" s="52">
        <v>2.7839594999999999</v>
      </c>
      <c r="F478">
        <f t="shared" si="35"/>
        <v>120</v>
      </c>
      <c r="G478">
        <f t="shared" si="36"/>
        <v>120</v>
      </c>
      <c r="H478">
        <f t="shared" si="37"/>
        <v>40</v>
      </c>
      <c r="I478" s="114">
        <f t="shared" si="39"/>
        <v>39052</v>
      </c>
      <c r="J478">
        <f t="shared" si="38"/>
        <v>2.9271037416666665</v>
      </c>
    </row>
    <row r="479" spans="4:10" x14ac:dyDescent="0.45">
      <c r="D479" s="113">
        <v>38869</v>
      </c>
      <c r="E479" s="52">
        <v>3.0344297999999998</v>
      </c>
      <c r="F479">
        <f t="shared" si="35"/>
        <v>150</v>
      </c>
      <c r="G479">
        <f t="shared" si="36"/>
        <v>150</v>
      </c>
      <c r="H479">
        <f t="shared" si="37"/>
        <v>40</v>
      </c>
      <c r="I479" s="114">
        <f t="shared" si="39"/>
        <v>39052</v>
      </c>
      <c r="J479">
        <f t="shared" si="38"/>
        <v>2.9271037416666665</v>
      </c>
    </row>
    <row r="480" spans="4:10" x14ac:dyDescent="0.45">
      <c r="D480" s="113">
        <v>38899</v>
      </c>
      <c r="E480" s="52">
        <v>3.0939988</v>
      </c>
      <c r="F480">
        <f t="shared" si="35"/>
        <v>180</v>
      </c>
      <c r="G480">
        <f t="shared" si="36"/>
        <v>180</v>
      </c>
      <c r="H480">
        <f t="shared" si="37"/>
        <v>40</v>
      </c>
      <c r="I480" s="114">
        <f t="shared" si="39"/>
        <v>39052</v>
      </c>
      <c r="J480">
        <f t="shared" si="38"/>
        <v>2.9271037416666665</v>
      </c>
    </row>
    <row r="481" spans="4:10" x14ac:dyDescent="0.45">
      <c r="D481" s="113">
        <v>38930</v>
      </c>
      <c r="E481" s="52">
        <v>3.2251143999999998</v>
      </c>
      <c r="F481">
        <f t="shared" si="35"/>
        <v>210</v>
      </c>
      <c r="G481">
        <f t="shared" si="36"/>
        <v>210</v>
      </c>
      <c r="H481">
        <f t="shared" si="37"/>
        <v>40</v>
      </c>
      <c r="I481" s="114">
        <f t="shared" si="39"/>
        <v>39052</v>
      </c>
      <c r="J481">
        <f t="shared" si="38"/>
        <v>2.9271037416666665</v>
      </c>
    </row>
    <row r="482" spans="4:10" x14ac:dyDescent="0.45">
      <c r="D482" s="113">
        <v>38961</v>
      </c>
      <c r="E482" s="52">
        <v>3.2120120000000001</v>
      </c>
      <c r="F482">
        <f t="shared" si="35"/>
        <v>240</v>
      </c>
      <c r="G482">
        <f t="shared" si="36"/>
        <v>240</v>
      </c>
      <c r="H482">
        <f t="shared" si="37"/>
        <v>40</v>
      </c>
      <c r="I482" s="114">
        <f t="shared" si="39"/>
        <v>39052</v>
      </c>
      <c r="J482">
        <f t="shared" si="38"/>
        <v>2.9271037416666665</v>
      </c>
    </row>
    <row r="483" spans="4:10" x14ac:dyDescent="0.45">
      <c r="D483" s="113">
        <v>38991</v>
      </c>
      <c r="E483" s="52">
        <v>3.2911245999999998</v>
      </c>
      <c r="F483">
        <f t="shared" si="35"/>
        <v>270</v>
      </c>
      <c r="G483">
        <f t="shared" si="36"/>
        <v>270</v>
      </c>
      <c r="H483">
        <f t="shared" si="37"/>
        <v>40</v>
      </c>
      <c r="I483" s="114">
        <f t="shared" si="39"/>
        <v>39052</v>
      </c>
      <c r="J483">
        <f t="shared" si="38"/>
        <v>2.9271037416666665</v>
      </c>
    </row>
    <row r="484" spans="4:10" x14ac:dyDescent="0.45">
      <c r="D484" s="113">
        <v>39022</v>
      </c>
      <c r="E484" s="52">
        <v>3.1482614</v>
      </c>
      <c r="F484">
        <f t="shared" si="35"/>
        <v>300</v>
      </c>
      <c r="G484">
        <f t="shared" si="36"/>
        <v>300</v>
      </c>
      <c r="H484">
        <f t="shared" si="37"/>
        <v>40</v>
      </c>
      <c r="I484" s="114">
        <f t="shared" si="39"/>
        <v>39052</v>
      </c>
      <c r="J484">
        <f t="shared" si="38"/>
        <v>2.9271037416666665</v>
      </c>
    </row>
    <row r="485" spans="4:10" x14ac:dyDescent="0.45">
      <c r="D485" s="113">
        <v>39052</v>
      </c>
      <c r="E485" s="52">
        <v>3.1241582999999999</v>
      </c>
      <c r="F485">
        <f t="shared" si="35"/>
        <v>330</v>
      </c>
      <c r="G485">
        <f t="shared" si="36"/>
        <v>330</v>
      </c>
      <c r="H485">
        <f t="shared" si="37"/>
        <v>40</v>
      </c>
      <c r="I485" s="114">
        <f t="shared" si="39"/>
        <v>39052</v>
      </c>
      <c r="J485">
        <f t="shared" si="38"/>
        <v>2.9271037416666665</v>
      </c>
    </row>
    <row r="486" spans="4:10" x14ac:dyDescent="0.45">
      <c r="D486" s="113">
        <v>39083</v>
      </c>
      <c r="E486" s="52">
        <v>3.1457342000000001</v>
      </c>
      <c r="F486">
        <f t="shared" si="35"/>
        <v>0</v>
      </c>
      <c r="G486">
        <f t="shared" si="36"/>
        <v>0</v>
      </c>
      <c r="H486">
        <f t="shared" si="37"/>
        <v>41</v>
      </c>
      <c r="I486" s="114">
        <f t="shared" si="39"/>
        <v>39417</v>
      </c>
      <c r="J486">
        <f t="shared" si="38"/>
        <v>2.7630326000000003</v>
      </c>
    </row>
    <row r="487" spans="4:10" x14ac:dyDescent="0.45">
      <c r="D487" s="113">
        <v>39114</v>
      </c>
      <c r="E487" s="52">
        <v>3.1615579999999999</v>
      </c>
      <c r="F487">
        <f t="shared" si="35"/>
        <v>30</v>
      </c>
      <c r="G487">
        <f t="shared" si="36"/>
        <v>30</v>
      </c>
      <c r="H487">
        <f t="shared" si="37"/>
        <v>41</v>
      </c>
      <c r="I487" s="114">
        <f t="shared" si="39"/>
        <v>39417</v>
      </c>
      <c r="J487">
        <f t="shared" si="38"/>
        <v>2.7630326000000003</v>
      </c>
    </row>
    <row r="488" spans="4:10" x14ac:dyDescent="0.45">
      <c r="D488" s="113">
        <v>39142</v>
      </c>
      <c r="E488" s="52">
        <v>3.1090013999999999</v>
      </c>
      <c r="F488">
        <f t="shared" si="35"/>
        <v>60</v>
      </c>
      <c r="G488">
        <f t="shared" si="36"/>
        <v>60</v>
      </c>
      <c r="H488">
        <f t="shared" si="37"/>
        <v>41</v>
      </c>
      <c r="I488" s="114">
        <f t="shared" si="39"/>
        <v>39417</v>
      </c>
      <c r="J488">
        <f t="shared" si="38"/>
        <v>2.7630326000000003</v>
      </c>
    </row>
    <row r="489" spans="4:10" x14ac:dyDescent="0.45">
      <c r="D489" s="113">
        <v>39173</v>
      </c>
      <c r="E489" s="52">
        <v>2.9667028000000002</v>
      </c>
      <c r="F489">
        <f t="shared" si="35"/>
        <v>90</v>
      </c>
      <c r="G489">
        <f t="shared" si="36"/>
        <v>90</v>
      </c>
      <c r="H489">
        <f t="shared" si="37"/>
        <v>41</v>
      </c>
      <c r="I489" s="114">
        <f t="shared" si="39"/>
        <v>39417</v>
      </c>
      <c r="J489">
        <f t="shared" si="38"/>
        <v>2.7630326000000003</v>
      </c>
    </row>
    <row r="490" spans="4:10" x14ac:dyDescent="0.45">
      <c r="D490" s="113">
        <v>39203</v>
      </c>
      <c r="E490" s="52">
        <v>2.7833239999999999</v>
      </c>
      <c r="F490">
        <f t="shared" si="35"/>
        <v>120</v>
      </c>
      <c r="G490">
        <f t="shared" si="36"/>
        <v>120</v>
      </c>
      <c r="H490">
        <f t="shared" si="37"/>
        <v>41</v>
      </c>
      <c r="I490" s="114">
        <f t="shared" si="39"/>
        <v>39417</v>
      </c>
      <c r="J490">
        <f t="shared" si="38"/>
        <v>2.7630326000000003</v>
      </c>
    </row>
    <row r="491" spans="4:10" x14ac:dyDescent="0.45">
      <c r="D491" s="113">
        <v>39234</v>
      </c>
      <c r="E491" s="52">
        <v>2.6305790999999998</v>
      </c>
      <c r="F491">
        <f t="shared" si="35"/>
        <v>150</v>
      </c>
      <c r="G491">
        <f t="shared" si="36"/>
        <v>150</v>
      </c>
      <c r="H491">
        <f t="shared" si="37"/>
        <v>41</v>
      </c>
      <c r="I491" s="114">
        <f t="shared" si="39"/>
        <v>39417</v>
      </c>
      <c r="J491">
        <f t="shared" si="38"/>
        <v>2.7630326000000003</v>
      </c>
    </row>
    <row r="492" spans="4:10" x14ac:dyDescent="0.45">
      <c r="D492" s="113">
        <v>39264</v>
      </c>
      <c r="E492" s="52">
        <v>2.5346411</v>
      </c>
      <c r="F492">
        <f t="shared" si="35"/>
        <v>180</v>
      </c>
      <c r="G492">
        <f t="shared" si="36"/>
        <v>180</v>
      </c>
      <c r="H492">
        <f t="shared" si="37"/>
        <v>41</v>
      </c>
      <c r="I492" s="114">
        <f t="shared" si="39"/>
        <v>39417</v>
      </c>
      <c r="J492">
        <f t="shared" si="38"/>
        <v>2.7630326000000003</v>
      </c>
    </row>
    <row r="493" spans="4:10" x14ac:dyDescent="0.45">
      <c r="D493" s="113">
        <v>39295</v>
      </c>
      <c r="E493" s="52">
        <v>2.4685402000000001</v>
      </c>
      <c r="F493">
        <f t="shared" si="35"/>
        <v>210</v>
      </c>
      <c r="G493">
        <f t="shared" si="36"/>
        <v>210</v>
      </c>
      <c r="H493">
        <f t="shared" si="37"/>
        <v>41</v>
      </c>
      <c r="I493" s="114">
        <f t="shared" si="39"/>
        <v>39417</v>
      </c>
      <c r="J493">
        <f t="shared" si="38"/>
        <v>2.7630326000000003</v>
      </c>
    </row>
    <row r="494" spans="4:10" x14ac:dyDescent="0.45">
      <c r="D494" s="113">
        <v>39326</v>
      </c>
      <c r="E494" s="52">
        <v>2.4838822999999999</v>
      </c>
      <c r="F494">
        <f t="shared" si="35"/>
        <v>240</v>
      </c>
      <c r="G494">
        <f t="shared" si="36"/>
        <v>240</v>
      </c>
      <c r="H494">
        <f t="shared" si="37"/>
        <v>41</v>
      </c>
      <c r="I494" s="114">
        <f t="shared" si="39"/>
        <v>39417</v>
      </c>
      <c r="J494">
        <f t="shared" si="38"/>
        <v>2.7630326000000003</v>
      </c>
    </row>
    <row r="495" spans="4:10" x14ac:dyDescent="0.45">
      <c r="D495" s="113">
        <v>39356</v>
      </c>
      <c r="E495" s="52">
        <v>2.5033248000000001</v>
      </c>
      <c r="F495">
        <f t="shared" si="35"/>
        <v>270</v>
      </c>
      <c r="G495">
        <f t="shared" si="36"/>
        <v>270</v>
      </c>
      <c r="H495">
        <f t="shared" si="37"/>
        <v>41</v>
      </c>
      <c r="I495" s="114">
        <f t="shared" si="39"/>
        <v>39417</v>
      </c>
      <c r="J495">
        <f t="shared" si="38"/>
        <v>2.7630326000000003</v>
      </c>
    </row>
    <row r="496" spans="4:10" x14ac:dyDescent="0.45">
      <c r="D496" s="113">
        <v>39387</v>
      </c>
      <c r="E496" s="52">
        <v>2.6563696999999999</v>
      </c>
      <c r="F496">
        <f t="shared" si="35"/>
        <v>300</v>
      </c>
      <c r="G496">
        <f t="shared" si="36"/>
        <v>300</v>
      </c>
      <c r="H496">
        <f t="shared" si="37"/>
        <v>41</v>
      </c>
      <c r="I496" s="114">
        <f t="shared" si="39"/>
        <v>39417</v>
      </c>
      <c r="J496">
        <f t="shared" si="38"/>
        <v>2.7630326000000003</v>
      </c>
    </row>
    <row r="497" spans="4:10" x14ac:dyDescent="0.45">
      <c r="D497" s="113">
        <v>39417</v>
      </c>
      <c r="E497" s="52">
        <v>2.7127336</v>
      </c>
      <c r="F497">
        <f t="shared" si="35"/>
        <v>330</v>
      </c>
      <c r="G497">
        <f t="shared" si="36"/>
        <v>330</v>
      </c>
      <c r="H497">
        <f t="shared" si="37"/>
        <v>41</v>
      </c>
      <c r="I497" s="114">
        <f t="shared" si="39"/>
        <v>39417</v>
      </c>
      <c r="J497">
        <f t="shared" si="38"/>
        <v>2.7630326000000003</v>
      </c>
    </row>
    <row r="498" spans="4:10" x14ac:dyDescent="0.45">
      <c r="D498" s="113">
        <v>39448</v>
      </c>
      <c r="E498" s="52">
        <v>2.7470403999999999</v>
      </c>
      <c r="F498">
        <f t="shared" si="35"/>
        <v>0</v>
      </c>
      <c r="G498">
        <f t="shared" si="36"/>
        <v>0</v>
      </c>
      <c r="H498">
        <f t="shared" si="37"/>
        <v>42</v>
      </c>
      <c r="I498" s="114">
        <f t="shared" si="39"/>
        <v>39783</v>
      </c>
      <c r="J498">
        <f t="shared" si="38"/>
        <v>2.8358705749999999</v>
      </c>
    </row>
    <row r="499" spans="4:10" x14ac:dyDescent="0.45">
      <c r="D499" s="113">
        <v>39479</v>
      </c>
      <c r="E499" s="52">
        <v>2.6165653</v>
      </c>
      <c r="F499">
        <f t="shared" si="35"/>
        <v>30</v>
      </c>
      <c r="G499">
        <f t="shared" si="36"/>
        <v>30</v>
      </c>
      <c r="H499">
        <f t="shared" si="37"/>
        <v>42</v>
      </c>
      <c r="I499" s="114">
        <f t="shared" si="39"/>
        <v>39783</v>
      </c>
      <c r="J499">
        <f t="shared" si="38"/>
        <v>2.8358705749999999</v>
      </c>
    </row>
    <row r="500" spans="4:10" x14ac:dyDescent="0.45">
      <c r="D500" s="113">
        <v>39508</v>
      </c>
      <c r="E500" s="52">
        <v>2.6887664</v>
      </c>
      <c r="F500">
        <f t="shared" si="35"/>
        <v>60</v>
      </c>
      <c r="G500">
        <f t="shared" si="36"/>
        <v>60</v>
      </c>
      <c r="H500">
        <f t="shared" si="37"/>
        <v>42</v>
      </c>
      <c r="I500" s="114">
        <f t="shared" si="39"/>
        <v>39783</v>
      </c>
      <c r="J500">
        <f t="shared" si="38"/>
        <v>2.8358705749999999</v>
      </c>
    </row>
    <row r="501" spans="4:10" x14ac:dyDescent="0.45">
      <c r="D501" s="113">
        <v>39539</v>
      </c>
      <c r="E501" s="52">
        <v>2.7251102999999999</v>
      </c>
      <c r="F501">
        <f t="shared" si="35"/>
        <v>90</v>
      </c>
      <c r="G501">
        <f t="shared" si="36"/>
        <v>90</v>
      </c>
      <c r="H501">
        <f t="shared" si="37"/>
        <v>42</v>
      </c>
      <c r="I501" s="114">
        <f t="shared" si="39"/>
        <v>39783</v>
      </c>
      <c r="J501">
        <f t="shared" si="38"/>
        <v>2.8358705749999999</v>
      </c>
    </row>
    <row r="502" spans="4:10" x14ac:dyDescent="0.45">
      <c r="D502" s="113">
        <v>39569</v>
      </c>
      <c r="E502" s="52">
        <v>2.7937419000000001</v>
      </c>
      <c r="F502">
        <f t="shared" si="35"/>
        <v>120</v>
      </c>
      <c r="G502">
        <f t="shared" si="36"/>
        <v>120</v>
      </c>
      <c r="H502">
        <f t="shared" si="37"/>
        <v>42</v>
      </c>
      <c r="I502" s="114">
        <f t="shared" si="39"/>
        <v>39783</v>
      </c>
      <c r="J502">
        <f t="shared" si="38"/>
        <v>2.8358705749999999</v>
      </c>
    </row>
    <row r="503" spans="4:10" x14ac:dyDescent="0.45">
      <c r="D503" s="113">
        <v>39600</v>
      </c>
      <c r="E503" s="52">
        <v>2.9376962</v>
      </c>
      <c r="F503">
        <f t="shared" si="35"/>
        <v>150</v>
      </c>
      <c r="G503">
        <f t="shared" si="36"/>
        <v>150</v>
      </c>
      <c r="H503">
        <f t="shared" si="37"/>
        <v>42</v>
      </c>
      <c r="I503" s="114">
        <f t="shared" si="39"/>
        <v>39783</v>
      </c>
      <c r="J503">
        <f t="shared" si="38"/>
        <v>2.8358705749999999</v>
      </c>
    </row>
    <row r="504" spans="4:10" x14ac:dyDescent="0.45">
      <c r="D504" s="113">
        <v>39630</v>
      </c>
      <c r="E504" s="52">
        <v>3.0142541999999999</v>
      </c>
      <c r="F504">
        <f t="shared" si="35"/>
        <v>180</v>
      </c>
      <c r="G504">
        <f t="shared" si="36"/>
        <v>180</v>
      </c>
      <c r="H504">
        <f t="shared" si="37"/>
        <v>42</v>
      </c>
      <c r="I504" s="114">
        <f t="shared" si="39"/>
        <v>39783</v>
      </c>
      <c r="J504">
        <f t="shared" si="38"/>
        <v>2.8358705749999999</v>
      </c>
    </row>
    <row r="505" spans="4:10" x14ac:dyDescent="0.45">
      <c r="D505" s="113">
        <v>39661</v>
      </c>
      <c r="E505" s="52">
        <v>3.0845058999999999</v>
      </c>
      <c r="F505">
        <f t="shared" si="35"/>
        <v>210</v>
      </c>
      <c r="G505">
        <f t="shared" si="36"/>
        <v>210</v>
      </c>
      <c r="H505">
        <f t="shared" si="37"/>
        <v>42</v>
      </c>
      <c r="I505" s="114">
        <f t="shared" si="39"/>
        <v>39783</v>
      </c>
      <c r="J505">
        <f t="shared" si="38"/>
        <v>2.8358705749999999</v>
      </c>
    </row>
    <row r="506" spans="4:10" x14ac:dyDescent="0.45">
      <c r="D506" s="113">
        <v>39692</v>
      </c>
      <c r="E506" s="52">
        <v>3.0766784999999999</v>
      </c>
      <c r="F506">
        <f t="shared" si="35"/>
        <v>240</v>
      </c>
      <c r="G506">
        <f t="shared" si="36"/>
        <v>240</v>
      </c>
      <c r="H506">
        <f t="shared" si="37"/>
        <v>42</v>
      </c>
      <c r="I506" s="114">
        <f t="shared" si="39"/>
        <v>39783</v>
      </c>
      <c r="J506">
        <f t="shared" si="38"/>
        <v>2.8358705749999999</v>
      </c>
    </row>
    <row r="507" spans="4:10" x14ac:dyDescent="0.45">
      <c r="D507" s="113">
        <v>39722</v>
      </c>
      <c r="E507" s="52">
        <v>2.9291949000000002</v>
      </c>
      <c r="F507">
        <f t="shared" si="35"/>
        <v>270</v>
      </c>
      <c r="G507">
        <f t="shared" si="36"/>
        <v>270</v>
      </c>
      <c r="H507">
        <f t="shared" si="37"/>
        <v>42</v>
      </c>
      <c r="I507" s="114">
        <f t="shared" si="39"/>
        <v>39783</v>
      </c>
      <c r="J507">
        <f t="shared" si="38"/>
        <v>2.8358705749999999</v>
      </c>
    </row>
    <row r="508" spans="4:10" x14ac:dyDescent="0.45">
      <c r="D508" s="113">
        <v>39753</v>
      </c>
      <c r="E508" s="52">
        <v>2.7864624</v>
      </c>
      <c r="F508">
        <f t="shared" si="35"/>
        <v>300</v>
      </c>
      <c r="G508">
        <f t="shared" si="36"/>
        <v>300</v>
      </c>
      <c r="H508">
        <f t="shared" si="37"/>
        <v>42</v>
      </c>
      <c r="I508" s="114">
        <f t="shared" si="39"/>
        <v>39783</v>
      </c>
      <c r="J508">
        <f t="shared" si="38"/>
        <v>2.8358705749999999</v>
      </c>
    </row>
    <row r="509" spans="4:10" x14ac:dyDescent="0.45">
      <c r="D509" s="113">
        <v>39783</v>
      </c>
      <c r="E509" s="52">
        <v>2.6304305000000001</v>
      </c>
      <c r="F509">
        <f t="shared" si="35"/>
        <v>330</v>
      </c>
      <c r="G509">
        <f t="shared" si="36"/>
        <v>330</v>
      </c>
      <c r="H509">
        <f t="shared" si="37"/>
        <v>42</v>
      </c>
      <c r="I509" s="114">
        <f t="shared" si="39"/>
        <v>39783</v>
      </c>
      <c r="J509">
        <f t="shared" si="38"/>
        <v>2.8358705749999999</v>
      </c>
    </row>
    <row r="510" spans="4:10" x14ac:dyDescent="0.45">
      <c r="D510" s="113">
        <v>39814</v>
      </c>
      <c r="E510" s="52">
        <v>2.5522480999999999</v>
      </c>
      <c r="F510">
        <f t="shared" si="35"/>
        <v>0</v>
      </c>
      <c r="G510">
        <f t="shared" si="36"/>
        <v>0</v>
      </c>
      <c r="H510">
        <f t="shared" si="37"/>
        <v>43</v>
      </c>
      <c r="I510" s="114">
        <f t="shared" si="39"/>
        <v>40148</v>
      </c>
      <c r="J510">
        <f t="shared" si="38"/>
        <v>1.9872083500000002</v>
      </c>
    </row>
    <row r="511" spans="4:10" x14ac:dyDescent="0.45">
      <c r="D511" s="113">
        <v>39845</v>
      </c>
      <c r="E511" s="52">
        <v>2.5594948999999998</v>
      </c>
      <c r="F511">
        <f t="shared" si="35"/>
        <v>30</v>
      </c>
      <c r="G511">
        <f t="shared" si="36"/>
        <v>30</v>
      </c>
      <c r="H511">
        <f t="shared" si="37"/>
        <v>43</v>
      </c>
      <c r="I511" s="114">
        <f t="shared" si="39"/>
        <v>40148</v>
      </c>
      <c r="J511">
        <f t="shared" si="38"/>
        <v>1.9872083500000002</v>
      </c>
    </row>
    <row r="512" spans="4:10" x14ac:dyDescent="0.45">
      <c r="D512" s="113">
        <v>39873</v>
      </c>
      <c r="E512" s="52">
        <v>2.4535819000000001</v>
      </c>
      <c r="F512">
        <f t="shared" si="35"/>
        <v>60</v>
      </c>
      <c r="G512">
        <f t="shared" si="36"/>
        <v>60</v>
      </c>
      <c r="H512">
        <f t="shared" si="37"/>
        <v>43</v>
      </c>
      <c r="I512" s="114">
        <f t="shared" si="39"/>
        <v>40148</v>
      </c>
      <c r="J512">
        <f t="shared" si="38"/>
        <v>1.9872083500000002</v>
      </c>
    </row>
    <row r="513" spans="4:10" x14ac:dyDescent="0.45">
      <c r="D513" s="113">
        <v>39904</v>
      </c>
      <c r="E513" s="52">
        <v>2.3761456999999999</v>
      </c>
      <c r="F513">
        <f t="shared" si="35"/>
        <v>90</v>
      </c>
      <c r="G513">
        <f t="shared" si="36"/>
        <v>90</v>
      </c>
      <c r="H513">
        <f t="shared" si="37"/>
        <v>43</v>
      </c>
      <c r="I513" s="114">
        <f t="shared" si="39"/>
        <v>40148</v>
      </c>
      <c r="J513">
        <f t="shared" si="38"/>
        <v>1.9872083500000002</v>
      </c>
    </row>
    <row r="514" spans="4:10" x14ac:dyDescent="0.45">
      <c r="D514" s="113">
        <v>39934</v>
      </c>
      <c r="E514" s="52">
        <v>2.2888288000000001</v>
      </c>
      <c r="F514">
        <f t="shared" si="35"/>
        <v>120</v>
      </c>
      <c r="G514">
        <f t="shared" si="36"/>
        <v>120</v>
      </c>
      <c r="H514">
        <f t="shared" si="37"/>
        <v>43</v>
      </c>
      <c r="I514" s="114">
        <f t="shared" si="39"/>
        <v>40148</v>
      </c>
      <c r="J514">
        <f t="shared" si="38"/>
        <v>1.9872083500000002</v>
      </c>
    </row>
    <row r="515" spans="4:10" x14ac:dyDescent="0.45">
      <c r="D515" s="113">
        <v>39965</v>
      </c>
      <c r="E515" s="52">
        <v>2.0898948000000002</v>
      </c>
      <c r="F515">
        <f t="shared" si="35"/>
        <v>150</v>
      </c>
      <c r="G515">
        <f t="shared" si="36"/>
        <v>150</v>
      </c>
      <c r="H515">
        <f t="shared" si="37"/>
        <v>43</v>
      </c>
      <c r="I515" s="114">
        <f t="shared" si="39"/>
        <v>40148</v>
      </c>
      <c r="J515">
        <f t="shared" si="38"/>
        <v>1.9872083500000002</v>
      </c>
    </row>
    <row r="516" spans="4:10" x14ac:dyDescent="0.45">
      <c r="D516" s="113">
        <v>39995</v>
      </c>
      <c r="E516" s="52">
        <v>1.9228669</v>
      </c>
      <c r="F516">
        <f t="shared" si="35"/>
        <v>180</v>
      </c>
      <c r="G516">
        <f t="shared" si="36"/>
        <v>180</v>
      </c>
      <c r="H516">
        <f t="shared" si="37"/>
        <v>43</v>
      </c>
      <c r="I516" s="114">
        <f t="shared" si="39"/>
        <v>40148</v>
      </c>
      <c r="J516">
        <f t="shared" si="38"/>
        <v>1.9872083500000002</v>
      </c>
    </row>
    <row r="517" spans="4:10" x14ac:dyDescent="0.45">
      <c r="D517" s="113">
        <v>40026</v>
      </c>
      <c r="E517" s="52">
        <v>1.7701932</v>
      </c>
      <c r="F517">
        <f t="shared" si="35"/>
        <v>210</v>
      </c>
      <c r="G517">
        <f t="shared" si="36"/>
        <v>210</v>
      </c>
      <c r="H517">
        <f t="shared" si="37"/>
        <v>43</v>
      </c>
      <c r="I517" s="114">
        <f t="shared" si="39"/>
        <v>40148</v>
      </c>
      <c r="J517">
        <f t="shared" si="38"/>
        <v>1.9872083500000002</v>
      </c>
    </row>
    <row r="518" spans="4:10" x14ac:dyDescent="0.45">
      <c r="D518" s="113">
        <v>40057</v>
      </c>
      <c r="E518" s="52">
        <v>1.6158958000000001</v>
      </c>
      <c r="F518">
        <f t="shared" si="35"/>
        <v>240</v>
      </c>
      <c r="G518">
        <f t="shared" si="36"/>
        <v>240</v>
      </c>
      <c r="H518">
        <f t="shared" si="37"/>
        <v>43</v>
      </c>
      <c r="I518" s="114">
        <f t="shared" si="39"/>
        <v>40148</v>
      </c>
      <c r="J518">
        <f t="shared" si="38"/>
        <v>1.9872083500000002</v>
      </c>
    </row>
    <row r="519" spans="4:10" x14ac:dyDescent="0.45">
      <c r="D519" s="113">
        <v>40087</v>
      </c>
      <c r="E519" s="52">
        <v>1.5209969000000001</v>
      </c>
      <c r="F519">
        <f t="shared" si="35"/>
        <v>270</v>
      </c>
      <c r="G519">
        <f t="shared" si="36"/>
        <v>270</v>
      </c>
      <c r="H519">
        <f t="shared" si="37"/>
        <v>43</v>
      </c>
      <c r="I519" s="114">
        <f t="shared" si="39"/>
        <v>40148</v>
      </c>
      <c r="J519">
        <f t="shared" si="38"/>
        <v>1.9872083500000002</v>
      </c>
    </row>
    <row r="520" spans="4:10" x14ac:dyDescent="0.45">
      <c r="D520" s="113">
        <v>40118</v>
      </c>
      <c r="E520" s="52">
        <v>1.3714917</v>
      </c>
      <c r="F520">
        <f t="shared" si="35"/>
        <v>300</v>
      </c>
      <c r="G520">
        <f t="shared" si="36"/>
        <v>300</v>
      </c>
      <c r="H520">
        <f t="shared" si="37"/>
        <v>43</v>
      </c>
      <c r="I520" s="114">
        <f t="shared" si="39"/>
        <v>40148</v>
      </c>
      <c r="J520">
        <f t="shared" si="38"/>
        <v>1.9872083500000002</v>
      </c>
    </row>
    <row r="521" spans="4:10" x14ac:dyDescent="0.45">
      <c r="D521" s="113">
        <v>40148</v>
      </c>
      <c r="E521" s="52">
        <v>1.3248614999999999</v>
      </c>
      <c r="F521">
        <f t="shared" si="35"/>
        <v>330</v>
      </c>
      <c r="G521">
        <f t="shared" si="36"/>
        <v>330</v>
      </c>
      <c r="H521">
        <f t="shared" si="37"/>
        <v>43</v>
      </c>
      <c r="I521" s="114">
        <f t="shared" si="39"/>
        <v>40148</v>
      </c>
      <c r="J521">
        <f t="shared" si="38"/>
        <v>1.9872083500000002</v>
      </c>
    </row>
    <row r="522" spans="4:10" x14ac:dyDescent="0.45">
      <c r="D522" s="113">
        <v>40179</v>
      </c>
      <c r="E522" s="52">
        <v>1.1770019</v>
      </c>
      <c r="F522">
        <f t="shared" si="35"/>
        <v>0</v>
      </c>
      <c r="G522">
        <f t="shared" si="36"/>
        <v>0</v>
      </c>
      <c r="H522">
        <f t="shared" si="37"/>
        <v>44</v>
      </c>
      <c r="I522" s="114">
        <f t="shared" si="39"/>
        <v>40513</v>
      </c>
      <c r="J522">
        <f t="shared" si="38"/>
        <v>0.83963542833333349</v>
      </c>
    </row>
    <row r="523" spans="4:10" x14ac:dyDescent="0.45">
      <c r="D523" s="113">
        <v>40210</v>
      </c>
      <c r="E523" s="52">
        <v>1.0548474000000001</v>
      </c>
      <c r="F523">
        <f t="shared" si="35"/>
        <v>30</v>
      </c>
      <c r="G523">
        <f t="shared" si="36"/>
        <v>30</v>
      </c>
      <c r="H523">
        <f t="shared" si="37"/>
        <v>44</v>
      </c>
      <c r="I523" s="114">
        <f t="shared" si="39"/>
        <v>40513</v>
      </c>
      <c r="J523">
        <f t="shared" si="38"/>
        <v>0.83963542833333349</v>
      </c>
    </row>
    <row r="524" spans="4:10" x14ac:dyDescent="0.45">
      <c r="D524" s="113">
        <v>40238</v>
      </c>
      <c r="E524" s="52">
        <v>0.93183853000000005</v>
      </c>
      <c r="F524">
        <f t="shared" si="35"/>
        <v>60</v>
      </c>
      <c r="G524">
        <f t="shared" si="36"/>
        <v>60</v>
      </c>
      <c r="H524">
        <f t="shared" si="37"/>
        <v>44</v>
      </c>
      <c r="I524" s="114">
        <f t="shared" si="39"/>
        <v>40513</v>
      </c>
      <c r="J524">
        <f t="shared" si="38"/>
        <v>0.83963542833333349</v>
      </c>
    </row>
    <row r="525" spans="4:10" x14ac:dyDescent="0.45">
      <c r="D525" s="113">
        <v>40269</v>
      </c>
      <c r="E525" s="52">
        <v>0.87602977999999998</v>
      </c>
      <c r="F525">
        <f t="shared" si="35"/>
        <v>90</v>
      </c>
      <c r="G525">
        <f t="shared" si="36"/>
        <v>90</v>
      </c>
      <c r="H525">
        <f t="shared" si="37"/>
        <v>44</v>
      </c>
      <c r="I525" s="114">
        <f t="shared" si="39"/>
        <v>40513</v>
      </c>
      <c r="J525">
        <f t="shared" si="38"/>
        <v>0.83963542833333349</v>
      </c>
    </row>
    <row r="526" spans="4:10" x14ac:dyDescent="0.45">
      <c r="D526" s="113">
        <v>40299</v>
      </c>
      <c r="E526" s="52">
        <v>0.79986780000000002</v>
      </c>
      <c r="F526">
        <f t="shared" si="35"/>
        <v>120</v>
      </c>
      <c r="G526">
        <f t="shared" si="36"/>
        <v>120</v>
      </c>
      <c r="H526">
        <f t="shared" si="37"/>
        <v>44</v>
      </c>
      <c r="I526" s="114">
        <f t="shared" si="39"/>
        <v>40513</v>
      </c>
      <c r="J526">
        <f t="shared" si="38"/>
        <v>0.83963542833333349</v>
      </c>
    </row>
    <row r="527" spans="4:10" x14ac:dyDescent="0.45">
      <c r="D527" s="113">
        <v>40330</v>
      </c>
      <c r="E527" s="52">
        <v>0.78483473000000004</v>
      </c>
      <c r="F527">
        <f t="shared" si="35"/>
        <v>150</v>
      </c>
      <c r="G527">
        <f t="shared" si="36"/>
        <v>150</v>
      </c>
      <c r="H527">
        <f t="shared" si="37"/>
        <v>44</v>
      </c>
      <c r="I527" s="114">
        <f t="shared" si="39"/>
        <v>40513</v>
      </c>
      <c r="J527">
        <f t="shared" si="38"/>
        <v>0.83963542833333349</v>
      </c>
    </row>
    <row r="528" spans="4:10" x14ac:dyDescent="0.45">
      <c r="D528" s="113">
        <v>40360</v>
      </c>
      <c r="E528" s="52">
        <v>0.74959321999999995</v>
      </c>
      <c r="F528">
        <f t="shared" si="35"/>
        <v>180</v>
      </c>
      <c r="G528">
        <f t="shared" si="36"/>
        <v>180</v>
      </c>
      <c r="H528">
        <f t="shared" si="37"/>
        <v>44</v>
      </c>
      <c r="I528" s="114">
        <f t="shared" si="39"/>
        <v>40513</v>
      </c>
      <c r="J528">
        <f t="shared" si="38"/>
        <v>0.83963542833333349</v>
      </c>
    </row>
    <row r="529" spans="4:10" x14ac:dyDescent="0.45">
      <c r="D529" s="113">
        <v>40391</v>
      </c>
      <c r="E529" s="52">
        <v>0.69562860999999998</v>
      </c>
      <c r="F529">
        <f t="shared" ref="F529:F592" si="40">FLOOR(DAYS360(DATE(YEAR(D529),1,1),D529),30)</f>
        <v>210</v>
      </c>
      <c r="G529">
        <f t="shared" si="36"/>
        <v>210</v>
      </c>
      <c r="H529">
        <f t="shared" si="37"/>
        <v>44</v>
      </c>
      <c r="I529" s="114">
        <f t="shared" si="39"/>
        <v>40513</v>
      </c>
      <c r="J529">
        <f t="shared" si="38"/>
        <v>0.83963542833333349</v>
      </c>
    </row>
    <row r="530" spans="4:10" x14ac:dyDescent="0.45">
      <c r="D530" s="113">
        <v>40422</v>
      </c>
      <c r="E530" s="52">
        <v>0.66761360000000003</v>
      </c>
      <c r="F530">
        <f t="shared" si="40"/>
        <v>240</v>
      </c>
      <c r="G530">
        <f t="shared" ref="G530:G593" si="41">MOD(F530, 360/$G$12)</f>
        <v>240</v>
      </c>
      <c r="H530">
        <f t="shared" ref="H530:H593" si="42">IF(G530&gt;G529,H529,H529+1)</f>
        <v>44</v>
      </c>
      <c r="I530" s="114">
        <f t="shared" si="39"/>
        <v>40513</v>
      </c>
      <c r="J530">
        <f t="shared" ref="J530:J593" si="43">AVERAGEIF($H$17:$H$675,H530,$E$17:$E$675)</f>
        <v>0.83963542833333349</v>
      </c>
    </row>
    <row r="531" spans="4:10" x14ac:dyDescent="0.45">
      <c r="D531" s="113">
        <v>40452</v>
      </c>
      <c r="E531" s="52">
        <v>0.67526624000000002</v>
      </c>
      <c r="F531">
        <f t="shared" si="40"/>
        <v>270</v>
      </c>
      <c r="G531">
        <f t="shared" si="41"/>
        <v>270</v>
      </c>
      <c r="H531">
        <f t="shared" si="42"/>
        <v>44</v>
      </c>
      <c r="I531" s="114">
        <f t="shared" ref="I531:I594" si="44">EDATE(I530,(H531-H530)*(12/$G$12))</f>
        <v>40513</v>
      </c>
      <c r="J531">
        <f t="shared" si="43"/>
        <v>0.83963542833333349</v>
      </c>
    </row>
    <row r="532" spans="4:10" x14ac:dyDescent="0.45">
      <c r="D532" s="113">
        <v>40483</v>
      </c>
      <c r="E532" s="52">
        <v>0.82600200999999995</v>
      </c>
      <c r="F532">
        <f t="shared" si="40"/>
        <v>300</v>
      </c>
      <c r="G532">
        <f t="shared" si="41"/>
        <v>300</v>
      </c>
      <c r="H532">
        <f t="shared" si="42"/>
        <v>44</v>
      </c>
      <c r="I532" s="114">
        <f t="shared" si="44"/>
        <v>40513</v>
      </c>
      <c r="J532">
        <f t="shared" si="43"/>
        <v>0.83963542833333349</v>
      </c>
    </row>
    <row r="533" spans="4:10" x14ac:dyDescent="0.45">
      <c r="D533" s="113">
        <v>40513</v>
      </c>
      <c r="E533" s="52">
        <v>0.83710132000000004</v>
      </c>
      <c r="F533">
        <f t="shared" si="40"/>
        <v>330</v>
      </c>
      <c r="G533">
        <f t="shared" si="41"/>
        <v>330</v>
      </c>
      <c r="H533">
        <f t="shared" si="42"/>
        <v>44</v>
      </c>
      <c r="I533" s="114">
        <f t="shared" si="44"/>
        <v>40513</v>
      </c>
      <c r="J533">
        <f t="shared" si="43"/>
        <v>0.83963542833333349</v>
      </c>
    </row>
    <row r="534" spans="4:10" x14ac:dyDescent="0.45">
      <c r="D534" s="113">
        <v>40544</v>
      </c>
      <c r="E534" s="52">
        <v>0.96003713000000002</v>
      </c>
      <c r="F534">
        <f t="shared" si="40"/>
        <v>0</v>
      </c>
      <c r="G534">
        <f t="shared" si="41"/>
        <v>0</v>
      </c>
      <c r="H534">
        <f t="shared" si="42"/>
        <v>45</v>
      </c>
      <c r="I534" s="114">
        <f t="shared" si="44"/>
        <v>40878</v>
      </c>
      <c r="J534">
        <f t="shared" si="43"/>
        <v>1.4652805608333332</v>
      </c>
    </row>
    <row r="535" spans="4:10" x14ac:dyDescent="0.45">
      <c r="D535" s="113">
        <v>40575</v>
      </c>
      <c r="E535" s="52">
        <v>1.1238816</v>
      </c>
      <c r="F535">
        <f t="shared" si="40"/>
        <v>30</v>
      </c>
      <c r="G535">
        <f t="shared" si="41"/>
        <v>30</v>
      </c>
      <c r="H535">
        <f t="shared" si="42"/>
        <v>45</v>
      </c>
      <c r="I535" s="114">
        <f t="shared" si="44"/>
        <v>40878</v>
      </c>
      <c r="J535">
        <f t="shared" si="43"/>
        <v>1.4652805608333332</v>
      </c>
    </row>
    <row r="536" spans="4:10" x14ac:dyDescent="0.45">
      <c r="D536" s="113">
        <v>40603</v>
      </c>
      <c r="E536" s="52">
        <v>1.1861014000000001</v>
      </c>
      <c r="F536">
        <f t="shared" si="40"/>
        <v>60</v>
      </c>
      <c r="G536">
        <f t="shared" si="41"/>
        <v>60</v>
      </c>
      <c r="H536">
        <f t="shared" si="42"/>
        <v>45</v>
      </c>
      <c r="I536" s="114">
        <f t="shared" si="44"/>
        <v>40878</v>
      </c>
      <c r="J536">
        <f t="shared" si="43"/>
        <v>1.4652805608333332</v>
      </c>
    </row>
    <row r="537" spans="4:10" x14ac:dyDescent="0.45">
      <c r="D537" s="113">
        <v>40634</v>
      </c>
      <c r="E537" s="52">
        <v>1.2155499999999999</v>
      </c>
      <c r="F537">
        <f t="shared" si="40"/>
        <v>90</v>
      </c>
      <c r="G537">
        <f t="shared" si="41"/>
        <v>90</v>
      </c>
      <c r="H537">
        <f t="shared" si="42"/>
        <v>45</v>
      </c>
      <c r="I537" s="114">
        <f t="shared" si="44"/>
        <v>40878</v>
      </c>
      <c r="J537">
        <f t="shared" si="43"/>
        <v>1.4652805608333332</v>
      </c>
    </row>
    <row r="538" spans="4:10" x14ac:dyDescent="0.45">
      <c r="D538" s="113">
        <v>40664</v>
      </c>
      <c r="E538" s="52">
        <v>1.2613949</v>
      </c>
      <c r="F538">
        <f t="shared" si="40"/>
        <v>120</v>
      </c>
      <c r="G538">
        <f t="shared" si="41"/>
        <v>120</v>
      </c>
      <c r="H538">
        <f t="shared" si="42"/>
        <v>45</v>
      </c>
      <c r="I538" s="114">
        <f t="shared" si="44"/>
        <v>40878</v>
      </c>
      <c r="J538">
        <f t="shared" si="43"/>
        <v>1.4652805608333332</v>
      </c>
    </row>
    <row r="539" spans="4:10" x14ac:dyDescent="0.45">
      <c r="D539" s="113">
        <v>40695</v>
      </c>
      <c r="E539" s="52">
        <v>1.2990531999999999</v>
      </c>
      <c r="F539">
        <f t="shared" si="40"/>
        <v>150</v>
      </c>
      <c r="G539">
        <f t="shared" si="41"/>
        <v>150</v>
      </c>
      <c r="H539">
        <f t="shared" si="42"/>
        <v>45</v>
      </c>
      <c r="I539" s="114">
        <f t="shared" si="44"/>
        <v>40878</v>
      </c>
      <c r="J539">
        <f t="shared" si="43"/>
        <v>1.4652805608333332</v>
      </c>
    </row>
    <row r="540" spans="4:10" x14ac:dyDescent="0.45">
      <c r="D540" s="113">
        <v>40725</v>
      </c>
      <c r="E540" s="52">
        <v>1.4236275</v>
      </c>
      <c r="F540">
        <f t="shared" si="40"/>
        <v>180</v>
      </c>
      <c r="G540">
        <f t="shared" si="41"/>
        <v>180</v>
      </c>
      <c r="H540">
        <f t="shared" si="42"/>
        <v>45</v>
      </c>
      <c r="I540" s="114">
        <f t="shared" si="44"/>
        <v>40878</v>
      </c>
      <c r="J540">
        <f t="shared" si="43"/>
        <v>1.4652805608333332</v>
      </c>
    </row>
    <row r="541" spans="4:10" x14ac:dyDescent="0.45">
      <c r="D541" s="113">
        <v>40756</v>
      </c>
      <c r="E541" s="52">
        <v>1.6569750999999999</v>
      </c>
      <c r="F541">
        <f t="shared" si="40"/>
        <v>210</v>
      </c>
      <c r="G541">
        <f t="shared" si="41"/>
        <v>210</v>
      </c>
      <c r="H541">
        <f t="shared" si="42"/>
        <v>45</v>
      </c>
      <c r="I541" s="114">
        <f t="shared" si="44"/>
        <v>40878</v>
      </c>
      <c r="J541">
        <f t="shared" si="43"/>
        <v>1.4652805608333332</v>
      </c>
    </row>
    <row r="542" spans="4:10" x14ac:dyDescent="0.45">
      <c r="D542" s="113">
        <v>40787</v>
      </c>
      <c r="E542" s="52">
        <v>1.7268144999999999</v>
      </c>
      <c r="F542">
        <f t="shared" si="40"/>
        <v>240</v>
      </c>
      <c r="G542">
        <f t="shared" si="41"/>
        <v>240</v>
      </c>
      <c r="H542">
        <f t="shared" si="42"/>
        <v>45</v>
      </c>
      <c r="I542" s="114">
        <f t="shared" si="44"/>
        <v>40878</v>
      </c>
      <c r="J542">
        <f t="shared" si="43"/>
        <v>1.4652805608333332</v>
      </c>
    </row>
    <row r="543" spans="4:10" x14ac:dyDescent="0.45">
      <c r="D543" s="113">
        <v>40817</v>
      </c>
      <c r="E543" s="52">
        <v>1.8413647</v>
      </c>
      <c r="F543">
        <f t="shared" si="40"/>
        <v>270</v>
      </c>
      <c r="G543">
        <f t="shared" si="41"/>
        <v>270</v>
      </c>
      <c r="H543">
        <f t="shared" si="42"/>
        <v>45</v>
      </c>
      <c r="I543" s="114">
        <f t="shared" si="44"/>
        <v>40878</v>
      </c>
      <c r="J543">
        <f t="shared" si="43"/>
        <v>1.4652805608333332</v>
      </c>
    </row>
    <row r="544" spans="4:10" x14ac:dyDescent="0.45">
      <c r="D544" s="113">
        <v>40848</v>
      </c>
      <c r="E544" s="52">
        <v>1.8407168</v>
      </c>
      <c r="F544">
        <f t="shared" si="40"/>
        <v>300</v>
      </c>
      <c r="G544">
        <f t="shared" si="41"/>
        <v>300</v>
      </c>
      <c r="H544">
        <f t="shared" si="42"/>
        <v>45</v>
      </c>
      <c r="I544" s="114">
        <f t="shared" si="44"/>
        <v>40878</v>
      </c>
      <c r="J544">
        <f t="shared" si="43"/>
        <v>1.4652805608333332</v>
      </c>
    </row>
    <row r="545" spans="4:10" x14ac:dyDescent="0.45">
      <c r="D545" s="113">
        <v>40878</v>
      </c>
      <c r="E545" s="52">
        <v>2.0478499000000001</v>
      </c>
      <c r="F545">
        <f t="shared" si="40"/>
        <v>330</v>
      </c>
      <c r="G545">
        <f t="shared" si="41"/>
        <v>330</v>
      </c>
      <c r="H545">
        <f t="shared" si="42"/>
        <v>45</v>
      </c>
      <c r="I545" s="114">
        <f t="shared" si="44"/>
        <v>40878</v>
      </c>
      <c r="J545">
        <f t="shared" si="43"/>
        <v>1.4652805608333332</v>
      </c>
    </row>
    <row r="546" spans="4:10" x14ac:dyDescent="0.45">
      <c r="D546" s="113">
        <v>40909</v>
      </c>
      <c r="E546" s="52">
        <v>2.1159284999999999</v>
      </c>
      <c r="F546">
        <f t="shared" si="40"/>
        <v>0</v>
      </c>
      <c r="G546">
        <f t="shared" si="41"/>
        <v>0</v>
      </c>
      <c r="H546">
        <f t="shared" si="42"/>
        <v>46</v>
      </c>
      <c r="I546" s="114">
        <f t="shared" si="44"/>
        <v>41244</v>
      </c>
      <c r="J546">
        <f t="shared" si="43"/>
        <v>2.1707786666666671</v>
      </c>
    </row>
    <row r="547" spans="4:10" x14ac:dyDescent="0.45">
      <c r="D547" s="113">
        <v>40940</v>
      </c>
      <c r="E547" s="52">
        <v>2.0181912</v>
      </c>
      <c r="F547">
        <f t="shared" si="40"/>
        <v>30</v>
      </c>
      <c r="G547">
        <f t="shared" si="41"/>
        <v>30</v>
      </c>
      <c r="H547">
        <f t="shared" si="42"/>
        <v>46</v>
      </c>
      <c r="I547" s="114">
        <f t="shared" si="44"/>
        <v>41244</v>
      </c>
      <c r="J547">
        <f t="shared" si="43"/>
        <v>2.1707786666666671</v>
      </c>
    </row>
    <row r="548" spans="4:10" x14ac:dyDescent="0.45">
      <c r="D548" s="113">
        <v>40969</v>
      </c>
      <c r="E548" s="52">
        <v>2.1247577</v>
      </c>
      <c r="F548">
        <f t="shared" si="40"/>
        <v>60</v>
      </c>
      <c r="G548">
        <f t="shared" si="41"/>
        <v>60</v>
      </c>
      <c r="H548">
        <f t="shared" si="42"/>
        <v>46</v>
      </c>
      <c r="I548" s="114">
        <f t="shared" si="44"/>
        <v>41244</v>
      </c>
      <c r="J548">
        <f t="shared" si="43"/>
        <v>2.1707786666666671</v>
      </c>
    </row>
    <row r="549" spans="4:10" x14ac:dyDescent="0.45">
      <c r="D549" s="113">
        <v>41000</v>
      </c>
      <c r="E549" s="52">
        <v>2.1937928000000002</v>
      </c>
      <c r="F549">
        <f t="shared" si="40"/>
        <v>90</v>
      </c>
      <c r="G549">
        <f t="shared" si="41"/>
        <v>90</v>
      </c>
      <c r="H549">
        <f t="shared" si="42"/>
        <v>46</v>
      </c>
      <c r="I549" s="114">
        <f t="shared" si="44"/>
        <v>41244</v>
      </c>
      <c r="J549">
        <f t="shared" si="43"/>
        <v>2.1707786666666671</v>
      </c>
    </row>
    <row r="550" spans="4:10" x14ac:dyDescent="0.45">
      <c r="D550" s="113">
        <v>41030</v>
      </c>
      <c r="E550" s="52">
        <v>2.1896843000000001</v>
      </c>
      <c r="F550">
        <f t="shared" si="40"/>
        <v>120</v>
      </c>
      <c r="G550">
        <f t="shared" si="41"/>
        <v>120</v>
      </c>
      <c r="H550">
        <f t="shared" si="42"/>
        <v>46</v>
      </c>
      <c r="I550" s="114">
        <f t="shared" si="44"/>
        <v>41244</v>
      </c>
      <c r="J550">
        <f t="shared" si="43"/>
        <v>2.1707786666666671</v>
      </c>
    </row>
    <row r="551" spans="4:10" x14ac:dyDescent="0.45">
      <c r="D551" s="113">
        <v>41061</v>
      </c>
      <c r="E551" s="52">
        <v>2.2407468000000001</v>
      </c>
      <c r="F551">
        <f t="shared" si="40"/>
        <v>150</v>
      </c>
      <c r="G551">
        <f t="shared" si="41"/>
        <v>150</v>
      </c>
      <c r="H551">
        <f t="shared" si="42"/>
        <v>46</v>
      </c>
      <c r="I551" s="114">
        <f t="shared" si="44"/>
        <v>41244</v>
      </c>
      <c r="J551">
        <f t="shared" si="43"/>
        <v>2.1707786666666671</v>
      </c>
    </row>
    <row r="552" spans="4:10" x14ac:dyDescent="0.45">
      <c r="D552" s="113">
        <v>41091</v>
      </c>
      <c r="E552" s="52">
        <v>2.2616531000000002</v>
      </c>
      <c r="F552">
        <f t="shared" si="40"/>
        <v>180</v>
      </c>
      <c r="G552">
        <f t="shared" si="41"/>
        <v>180</v>
      </c>
      <c r="H552">
        <f t="shared" si="42"/>
        <v>46</v>
      </c>
      <c r="I552" s="114">
        <f t="shared" si="44"/>
        <v>41244</v>
      </c>
      <c r="J552">
        <f t="shared" si="43"/>
        <v>2.1707786666666671</v>
      </c>
    </row>
    <row r="553" spans="4:10" x14ac:dyDescent="0.45">
      <c r="D553" s="113">
        <v>41122</v>
      </c>
      <c r="E553" s="52">
        <v>2.1718632000000002</v>
      </c>
      <c r="F553">
        <f t="shared" si="40"/>
        <v>210</v>
      </c>
      <c r="G553">
        <f t="shared" si="41"/>
        <v>210</v>
      </c>
      <c r="H553">
        <f t="shared" si="42"/>
        <v>46</v>
      </c>
      <c r="I553" s="114">
        <f t="shared" si="44"/>
        <v>41244</v>
      </c>
      <c r="J553">
        <f t="shared" si="43"/>
        <v>2.1707786666666671</v>
      </c>
    </row>
    <row r="554" spans="4:10" x14ac:dyDescent="0.45">
      <c r="D554" s="113">
        <v>41153</v>
      </c>
      <c r="E554" s="52">
        <v>2.2199385</v>
      </c>
      <c r="F554">
        <f t="shared" si="40"/>
        <v>240</v>
      </c>
      <c r="G554">
        <f t="shared" si="41"/>
        <v>240</v>
      </c>
      <c r="H554">
        <f t="shared" si="42"/>
        <v>46</v>
      </c>
      <c r="I554" s="114">
        <f t="shared" si="44"/>
        <v>41244</v>
      </c>
      <c r="J554">
        <f t="shared" si="43"/>
        <v>2.1707786666666671</v>
      </c>
    </row>
    <row r="555" spans="4:10" x14ac:dyDescent="0.45">
      <c r="D555" s="113">
        <v>41183</v>
      </c>
      <c r="E555" s="52">
        <v>2.2070704999999999</v>
      </c>
      <c r="F555">
        <f t="shared" si="40"/>
        <v>270</v>
      </c>
      <c r="G555">
        <f t="shared" si="41"/>
        <v>270</v>
      </c>
      <c r="H555">
        <f t="shared" si="42"/>
        <v>46</v>
      </c>
      <c r="I555" s="114">
        <f t="shared" si="44"/>
        <v>41244</v>
      </c>
      <c r="J555">
        <f t="shared" si="43"/>
        <v>2.1707786666666671</v>
      </c>
    </row>
    <row r="556" spans="4:10" x14ac:dyDescent="0.45">
      <c r="D556" s="113">
        <v>41214</v>
      </c>
      <c r="E556" s="52">
        <v>2.1959868999999999</v>
      </c>
      <c r="F556">
        <f t="shared" si="40"/>
        <v>300</v>
      </c>
      <c r="G556">
        <f t="shared" si="41"/>
        <v>300</v>
      </c>
      <c r="H556">
        <f t="shared" si="42"/>
        <v>46</v>
      </c>
      <c r="I556" s="114">
        <f t="shared" si="44"/>
        <v>41244</v>
      </c>
      <c r="J556">
        <f t="shared" si="43"/>
        <v>2.1707786666666671</v>
      </c>
    </row>
    <row r="557" spans="4:10" x14ac:dyDescent="0.45">
      <c r="D557" s="113">
        <v>41244</v>
      </c>
      <c r="E557" s="52">
        <v>2.1097305</v>
      </c>
      <c r="F557">
        <f t="shared" si="40"/>
        <v>330</v>
      </c>
      <c r="G557">
        <f t="shared" si="41"/>
        <v>330</v>
      </c>
      <c r="H557">
        <f t="shared" si="42"/>
        <v>46</v>
      </c>
      <c r="I557" s="114">
        <f t="shared" si="44"/>
        <v>41244</v>
      </c>
      <c r="J557">
        <f t="shared" si="43"/>
        <v>2.1707786666666671</v>
      </c>
    </row>
    <row r="558" spans="4:10" x14ac:dyDescent="0.45">
      <c r="D558" s="113">
        <v>41275</v>
      </c>
      <c r="E558" s="52">
        <v>2.0682971000000001</v>
      </c>
      <c r="F558">
        <f t="shared" si="40"/>
        <v>0</v>
      </c>
      <c r="G558">
        <f t="shared" si="41"/>
        <v>0</v>
      </c>
      <c r="H558">
        <f t="shared" si="42"/>
        <v>47</v>
      </c>
      <c r="I558" s="114">
        <f t="shared" si="44"/>
        <v>41609</v>
      </c>
      <c r="J558">
        <f t="shared" si="43"/>
        <v>1.9449664416666668</v>
      </c>
    </row>
    <row r="559" spans="4:10" x14ac:dyDescent="0.45">
      <c r="D559" s="113">
        <v>41306</v>
      </c>
      <c r="E559" s="52">
        <v>2.1460170000000001</v>
      </c>
      <c r="F559">
        <f t="shared" si="40"/>
        <v>30</v>
      </c>
      <c r="G559">
        <f t="shared" si="41"/>
        <v>30</v>
      </c>
      <c r="H559">
        <f t="shared" si="42"/>
        <v>47</v>
      </c>
      <c r="I559" s="114">
        <f t="shared" si="44"/>
        <v>41609</v>
      </c>
      <c r="J559">
        <f t="shared" si="43"/>
        <v>1.9449664416666668</v>
      </c>
    </row>
    <row r="560" spans="4:10" x14ac:dyDescent="0.45">
      <c r="D560" s="113">
        <v>41334</v>
      </c>
      <c r="E560" s="52">
        <v>2.0999024999999998</v>
      </c>
      <c r="F560">
        <f t="shared" si="40"/>
        <v>60</v>
      </c>
      <c r="G560">
        <f t="shared" si="41"/>
        <v>60</v>
      </c>
      <c r="H560">
        <f t="shared" si="42"/>
        <v>47</v>
      </c>
      <c r="I560" s="114">
        <f t="shared" si="44"/>
        <v>41609</v>
      </c>
      <c r="J560">
        <f t="shared" si="43"/>
        <v>1.9449664416666668</v>
      </c>
    </row>
    <row r="561" spans="4:10" x14ac:dyDescent="0.45">
      <c r="D561" s="113">
        <v>41365</v>
      </c>
      <c r="E561" s="52">
        <v>1.9354319</v>
      </c>
      <c r="F561">
        <f t="shared" si="40"/>
        <v>90</v>
      </c>
      <c r="G561">
        <f t="shared" si="41"/>
        <v>90</v>
      </c>
      <c r="H561">
        <f t="shared" si="42"/>
        <v>47</v>
      </c>
      <c r="I561" s="114">
        <f t="shared" si="44"/>
        <v>41609</v>
      </c>
      <c r="J561">
        <f t="shared" si="43"/>
        <v>1.9449664416666668</v>
      </c>
    </row>
    <row r="562" spans="4:10" x14ac:dyDescent="0.45">
      <c r="D562" s="113">
        <v>41395</v>
      </c>
      <c r="E562" s="52">
        <v>1.907797</v>
      </c>
      <c r="F562">
        <f t="shared" si="40"/>
        <v>120</v>
      </c>
      <c r="G562">
        <f t="shared" si="41"/>
        <v>120</v>
      </c>
      <c r="H562">
        <f t="shared" si="42"/>
        <v>47</v>
      </c>
      <c r="I562" s="114">
        <f t="shared" si="44"/>
        <v>41609</v>
      </c>
      <c r="J562">
        <f t="shared" si="43"/>
        <v>1.9449664416666668</v>
      </c>
    </row>
    <row r="563" spans="4:10" x14ac:dyDescent="0.45">
      <c r="D563" s="113">
        <v>41426</v>
      </c>
      <c r="E563" s="52">
        <v>1.8766189</v>
      </c>
      <c r="F563">
        <f t="shared" si="40"/>
        <v>150</v>
      </c>
      <c r="G563">
        <f t="shared" si="41"/>
        <v>150</v>
      </c>
      <c r="H563">
        <f t="shared" si="42"/>
        <v>47</v>
      </c>
      <c r="I563" s="114">
        <f t="shared" si="44"/>
        <v>41609</v>
      </c>
      <c r="J563">
        <f t="shared" si="43"/>
        <v>1.9449664416666668</v>
      </c>
    </row>
    <row r="564" spans="4:10" x14ac:dyDescent="0.45">
      <c r="D564" s="113">
        <v>41456</v>
      </c>
      <c r="E564" s="52">
        <v>1.8678790000000001</v>
      </c>
      <c r="F564">
        <f t="shared" si="40"/>
        <v>180</v>
      </c>
      <c r="G564">
        <f t="shared" si="41"/>
        <v>180</v>
      </c>
      <c r="H564">
        <f t="shared" si="42"/>
        <v>47</v>
      </c>
      <c r="I564" s="114">
        <f t="shared" si="44"/>
        <v>41609</v>
      </c>
      <c r="J564">
        <f t="shared" si="43"/>
        <v>1.9449664416666668</v>
      </c>
    </row>
    <row r="565" spans="4:10" x14ac:dyDescent="0.45">
      <c r="D565" s="113">
        <v>41487</v>
      </c>
      <c r="E565" s="52">
        <v>1.9142201999999999</v>
      </c>
      <c r="F565">
        <f t="shared" si="40"/>
        <v>210</v>
      </c>
      <c r="G565">
        <f t="shared" si="41"/>
        <v>210</v>
      </c>
      <c r="H565">
        <f t="shared" si="42"/>
        <v>47</v>
      </c>
      <c r="I565" s="114">
        <f t="shared" si="44"/>
        <v>41609</v>
      </c>
      <c r="J565">
        <f t="shared" si="43"/>
        <v>1.9449664416666668</v>
      </c>
    </row>
    <row r="566" spans="4:10" x14ac:dyDescent="0.45">
      <c r="D566" s="113">
        <v>41518</v>
      </c>
      <c r="E566" s="52">
        <v>1.8904211</v>
      </c>
      <c r="F566">
        <f t="shared" si="40"/>
        <v>240</v>
      </c>
      <c r="G566">
        <f t="shared" si="41"/>
        <v>240</v>
      </c>
      <c r="H566">
        <f t="shared" si="42"/>
        <v>47</v>
      </c>
      <c r="I566" s="114">
        <f t="shared" si="44"/>
        <v>41609</v>
      </c>
      <c r="J566">
        <f t="shared" si="43"/>
        <v>1.9449664416666668</v>
      </c>
    </row>
    <row r="567" spans="4:10" x14ac:dyDescent="0.45">
      <c r="D567" s="113">
        <v>41548</v>
      </c>
      <c r="E567" s="52">
        <v>1.8687355999999999</v>
      </c>
      <c r="F567">
        <f t="shared" si="40"/>
        <v>270</v>
      </c>
      <c r="G567">
        <f t="shared" si="41"/>
        <v>270</v>
      </c>
      <c r="H567">
        <f t="shared" si="42"/>
        <v>47</v>
      </c>
      <c r="I567" s="114">
        <f t="shared" si="44"/>
        <v>41609</v>
      </c>
      <c r="J567">
        <f t="shared" si="43"/>
        <v>1.9449664416666668</v>
      </c>
    </row>
    <row r="568" spans="4:10" x14ac:dyDescent="0.45">
      <c r="D568" s="113">
        <v>41579</v>
      </c>
      <c r="E568" s="52">
        <v>1.8930866</v>
      </c>
      <c r="F568">
        <f t="shared" si="40"/>
        <v>300</v>
      </c>
      <c r="G568">
        <f t="shared" si="41"/>
        <v>300</v>
      </c>
      <c r="H568">
        <f t="shared" si="42"/>
        <v>47</v>
      </c>
      <c r="I568" s="114">
        <f t="shared" si="44"/>
        <v>41609</v>
      </c>
      <c r="J568">
        <f t="shared" si="43"/>
        <v>1.9449664416666668</v>
      </c>
    </row>
    <row r="569" spans="4:10" x14ac:dyDescent="0.45">
      <c r="D569" s="113">
        <v>41609</v>
      </c>
      <c r="E569" s="52">
        <v>1.8711903999999999</v>
      </c>
      <c r="F569">
        <f t="shared" si="40"/>
        <v>330</v>
      </c>
      <c r="G569">
        <f t="shared" si="41"/>
        <v>330</v>
      </c>
      <c r="H569">
        <f t="shared" si="42"/>
        <v>47</v>
      </c>
      <c r="I569" s="114">
        <f t="shared" si="44"/>
        <v>41609</v>
      </c>
      <c r="J569">
        <f t="shared" si="43"/>
        <v>1.9449664416666668</v>
      </c>
    </row>
    <row r="570" spans="4:10" x14ac:dyDescent="0.45">
      <c r="D570" s="113">
        <v>41640</v>
      </c>
      <c r="E570" s="52">
        <v>1.8218144999999999</v>
      </c>
      <c r="F570">
        <f t="shared" si="40"/>
        <v>0</v>
      </c>
      <c r="G570">
        <f t="shared" si="41"/>
        <v>0</v>
      </c>
      <c r="H570">
        <f t="shared" si="42"/>
        <v>48</v>
      </c>
      <c r="I570" s="114">
        <f t="shared" si="44"/>
        <v>41974</v>
      </c>
      <c r="J570">
        <f t="shared" si="43"/>
        <v>1.9772887499999998</v>
      </c>
    </row>
    <row r="571" spans="4:10" x14ac:dyDescent="0.45">
      <c r="D571" s="113">
        <v>41671</v>
      </c>
      <c r="E571" s="52">
        <v>1.7891862999999999</v>
      </c>
      <c r="F571">
        <f t="shared" si="40"/>
        <v>30</v>
      </c>
      <c r="G571">
        <f t="shared" si="41"/>
        <v>30</v>
      </c>
      <c r="H571">
        <f t="shared" si="42"/>
        <v>48</v>
      </c>
      <c r="I571" s="114">
        <f t="shared" si="44"/>
        <v>41974</v>
      </c>
      <c r="J571">
        <f t="shared" si="43"/>
        <v>1.9772887499999998</v>
      </c>
    </row>
    <row r="572" spans="4:10" x14ac:dyDescent="0.45">
      <c r="D572" s="113">
        <v>41699</v>
      </c>
      <c r="E572" s="52">
        <v>1.8208567</v>
      </c>
      <c r="F572">
        <f t="shared" si="40"/>
        <v>60</v>
      </c>
      <c r="G572">
        <f t="shared" si="41"/>
        <v>60</v>
      </c>
      <c r="H572">
        <f t="shared" si="42"/>
        <v>48</v>
      </c>
      <c r="I572" s="114">
        <f t="shared" si="44"/>
        <v>41974</v>
      </c>
      <c r="J572">
        <f t="shared" si="43"/>
        <v>1.9772887499999998</v>
      </c>
    </row>
    <row r="573" spans="4:10" x14ac:dyDescent="0.45">
      <c r="D573" s="113">
        <v>41730</v>
      </c>
      <c r="E573" s="52">
        <v>2.0251611999999999</v>
      </c>
      <c r="F573">
        <f t="shared" si="40"/>
        <v>90</v>
      </c>
      <c r="G573">
        <f t="shared" si="41"/>
        <v>90</v>
      </c>
      <c r="H573">
        <f t="shared" si="42"/>
        <v>48</v>
      </c>
      <c r="I573" s="114">
        <f t="shared" si="44"/>
        <v>41974</v>
      </c>
      <c r="J573">
        <f t="shared" si="43"/>
        <v>1.9772887499999998</v>
      </c>
    </row>
    <row r="574" spans="4:10" x14ac:dyDescent="0.45">
      <c r="D574" s="113">
        <v>41760</v>
      </c>
      <c r="E574" s="52">
        <v>2.1282345</v>
      </c>
      <c r="F574">
        <f t="shared" si="40"/>
        <v>120</v>
      </c>
      <c r="G574">
        <f t="shared" si="41"/>
        <v>120</v>
      </c>
      <c r="H574">
        <f t="shared" si="42"/>
        <v>48</v>
      </c>
      <c r="I574" s="114">
        <f t="shared" si="44"/>
        <v>41974</v>
      </c>
      <c r="J574">
        <f t="shared" si="43"/>
        <v>1.9772887499999998</v>
      </c>
    </row>
    <row r="575" spans="4:10" x14ac:dyDescent="0.45">
      <c r="D575" s="113">
        <v>41791</v>
      </c>
      <c r="E575" s="52">
        <v>2.1433409000000001</v>
      </c>
      <c r="F575">
        <f t="shared" si="40"/>
        <v>150</v>
      </c>
      <c r="G575">
        <f t="shared" si="41"/>
        <v>150</v>
      </c>
      <c r="H575">
        <f t="shared" si="42"/>
        <v>48</v>
      </c>
      <c r="I575" s="114">
        <f t="shared" si="44"/>
        <v>41974</v>
      </c>
      <c r="J575">
        <f t="shared" si="43"/>
        <v>1.9772887499999998</v>
      </c>
    </row>
    <row r="576" spans="4:10" x14ac:dyDescent="0.45">
      <c r="D576" s="113">
        <v>41821</v>
      </c>
      <c r="E576" s="52">
        <v>2.1008094000000002</v>
      </c>
      <c r="F576">
        <f t="shared" si="40"/>
        <v>180</v>
      </c>
      <c r="G576">
        <f t="shared" si="41"/>
        <v>180</v>
      </c>
      <c r="H576">
        <f t="shared" si="42"/>
        <v>48</v>
      </c>
      <c r="I576" s="114">
        <f t="shared" si="44"/>
        <v>41974</v>
      </c>
      <c r="J576">
        <f t="shared" si="43"/>
        <v>1.9772887499999998</v>
      </c>
    </row>
    <row r="577" spans="4:10" x14ac:dyDescent="0.45">
      <c r="D577" s="113">
        <v>41852</v>
      </c>
      <c r="E577" s="52">
        <v>1.9625041999999999</v>
      </c>
      <c r="F577">
        <f t="shared" si="40"/>
        <v>210</v>
      </c>
      <c r="G577">
        <f t="shared" si="41"/>
        <v>210</v>
      </c>
      <c r="H577">
        <f t="shared" si="42"/>
        <v>48</v>
      </c>
      <c r="I577" s="114">
        <f t="shared" si="44"/>
        <v>41974</v>
      </c>
      <c r="J577">
        <f t="shared" si="43"/>
        <v>1.9772887499999998</v>
      </c>
    </row>
    <row r="578" spans="4:10" x14ac:dyDescent="0.45">
      <c r="D578" s="113">
        <v>41883</v>
      </c>
      <c r="E578" s="52">
        <v>1.9540470000000001</v>
      </c>
      <c r="F578">
        <f t="shared" si="40"/>
        <v>240</v>
      </c>
      <c r="G578">
        <f t="shared" si="41"/>
        <v>240</v>
      </c>
      <c r="H578">
        <f t="shared" si="42"/>
        <v>48</v>
      </c>
      <c r="I578" s="114">
        <f t="shared" si="44"/>
        <v>41974</v>
      </c>
      <c r="J578">
        <f t="shared" si="43"/>
        <v>1.9772887499999998</v>
      </c>
    </row>
    <row r="579" spans="4:10" x14ac:dyDescent="0.45">
      <c r="D579" s="113">
        <v>41913</v>
      </c>
      <c r="E579" s="52">
        <v>2.0060186999999998</v>
      </c>
      <c r="F579">
        <f t="shared" si="40"/>
        <v>270</v>
      </c>
      <c r="G579">
        <f t="shared" si="41"/>
        <v>270</v>
      </c>
      <c r="H579">
        <f t="shared" si="42"/>
        <v>48</v>
      </c>
      <c r="I579" s="114">
        <f t="shared" si="44"/>
        <v>41974</v>
      </c>
      <c r="J579">
        <f t="shared" si="43"/>
        <v>1.9772887499999998</v>
      </c>
    </row>
    <row r="580" spans="4:10" x14ac:dyDescent="0.45">
      <c r="D580" s="113">
        <v>41944</v>
      </c>
      <c r="E580" s="52">
        <v>2.0043657000000001</v>
      </c>
      <c r="F580">
        <f t="shared" si="40"/>
        <v>300</v>
      </c>
      <c r="G580">
        <f t="shared" si="41"/>
        <v>300</v>
      </c>
      <c r="H580">
        <f t="shared" si="42"/>
        <v>48</v>
      </c>
      <c r="I580" s="114">
        <f t="shared" si="44"/>
        <v>41974</v>
      </c>
      <c r="J580">
        <f t="shared" si="43"/>
        <v>1.9772887499999998</v>
      </c>
    </row>
    <row r="581" spans="4:10" x14ac:dyDescent="0.45">
      <c r="D581" s="113">
        <v>41974</v>
      </c>
      <c r="E581" s="52">
        <v>1.9711259000000001</v>
      </c>
      <c r="F581">
        <f t="shared" si="40"/>
        <v>330</v>
      </c>
      <c r="G581">
        <f t="shared" si="41"/>
        <v>330</v>
      </c>
      <c r="H581">
        <f t="shared" si="42"/>
        <v>48</v>
      </c>
      <c r="I581" s="114">
        <f t="shared" si="44"/>
        <v>41974</v>
      </c>
      <c r="J581">
        <f t="shared" si="43"/>
        <v>1.9772887499999998</v>
      </c>
    </row>
    <row r="582" spans="4:10" x14ac:dyDescent="0.45">
      <c r="D582" s="113">
        <v>42005</v>
      </c>
      <c r="E582" s="52">
        <v>1.9856529999999999</v>
      </c>
      <c r="F582">
        <f t="shared" si="40"/>
        <v>0</v>
      </c>
      <c r="G582">
        <f t="shared" si="41"/>
        <v>0</v>
      </c>
      <c r="H582">
        <f t="shared" si="42"/>
        <v>49</v>
      </c>
      <c r="I582" s="114">
        <f t="shared" si="44"/>
        <v>42339</v>
      </c>
      <c r="J582">
        <f t="shared" si="43"/>
        <v>2.1673172916666665</v>
      </c>
    </row>
    <row r="583" spans="4:10" x14ac:dyDescent="0.45">
      <c r="D583" s="113">
        <v>42036</v>
      </c>
      <c r="E583" s="52">
        <v>1.9819969</v>
      </c>
      <c r="F583">
        <f t="shared" si="40"/>
        <v>30</v>
      </c>
      <c r="G583">
        <f t="shared" si="41"/>
        <v>30</v>
      </c>
      <c r="H583">
        <f t="shared" si="42"/>
        <v>49</v>
      </c>
      <c r="I583" s="114">
        <f t="shared" si="44"/>
        <v>42339</v>
      </c>
      <c r="J583">
        <f t="shared" si="43"/>
        <v>2.1673172916666665</v>
      </c>
    </row>
    <row r="584" spans="4:10" x14ac:dyDescent="0.45">
      <c r="D584" s="113">
        <v>42064</v>
      </c>
      <c r="E584" s="52">
        <v>1.9991371</v>
      </c>
      <c r="F584">
        <f t="shared" si="40"/>
        <v>60</v>
      </c>
      <c r="G584">
        <f t="shared" si="41"/>
        <v>60</v>
      </c>
      <c r="H584">
        <f t="shared" si="42"/>
        <v>49</v>
      </c>
      <c r="I584" s="114">
        <f t="shared" si="44"/>
        <v>42339</v>
      </c>
      <c r="J584">
        <f t="shared" si="43"/>
        <v>2.1673172916666665</v>
      </c>
    </row>
    <row r="585" spans="4:10" x14ac:dyDescent="0.45">
      <c r="D585" s="113">
        <v>42095</v>
      </c>
      <c r="E585" s="52">
        <v>2.0631235999999999</v>
      </c>
      <c r="F585">
        <f t="shared" si="40"/>
        <v>90</v>
      </c>
      <c r="G585">
        <f t="shared" si="41"/>
        <v>90</v>
      </c>
      <c r="H585">
        <f t="shared" si="42"/>
        <v>49</v>
      </c>
      <c r="I585" s="114">
        <f t="shared" si="44"/>
        <v>42339</v>
      </c>
      <c r="J585">
        <f t="shared" si="43"/>
        <v>2.1673172916666665</v>
      </c>
    </row>
    <row r="586" spans="4:10" x14ac:dyDescent="0.45">
      <c r="D586" s="113">
        <v>42125</v>
      </c>
      <c r="E586" s="52">
        <v>2.0668869000000001</v>
      </c>
      <c r="F586">
        <f t="shared" si="40"/>
        <v>120</v>
      </c>
      <c r="G586">
        <f t="shared" si="41"/>
        <v>120</v>
      </c>
      <c r="H586">
        <f t="shared" si="42"/>
        <v>49</v>
      </c>
      <c r="I586" s="114">
        <f t="shared" si="44"/>
        <v>42339</v>
      </c>
      <c r="J586">
        <f t="shared" si="43"/>
        <v>2.1673172916666665</v>
      </c>
    </row>
    <row r="587" spans="4:10" x14ac:dyDescent="0.45">
      <c r="D587" s="113">
        <v>42156</v>
      </c>
      <c r="E587" s="52">
        <v>2.1147326</v>
      </c>
      <c r="F587">
        <f t="shared" si="40"/>
        <v>150</v>
      </c>
      <c r="G587">
        <f t="shared" si="41"/>
        <v>150</v>
      </c>
      <c r="H587">
        <f t="shared" si="42"/>
        <v>49</v>
      </c>
      <c r="I587" s="114">
        <f t="shared" si="44"/>
        <v>42339</v>
      </c>
      <c r="J587">
        <f t="shared" si="43"/>
        <v>2.1673172916666665</v>
      </c>
    </row>
    <row r="588" spans="4:10" x14ac:dyDescent="0.45">
      <c r="D588" s="113">
        <v>42186</v>
      </c>
      <c r="E588" s="52">
        <v>2.1414477000000001</v>
      </c>
      <c r="F588">
        <f t="shared" si="40"/>
        <v>180</v>
      </c>
      <c r="G588">
        <f t="shared" si="41"/>
        <v>180</v>
      </c>
      <c r="H588">
        <f t="shared" si="42"/>
        <v>49</v>
      </c>
      <c r="I588" s="114">
        <f t="shared" si="44"/>
        <v>42339</v>
      </c>
      <c r="J588">
        <f t="shared" si="43"/>
        <v>2.1673172916666665</v>
      </c>
    </row>
    <row r="589" spans="4:10" x14ac:dyDescent="0.45">
      <c r="D589" s="113">
        <v>42217</v>
      </c>
      <c r="E589" s="52">
        <v>2.1802397999999998</v>
      </c>
      <c r="F589">
        <f t="shared" si="40"/>
        <v>210</v>
      </c>
      <c r="G589">
        <f t="shared" si="41"/>
        <v>210</v>
      </c>
      <c r="H589">
        <f t="shared" si="42"/>
        <v>49</v>
      </c>
      <c r="I589" s="114">
        <f t="shared" si="44"/>
        <v>42339</v>
      </c>
      <c r="J589">
        <f t="shared" si="43"/>
        <v>2.1673172916666665</v>
      </c>
    </row>
    <row r="590" spans="4:10" x14ac:dyDescent="0.45">
      <c r="D590" s="113">
        <v>42248</v>
      </c>
      <c r="E590" s="52">
        <v>2.2794310000000002</v>
      </c>
      <c r="F590">
        <f t="shared" si="40"/>
        <v>240</v>
      </c>
      <c r="G590">
        <f t="shared" si="41"/>
        <v>240</v>
      </c>
      <c r="H590">
        <f t="shared" si="42"/>
        <v>49</v>
      </c>
      <c r="I590" s="114">
        <f t="shared" si="44"/>
        <v>42339</v>
      </c>
      <c r="J590">
        <f t="shared" si="43"/>
        <v>2.1673172916666665</v>
      </c>
    </row>
    <row r="591" spans="4:10" x14ac:dyDescent="0.45">
      <c r="D591" s="113">
        <v>42278</v>
      </c>
      <c r="E591" s="52">
        <v>2.3462109</v>
      </c>
      <c r="F591">
        <f t="shared" si="40"/>
        <v>270</v>
      </c>
      <c r="G591">
        <f t="shared" si="41"/>
        <v>270</v>
      </c>
      <c r="H591">
        <f t="shared" si="42"/>
        <v>49</v>
      </c>
      <c r="I591" s="114">
        <f t="shared" si="44"/>
        <v>42339</v>
      </c>
      <c r="J591">
        <f t="shared" si="43"/>
        <v>2.1673172916666665</v>
      </c>
    </row>
    <row r="592" spans="4:10" x14ac:dyDescent="0.45">
      <c r="D592" s="113">
        <v>42309</v>
      </c>
      <c r="E592" s="52">
        <v>2.4052606000000001</v>
      </c>
      <c r="F592">
        <f t="shared" si="40"/>
        <v>300</v>
      </c>
      <c r="G592">
        <f t="shared" si="41"/>
        <v>300</v>
      </c>
      <c r="H592">
        <f t="shared" si="42"/>
        <v>49</v>
      </c>
      <c r="I592" s="114">
        <f t="shared" si="44"/>
        <v>42339</v>
      </c>
      <c r="J592">
        <f t="shared" si="43"/>
        <v>2.1673172916666665</v>
      </c>
    </row>
    <row r="593" spans="4:10" x14ac:dyDescent="0.45">
      <c r="D593" s="113">
        <v>42339</v>
      </c>
      <c r="E593" s="52">
        <v>2.4436874</v>
      </c>
      <c r="F593">
        <f t="shared" ref="F593:F656" si="45">FLOOR(DAYS360(DATE(YEAR(D593),1,1),D593),30)</f>
        <v>330</v>
      </c>
      <c r="G593">
        <f t="shared" si="41"/>
        <v>330</v>
      </c>
      <c r="H593">
        <f t="shared" si="42"/>
        <v>49</v>
      </c>
      <c r="I593" s="114">
        <f t="shared" si="44"/>
        <v>42339</v>
      </c>
      <c r="J593">
        <f t="shared" si="43"/>
        <v>2.1673172916666665</v>
      </c>
    </row>
    <row r="594" spans="4:10" x14ac:dyDescent="0.45">
      <c r="D594" s="113">
        <v>42370</v>
      </c>
      <c r="E594" s="52">
        <v>2.4667222</v>
      </c>
      <c r="F594">
        <f t="shared" si="45"/>
        <v>0</v>
      </c>
      <c r="G594">
        <f t="shared" ref="G594:G657" si="46">MOD(F594, 360/$G$12)</f>
        <v>0</v>
      </c>
      <c r="H594">
        <f t="shared" ref="H594:H657" si="47">IF(G594&gt;G593,H593,H593+1)</f>
        <v>50</v>
      </c>
      <c r="I594" s="114">
        <f t="shared" si="44"/>
        <v>42705</v>
      </c>
      <c r="J594">
        <f t="shared" ref="J594:J657" si="48">AVERAGEIF($H$17:$H$675,H594,$E$17:$E$675)</f>
        <v>2.5651574416666669</v>
      </c>
    </row>
    <row r="595" spans="4:10" x14ac:dyDescent="0.45">
      <c r="D595" s="113">
        <v>42401</v>
      </c>
      <c r="E595" s="52">
        <v>2.5442092000000001</v>
      </c>
      <c r="F595">
        <f t="shared" si="45"/>
        <v>30</v>
      </c>
      <c r="G595">
        <f t="shared" si="46"/>
        <v>30</v>
      </c>
      <c r="H595">
        <f t="shared" si="47"/>
        <v>50</v>
      </c>
      <c r="I595" s="114">
        <f t="shared" ref="I595:I658" si="49">EDATE(I594,(H595-H594)*(12/$G$12))</f>
        <v>42705</v>
      </c>
      <c r="J595">
        <f t="shared" si="48"/>
        <v>2.5651574416666669</v>
      </c>
    </row>
    <row r="596" spans="4:10" x14ac:dyDescent="0.45">
      <c r="D596" s="113">
        <v>42430</v>
      </c>
      <c r="E596" s="52">
        <v>2.5318779999999999</v>
      </c>
      <c r="F596">
        <f t="shared" si="45"/>
        <v>60</v>
      </c>
      <c r="G596">
        <f t="shared" si="46"/>
        <v>60</v>
      </c>
      <c r="H596">
        <f t="shared" si="47"/>
        <v>50</v>
      </c>
      <c r="I596" s="114">
        <f t="shared" si="49"/>
        <v>42705</v>
      </c>
      <c r="J596">
        <f t="shared" si="48"/>
        <v>2.5651574416666669</v>
      </c>
    </row>
    <row r="597" spans="4:10" x14ac:dyDescent="0.45">
      <c r="D597" s="113">
        <v>42461</v>
      </c>
      <c r="E597" s="52">
        <v>2.5379960000000001</v>
      </c>
      <c r="F597">
        <f t="shared" si="45"/>
        <v>90</v>
      </c>
      <c r="G597">
        <f t="shared" si="46"/>
        <v>90</v>
      </c>
      <c r="H597">
        <f t="shared" si="47"/>
        <v>50</v>
      </c>
      <c r="I597" s="114">
        <f t="shared" si="49"/>
        <v>42705</v>
      </c>
      <c r="J597">
        <f t="shared" si="48"/>
        <v>2.5651574416666669</v>
      </c>
    </row>
    <row r="598" spans="4:10" x14ac:dyDescent="0.45">
      <c r="D598" s="113">
        <v>42491</v>
      </c>
      <c r="E598" s="52">
        <v>2.5711572</v>
      </c>
      <c r="F598">
        <f t="shared" si="45"/>
        <v>120</v>
      </c>
      <c r="G598">
        <f t="shared" si="46"/>
        <v>120</v>
      </c>
      <c r="H598">
        <f t="shared" si="47"/>
        <v>50</v>
      </c>
      <c r="I598" s="114">
        <f t="shared" si="49"/>
        <v>42705</v>
      </c>
      <c r="J598">
        <f t="shared" si="48"/>
        <v>2.5651574416666669</v>
      </c>
    </row>
    <row r="599" spans="4:10" x14ac:dyDescent="0.45">
      <c r="D599" s="113">
        <v>42522</v>
      </c>
      <c r="E599" s="52">
        <v>2.5689022000000001</v>
      </c>
      <c r="F599">
        <f t="shared" si="45"/>
        <v>150</v>
      </c>
      <c r="G599">
        <f t="shared" si="46"/>
        <v>150</v>
      </c>
      <c r="H599">
        <f t="shared" si="47"/>
        <v>50</v>
      </c>
      <c r="I599" s="114">
        <f t="shared" si="49"/>
        <v>42705</v>
      </c>
      <c r="J599">
        <f t="shared" si="48"/>
        <v>2.5651574416666669</v>
      </c>
    </row>
    <row r="600" spans="4:10" x14ac:dyDescent="0.45">
      <c r="D600" s="113">
        <v>42552</v>
      </c>
      <c r="E600" s="52">
        <v>2.5758511999999998</v>
      </c>
      <c r="F600">
        <f t="shared" si="45"/>
        <v>180</v>
      </c>
      <c r="G600">
        <f t="shared" si="46"/>
        <v>180</v>
      </c>
      <c r="H600">
        <f t="shared" si="47"/>
        <v>50</v>
      </c>
      <c r="I600" s="114">
        <f t="shared" si="49"/>
        <v>42705</v>
      </c>
      <c r="J600">
        <f t="shared" si="48"/>
        <v>2.5651574416666669</v>
      </c>
    </row>
    <row r="601" spans="4:10" x14ac:dyDescent="0.45">
      <c r="D601" s="113">
        <v>42583</v>
      </c>
      <c r="E601" s="52">
        <v>2.7228064000000001</v>
      </c>
      <c r="F601">
        <f t="shared" si="45"/>
        <v>210</v>
      </c>
      <c r="G601">
        <f t="shared" si="46"/>
        <v>210</v>
      </c>
      <c r="H601">
        <f t="shared" si="47"/>
        <v>50</v>
      </c>
      <c r="I601" s="114">
        <f t="shared" si="49"/>
        <v>42705</v>
      </c>
      <c r="J601">
        <f t="shared" si="48"/>
        <v>2.5651574416666669</v>
      </c>
    </row>
    <row r="602" spans="4:10" x14ac:dyDescent="0.45">
      <c r="D602" s="113">
        <v>42614</v>
      </c>
      <c r="E602" s="52">
        <v>2.6321032</v>
      </c>
      <c r="F602">
        <f t="shared" si="45"/>
        <v>240</v>
      </c>
      <c r="G602">
        <f t="shared" si="46"/>
        <v>240</v>
      </c>
      <c r="H602">
        <f t="shared" si="47"/>
        <v>50</v>
      </c>
      <c r="I602" s="114">
        <f t="shared" si="49"/>
        <v>42705</v>
      </c>
      <c r="J602">
        <f t="shared" si="48"/>
        <v>2.5651574416666669</v>
      </c>
    </row>
    <row r="603" spans="4:10" x14ac:dyDescent="0.45">
      <c r="D603" s="113">
        <v>42644</v>
      </c>
      <c r="E603" s="52">
        <v>2.5095184000000001</v>
      </c>
      <c r="F603">
        <f t="shared" si="45"/>
        <v>270</v>
      </c>
      <c r="G603">
        <f t="shared" si="46"/>
        <v>270</v>
      </c>
      <c r="H603">
        <f t="shared" si="47"/>
        <v>50</v>
      </c>
      <c r="I603" s="114">
        <f t="shared" si="49"/>
        <v>42705</v>
      </c>
      <c r="J603">
        <f t="shared" si="48"/>
        <v>2.5651574416666669</v>
      </c>
    </row>
    <row r="604" spans="4:10" x14ac:dyDescent="0.45">
      <c r="D604" s="113">
        <v>42675</v>
      </c>
      <c r="E604" s="52">
        <v>2.5258012999999999</v>
      </c>
      <c r="F604">
        <f t="shared" si="45"/>
        <v>300</v>
      </c>
      <c r="G604">
        <f t="shared" si="46"/>
        <v>300</v>
      </c>
      <c r="H604">
        <f t="shared" si="47"/>
        <v>50</v>
      </c>
      <c r="I604" s="114">
        <f t="shared" si="49"/>
        <v>42705</v>
      </c>
      <c r="J604">
        <f t="shared" si="48"/>
        <v>2.5651574416666669</v>
      </c>
    </row>
    <row r="605" spans="4:10" x14ac:dyDescent="0.45">
      <c r="D605" s="113">
        <v>42705</v>
      </c>
      <c r="E605" s="52">
        <v>2.5949439999999999</v>
      </c>
      <c r="F605">
        <f t="shared" si="45"/>
        <v>330</v>
      </c>
      <c r="G605">
        <f t="shared" si="46"/>
        <v>330</v>
      </c>
      <c r="H605">
        <f t="shared" si="47"/>
        <v>50</v>
      </c>
      <c r="I605" s="114">
        <f t="shared" si="49"/>
        <v>42705</v>
      </c>
      <c r="J605">
        <f t="shared" si="48"/>
        <v>2.5651574416666669</v>
      </c>
    </row>
    <row r="606" spans="4:10" x14ac:dyDescent="0.45">
      <c r="D606" s="113">
        <v>42736</v>
      </c>
      <c r="E606" s="52">
        <v>2.661562</v>
      </c>
      <c r="F606">
        <f t="shared" si="45"/>
        <v>0</v>
      </c>
      <c r="G606">
        <f t="shared" si="46"/>
        <v>0</v>
      </c>
      <c r="H606">
        <f t="shared" si="47"/>
        <v>51</v>
      </c>
      <c r="I606" s="114">
        <f t="shared" si="49"/>
        <v>43070</v>
      </c>
      <c r="J606">
        <f t="shared" si="48"/>
        <v>2.2593830833333333</v>
      </c>
    </row>
    <row r="607" spans="4:10" x14ac:dyDescent="0.45">
      <c r="D607" s="113">
        <v>42767</v>
      </c>
      <c r="E607" s="52">
        <v>2.6744599999999998</v>
      </c>
      <c r="F607">
        <f t="shared" si="45"/>
        <v>30</v>
      </c>
      <c r="G607">
        <f t="shared" si="46"/>
        <v>30</v>
      </c>
      <c r="H607">
        <f t="shared" si="47"/>
        <v>51</v>
      </c>
      <c r="I607" s="114">
        <f t="shared" si="49"/>
        <v>43070</v>
      </c>
      <c r="J607">
        <f t="shared" si="48"/>
        <v>2.2593830833333333</v>
      </c>
    </row>
    <row r="608" spans="4:10" x14ac:dyDescent="0.45">
      <c r="D608" s="113">
        <v>42795</v>
      </c>
      <c r="E608" s="52">
        <v>2.453344</v>
      </c>
      <c r="F608">
        <f t="shared" si="45"/>
        <v>60</v>
      </c>
      <c r="G608">
        <f t="shared" si="46"/>
        <v>60</v>
      </c>
      <c r="H608">
        <f t="shared" si="47"/>
        <v>51</v>
      </c>
      <c r="I608" s="114">
        <f t="shared" si="49"/>
        <v>43070</v>
      </c>
      <c r="J608">
        <f t="shared" si="48"/>
        <v>2.2593830833333333</v>
      </c>
    </row>
    <row r="609" spans="4:10" x14ac:dyDescent="0.45">
      <c r="D609" s="113">
        <v>42826</v>
      </c>
      <c r="E609" s="52">
        <v>2.25217</v>
      </c>
      <c r="F609">
        <f t="shared" si="45"/>
        <v>90</v>
      </c>
      <c r="G609">
        <f t="shared" si="46"/>
        <v>90</v>
      </c>
      <c r="H609">
        <f t="shared" si="47"/>
        <v>51</v>
      </c>
      <c r="I609" s="114">
        <f t="shared" si="49"/>
        <v>43070</v>
      </c>
      <c r="J609">
        <f t="shared" si="48"/>
        <v>2.2593830833333333</v>
      </c>
    </row>
    <row r="610" spans="4:10" x14ac:dyDescent="0.45">
      <c r="D610" s="113">
        <v>42856</v>
      </c>
      <c r="E610" s="52">
        <v>2.1559110000000001</v>
      </c>
      <c r="F610">
        <f t="shared" si="45"/>
        <v>120</v>
      </c>
      <c r="G610">
        <f t="shared" si="46"/>
        <v>120</v>
      </c>
      <c r="H610">
        <f t="shared" si="47"/>
        <v>51</v>
      </c>
      <c r="I610" s="114">
        <f t="shared" si="49"/>
        <v>43070</v>
      </c>
      <c r="J610">
        <f t="shared" si="48"/>
        <v>2.2593830833333333</v>
      </c>
    </row>
    <row r="611" spans="4:10" x14ac:dyDescent="0.45">
      <c r="D611" s="113">
        <v>42887</v>
      </c>
      <c r="E611" s="52">
        <v>2.1385299999999998</v>
      </c>
      <c r="F611">
        <f t="shared" si="45"/>
        <v>150</v>
      </c>
      <c r="G611">
        <f t="shared" si="46"/>
        <v>150</v>
      </c>
      <c r="H611">
        <f t="shared" si="47"/>
        <v>51</v>
      </c>
      <c r="I611" s="114">
        <f t="shared" si="49"/>
        <v>43070</v>
      </c>
      <c r="J611">
        <f t="shared" si="48"/>
        <v>2.2593830833333333</v>
      </c>
    </row>
    <row r="612" spans="4:10" x14ac:dyDescent="0.45">
      <c r="D612" s="113">
        <v>42917</v>
      </c>
      <c r="E612" s="52">
        <v>2.1467689999999999</v>
      </c>
      <c r="F612">
        <f t="shared" si="45"/>
        <v>180</v>
      </c>
      <c r="G612">
        <f t="shared" si="46"/>
        <v>180</v>
      </c>
      <c r="H612">
        <f t="shared" si="47"/>
        <v>51</v>
      </c>
      <c r="I612" s="114">
        <f t="shared" si="49"/>
        <v>43070</v>
      </c>
      <c r="J612">
        <f t="shared" si="48"/>
        <v>2.2593830833333333</v>
      </c>
    </row>
    <row r="613" spans="4:10" x14ac:dyDescent="0.45">
      <c r="D613" s="113">
        <v>42948</v>
      </c>
      <c r="E613" s="52">
        <v>2.0898319999999999</v>
      </c>
      <c r="F613">
        <f t="shared" si="45"/>
        <v>210</v>
      </c>
      <c r="G613">
        <f t="shared" si="46"/>
        <v>210</v>
      </c>
      <c r="H613">
        <f t="shared" si="47"/>
        <v>51</v>
      </c>
      <c r="I613" s="114">
        <f t="shared" si="49"/>
        <v>43070</v>
      </c>
      <c r="J613">
        <f t="shared" si="48"/>
        <v>2.2593830833333333</v>
      </c>
    </row>
    <row r="614" spans="4:10" x14ac:dyDescent="0.45">
      <c r="D614" s="113">
        <v>42979</v>
      </c>
      <c r="E614" s="52">
        <v>2.106697</v>
      </c>
      <c r="F614">
        <f t="shared" si="45"/>
        <v>240</v>
      </c>
      <c r="G614">
        <f t="shared" si="46"/>
        <v>240</v>
      </c>
      <c r="H614">
        <f t="shared" si="47"/>
        <v>51</v>
      </c>
      <c r="I614" s="114">
        <f t="shared" si="49"/>
        <v>43070</v>
      </c>
      <c r="J614">
        <f t="shared" si="48"/>
        <v>2.2593830833333333</v>
      </c>
    </row>
    <row r="615" spans="4:10" x14ac:dyDescent="0.45">
      <c r="D615" s="113">
        <v>43009</v>
      </c>
      <c r="E615" s="52">
        <v>2.1928190000000001</v>
      </c>
      <c r="F615">
        <f t="shared" si="45"/>
        <v>270</v>
      </c>
      <c r="G615">
        <f t="shared" si="46"/>
        <v>270</v>
      </c>
      <c r="H615">
        <f t="shared" si="47"/>
        <v>51</v>
      </c>
      <c r="I615" s="114">
        <f t="shared" si="49"/>
        <v>43070</v>
      </c>
      <c r="J615">
        <f t="shared" si="48"/>
        <v>2.2593830833333333</v>
      </c>
    </row>
    <row r="616" spans="4:10" x14ac:dyDescent="0.45">
      <c r="D616" s="113">
        <v>43040</v>
      </c>
      <c r="E616" s="52">
        <v>2.1150310000000001</v>
      </c>
      <c r="F616">
        <f t="shared" si="45"/>
        <v>300</v>
      </c>
      <c r="G616">
        <f t="shared" si="46"/>
        <v>300</v>
      </c>
      <c r="H616">
        <f t="shared" si="47"/>
        <v>51</v>
      </c>
      <c r="I616" s="114">
        <f t="shared" si="49"/>
        <v>43070</v>
      </c>
      <c r="J616">
        <f t="shared" si="48"/>
        <v>2.2593830833333333</v>
      </c>
    </row>
    <row r="617" spans="4:10" x14ac:dyDescent="0.45">
      <c r="D617" s="113">
        <v>43070</v>
      </c>
      <c r="E617" s="52">
        <v>2.1254719999999998</v>
      </c>
      <c r="F617">
        <f t="shared" si="45"/>
        <v>330</v>
      </c>
      <c r="G617">
        <f t="shared" si="46"/>
        <v>330</v>
      </c>
      <c r="H617">
        <f t="shared" si="47"/>
        <v>51</v>
      </c>
      <c r="I617" s="114">
        <f t="shared" si="49"/>
        <v>43070</v>
      </c>
      <c r="J617">
        <f t="shared" si="48"/>
        <v>2.2593830833333333</v>
      </c>
    </row>
    <row r="618" spans="4:10" x14ac:dyDescent="0.45">
      <c r="D618" s="113">
        <v>43101</v>
      </c>
      <c r="E618" s="52">
        <v>2.1668289999999999</v>
      </c>
      <c r="F618">
        <f t="shared" si="45"/>
        <v>0</v>
      </c>
      <c r="G618">
        <f t="shared" si="46"/>
        <v>0</v>
      </c>
      <c r="H618">
        <f t="shared" si="47"/>
        <v>52</v>
      </c>
      <c r="I618" s="114">
        <f t="shared" si="49"/>
        <v>43435</v>
      </c>
      <c r="J618">
        <f t="shared" si="48"/>
        <v>2.41924275</v>
      </c>
    </row>
    <row r="619" spans="4:10" x14ac:dyDescent="0.45">
      <c r="D619" s="113">
        <v>43132</v>
      </c>
      <c r="E619" s="52">
        <v>2.129934</v>
      </c>
      <c r="F619">
        <f t="shared" si="45"/>
        <v>30</v>
      </c>
      <c r="G619">
        <f t="shared" si="46"/>
        <v>30</v>
      </c>
      <c r="H619">
        <f t="shared" si="47"/>
        <v>52</v>
      </c>
      <c r="I619" s="114">
        <f t="shared" si="49"/>
        <v>43435</v>
      </c>
      <c r="J619">
        <f t="shared" si="48"/>
        <v>2.41924275</v>
      </c>
    </row>
    <row r="620" spans="4:10" x14ac:dyDescent="0.45">
      <c r="D620" s="113">
        <v>43160</v>
      </c>
      <c r="E620" s="52">
        <v>2.3596110000000001</v>
      </c>
      <c r="F620">
        <f t="shared" si="45"/>
        <v>60</v>
      </c>
      <c r="G620">
        <f t="shared" si="46"/>
        <v>60</v>
      </c>
      <c r="H620">
        <f t="shared" si="47"/>
        <v>52</v>
      </c>
      <c r="I620" s="114">
        <f t="shared" si="49"/>
        <v>43435</v>
      </c>
      <c r="J620">
        <f t="shared" si="48"/>
        <v>2.41924275</v>
      </c>
    </row>
    <row r="621" spans="4:10" x14ac:dyDescent="0.45">
      <c r="D621" s="113">
        <v>43191</v>
      </c>
      <c r="E621" s="52">
        <v>2.4921470000000001</v>
      </c>
      <c r="F621">
        <f t="shared" si="45"/>
        <v>90</v>
      </c>
      <c r="G621">
        <f t="shared" si="46"/>
        <v>90</v>
      </c>
      <c r="H621">
        <f t="shared" si="47"/>
        <v>52</v>
      </c>
      <c r="I621" s="114">
        <f t="shared" si="49"/>
        <v>43435</v>
      </c>
      <c r="J621">
        <f t="shared" si="48"/>
        <v>2.41924275</v>
      </c>
    </row>
    <row r="622" spans="4:10" x14ac:dyDescent="0.45">
      <c r="D622" s="113">
        <v>43221</v>
      </c>
      <c r="E622" s="52">
        <v>2.5449639999999998</v>
      </c>
      <c r="F622">
        <f t="shared" si="45"/>
        <v>120</v>
      </c>
      <c r="G622">
        <f t="shared" si="46"/>
        <v>120</v>
      </c>
      <c r="H622">
        <f t="shared" si="47"/>
        <v>52</v>
      </c>
      <c r="I622" s="114">
        <f t="shared" si="49"/>
        <v>43435</v>
      </c>
      <c r="J622">
        <f t="shared" si="48"/>
        <v>2.41924275</v>
      </c>
    </row>
    <row r="623" spans="4:10" x14ac:dyDescent="0.45">
      <c r="D623" s="113">
        <v>43252</v>
      </c>
      <c r="E623" s="52">
        <v>2.558656</v>
      </c>
      <c r="F623">
        <f t="shared" si="45"/>
        <v>150</v>
      </c>
      <c r="G623">
        <f t="shared" si="46"/>
        <v>150</v>
      </c>
      <c r="H623">
        <f t="shared" si="47"/>
        <v>52</v>
      </c>
      <c r="I623" s="114">
        <f t="shared" si="49"/>
        <v>43435</v>
      </c>
      <c r="J623">
        <f t="shared" si="48"/>
        <v>2.41924275</v>
      </c>
    </row>
    <row r="624" spans="4:10" x14ac:dyDescent="0.45">
      <c r="D624" s="113">
        <v>43282</v>
      </c>
      <c r="E624" s="52">
        <v>2.5315409999999998</v>
      </c>
      <c r="F624">
        <f t="shared" si="45"/>
        <v>180</v>
      </c>
      <c r="G624">
        <f t="shared" si="46"/>
        <v>180</v>
      </c>
      <c r="H624">
        <f t="shared" si="47"/>
        <v>52</v>
      </c>
      <c r="I624" s="114">
        <f t="shared" si="49"/>
        <v>43435</v>
      </c>
      <c r="J624">
        <f t="shared" si="48"/>
        <v>2.41924275</v>
      </c>
    </row>
    <row r="625" spans="4:10" x14ac:dyDescent="0.45">
      <c r="D625" s="113">
        <v>43313</v>
      </c>
      <c r="E625" s="52">
        <v>2.430733</v>
      </c>
      <c r="F625">
        <f t="shared" si="45"/>
        <v>210</v>
      </c>
      <c r="G625">
        <f t="shared" si="46"/>
        <v>210</v>
      </c>
      <c r="H625">
        <f t="shared" si="47"/>
        <v>52</v>
      </c>
      <c r="I625" s="114">
        <f t="shared" si="49"/>
        <v>43435</v>
      </c>
      <c r="J625">
        <f t="shared" si="48"/>
        <v>2.41924275</v>
      </c>
    </row>
    <row r="626" spans="4:10" x14ac:dyDescent="0.45">
      <c r="D626" s="113">
        <v>43344</v>
      </c>
      <c r="E626" s="52">
        <v>2.475069</v>
      </c>
      <c r="F626">
        <f t="shared" si="45"/>
        <v>240</v>
      </c>
      <c r="G626">
        <f t="shared" si="46"/>
        <v>240</v>
      </c>
      <c r="H626">
        <f t="shared" si="47"/>
        <v>52</v>
      </c>
      <c r="I626" s="114">
        <f t="shared" si="49"/>
        <v>43435</v>
      </c>
      <c r="J626">
        <f t="shared" si="48"/>
        <v>2.41924275</v>
      </c>
    </row>
    <row r="627" spans="4:10" x14ac:dyDescent="0.45">
      <c r="D627" s="113">
        <v>43374</v>
      </c>
      <c r="E627" s="52">
        <v>2.4198460000000002</v>
      </c>
      <c r="F627">
        <f t="shared" si="45"/>
        <v>270</v>
      </c>
      <c r="G627">
        <f t="shared" si="46"/>
        <v>270</v>
      </c>
      <c r="H627">
        <f t="shared" si="47"/>
        <v>52</v>
      </c>
      <c r="I627" s="114">
        <f t="shared" si="49"/>
        <v>43435</v>
      </c>
      <c r="J627">
        <f t="shared" si="48"/>
        <v>2.41924275</v>
      </c>
    </row>
    <row r="628" spans="4:10" x14ac:dyDescent="0.45">
      <c r="D628" s="113">
        <v>43405</v>
      </c>
      <c r="E628" s="52">
        <v>2.4725990000000002</v>
      </c>
      <c r="F628">
        <f t="shared" si="45"/>
        <v>300</v>
      </c>
      <c r="G628">
        <f t="shared" si="46"/>
        <v>300</v>
      </c>
      <c r="H628">
        <f t="shared" si="47"/>
        <v>52</v>
      </c>
      <c r="I628" s="114">
        <f t="shared" si="49"/>
        <v>43435</v>
      </c>
      <c r="J628">
        <f t="shared" si="48"/>
        <v>2.41924275</v>
      </c>
    </row>
    <row r="629" spans="4:10" x14ac:dyDescent="0.45">
      <c r="D629" s="113">
        <v>43435</v>
      </c>
      <c r="E629" s="52">
        <v>2.4489839999999998</v>
      </c>
      <c r="F629">
        <f t="shared" si="45"/>
        <v>330</v>
      </c>
      <c r="G629">
        <f t="shared" si="46"/>
        <v>330</v>
      </c>
      <c r="H629">
        <f t="shared" si="47"/>
        <v>52</v>
      </c>
      <c r="I629" s="114">
        <f t="shared" si="49"/>
        <v>43435</v>
      </c>
      <c r="J629">
        <f t="shared" si="48"/>
        <v>2.41924275</v>
      </c>
    </row>
    <row r="630" spans="4:10" x14ac:dyDescent="0.45">
      <c r="D630" s="113">
        <v>43466</v>
      </c>
      <c r="E630" s="52">
        <v>2.3783439999999998</v>
      </c>
      <c r="F630">
        <f t="shared" si="45"/>
        <v>0</v>
      </c>
      <c r="G630">
        <f t="shared" si="46"/>
        <v>0</v>
      </c>
      <c r="H630">
        <f t="shared" si="47"/>
        <v>53</v>
      </c>
      <c r="I630" s="114">
        <f t="shared" si="49"/>
        <v>43800</v>
      </c>
      <c r="J630">
        <f t="shared" si="48"/>
        <v>2.5271332499999999</v>
      </c>
    </row>
    <row r="631" spans="4:10" x14ac:dyDescent="0.45">
      <c r="D631" s="113">
        <v>43497</v>
      </c>
      <c r="E631" s="52">
        <v>2.3739789999999998</v>
      </c>
      <c r="F631">
        <f t="shared" si="45"/>
        <v>30</v>
      </c>
      <c r="G631">
        <f t="shared" si="46"/>
        <v>30</v>
      </c>
      <c r="H631">
        <f t="shared" si="47"/>
        <v>53</v>
      </c>
      <c r="I631" s="114">
        <f t="shared" si="49"/>
        <v>43800</v>
      </c>
      <c r="J631">
        <f t="shared" si="48"/>
        <v>2.5271332499999999</v>
      </c>
    </row>
    <row r="632" spans="4:10" x14ac:dyDescent="0.45">
      <c r="D632" s="113">
        <v>43525</v>
      </c>
      <c r="E632" s="52">
        <v>2.3939180000000002</v>
      </c>
      <c r="F632">
        <f t="shared" si="45"/>
        <v>60</v>
      </c>
      <c r="G632">
        <f t="shared" si="46"/>
        <v>60</v>
      </c>
      <c r="H632">
        <f t="shared" si="47"/>
        <v>53</v>
      </c>
      <c r="I632" s="114">
        <f t="shared" si="49"/>
        <v>43800</v>
      </c>
      <c r="J632">
        <f t="shared" si="48"/>
        <v>2.5271332499999999</v>
      </c>
    </row>
    <row r="633" spans="4:10" x14ac:dyDescent="0.45">
      <c r="D633" s="113">
        <v>43556</v>
      </c>
      <c r="E633" s="52">
        <v>2.4109590000000001</v>
      </c>
      <c r="F633">
        <f t="shared" si="45"/>
        <v>90</v>
      </c>
      <c r="G633">
        <f t="shared" si="46"/>
        <v>90</v>
      </c>
      <c r="H633">
        <f t="shared" si="47"/>
        <v>53</v>
      </c>
      <c r="I633" s="114">
        <f t="shared" si="49"/>
        <v>43800</v>
      </c>
      <c r="J633">
        <f t="shared" si="48"/>
        <v>2.5271332499999999</v>
      </c>
    </row>
    <row r="634" spans="4:10" x14ac:dyDescent="0.45">
      <c r="D634" s="113">
        <v>43586</v>
      </c>
      <c r="E634" s="52">
        <v>2.3996200000000001</v>
      </c>
      <c r="F634">
        <f t="shared" si="45"/>
        <v>120</v>
      </c>
      <c r="G634">
        <f t="shared" si="46"/>
        <v>120</v>
      </c>
      <c r="H634">
        <f t="shared" si="47"/>
        <v>53</v>
      </c>
      <c r="I634" s="114">
        <f t="shared" si="49"/>
        <v>43800</v>
      </c>
      <c r="J634">
        <f t="shared" si="48"/>
        <v>2.5271332499999999</v>
      </c>
    </row>
    <row r="635" spans="4:10" x14ac:dyDescent="0.45">
      <c r="D635" s="113">
        <v>43617</v>
      </c>
      <c r="E635" s="52">
        <v>2.431727</v>
      </c>
      <c r="F635">
        <f t="shared" si="45"/>
        <v>150</v>
      </c>
      <c r="G635">
        <f t="shared" si="46"/>
        <v>150</v>
      </c>
      <c r="H635">
        <f t="shared" si="47"/>
        <v>53</v>
      </c>
      <c r="I635" s="114">
        <f t="shared" si="49"/>
        <v>43800</v>
      </c>
      <c r="J635">
        <f t="shared" si="48"/>
        <v>2.5271332499999999</v>
      </c>
    </row>
    <row r="636" spans="4:10" x14ac:dyDescent="0.45">
      <c r="D636" s="113">
        <v>43647</v>
      </c>
      <c r="E636" s="52">
        <v>2.4679319999999998</v>
      </c>
      <c r="F636">
        <f t="shared" si="45"/>
        <v>180</v>
      </c>
      <c r="G636">
        <f t="shared" si="46"/>
        <v>180</v>
      </c>
      <c r="H636">
        <f t="shared" si="47"/>
        <v>53</v>
      </c>
      <c r="I636" s="114">
        <f t="shared" si="49"/>
        <v>43800</v>
      </c>
      <c r="J636">
        <f t="shared" si="48"/>
        <v>2.5271332499999999</v>
      </c>
    </row>
    <row r="637" spans="4:10" x14ac:dyDescent="0.45">
      <c r="D637" s="113">
        <v>43678</v>
      </c>
      <c r="E637" s="52">
        <v>2.6333950000000002</v>
      </c>
      <c r="F637">
        <f t="shared" si="45"/>
        <v>210</v>
      </c>
      <c r="G637">
        <f t="shared" si="46"/>
        <v>210</v>
      </c>
      <c r="H637">
        <f t="shared" si="47"/>
        <v>53</v>
      </c>
      <c r="I637" s="114">
        <f t="shared" si="49"/>
        <v>43800</v>
      </c>
      <c r="J637">
        <f t="shared" si="48"/>
        <v>2.5271332499999999</v>
      </c>
    </row>
    <row r="638" spans="4:10" x14ac:dyDescent="0.45">
      <c r="D638" s="113">
        <v>43709</v>
      </c>
      <c r="E638" s="52">
        <v>2.6165590000000001</v>
      </c>
      <c r="F638">
        <f t="shared" si="45"/>
        <v>240</v>
      </c>
      <c r="G638">
        <f t="shared" si="46"/>
        <v>240</v>
      </c>
      <c r="H638">
        <f t="shared" si="47"/>
        <v>53</v>
      </c>
      <c r="I638" s="114">
        <f t="shared" si="49"/>
        <v>43800</v>
      </c>
      <c r="J638">
        <f t="shared" si="48"/>
        <v>2.5271332499999999</v>
      </c>
    </row>
    <row r="639" spans="4:10" x14ac:dyDescent="0.45">
      <c r="D639" s="113">
        <v>43739</v>
      </c>
      <c r="E639" s="52">
        <v>2.7342</v>
      </c>
      <c r="F639">
        <f t="shared" si="45"/>
        <v>270</v>
      </c>
      <c r="G639">
        <f t="shared" si="46"/>
        <v>270</v>
      </c>
      <c r="H639">
        <f t="shared" si="47"/>
        <v>53</v>
      </c>
      <c r="I639" s="114">
        <f t="shared" si="49"/>
        <v>43800</v>
      </c>
      <c r="J639">
        <f t="shared" si="48"/>
        <v>2.5271332499999999</v>
      </c>
    </row>
    <row r="640" spans="4:10" x14ac:dyDescent="0.45">
      <c r="D640" s="113">
        <v>43770</v>
      </c>
      <c r="E640" s="52">
        <v>2.7604630000000001</v>
      </c>
      <c r="F640">
        <f t="shared" si="45"/>
        <v>300</v>
      </c>
      <c r="G640">
        <f t="shared" si="46"/>
        <v>300</v>
      </c>
      <c r="H640">
        <f t="shared" si="47"/>
        <v>53</v>
      </c>
      <c r="I640" s="114">
        <f t="shared" si="49"/>
        <v>43800</v>
      </c>
      <c r="J640">
        <f t="shared" si="48"/>
        <v>2.5271332499999999</v>
      </c>
    </row>
    <row r="641" spans="4:10" x14ac:dyDescent="0.45">
      <c r="D641" s="113">
        <v>43800</v>
      </c>
      <c r="E641" s="52">
        <v>2.7245029999999999</v>
      </c>
      <c r="F641">
        <f t="shared" si="45"/>
        <v>330</v>
      </c>
      <c r="G641">
        <f t="shared" si="46"/>
        <v>330</v>
      </c>
      <c r="H641">
        <f t="shared" si="47"/>
        <v>53</v>
      </c>
      <c r="I641" s="114">
        <f t="shared" si="49"/>
        <v>43800</v>
      </c>
      <c r="J641">
        <f t="shared" si="48"/>
        <v>2.5271332499999999</v>
      </c>
    </row>
    <row r="642" spans="4:10" x14ac:dyDescent="0.45">
      <c r="D642" s="113">
        <v>43831</v>
      </c>
      <c r="E642" s="52">
        <v>2.788599</v>
      </c>
      <c r="F642">
        <f t="shared" si="45"/>
        <v>0</v>
      </c>
      <c r="G642">
        <f t="shared" si="46"/>
        <v>0</v>
      </c>
      <c r="H642">
        <f t="shared" si="47"/>
        <v>54</v>
      </c>
      <c r="I642" s="114">
        <f t="shared" si="49"/>
        <v>44166</v>
      </c>
      <c r="J642">
        <f t="shared" si="48"/>
        <v>2.2242969166666668</v>
      </c>
    </row>
    <row r="643" spans="4:10" x14ac:dyDescent="0.45">
      <c r="D643" s="113">
        <v>43862</v>
      </c>
      <c r="E643" s="52">
        <v>2.8126549999999999</v>
      </c>
      <c r="F643">
        <f t="shared" si="45"/>
        <v>30</v>
      </c>
      <c r="G643">
        <f t="shared" si="46"/>
        <v>30</v>
      </c>
      <c r="H643">
        <f t="shared" si="47"/>
        <v>54</v>
      </c>
      <c r="I643" s="114">
        <f t="shared" si="49"/>
        <v>44166</v>
      </c>
      <c r="J643">
        <f t="shared" si="48"/>
        <v>2.2242969166666668</v>
      </c>
    </row>
    <row r="644" spans="4:10" x14ac:dyDescent="0.45">
      <c r="D644" s="113">
        <v>43891</v>
      </c>
      <c r="E644" s="52">
        <v>2.6410680000000002</v>
      </c>
      <c r="F644">
        <f t="shared" si="45"/>
        <v>60</v>
      </c>
      <c r="G644">
        <f t="shared" si="46"/>
        <v>60</v>
      </c>
      <c r="H644">
        <f t="shared" si="47"/>
        <v>54</v>
      </c>
      <c r="I644" s="114">
        <f t="shared" si="49"/>
        <v>44166</v>
      </c>
      <c r="J644">
        <f t="shared" si="48"/>
        <v>2.2242969166666668</v>
      </c>
    </row>
    <row r="645" spans="4:10" x14ac:dyDescent="0.45">
      <c r="D645" s="113">
        <v>43922</v>
      </c>
      <c r="E645" s="52">
        <v>2.233555</v>
      </c>
      <c r="F645">
        <f t="shared" si="45"/>
        <v>90</v>
      </c>
      <c r="G645">
        <f t="shared" si="46"/>
        <v>90</v>
      </c>
      <c r="H645">
        <f t="shared" si="47"/>
        <v>54</v>
      </c>
      <c r="I645" s="114">
        <f t="shared" si="49"/>
        <v>44166</v>
      </c>
      <c r="J645">
        <f t="shared" si="48"/>
        <v>2.2242969166666668</v>
      </c>
    </row>
    <row r="646" spans="4:10" x14ac:dyDescent="0.45">
      <c r="D646" s="113">
        <v>43952</v>
      </c>
      <c r="E646" s="52">
        <v>2.0857570000000001</v>
      </c>
      <c r="F646">
        <f t="shared" si="45"/>
        <v>120</v>
      </c>
      <c r="G646">
        <f t="shared" si="46"/>
        <v>120</v>
      </c>
      <c r="H646">
        <f t="shared" si="47"/>
        <v>54</v>
      </c>
      <c r="I646" s="114">
        <f t="shared" si="49"/>
        <v>44166</v>
      </c>
      <c r="J646">
        <f t="shared" si="48"/>
        <v>2.2242969166666668</v>
      </c>
    </row>
    <row r="647" spans="4:10" x14ac:dyDescent="0.45">
      <c r="D647" s="113">
        <v>43983</v>
      </c>
      <c r="E647" s="52">
        <v>2.0643790000000002</v>
      </c>
      <c r="F647">
        <f t="shared" si="45"/>
        <v>150</v>
      </c>
      <c r="G647">
        <f t="shared" si="46"/>
        <v>150</v>
      </c>
      <c r="H647">
        <f t="shared" si="47"/>
        <v>54</v>
      </c>
      <c r="I647" s="114">
        <f t="shared" si="49"/>
        <v>44166</v>
      </c>
      <c r="J647">
        <f t="shared" si="48"/>
        <v>2.2242969166666668</v>
      </c>
    </row>
    <row r="648" spans="4:10" x14ac:dyDescent="0.45">
      <c r="D648" s="113">
        <v>44013</v>
      </c>
      <c r="E648" s="52">
        <v>2.3506909999999999</v>
      </c>
      <c r="F648">
        <f t="shared" si="45"/>
        <v>180</v>
      </c>
      <c r="G648">
        <f t="shared" si="46"/>
        <v>180</v>
      </c>
      <c r="H648">
        <f t="shared" si="47"/>
        <v>54</v>
      </c>
      <c r="I648" s="114">
        <f t="shared" si="49"/>
        <v>44166</v>
      </c>
      <c r="J648">
        <f t="shared" si="48"/>
        <v>2.2242969166666668</v>
      </c>
    </row>
    <row r="649" spans="4:10" x14ac:dyDescent="0.45">
      <c r="D649" s="113">
        <v>44044</v>
      </c>
      <c r="E649" s="52">
        <v>2.297196</v>
      </c>
      <c r="F649">
        <f t="shared" si="45"/>
        <v>210</v>
      </c>
      <c r="G649">
        <f t="shared" si="46"/>
        <v>210</v>
      </c>
      <c r="H649">
        <f t="shared" si="47"/>
        <v>54</v>
      </c>
      <c r="I649" s="114">
        <f t="shared" si="49"/>
        <v>44166</v>
      </c>
      <c r="J649">
        <f t="shared" si="48"/>
        <v>2.2242969166666668</v>
      </c>
    </row>
    <row r="650" spans="4:10" x14ac:dyDescent="0.45">
      <c r="D650" s="113">
        <v>44075</v>
      </c>
      <c r="E650" s="52">
        <v>2.0881949999999998</v>
      </c>
      <c r="F650">
        <f t="shared" si="45"/>
        <v>240</v>
      </c>
      <c r="G650">
        <f t="shared" si="46"/>
        <v>240</v>
      </c>
      <c r="H650">
        <f t="shared" si="47"/>
        <v>54</v>
      </c>
      <c r="I650" s="114">
        <f t="shared" si="49"/>
        <v>44166</v>
      </c>
      <c r="J650">
        <f t="shared" si="48"/>
        <v>2.2242969166666668</v>
      </c>
    </row>
    <row r="651" spans="4:10" x14ac:dyDescent="0.45">
      <c r="D651" s="113">
        <v>44105</v>
      </c>
      <c r="E651" s="52">
        <v>1.8483080000000001</v>
      </c>
      <c r="F651">
        <f t="shared" si="45"/>
        <v>270</v>
      </c>
      <c r="G651">
        <f t="shared" si="46"/>
        <v>270</v>
      </c>
      <c r="H651">
        <f t="shared" si="47"/>
        <v>54</v>
      </c>
      <c r="I651" s="114">
        <f t="shared" si="49"/>
        <v>44166</v>
      </c>
      <c r="J651">
        <f t="shared" si="48"/>
        <v>2.2242969166666668</v>
      </c>
    </row>
    <row r="652" spans="4:10" x14ac:dyDescent="0.45">
      <c r="D652" s="113">
        <v>44136</v>
      </c>
      <c r="E652" s="52">
        <v>1.786708</v>
      </c>
      <c r="F652">
        <f t="shared" si="45"/>
        <v>300</v>
      </c>
      <c r="G652">
        <f t="shared" si="46"/>
        <v>300</v>
      </c>
      <c r="H652">
        <f t="shared" si="47"/>
        <v>54</v>
      </c>
      <c r="I652" s="114">
        <f t="shared" si="49"/>
        <v>44166</v>
      </c>
      <c r="J652">
        <f t="shared" si="48"/>
        <v>2.2242969166666668</v>
      </c>
    </row>
    <row r="653" spans="4:10" x14ac:dyDescent="0.45">
      <c r="D653" s="113">
        <v>44166</v>
      </c>
      <c r="E653" s="52">
        <v>1.6944520000000001</v>
      </c>
      <c r="F653">
        <f t="shared" si="45"/>
        <v>330</v>
      </c>
      <c r="G653">
        <f t="shared" si="46"/>
        <v>330</v>
      </c>
      <c r="H653">
        <f t="shared" si="47"/>
        <v>54</v>
      </c>
      <c r="I653" s="114">
        <f t="shared" si="49"/>
        <v>44166</v>
      </c>
      <c r="J653">
        <f t="shared" si="48"/>
        <v>2.2242969166666668</v>
      </c>
    </row>
    <row r="654" spans="4:10" x14ac:dyDescent="0.45">
      <c r="D654" s="113">
        <v>44197</v>
      </c>
      <c r="E654" s="52">
        <v>1.504532</v>
      </c>
      <c r="F654">
        <f t="shared" si="45"/>
        <v>0</v>
      </c>
      <c r="G654">
        <f t="shared" si="46"/>
        <v>0</v>
      </c>
      <c r="H654">
        <f t="shared" si="47"/>
        <v>55</v>
      </c>
      <c r="I654" s="114">
        <f t="shared" si="49"/>
        <v>44531</v>
      </c>
      <c r="J654">
        <f t="shared" si="48"/>
        <v>2.4396640833333336</v>
      </c>
    </row>
    <row r="655" spans="4:10" x14ac:dyDescent="0.45">
      <c r="D655" s="113">
        <v>44228</v>
      </c>
      <c r="E655" s="52">
        <v>1.5207839999999999</v>
      </c>
      <c r="F655">
        <f t="shared" si="45"/>
        <v>30</v>
      </c>
      <c r="G655">
        <f t="shared" si="46"/>
        <v>30</v>
      </c>
      <c r="H655">
        <f t="shared" si="47"/>
        <v>55</v>
      </c>
      <c r="I655" s="114">
        <f t="shared" si="49"/>
        <v>44531</v>
      </c>
      <c r="J655">
        <f t="shared" si="48"/>
        <v>2.4396640833333336</v>
      </c>
    </row>
    <row r="656" spans="4:10" x14ac:dyDescent="0.45">
      <c r="D656" s="113">
        <v>44256</v>
      </c>
      <c r="E656" s="52">
        <v>1.6946730000000001</v>
      </c>
      <c r="F656">
        <f t="shared" si="45"/>
        <v>60</v>
      </c>
      <c r="G656">
        <f t="shared" si="46"/>
        <v>60</v>
      </c>
      <c r="H656">
        <f t="shared" si="47"/>
        <v>55</v>
      </c>
      <c r="I656" s="114">
        <f t="shared" si="49"/>
        <v>44531</v>
      </c>
      <c r="J656">
        <f t="shared" si="48"/>
        <v>2.4396640833333336</v>
      </c>
    </row>
    <row r="657" spans="4:10" x14ac:dyDescent="0.45">
      <c r="D657" s="113">
        <v>44287</v>
      </c>
      <c r="E657" s="52">
        <v>2.284027</v>
      </c>
      <c r="F657">
        <f t="shared" ref="F657:F675" si="50">FLOOR(DAYS360(DATE(YEAR(D657),1,1),D657),30)</f>
        <v>90</v>
      </c>
      <c r="G657">
        <f t="shared" si="46"/>
        <v>90</v>
      </c>
      <c r="H657">
        <f t="shared" si="47"/>
        <v>55</v>
      </c>
      <c r="I657" s="114">
        <f t="shared" si="49"/>
        <v>44531</v>
      </c>
      <c r="J657">
        <f t="shared" si="48"/>
        <v>2.4396640833333336</v>
      </c>
    </row>
    <row r="658" spans="4:10" x14ac:dyDescent="0.45">
      <c r="D658" s="113">
        <v>44317</v>
      </c>
      <c r="E658" s="52">
        <v>2.6238959999999998</v>
      </c>
      <c r="F658">
        <f t="shared" si="50"/>
        <v>120</v>
      </c>
      <c r="G658">
        <f t="shared" ref="G658:G675" si="51">MOD(F658, 360/$G$12)</f>
        <v>120</v>
      </c>
      <c r="H658">
        <f t="shared" ref="H658:H675" si="52">IF(G658&gt;G657,H657,H657+1)</f>
        <v>55</v>
      </c>
      <c r="I658" s="114">
        <f t="shared" si="49"/>
        <v>44531</v>
      </c>
      <c r="J658">
        <f t="shared" ref="J658:J675" si="53">AVERAGEIF($H$17:$H$675,H658,$E$17:$E$675)</f>
        <v>2.4396640833333336</v>
      </c>
    </row>
    <row r="659" spans="4:10" x14ac:dyDescent="0.45">
      <c r="D659" s="113">
        <v>44348</v>
      </c>
      <c r="E659" s="52">
        <v>2.6046320000000001</v>
      </c>
      <c r="F659">
        <f t="shared" si="50"/>
        <v>150</v>
      </c>
      <c r="G659">
        <f t="shared" si="51"/>
        <v>150</v>
      </c>
      <c r="H659">
        <f t="shared" si="52"/>
        <v>55</v>
      </c>
      <c r="I659" s="114">
        <f t="shared" ref="I659:I675" si="54">EDATE(I658,(H659-H658)*(12/$G$12))</f>
        <v>44531</v>
      </c>
      <c r="J659">
        <f t="shared" si="53"/>
        <v>2.4396640833333336</v>
      </c>
    </row>
    <row r="660" spans="4:10" x14ac:dyDescent="0.45">
      <c r="D660" s="113">
        <v>44378</v>
      </c>
      <c r="E660" s="52">
        <v>2.3257340000000002</v>
      </c>
      <c r="F660">
        <f t="shared" si="50"/>
        <v>180</v>
      </c>
      <c r="G660">
        <f t="shared" si="51"/>
        <v>180</v>
      </c>
      <c r="H660">
        <f t="shared" si="52"/>
        <v>55</v>
      </c>
      <c r="I660" s="114">
        <f t="shared" si="54"/>
        <v>44531</v>
      </c>
      <c r="J660">
        <f t="shared" si="53"/>
        <v>2.4396640833333336</v>
      </c>
    </row>
    <row r="661" spans="4:10" x14ac:dyDescent="0.45">
      <c r="D661" s="113">
        <v>44409</v>
      </c>
      <c r="E661" s="52">
        <v>2.3531650000000002</v>
      </c>
      <c r="F661">
        <f t="shared" si="50"/>
        <v>210</v>
      </c>
      <c r="G661">
        <f t="shared" si="51"/>
        <v>210</v>
      </c>
      <c r="H661">
        <f t="shared" si="52"/>
        <v>55</v>
      </c>
      <c r="I661" s="114">
        <f t="shared" si="54"/>
        <v>44531</v>
      </c>
      <c r="J661">
        <f t="shared" si="53"/>
        <v>2.4396640833333336</v>
      </c>
    </row>
    <row r="662" spans="4:10" x14ac:dyDescent="0.45">
      <c r="D662" s="113">
        <v>44440</v>
      </c>
      <c r="E662" s="52">
        <v>2.6495060000000001</v>
      </c>
      <c r="F662">
        <f t="shared" si="50"/>
        <v>240</v>
      </c>
      <c r="G662">
        <f t="shared" si="51"/>
        <v>240</v>
      </c>
      <c r="H662">
        <f t="shared" si="52"/>
        <v>55</v>
      </c>
      <c r="I662" s="114">
        <f t="shared" si="54"/>
        <v>44531</v>
      </c>
      <c r="J662">
        <f t="shared" si="53"/>
        <v>2.4396640833333336</v>
      </c>
    </row>
    <row r="663" spans="4:10" x14ac:dyDescent="0.45">
      <c r="D663" s="113">
        <v>44470</v>
      </c>
      <c r="E663" s="52">
        <v>3.0429400000000002</v>
      </c>
      <c r="F663">
        <f t="shared" si="50"/>
        <v>270</v>
      </c>
      <c r="G663">
        <f t="shared" si="51"/>
        <v>270</v>
      </c>
      <c r="H663">
        <f t="shared" si="52"/>
        <v>55</v>
      </c>
      <c r="I663" s="114">
        <f t="shared" si="54"/>
        <v>44531</v>
      </c>
      <c r="J663">
        <f t="shared" si="53"/>
        <v>2.4396640833333336</v>
      </c>
    </row>
    <row r="664" spans="4:10" x14ac:dyDescent="0.45">
      <c r="D664" s="113">
        <v>44501</v>
      </c>
      <c r="E664" s="52">
        <v>3.2050689999999999</v>
      </c>
      <c r="F664">
        <f t="shared" si="50"/>
        <v>300</v>
      </c>
      <c r="G664">
        <f t="shared" si="51"/>
        <v>300</v>
      </c>
      <c r="H664">
        <f t="shared" si="52"/>
        <v>55</v>
      </c>
      <c r="I664" s="114">
        <f t="shared" si="54"/>
        <v>44531</v>
      </c>
      <c r="J664">
        <f t="shared" si="53"/>
        <v>2.4396640833333336</v>
      </c>
    </row>
    <row r="665" spans="4:10" x14ac:dyDescent="0.45">
      <c r="D665" s="113">
        <v>44531</v>
      </c>
      <c r="E665" s="52">
        <v>3.4670109999999998</v>
      </c>
      <c r="F665">
        <f t="shared" si="50"/>
        <v>330</v>
      </c>
      <c r="G665">
        <f t="shared" si="51"/>
        <v>330</v>
      </c>
      <c r="H665">
        <f t="shared" si="52"/>
        <v>55</v>
      </c>
      <c r="I665" s="114">
        <f t="shared" si="54"/>
        <v>44531</v>
      </c>
      <c r="J665">
        <f t="shared" si="53"/>
        <v>2.4396640833333336</v>
      </c>
    </row>
    <row r="666" spans="4:10" x14ac:dyDescent="0.45">
      <c r="D666" s="113">
        <v>44562</v>
      </c>
      <c r="E666" s="52">
        <v>3.9829876419999999</v>
      </c>
      <c r="F666">
        <f t="shared" si="50"/>
        <v>0</v>
      </c>
      <c r="G666">
        <f t="shared" si="51"/>
        <v>0</v>
      </c>
      <c r="H666">
        <f t="shared" si="52"/>
        <v>56</v>
      </c>
      <c r="I666" s="114">
        <f t="shared" si="54"/>
        <v>44896</v>
      </c>
      <c r="J666">
        <f t="shared" si="53"/>
        <v>5.2339308022999997</v>
      </c>
    </row>
    <row r="667" spans="4:10" x14ac:dyDescent="0.45">
      <c r="D667" s="113">
        <v>44593</v>
      </c>
      <c r="E667" s="52">
        <v>4.2978577610000004</v>
      </c>
      <c r="F667">
        <f t="shared" si="50"/>
        <v>30</v>
      </c>
      <c r="G667">
        <f t="shared" si="51"/>
        <v>30</v>
      </c>
      <c r="H667">
        <f t="shared" si="52"/>
        <v>56</v>
      </c>
      <c r="I667" s="114">
        <f t="shared" si="54"/>
        <v>44896</v>
      </c>
      <c r="J667">
        <f t="shared" si="53"/>
        <v>5.2339308022999997</v>
      </c>
    </row>
    <row r="668" spans="4:10" x14ac:dyDescent="0.45">
      <c r="D668" s="113">
        <v>44621</v>
      </c>
      <c r="E668" s="52">
        <v>4.5518145560000001</v>
      </c>
      <c r="F668">
        <f t="shared" si="50"/>
        <v>60</v>
      </c>
      <c r="G668">
        <f t="shared" si="51"/>
        <v>60</v>
      </c>
      <c r="H668">
        <f t="shared" si="52"/>
        <v>56</v>
      </c>
      <c r="I668" s="114">
        <f t="shared" si="54"/>
        <v>44896</v>
      </c>
      <c r="J668">
        <f t="shared" si="53"/>
        <v>5.2339308022999997</v>
      </c>
    </row>
    <row r="669" spans="4:10" x14ac:dyDescent="0.45">
      <c r="D669" s="113">
        <v>44652</v>
      </c>
      <c r="E669" s="52">
        <v>4.7235379220000002</v>
      </c>
      <c r="F669">
        <f t="shared" si="50"/>
        <v>90</v>
      </c>
      <c r="G669">
        <f t="shared" si="51"/>
        <v>90</v>
      </c>
      <c r="H669">
        <f t="shared" si="52"/>
        <v>56</v>
      </c>
      <c r="I669" s="114">
        <f t="shared" si="54"/>
        <v>44896</v>
      </c>
      <c r="J669">
        <f t="shared" si="53"/>
        <v>5.2339308022999997</v>
      </c>
    </row>
    <row r="670" spans="4:10" x14ac:dyDescent="0.45">
      <c r="D670" s="113">
        <v>44682</v>
      </c>
      <c r="E670" s="52">
        <v>4.9755754469999998</v>
      </c>
      <c r="F670">
        <f t="shared" si="50"/>
        <v>120</v>
      </c>
      <c r="G670">
        <f t="shared" si="51"/>
        <v>120</v>
      </c>
      <c r="H670">
        <f t="shared" si="52"/>
        <v>56</v>
      </c>
      <c r="I670" s="114">
        <f t="shared" si="54"/>
        <v>44896</v>
      </c>
      <c r="J670">
        <f t="shared" si="53"/>
        <v>5.2339308022999997</v>
      </c>
    </row>
    <row r="671" spans="4:10" x14ac:dyDescent="0.45">
      <c r="D671" s="113">
        <v>44713</v>
      </c>
      <c r="E671" s="52">
        <v>5.4259634019999998</v>
      </c>
      <c r="F671">
        <f t="shared" si="50"/>
        <v>150</v>
      </c>
      <c r="G671">
        <f t="shared" si="51"/>
        <v>150</v>
      </c>
      <c r="H671">
        <f t="shared" si="52"/>
        <v>56</v>
      </c>
      <c r="I671" s="114">
        <f t="shared" si="54"/>
        <v>44896</v>
      </c>
      <c r="J671">
        <f t="shared" si="53"/>
        <v>5.2339308022999997</v>
      </c>
    </row>
    <row r="672" spans="4:10" x14ac:dyDescent="0.45">
      <c r="D672" s="113">
        <v>44743</v>
      </c>
      <c r="E672" s="52">
        <v>5.6294651030000002</v>
      </c>
      <c r="F672">
        <f t="shared" si="50"/>
        <v>180</v>
      </c>
      <c r="G672">
        <f t="shared" si="51"/>
        <v>180</v>
      </c>
      <c r="H672">
        <f t="shared" si="52"/>
        <v>56</v>
      </c>
      <c r="I672" s="114">
        <f t="shared" si="54"/>
        <v>44896</v>
      </c>
      <c r="J672">
        <f t="shared" si="53"/>
        <v>5.2339308022999997</v>
      </c>
    </row>
    <row r="673" spans="4:10" x14ac:dyDescent="0.45">
      <c r="D673" s="113">
        <v>44774</v>
      </c>
      <c r="E673" s="52">
        <v>5.9905443189999996</v>
      </c>
      <c r="F673">
        <f t="shared" si="50"/>
        <v>210</v>
      </c>
      <c r="G673">
        <f t="shared" si="51"/>
        <v>210</v>
      </c>
      <c r="H673">
        <f t="shared" si="52"/>
        <v>56</v>
      </c>
      <c r="I673" s="114">
        <f t="shared" si="54"/>
        <v>44896</v>
      </c>
      <c r="J673">
        <f t="shared" si="53"/>
        <v>5.2339308022999997</v>
      </c>
    </row>
    <row r="674" spans="4:10" x14ac:dyDescent="0.45">
      <c r="D674" s="113">
        <v>44805</v>
      </c>
      <c r="E674" s="52">
        <v>6.3937354089999996</v>
      </c>
      <c r="F674">
        <f t="shared" si="50"/>
        <v>240</v>
      </c>
      <c r="G674">
        <f t="shared" si="51"/>
        <v>240</v>
      </c>
      <c r="H674">
        <f t="shared" si="52"/>
        <v>56</v>
      </c>
      <c r="I674" s="114">
        <f t="shared" si="54"/>
        <v>44896</v>
      </c>
      <c r="J674">
        <f t="shared" si="53"/>
        <v>5.2339308022999997</v>
      </c>
    </row>
    <row r="675" spans="4:10" x14ac:dyDescent="0.45">
      <c r="D675" s="113">
        <v>44835</v>
      </c>
      <c r="E675" s="52">
        <v>6.367826462</v>
      </c>
      <c r="F675">
        <f t="shared" si="50"/>
        <v>270</v>
      </c>
      <c r="G675">
        <f t="shared" si="51"/>
        <v>270</v>
      </c>
      <c r="H675">
        <f t="shared" si="52"/>
        <v>56</v>
      </c>
      <c r="I675" s="114">
        <f t="shared" si="54"/>
        <v>44896</v>
      </c>
      <c r="J675">
        <f t="shared" si="53"/>
        <v>5.2339308022999997</v>
      </c>
    </row>
  </sheetData>
  <mergeCells count="1">
    <mergeCell ref="L15:M15"/>
  </mergeCells>
  <pageMargins left="0.7" right="0.7" top="0.75" bottom="0.75" header="0.3" footer="0.3"/>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5BB8E-3E21-49CE-B84E-ECA3BB73B922}">
  <sheetPr codeName="Planilha62">
    <tabColor theme="9" tint="0.59999389629810485"/>
  </sheetPr>
  <dimension ref="A1:M22"/>
  <sheetViews>
    <sheetView showGridLines="0" workbookViewId="0">
      <selection activeCell="C7" sqref="C7"/>
    </sheetView>
  </sheetViews>
  <sheetFormatPr defaultColWidth="8.796875" defaultRowHeight="18" x14ac:dyDescent="0.55000000000000004"/>
  <cols>
    <col min="1" max="1" width="12.6640625" style="17" customWidth="1"/>
    <col min="2" max="2" width="42.6640625" customWidth="1"/>
    <col min="3" max="3" width="9.6640625" customWidth="1"/>
    <col min="4" max="4" width="8.796875" customWidth="1"/>
    <col min="5" max="5" width="10" bestFit="1" customWidth="1"/>
    <col min="11" max="11" width="12.33203125" style="15" bestFit="1" customWidth="1"/>
  </cols>
  <sheetData>
    <row r="1" spans="1:13" x14ac:dyDescent="0.55000000000000004">
      <c r="A1" s="16" t="s">
        <v>582</v>
      </c>
      <c r="K1" s="14"/>
    </row>
    <row r="2" spans="1:13" x14ac:dyDescent="0.55000000000000004">
      <c r="A2" s="17" t="s">
        <v>583</v>
      </c>
      <c r="K2" s="14"/>
    </row>
    <row r="4" spans="1:13" ht="15.75" x14ac:dyDescent="0.5">
      <c r="A4" s="2" t="s">
        <v>15</v>
      </c>
      <c r="B4" s="2" t="s">
        <v>16</v>
      </c>
      <c r="C4" s="2"/>
    </row>
    <row r="5" spans="1:13" ht="18.75" customHeight="1" x14ac:dyDescent="0.45">
      <c r="A5" s="23" t="s">
        <v>22</v>
      </c>
      <c r="B5" s="26" t="s">
        <v>827</v>
      </c>
      <c r="C5" s="26"/>
    </row>
    <row r="6" spans="1:13" ht="15.75" x14ac:dyDescent="0.45">
      <c r="A6" s="23" t="s">
        <v>585</v>
      </c>
      <c r="B6" s="26" t="s">
        <v>589</v>
      </c>
      <c r="C6" s="26"/>
    </row>
    <row r="7" spans="1:13" ht="15.75" x14ac:dyDescent="0.45">
      <c r="A7" s="23"/>
      <c r="B7" s="26"/>
      <c r="C7" s="26"/>
    </row>
    <row r="9" spans="1:13" x14ac:dyDescent="0.55000000000000004">
      <c r="D9" s="1" t="s">
        <v>17</v>
      </c>
      <c r="E9" s="13" t="s">
        <v>22</v>
      </c>
      <c r="F9" s="12">
        <v>1</v>
      </c>
      <c r="G9" s="12">
        <v>2</v>
      </c>
      <c r="H9" s="12">
        <v>3</v>
      </c>
      <c r="I9" s="12">
        <v>4</v>
      </c>
      <c r="K9" s="58" cm="1">
        <f t="array" ref="K9">_xlfn.LAMBDA(_xlpm.matrix,_xlop.norm, _xlfn.LET(_xlpm.norm, IF(_xlfn.ISOMITTED(_xlpm.norm), 1, _xlpm.norm), SUM(ABS(_xlpm.matrix) ^ _xlpm.norm) ^ (1 / _xlpm.norm)))($F$9:$I$12, $F$14)</f>
        <v>15.297058540778355</v>
      </c>
      <c r="M9" s="42"/>
    </row>
    <row r="10" spans="1:13" x14ac:dyDescent="0.55000000000000004">
      <c r="F10" s="12">
        <v>5</v>
      </c>
      <c r="G10" s="12">
        <v>5</v>
      </c>
      <c r="H10" s="12">
        <v>6</v>
      </c>
      <c r="I10" s="12">
        <v>7</v>
      </c>
      <c r="K10" s="62"/>
    </row>
    <row r="11" spans="1:13" x14ac:dyDescent="0.55000000000000004">
      <c r="F11" s="12">
        <v>1</v>
      </c>
      <c r="G11" s="12">
        <v>4</v>
      </c>
      <c r="H11" s="12">
        <v>2</v>
      </c>
      <c r="I11" s="12">
        <v>3</v>
      </c>
      <c r="K11" s="62"/>
    </row>
    <row r="12" spans="1:13" x14ac:dyDescent="0.55000000000000004">
      <c r="F12" s="12">
        <v>5</v>
      </c>
      <c r="G12" s="12">
        <v>3</v>
      </c>
      <c r="H12" s="12">
        <v>2</v>
      </c>
      <c r="I12" s="12">
        <v>1</v>
      </c>
      <c r="K12" s="62"/>
    </row>
    <row r="13" spans="1:13" s="21" customFormat="1" x14ac:dyDescent="0.55000000000000004">
      <c r="A13" s="17"/>
      <c r="B13"/>
      <c r="C13"/>
      <c r="D13"/>
      <c r="E13"/>
      <c r="F13"/>
      <c r="G13"/>
      <c r="H13"/>
      <c r="I13"/>
      <c r="J13"/>
      <c r="K13" s="27"/>
    </row>
    <row r="14" spans="1:13" s="21" customFormat="1" x14ac:dyDescent="0.55000000000000004">
      <c r="A14" s="17"/>
      <c r="B14"/>
      <c r="C14"/>
      <c r="D14"/>
      <c r="E14" s="13" t="s">
        <v>584</v>
      </c>
      <c r="F14" s="12">
        <v>2</v>
      </c>
      <c r="G14"/>
      <c r="H14"/>
      <c r="I14"/>
      <c r="J14"/>
      <c r="K14" s="27"/>
    </row>
    <row r="17" spans="4:11" s="21" customFormat="1" ht="14.25" x14ac:dyDescent="0.45">
      <c r="D17" s="1" t="s">
        <v>17</v>
      </c>
      <c r="E17" s="13" t="s">
        <v>22</v>
      </c>
      <c r="F17" s="12">
        <v>1</v>
      </c>
      <c r="G17" s="12">
        <v>2</v>
      </c>
      <c r="H17" s="12">
        <v>3</v>
      </c>
      <c r="I17" s="12">
        <v>4</v>
      </c>
      <c r="J17"/>
      <c r="K17" s="62" cm="1">
        <f t="array" ref="K17">MNORM($F$17:$I$20,$F$22)</f>
        <v>7.0000629268576393</v>
      </c>
    </row>
    <row r="18" spans="4:11" s="21" customFormat="1" ht="14.25" x14ac:dyDescent="0.45">
      <c r="D18"/>
      <c r="E18"/>
      <c r="F18" s="12">
        <v>5</v>
      </c>
      <c r="G18" s="12">
        <v>5</v>
      </c>
      <c r="H18" s="12">
        <v>6</v>
      </c>
      <c r="I18" s="12">
        <v>7</v>
      </c>
      <c r="J18"/>
      <c r="K18" s="27"/>
    </row>
    <row r="19" spans="4:11" s="21" customFormat="1" ht="14.25" x14ac:dyDescent="0.45">
      <c r="D19"/>
      <c r="E19"/>
      <c r="F19" s="12">
        <v>1</v>
      </c>
      <c r="G19" s="12">
        <v>4</v>
      </c>
      <c r="H19" s="12">
        <v>2</v>
      </c>
      <c r="I19" s="12">
        <v>3</v>
      </c>
      <c r="J19"/>
      <c r="K19" s="27"/>
    </row>
    <row r="20" spans="4:11" s="21" customFormat="1" ht="14.25" x14ac:dyDescent="0.45">
      <c r="D20"/>
      <c r="E20"/>
      <c r="F20" s="12">
        <v>5</v>
      </c>
      <c r="G20" s="12">
        <v>3</v>
      </c>
      <c r="H20" s="12">
        <v>2</v>
      </c>
      <c r="I20" s="12">
        <v>1</v>
      </c>
      <c r="J20"/>
      <c r="K20" s="27"/>
    </row>
    <row r="21" spans="4:11" s="21" customFormat="1" ht="14.25" x14ac:dyDescent="0.45">
      <c r="D21"/>
      <c r="E21"/>
      <c r="F21"/>
      <c r="G21"/>
      <c r="H21"/>
      <c r="I21"/>
      <c r="J21"/>
      <c r="K21" s="27"/>
    </row>
    <row r="22" spans="4:11" s="21" customFormat="1" ht="14.25" x14ac:dyDescent="0.45">
      <c r="D22"/>
      <c r="E22" s="13" t="s">
        <v>584</v>
      </c>
      <c r="F22" s="12">
        <v>50</v>
      </c>
      <c r="G22"/>
      <c r="H22"/>
      <c r="I22"/>
      <c r="J22"/>
      <c r="K22" s="27"/>
    </row>
  </sheetData>
  <pageMargins left="0.511811024" right="0.511811024" top="0.78740157499999996" bottom="0.78740157499999996" header="0.31496062000000002" footer="0.3149606200000000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9BDF-682E-42D3-AD73-D52DE853B002}">
  <sheetPr codeName="Planilha63">
    <tabColor theme="9" tint="0.59999389629810485"/>
  </sheetPr>
  <dimension ref="A1:T12"/>
  <sheetViews>
    <sheetView showGridLines="0" workbookViewId="0">
      <selection activeCell="H12" sqref="H12"/>
    </sheetView>
  </sheetViews>
  <sheetFormatPr defaultColWidth="8.796875" defaultRowHeight="18" x14ac:dyDescent="0.55000000000000004"/>
  <cols>
    <col min="1" max="1" width="12.6640625" style="17" customWidth="1"/>
    <col min="2" max="3" width="26.33203125" customWidth="1"/>
    <col min="4" max="4" width="8.796875" customWidth="1"/>
    <col min="5" max="5" width="10.6640625" bestFit="1" customWidth="1"/>
    <col min="8" max="20" width="12.33203125" style="15" bestFit="1" customWidth="1"/>
  </cols>
  <sheetData>
    <row r="1" spans="1:20" x14ac:dyDescent="0.55000000000000004">
      <c r="A1" s="16" t="s">
        <v>600</v>
      </c>
      <c r="H1" s="14"/>
      <c r="I1" s="14"/>
      <c r="J1" s="14"/>
      <c r="K1" s="14"/>
      <c r="L1" s="14"/>
      <c r="M1" s="14"/>
      <c r="N1" s="14"/>
      <c r="O1" s="14"/>
      <c r="P1" s="14"/>
      <c r="Q1" s="14"/>
      <c r="R1" s="14"/>
      <c r="S1" s="14"/>
      <c r="T1" s="14"/>
    </row>
    <row r="2" spans="1:20" x14ac:dyDescent="0.55000000000000004">
      <c r="A2" s="17" t="s">
        <v>625</v>
      </c>
      <c r="H2" s="14"/>
      <c r="I2" s="14"/>
      <c r="J2" s="14"/>
      <c r="K2" s="14"/>
      <c r="L2" s="14"/>
      <c r="M2" s="14"/>
      <c r="N2" s="14"/>
      <c r="O2" s="14"/>
      <c r="P2" s="14"/>
      <c r="Q2" s="14"/>
      <c r="R2" s="14"/>
      <c r="S2" s="14"/>
      <c r="T2" s="14"/>
    </row>
    <row r="4" spans="1:20" ht="15.75" x14ac:dyDescent="0.5">
      <c r="A4" s="2" t="s">
        <v>15</v>
      </c>
      <c r="B4" s="2" t="s">
        <v>16</v>
      </c>
      <c r="C4" s="2"/>
    </row>
    <row r="5" spans="1:20" ht="15.75" x14ac:dyDescent="0.45">
      <c r="A5" s="23" t="s">
        <v>595</v>
      </c>
      <c r="B5" s="26" t="s">
        <v>601</v>
      </c>
      <c r="C5" s="26"/>
    </row>
    <row r="6" spans="1:20" ht="15.75" x14ac:dyDescent="0.45">
      <c r="A6" s="23"/>
      <c r="B6" s="26"/>
      <c r="C6" s="26"/>
    </row>
    <row r="7" spans="1:20" ht="15.75" x14ac:dyDescent="0.5">
      <c r="A7" s="2" t="s">
        <v>315</v>
      </c>
    </row>
    <row r="8" spans="1:20" ht="35.25" customHeight="1" x14ac:dyDescent="0.45">
      <c r="A8" s="166" t="s">
        <v>612</v>
      </c>
      <c r="B8" s="166"/>
      <c r="C8" s="166"/>
      <c r="D8" s="166"/>
      <c r="E8" s="166"/>
      <c r="F8" s="166"/>
      <c r="G8" s="26"/>
    </row>
    <row r="9" spans="1:20" x14ac:dyDescent="0.55000000000000004">
      <c r="H9" s="117" t="s">
        <v>604</v>
      </c>
      <c r="I9" s="117"/>
      <c r="J9" s="117"/>
      <c r="K9" s="117"/>
      <c r="L9" s="117"/>
      <c r="M9" s="117"/>
      <c r="N9" s="117"/>
      <c r="O9" s="117"/>
      <c r="P9" s="117"/>
      <c r="Q9" s="117"/>
      <c r="R9" s="117"/>
      <c r="S9" s="117"/>
      <c r="T9" s="117"/>
    </row>
    <row r="10" spans="1:20" x14ac:dyDescent="0.55000000000000004">
      <c r="D10" s="1" t="s">
        <v>17</v>
      </c>
      <c r="E10" s="13" t="s">
        <v>595</v>
      </c>
      <c r="F10" s="12" t="s">
        <v>602</v>
      </c>
      <c r="H10" s="115" t="s">
        <v>603</v>
      </c>
      <c r="I10" s="115"/>
      <c r="J10" s="115"/>
      <c r="K10" s="115"/>
      <c r="L10" s="115"/>
      <c r="M10" s="115"/>
      <c r="N10" s="115"/>
      <c r="O10" s="115"/>
      <c r="P10" s="115"/>
      <c r="Q10" s="115"/>
      <c r="R10" s="115"/>
      <c r="S10" s="115"/>
      <c r="T10" s="115"/>
    </row>
    <row r="11" spans="1:20" x14ac:dyDescent="0.55000000000000004">
      <c r="H11" s="28"/>
      <c r="I11" s="28"/>
      <c r="J11" s="28"/>
      <c r="K11" s="28"/>
      <c r="L11" s="28"/>
      <c r="M11" s="28"/>
      <c r="N11" s="28"/>
      <c r="O11" s="28"/>
      <c r="P11" s="28"/>
      <c r="Q11" s="28"/>
      <c r="R11" s="28"/>
      <c r="S11" s="28"/>
      <c r="T11" s="28"/>
    </row>
    <row r="12" spans="1:20" s="21" customFormat="1" x14ac:dyDescent="0.55000000000000004">
      <c r="A12" s="17"/>
      <c r="B12"/>
      <c r="C12"/>
      <c r="D12" s="1" t="s">
        <v>17</v>
      </c>
      <c r="E12" s="13" t="s">
        <v>595</v>
      </c>
      <c r="F12" s="12" t="s">
        <v>602</v>
      </c>
      <c r="G12"/>
      <c r="H12" s="28" t="e" cm="1">
        <f t="array" ref="H12">EVALS($F$12)</f>
        <v>#NAME?</v>
      </c>
      <c r="I12" s="28"/>
      <c r="J12" s="28"/>
      <c r="K12" s="28"/>
      <c r="L12" s="28"/>
      <c r="M12" s="28"/>
      <c r="N12" s="28"/>
      <c r="O12" s="28"/>
      <c r="P12" s="28"/>
      <c r="Q12" s="28"/>
      <c r="R12" s="28"/>
      <c r="S12" s="28"/>
      <c r="T12" s="28"/>
    </row>
  </sheetData>
  <mergeCells count="1">
    <mergeCell ref="A8:F8"/>
  </mergeCells>
  <pageMargins left="0.511811024" right="0.511811024" top="0.78740157499999996" bottom="0.78740157499999996" header="0.31496062000000002" footer="0.3149606200000000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3878B-11E7-4A26-B80F-29890307138B}">
  <sheetPr codeName="Planilha70">
    <tabColor theme="9" tint="0.59999389629810485"/>
  </sheetPr>
  <dimension ref="A1:I21"/>
  <sheetViews>
    <sheetView showGridLines="0" workbookViewId="0">
      <selection activeCell="K12" sqref="K12"/>
    </sheetView>
  </sheetViews>
  <sheetFormatPr defaultColWidth="8.796875" defaultRowHeight="18" x14ac:dyDescent="0.55000000000000004"/>
  <cols>
    <col min="1" max="1" width="12.6640625" style="17" customWidth="1"/>
    <col min="2" max="3" width="26.33203125" customWidth="1"/>
    <col min="4" max="4" width="8.796875" customWidth="1"/>
    <col min="5" max="5" width="10.6640625" bestFit="1" customWidth="1"/>
    <col min="8" max="9" width="12.33203125" style="15" bestFit="1" customWidth="1"/>
  </cols>
  <sheetData>
    <row r="1" spans="1:9" x14ac:dyDescent="0.55000000000000004">
      <c r="A1" s="16" t="s">
        <v>842</v>
      </c>
      <c r="H1" s="14"/>
      <c r="I1" s="14"/>
    </row>
    <row r="2" spans="1:9" ht="39" customHeight="1" x14ac:dyDescent="0.55000000000000004">
      <c r="A2" s="181" t="s">
        <v>843</v>
      </c>
      <c r="B2" s="181"/>
      <c r="C2" s="181"/>
      <c r="D2" s="181"/>
      <c r="E2" s="181"/>
      <c r="F2" s="181"/>
      <c r="G2" s="181"/>
      <c r="H2" s="14"/>
      <c r="I2" s="14"/>
    </row>
    <row r="4" spans="1:9" ht="15.75" x14ac:dyDescent="0.5">
      <c r="A4" s="2" t="s">
        <v>15</v>
      </c>
      <c r="B4" s="2" t="s">
        <v>16</v>
      </c>
      <c r="C4" s="2"/>
    </row>
    <row r="5" spans="1:9" ht="15.75" x14ac:dyDescent="0.45">
      <c r="A5" s="23" t="s">
        <v>844</v>
      </c>
      <c r="B5" s="164" t="s">
        <v>1336</v>
      </c>
      <c r="C5" s="26"/>
    </row>
    <row r="6" spans="1:9" ht="15.75" x14ac:dyDescent="0.45">
      <c r="A6" s="23" t="s">
        <v>845</v>
      </c>
      <c r="B6" s="164" t="s">
        <v>1337</v>
      </c>
      <c r="C6" s="26"/>
    </row>
    <row r="7" spans="1:9" ht="15.75" x14ac:dyDescent="0.45">
      <c r="A7" s="23" t="s">
        <v>846</v>
      </c>
      <c r="B7" s="164" t="s">
        <v>1338</v>
      </c>
      <c r="C7" s="26"/>
    </row>
    <row r="8" spans="1:9" ht="15.75" x14ac:dyDescent="0.45">
      <c r="A8" s="23"/>
      <c r="B8" s="26"/>
      <c r="C8" s="26"/>
    </row>
    <row r="9" spans="1:9" ht="15.75" x14ac:dyDescent="0.45">
      <c r="A9" s="23"/>
      <c r="B9" s="26"/>
      <c r="C9" s="26"/>
    </row>
    <row r="10" spans="1:9" ht="15.75" x14ac:dyDescent="0.5">
      <c r="A10" s="2" t="s">
        <v>315</v>
      </c>
    </row>
    <row r="11" spans="1:9" ht="35.25" customHeight="1" x14ac:dyDescent="0.45">
      <c r="A11" s="166" t="s">
        <v>847</v>
      </c>
      <c r="B11" s="166"/>
      <c r="C11" s="166"/>
      <c r="D11" s="166"/>
      <c r="E11" s="166"/>
      <c r="F11" s="166"/>
      <c r="G11" s="26"/>
    </row>
    <row r="12" spans="1:9" x14ac:dyDescent="0.55000000000000004">
      <c r="H12" s="117"/>
      <c r="I12" s="117"/>
    </row>
    <row r="13" spans="1:9" x14ac:dyDescent="0.55000000000000004">
      <c r="D13" s="1" t="s">
        <v>17</v>
      </c>
      <c r="E13" s="13" t="s">
        <v>844</v>
      </c>
      <c r="F13" s="111" t="s">
        <v>849</v>
      </c>
      <c r="H13" s="115" t="e" cm="1">
        <f t="array" ref="H13">_xlfn.LAMBDA(_xlpm.s,_xlpm.old,_xlpm.new, EVALS(SUBSTITUTE(_xlpm.s,_xlpm.old,_xlpm.new)))($F$13,$F$14,$F$15)</f>
        <v>#NAME?</v>
      </c>
      <c r="I13" s="115"/>
    </row>
    <row r="14" spans="1:9" x14ac:dyDescent="0.55000000000000004">
      <c r="E14" s="13" t="s">
        <v>845</v>
      </c>
      <c r="F14" s="111" t="s">
        <v>848</v>
      </c>
      <c r="H14" s="28"/>
      <c r="I14" s="28"/>
    </row>
    <row r="15" spans="1:9" s="21" customFormat="1" x14ac:dyDescent="0.55000000000000004">
      <c r="A15" s="17"/>
      <c r="B15"/>
      <c r="C15"/>
      <c r="E15" s="13" t="s">
        <v>846</v>
      </c>
      <c r="F15" s="111">
        <v>10</v>
      </c>
      <c r="H15" s="27"/>
      <c r="I15" s="27"/>
    </row>
    <row r="19" spans="4:9" s="21" customFormat="1" ht="14.25" x14ac:dyDescent="0.45">
      <c r="D19" s="1" t="s">
        <v>17</v>
      </c>
      <c r="E19" s="13" t="s">
        <v>844</v>
      </c>
      <c r="F19" s="111" t="s">
        <v>849</v>
      </c>
      <c r="G19"/>
      <c r="H19" s="127" t="e" cm="1">
        <f t="array" ref="H19">SUBS($F$19,$F$20,$F$21)</f>
        <v>#NAME?</v>
      </c>
      <c r="I19" s="127"/>
    </row>
    <row r="20" spans="4:9" s="21" customFormat="1" ht="14.25" x14ac:dyDescent="0.45">
      <c r="D20"/>
      <c r="E20" s="13" t="s">
        <v>845</v>
      </c>
      <c r="F20" s="111" t="s">
        <v>848</v>
      </c>
      <c r="G20"/>
      <c r="H20" s="27"/>
      <c r="I20" s="27"/>
    </row>
    <row r="21" spans="4:9" s="21" customFormat="1" ht="14.25" x14ac:dyDescent="0.45">
      <c r="D21"/>
      <c r="E21" s="13" t="s">
        <v>846</v>
      </c>
      <c r="F21" s="111">
        <v>10</v>
      </c>
      <c r="G21"/>
      <c r="H21" s="27"/>
      <c r="I21" s="27"/>
    </row>
  </sheetData>
  <mergeCells count="2">
    <mergeCell ref="A11:F11"/>
    <mergeCell ref="A2:G2"/>
  </mergeCells>
  <pageMargins left="0.511811024" right="0.511811024" top="0.78740157499999996" bottom="0.78740157499999996" header="0.31496062000000002" footer="0.3149606200000000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DB25A-02AC-4904-B63E-001B9C097A42}">
  <sheetPr codeName="Planilha64">
    <tabColor theme="9" tint="0.59999389629810485"/>
  </sheetPr>
  <dimension ref="A1:P1014"/>
  <sheetViews>
    <sheetView showGridLines="0" zoomScale="85" zoomScaleNormal="85" workbookViewId="0">
      <selection activeCell="L14" sqref="L14"/>
    </sheetView>
  </sheetViews>
  <sheetFormatPr defaultColWidth="8.796875" defaultRowHeight="18" x14ac:dyDescent="0.55000000000000004"/>
  <cols>
    <col min="1" max="1" width="12.6640625" style="17" customWidth="1"/>
    <col min="2" max="2" width="80.33203125" customWidth="1"/>
    <col min="3" max="3" width="9.6640625" customWidth="1"/>
    <col min="4" max="4" width="8.796875" customWidth="1"/>
    <col min="5" max="5" width="10" bestFit="1" customWidth="1"/>
    <col min="9" max="9" width="5.796875" customWidth="1"/>
    <col min="10" max="10" width="12.33203125" style="21" bestFit="1" customWidth="1"/>
    <col min="11" max="11" width="8.796875" style="21"/>
    <col min="12" max="12" width="10.6640625" style="21" bestFit="1" customWidth="1"/>
    <col min="13" max="13" width="27.6640625" style="21" bestFit="1" customWidth="1"/>
    <col min="14" max="16" width="8.796875" style="21"/>
  </cols>
  <sheetData>
    <row r="1" spans="1:16" x14ac:dyDescent="0.55000000000000004">
      <c r="A1" s="16" t="s">
        <v>591</v>
      </c>
      <c r="J1" s="14"/>
      <c r="K1" s="14"/>
      <c r="L1" s="14"/>
      <c r="M1" s="14"/>
      <c r="N1" s="14"/>
      <c r="O1" s="14"/>
      <c r="P1" s="14"/>
    </row>
    <row r="2" spans="1:16" x14ac:dyDescent="0.55000000000000004">
      <c r="A2" s="17" t="s">
        <v>624</v>
      </c>
      <c r="J2" s="14"/>
      <c r="K2" s="14"/>
      <c r="L2" s="14"/>
      <c r="M2" s="14"/>
      <c r="N2" s="14"/>
      <c r="O2" s="14"/>
      <c r="P2" s="14"/>
    </row>
    <row r="3" spans="1:16" x14ac:dyDescent="0.55000000000000004">
      <c r="J3" s="15"/>
      <c r="K3" s="15"/>
      <c r="L3" s="15"/>
      <c r="M3" s="15"/>
      <c r="N3" s="15"/>
      <c r="O3" s="15"/>
      <c r="P3" s="15"/>
    </row>
    <row r="4" spans="1:16" ht="15.75" x14ac:dyDescent="0.5">
      <c r="A4" s="2" t="s">
        <v>15</v>
      </c>
      <c r="B4" s="2" t="s">
        <v>16</v>
      </c>
      <c r="C4" s="2"/>
      <c r="J4" s="15"/>
      <c r="K4" s="15"/>
      <c r="L4" s="15"/>
      <c r="M4" s="15"/>
      <c r="N4" s="15"/>
      <c r="O4" s="15"/>
      <c r="P4" s="15"/>
    </row>
    <row r="5" spans="1:16" ht="15.75" x14ac:dyDescent="0.45">
      <c r="A5" s="23" t="s">
        <v>595</v>
      </c>
      <c r="B5" s="26" t="s">
        <v>606</v>
      </c>
      <c r="C5" s="26"/>
      <c r="J5" s="15"/>
      <c r="K5" s="15"/>
      <c r="L5" s="15"/>
      <c r="M5" s="15"/>
      <c r="N5" s="15"/>
      <c r="O5" s="15"/>
      <c r="P5" s="15"/>
    </row>
    <row r="6" spans="1:16" ht="15.75" x14ac:dyDescent="0.45">
      <c r="A6" s="23" t="s">
        <v>592</v>
      </c>
      <c r="B6" s="26" t="s">
        <v>607</v>
      </c>
      <c r="C6" s="26"/>
      <c r="J6" s="15"/>
      <c r="K6" s="15"/>
      <c r="L6" s="15"/>
      <c r="M6" s="15"/>
      <c r="N6" s="15"/>
      <c r="O6" s="15"/>
      <c r="P6" s="15"/>
    </row>
    <row r="7" spans="1:16" ht="15.75" x14ac:dyDescent="0.45">
      <c r="A7" s="23" t="s">
        <v>593</v>
      </c>
      <c r="B7" s="26" t="s">
        <v>608</v>
      </c>
      <c r="C7" s="26"/>
      <c r="J7" s="15"/>
      <c r="K7" s="15"/>
      <c r="L7" s="15"/>
      <c r="M7" s="15"/>
      <c r="N7" s="15"/>
      <c r="O7" s="15"/>
      <c r="P7" s="15"/>
    </row>
    <row r="8" spans="1:16" ht="15.75" x14ac:dyDescent="0.45">
      <c r="A8" s="23" t="s">
        <v>594</v>
      </c>
      <c r="B8" s="26" t="s">
        <v>609</v>
      </c>
      <c r="C8" s="26"/>
      <c r="J8" s="15"/>
      <c r="K8" s="15"/>
      <c r="L8" s="15"/>
      <c r="M8" s="15"/>
      <c r="N8" s="15"/>
      <c r="O8" s="15"/>
      <c r="P8" s="15"/>
    </row>
    <row r="9" spans="1:16" ht="15.75" x14ac:dyDescent="0.45">
      <c r="A9" s="23"/>
      <c r="B9" s="26"/>
      <c r="C9" s="26"/>
      <c r="J9" s="15"/>
      <c r="K9" s="15"/>
      <c r="L9" s="15"/>
      <c r="M9" s="15"/>
      <c r="N9" s="15"/>
      <c r="O9" s="15"/>
      <c r="P9" s="15"/>
    </row>
    <row r="10" spans="1:16" ht="15.75" x14ac:dyDescent="0.5">
      <c r="A10" s="2" t="s">
        <v>315</v>
      </c>
      <c r="J10" s="15"/>
      <c r="K10" s="15"/>
      <c r="L10" s="15"/>
      <c r="M10" s="15"/>
      <c r="N10" s="15"/>
      <c r="O10" s="15"/>
      <c r="P10" s="15"/>
    </row>
    <row r="11" spans="1:16" ht="52.5" customHeight="1" x14ac:dyDescent="0.45">
      <c r="A11" s="166" t="s">
        <v>611</v>
      </c>
      <c r="B11" s="166"/>
      <c r="C11" s="166"/>
      <c r="D11" s="166"/>
      <c r="E11" s="166"/>
      <c r="F11" s="166"/>
      <c r="G11" s="166"/>
      <c r="H11" s="166"/>
      <c r="J11" s="15"/>
      <c r="K11" s="15"/>
      <c r="L11" s="15"/>
      <c r="M11" s="15"/>
      <c r="N11" s="15"/>
      <c r="O11" s="15"/>
      <c r="P11" s="15"/>
    </row>
    <row r="12" spans="1:16" ht="15.75" x14ac:dyDescent="0.45">
      <c r="A12" s="23"/>
      <c r="J12" s="117" t="s">
        <v>623</v>
      </c>
      <c r="K12" s="15"/>
      <c r="L12" s="15"/>
      <c r="M12" s="15"/>
      <c r="N12" s="15"/>
      <c r="O12" s="15"/>
      <c r="P12" s="15"/>
    </row>
    <row r="13" spans="1:16" ht="15.75" x14ac:dyDescent="0.45">
      <c r="A13" s="23"/>
      <c r="B13" s="26"/>
      <c r="C13" s="26"/>
      <c r="J13" s="15"/>
      <c r="K13" s="15"/>
      <c r="L13" s="60" t="s">
        <v>590</v>
      </c>
      <c r="M13" s="60" t="s">
        <v>605</v>
      </c>
      <c r="N13" s="15"/>
      <c r="O13" s="15"/>
      <c r="P13" s="15"/>
    </row>
    <row r="14" spans="1:16" x14ac:dyDescent="0.55000000000000004">
      <c r="D14" s="1" t="s">
        <v>17</v>
      </c>
      <c r="E14" s="13" t="s">
        <v>595</v>
      </c>
      <c r="F14" s="179" t="s">
        <v>610</v>
      </c>
      <c r="G14" s="179"/>
      <c r="H14" s="179"/>
      <c r="J14" s="62" t="e" cm="1">
        <f t="array" ref="J14">_xlfn.LAMBDA(_xlpm.expression,_xlop.xMin,_xlop.xMax,_xlop.xStep,
_xlfn.LET(
_xlpm.expression, LOWER(_xlpm.expression),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_xlpm.signChgs, _xlfn.MAKEARRAY(ROWS(_xlpm.results),1,_xlfn.LAMBDA(_xlpm.row,_xlpm.col,IF(_xlpm.row=1,1,IF(OR(SIGN(INDEX(_xlpm.results,_xlpm.row,1)) = 0, SIGN(INDEX(_xlpm.results,_xlpm.row,1)) = -SIGN(INDEX(_xlpm.results,_xlpm.row-1,1))), -1, 1) ))),
INDEX(_xlpm.candX, NOZERO(_xlpm.signChgs=-1), 1)
))($F$14,$F$16,$F$17,$F$18)</f>
        <v>#NAME?</v>
      </c>
      <c r="K14" s="15"/>
      <c r="L14" s="27" cm="1">
        <f t="array" ref="L14:M1014">_xlfn.LAMBDA(_xlpm.expression,_xlop.xMin,_xlop.xMax,_xlop.xStep,
_xlfn.LET(
_xlpm.nExp, _xlfn.LAMBDA(_xlpm.x, EVALS(SUBSTITUTE(_xlpm.expression, "x", _xlpm.x))),
_xlpm.defRange, 1,
_xlpm.xMin,IF(OR(_xlfn.ISOMITTED(_xlpm.xMin), ISBLANK(_xlpm.xMin)), -_xlpm.defRange, _xlpm.xMin),
_xlpm.xMax,IF(OR(_xlfn.ISOMITTED(_xlpm.xMax), ISBLANK(_xlpm.xMax)), _xlpm.defRange, _xlpm.xMax),
_xlpm.xStep,IF(OR(_xlfn.ISOMITTED(_xlpm.xStep), ISBLANK(_xlpm.xStep)), _xlpm.defRange/500, _xlpm.xStep),
_xlpm.candX, _xlpm.xMin + _xlpm.xStep * _xlfn.SEQUENCE((_xlpm.xMax-_xlpm.xMin)/_xlpm.xStep + 1,1, 0),
_xlpm.results, _xlfn.MAP(_xlpm.candX, _xlfn.LAMBDA(_xlpm.x, _xlpm.nExp(_xlpm.x))),
_xlfn.HSTACK(_xlpm.candX, _xlpm.results)
))($F$14,$F$16,$F$17,$F$18)</f>
        <v>-5</v>
      </c>
      <c r="M14" s="53" t="e">
        <v>#NAME?</v>
      </c>
      <c r="N14" s="15"/>
      <c r="O14" s="15"/>
      <c r="P14" s="15"/>
    </row>
    <row r="15" spans="1:16" x14ac:dyDescent="0.55000000000000004">
      <c r="J15" s="62"/>
      <c r="K15" s="62"/>
      <c r="L15" s="15">
        <v>-4.99</v>
      </c>
      <c r="M15" s="53" t="e">
        <v>#NAME?</v>
      </c>
      <c r="N15" s="62"/>
      <c r="O15" s="62"/>
      <c r="P15" s="62"/>
    </row>
    <row r="16" spans="1:16" x14ac:dyDescent="0.55000000000000004">
      <c r="E16" s="13" t="s">
        <v>596</v>
      </c>
      <c r="F16" s="12">
        <v>-5</v>
      </c>
      <c r="J16" s="62"/>
      <c r="K16" s="62"/>
      <c r="L16" s="15">
        <v>-4.9800000000000004</v>
      </c>
      <c r="M16" s="53" t="e">
        <v>#NAME?</v>
      </c>
      <c r="N16" s="62"/>
      <c r="O16" s="62"/>
      <c r="P16" s="62"/>
    </row>
    <row r="17" spans="4:16" x14ac:dyDescent="0.55000000000000004">
      <c r="E17" s="13" t="s">
        <v>597</v>
      </c>
      <c r="F17" s="12">
        <v>5</v>
      </c>
      <c r="J17" s="15"/>
      <c r="K17" s="62"/>
      <c r="L17" s="15">
        <v>-4.97</v>
      </c>
      <c r="M17" s="53" t="e">
        <v>#NAME?</v>
      </c>
      <c r="N17" s="62"/>
      <c r="O17" s="62"/>
      <c r="P17" s="62"/>
    </row>
    <row r="18" spans="4:16" x14ac:dyDescent="0.55000000000000004">
      <c r="E18" s="13" t="s">
        <v>598</v>
      </c>
      <c r="F18" s="12">
        <v>0.01</v>
      </c>
      <c r="J18" s="62"/>
      <c r="K18" s="62"/>
      <c r="L18" s="15">
        <v>-4.96</v>
      </c>
      <c r="M18" s="53" t="e">
        <v>#NAME?</v>
      </c>
      <c r="N18" s="62"/>
      <c r="O18" s="62"/>
      <c r="P18" s="62"/>
    </row>
    <row r="19" spans="4:16" s="21" customFormat="1" ht="14.25" x14ac:dyDescent="0.45">
      <c r="D19"/>
      <c r="G19"/>
      <c r="H19"/>
      <c r="I19"/>
      <c r="J19" s="27"/>
      <c r="K19" s="15"/>
      <c r="L19" s="15">
        <v>-4.95</v>
      </c>
      <c r="M19" s="53" t="e">
        <v>#NAME?</v>
      </c>
      <c r="N19" s="15"/>
      <c r="O19" s="15"/>
      <c r="P19" s="15"/>
    </row>
    <row r="20" spans="4:16" s="21" customFormat="1" ht="14.25" x14ac:dyDescent="0.45">
      <c r="D20"/>
      <c r="G20"/>
      <c r="H20"/>
      <c r="I20"/>
      <c r="J20" s="27"/>
      <c r="K20" s="15"/>
      <c r="L20" s="15">
        <v>-4.9400000000000004</v>
      </c>
      <c r="M20" s="53" t="e">
        <v>#NAME?</v>
      </c>
      <c r="N20" s="15"/>
      <c r="O20" s="15"/>
      <c r="P20" s="15"/>
    </row>
    <row r="21" spans="4:16" s="21" customFormat="1" ht="14.25" x14ac:dyDescent="0.45">
      <c r="D21"/>
      <c r="G21"/>
      <c r="H21"/>
      <c r="I21"/>
      <c r="J21" s="27"/>
      <c r="K21" s="15"/>
      <c r="L21" s="15">
        <v>-4.93</v>
      </c>
      <c r="M21" s="53" t="e">
        <v>#NAME?</v>
      </c>
      <c r="N21" s="15"/>
      <c r="O21" s="15"/>
      <c r="P21" s="15"/>
    </row>
    <row r="22" spans="4:16" s="21" customFormat="1" ht="14.25" x14ac:dyDescent="0.45">
      <c r="D22"/>
      <c r="G22"/>
      <c r="H22"/>
      <c r="I22"/>
      <c r="J22" s="27"/>
      <c r="K22" s="15"/>
      <c r="L22" s="15">
        <v>-4.92</v>
      </c>
      <c r="M22" s="53" t="e">
        <v>#NAME?</v>
      </c>
      <c r="N22" s="15"/>
      <c r="O22" s="15"/>
      <c r="P22" s="15"/>
    </row>
    <row r="23" spans="4:16" s="21" customFormat="1" ht="14.25" x14ac:dyDescent="0.45">
      <c r="D23"/>
      <c r="E23"/>
      <c r="F23"/>
      <c r="G23"/>
      <c r="H23"/>
      <c r="I23"/>
      <c r="J23" s="27"/>
      <c r="K23" s="15"/>
      <c r="L23" s="15">
        <v>-4.91</v>
      </c>
      <c r="M23" s="53" t="e">
        <v>#NAME?</v>
      </c>
      <c r="N23" s="15"/>
      <c r="O23" s="15"/>
      <c r="P23" s="15"/>
    </row>
    <row r="24" spans="4:16" s="21" customFormat="1" ht="14.25" x14ac:dyDescent="0.45">
      <c r="D24"/>
      <c r="E24"/>
      <c r="F24"/>
      <c r="G24"/>
      <c r="H24"/>
      <c r="I24"/>
      <c r="J24" s="27"/>
      <c r="K24" s="15"/>
      <c r="L24" s="15">
        <v>-4.9000000000000004</v>
      </c>
      <c r="M24" s="53" t="e">
        <v>#NAME?</v>
      </c>
      <c r="N24" s="15"/>
      <c r="O24" s="15"/>
      <c r="P24" s="15"/>
    </row>
    <row r="25" spans="4:16" s="21" customFormat="1" ht="14.25" x14ac:dyDescent="0.45">
      <c r="D25" s="1" t="s">
        <v>17</v>
      </c>
      <c r="E25" s="13" t="s">
        <v>595</v>
      </c>
      <c r="F25" s="179" t="s">
        <v>599</v>
      </c>
      <c r="G25" s="179"/>
      <c r="H25" s="179"/>
      <c r="I25"/>
      <c r="J25" s="62" cm="1">
        <f t="array" ref="J25:J26">FZERO($F$25,$F$27,$F$28,$F$29)</f>
        <v>-1.4100000000000001</v>
      </c>
      <c r="K25" s="15"/>
      <c r="L25" s="15">
        <v>-4.8899999999999997</v>
      </c>
      <c r="M25" s="53" t="e">
        <v>#NAME?</v>
      </c>
      <c r="N25" s="15"/>
      <c r="O25" s="15"/>
      <c r="P25" s="15"/>
    </row>
    <row r="26" spans="4:16" s="21" customFormat="1" ht="14.25" x14ac:dyDescent="0.45">
      <c r="D26"/>
      <c r="E26"/>
      <c r="F26"/>
      <c r="G26"/>
      <c r="H26"/>
      <c r="I26"/>
      <c r="J26" s="27">
        <v>1.4200000000000017</v>
      </c>
      <c r="K26" s="15"/>
      <c r="L26" s="15">
        <v>-4.88</v>
      </c>
      <c r="M26" s="53" t="e">
        <v>#NAME?</v>
      </c>
      <c r="N26" s="15"/>
      <c r="O26" s="15"/>
      <c r="P26" s="15"/>
    </row>
    <row r="27" spans="4:16" s="21" customFormat="1" ht="14.25" x14ac:dyDescent="0.45">
      <c r="D27"/>
      <c r="E27" s="13" t="s">
        <v>596</v>
      </c>
      <c r="F27" s="12">
        <v>-15</v>
      </c>
      <c r="G27"/>
      <c r="H27"/>
      <c r="I27"/>
      <c r="J27" s="27"/>
      <c r="K27" s="15"/>
      <c r="L27" s="15">
        <v>-4.87</v>
      </c>
      <c r="M27" s="53" t="e">
        <v>#NAME?</v>
      </c>
      <c r="N27" s="15"/>
      <c r="O27" s="15"/>
      <c r="P27" s="15"/>
    </row>
    <row r="28" spans="4:16" s="21" customFormat="1" ht="14.25" x14ac:dyDescent="0.45">
      <c r="D28"/>
      <c r="E28" s="13" t="s">
        <v>597</v>
      </c>
      <c r="F28" s="12">
        <v>15</v>
      </c>
      <c r="G28"/>
      <c r="H28"/>
      <c r="I28"/>
      <c r="J28" s="27"/>
      <c r="K28" s="15"/>
      <c r="L28" s="15">
        <v>-4.8600000000000003</v>
      </c>
      <c r="M28" s="53" t="e">
        <v>#NAME?</v>
      </c>
      <c r="N28" s="15"/>
      <c r="O28" s="15"/>
      <c r="P28" s="15"/>
    </row>
    <row r="29" spans="4:16" s="21" customFormat="1" ht="14.25" x14ac:dyDescent="0.45">
      <c r="D29"/>
      <c r="E29" s="13" t="s">
        <v>598</v>
      </c>
      <c r="F29" s="12">
        <v>0.01</v>
      </c>
      <c r="G29"/>
      <c r="H29"/>
      <c r="I29"/>
      <c r="J29" s="27"/>
      <c r="K29" s="15"/>
      <c r="L29" s="15">
        <v>-4.8499999999999996</v>
      </c>
      <c r="M29" s="53" t="e">
        <v>#NAME?</v>
      </c>
      <c r="N29" s="15"/>
      <c r="O29" s="15"/>
      <c r="P29" s="15"/>
    </row>
    <row r="30" spans="4:16" s="21" customFormat="1" ht="14.25" x14ac:dyDescent="0.45">
      <c r="D30"/>
      <c r="G30"/>
      <c r="H30"/>
      <c r="I30"/>
      <c r="J30" s="27"/>
      <c r="K30" s="15"/>
      <c r="L30" s="15">
        <v>-4.84</v>
      </c>
      <c r="M30" s="53" t="e">
        <v>#NAME?</v>
      </c>
      <c r="N30" s="15"/>
      <c r="O30" s="15"/>
      <c r="P30" s="15"/>
    </row>
    <row r="31" spans="4:16" s="21" customFormat="1" ht="14.25" x14ac:dyDescent="0.45">
      <c r="D31"/>
      <c r="G31"/>
      <c r="H31"/>
      <c r="I31"/>
      <c r="J31" s="27"/>
      <c r="K31" s="15"/>
      <c r="L31" s="15">
        <v>-4.83</v>
      </c>
      <c r="M31" s="53" t="e">
        <v>#NAME?</v>
      </c>
      <c r="N31" s="15"/>
      <c r="O31" s="15"/>
      <c r="P31" s="15"/>
    </row>
    <row r="32" spans="4:16" s="21" customFormat="1" ht="14.25" x14ac:dyDescent="0.45">
      <c r="D32"/>
      <c r="G32"/>
      <c r="H32"/>
      <c r="I32"/>
      <c r="J32" s="27"/>
      <c r="K32" s="15"/>
      <c r="L32" s="15">
        <v>-4.82</v>
      </c>
      <c r="M32" s="53" t="e">
        <v>#NAME?</v>
      </c>
      <c r="N32" s="15"/>
      <c r="O32" s="15"/>
      <c r="P32" s="15"/>
    </row>
    <row r="33" spans="10:16" s="21" customFormat="1" ht="14.25" x14ac:dyDescent="0.45">
      <c r="J33" s="27"/>
      <c r="K33" s="15"/>
      <c r="L33" s="15">
        <v>-4.8099999999999996</v>
      </c>
      <c r="M33" s="53" t="e">
        <v>#NAME?</v>
      </c>
      <c r="N33" s="15"/>
      <c r="O33" s="15"/>
      <c r="P33" s="15"/>
    </row>
    <row r="34" spans="10:16" s="21" customFormat="1" ht="14.25" x14ac:dyDescent="0.45">
      <c r="J34" s="27"/>
      <c r="K34" s="15"/>
      <c r="L34" s="15">
        <v>-4.8</v>
      </c>
      <c r="M34" s="53" t="e">
        <v>#NAME?</v>
      </c>
      <c r="N34" s="15"/>
      <c r="O34" s="15"/>
      <c r="P34" s="15"/>
    </row>
    <row r="35" spans="10:16" s="21" customFormat="1" ht="14.25" x14ac:dyDescent="0.45">
      <c r="J35" s="27"/>
      <c r="K35" s="15"/>
      <c r="L35" s="15">
        <v>-4.79</v>
      </c>
      <c r="M35" s="53" t="e">
        <v>#NAME?</v>
      </c>
      <c r="N35" s="15"/>
      <c r="O35" s="15"/>
      <c r="P35" s="15"/>
    </row>
    <row r="36" spans="10:16" s="21" customFormat="1" ht="14.25" x14ac:dyDescent="0.45">
      <c r="J36" s="27"/>
      <c r="K36" s="15"/>
      <c r="L36" s="15">
        <v>-4.78</v>
      </c>
      <c r="M36" s="53" t="e">
        <v>#NAME?</v>
      </c>
      <c r="N36" s="15"/>
      <c r="O36" s="15"/>
      <c r="P36" s="15"/>
    </row>
    <row r="37" spans="10:16" s="21" customFormat="1" ht="14.25" x14ac:dyDescent="0.45">
      <c r="J37" s="27"/>
      <c r="K37" s="15"/>
      <c r="L37" s="15">
        <v>-4.7699999999999996</v>
      </c>
      <c r="M37" s="53" t="e">
        <v>#NAME?</v>
      </c>
      <c r="N37" s="15"/>
      <c r="O37" s="15"/>
      <c r="P37" s="15"/>
    </row>
    <row r="38" spans="10:16" s="21" customFormat="1" ht="14.25" x14ac:dyDescent="0.45">
      <c r="J38" s="27"/>
      <c r="K38" s="15"/>
      <c r="L38" s="15">
        <v>-4.76</v>
      </c>
      <c r="M38" s="53" t="e">
        <v>#NAME?</v>
      </c>
      <c r="N38" s="15"/>
      <c r="O38" s="15"/>
      <c r="P38" s="15"/>
    </row>
    <row r="39" spans="10:16" s="21" customFormat="1" ht="14.25" x14ac:dyDescent="0.45">
      <c r="J39" s="27"/>
      <c r="K39" s="15"/>
      <c r="L39" s="15">
        <v>-4.75</v>
      </c>
      <c r="M39" s="53" t="e">
        <v>#NAME?</v>
      </c>
      <c r="N39" s="15"/>
      <c r="O39" s="15"/>
      <c r="P39" s="15"/>
    </row>
    <row r="40" spans="10:16" s="21" customFormat="1" ht="14.25" x14ac:dyDescent="0.45">
      <c r="J40" s="27"/>
      <c r="K40" s="15"/>
      <c r="L40" s="15">
        <v>-4.74</v>
      </c>
      <c r="M40" s="53" t="e">
        <v>#NAME?</v>
      </c>
      <c r="N40" s="15"/>
      <c r="O40" s="15"/>
      <c r="P40" s="15"/>
    </row>
    <row r="41" spans="10:16" s="21" customFormat="1" ht="14.25" x14ac:dyDescent="0.45">
      <c r="J41" s="27"/>
      <c r="K41" s="15"/>
      <c r="L41" s="15">
        <v>-4.7300000000000004</v>
      </c>
      <c r="M41" s="53" t="e">
        <v>#NAME?</v>
      </c>
      <c r="N41" s="15"/>
      <c r="O41" s="15"/>
      <c r="P41" s="15"/>
    </row>
    <row r="42" spans="10:16" s="21" customFormat="1" ht="14.25" x14ac:dyDescent="0.45">
      <c r="J42" s="27"/>
      <c r="K42" s="15"/>
      <c r="L42" s="15">
        <v>-4.72</v>
      </c>
      <c r="M42" s="53" t="e">
        <v>#NAME?</v>
      </c>
      <c r="N42" s="15"/>
      <c r="O42" s="15"/>
      <c r="P42" s="15"/>
    </row>
    <row r="43" spans="10:16" s="21" customFormat="1" ht="14.25" x14ac:dyDescent="0.45">
      <c r="J43" s="27"/>
      <c r="K43" s="15"/>
      <c r="L43" s="15">
        <v>-4.71</v>
      </c>
      <c r="M43" s="53" t="e">
        <v>#NAME?</v>
      </c>
      <c r="N43" s="15"/>
      <c r="O43" s="15"/>
      <c r="P43" s="15"/>
    </row>
    <row r="44" spans="10:16" s="21" customFormat="1" ht="14.25" x14ac:dyDescent="0.45">
      <c r="J44" s="27"/>
      <c r="K44" s="15"/>
      <c r="L44" s="15">
        <v>-4.7</v>
      </c>
      <c r="M44" s="53" t="e">
        <v>#NAME?</v>
      </c>
      <c r="N44" s="15"/>
      <c r="O44" s="15"/>
      <c r="P44" s="15"/>
    </row>
    <row r="45" spans="10:16" s="21" customFormat="1" ht="14.25" x14ac:dyDescent="0.45">
      <c r="J45" s="27"/>
      <c r="K45" s="15"/>
      <c r="L45" s="15">
        <v>-4.6900000000000004</v>
      </c>
      <c r="M45" s="53" t="e">
        <v>#NAME?</v>
      </c>
      <c r="N45" s="15"/>
      <c r="O45" s="15"/>
      <c r="P45" s="15"/>
    </row>
    <row r="46" spans="10:16" s="21" customFormat="1" ht="14.25" x14ac:dyDescent="0.45">
      <c r="J46" s="27"/>
      <c r="K46" s="15"/>
      <c r="L46" s="15">
        <v>-4.68</v>
      </c>
      <c r="M46" s="53" t="e">
        <v>#NAME?</v>
      </c>
      <c r="N46" s="15"/>
      <c r="O46" s="15"/>
      <c r="P46" s="15"/>
    </row>
    <row r="47" spans="10:16" s="21" customFormat="1" ht="14.25" x14ac:dyDescent="0.45">
      <c r="J47" s="27"/>
      <c r="K47" s="15"/>
      <c r="L47" s="15">
        <v>-4.67</v>
      </c>
      <c r="M47" s="53" t="e">
        <v>#NAME?</v>
      </c>
      <c r="N47" s="15"/>
      <c r="O47" s="15"/>
      <c r="P47" s="15"/>
    </row>
    <row r="48" spans="10:16" s="21" customFormat="1" ht="14.25" x14ac:dyDescent="0.45">
      <c r="J48" s="27"/>
      <c r="K48" s="15"/>
      <c r="L48" s="15">
        <v>-4.66</v>
      </c>
      <c r="M48" s="53" t="e">
        <v>#NAME?</v>
      </c>
      <c r="N48" s="15"/>
      <c r="O48" s="15"/>
      <c r="P48" s="15"/>
    </row>
    <row r="49" spans="10:16" s="21" customFormat="1" ht="14.25" x14ac:dyDescent="0.45">
      <c r="J49" s="27"/>
      <c r="K49" s="15"/>
      <c r="L49" s="15">
        <v>-4.6500000000000004</v>
      </c>
      <c r="M49" s="53" t="e">
        <v>#NAME?</v>
      </c>
      <c r="N49" s="15"/>
      <c r="O49" s="15"/>
      <c r="P49" s="15"/>
    </row>
    <row r="50" spans="10:16" s="21" customFormat="1" ht="14.25" x14ac:dyDescent="0.45">
      <c r="J50" s="27"/>
      <c r="K50" s="15"/>
      <c r="L50" s="15">
        <v>-4.6399999999999997</v>
      </c>
      <c r="M50" s="53" t="e">
        <v>#NAME?</v>
      </c>
      <c r="N50" s="15"/>
      <c r="O50" s="15"/>
      <c r="P50" s="15"/>
    </row>
    <row r="51" spans="10:16" s="21" customFormat="1" ht="14.25" x14ac:dyDescent="0.45">
      <c r="J51" s="27"/>
      <c r="K51" s="15"/>
      <c r="L51" s="15">
        <v>-4.63</v>
      </c>
      <c r="M51" s="53" t="e">
        <v>#NAME?</v>
      </c>
      <c r="N51" s="15"/>
      <c r="O51" s="15"/>
      <c r="P51" s="15"/>
    </row>
    <row r="52" spans="10:16" s="21" customFormat="1" ht="14.25" x14ac:dyDescent="0.45">
      <c r="J52" s="27"/>
      <c r="K52" s="15"/>
      <c r="L52" s="15">
        <v>-4.62</v>
      </c>
      <c r="M52" s="53" t="e">
        <v>#NAME?</v>
      </c>
      <c r="N52" s="15"/>
      <c r="O52" s="15"/>
      <c r="P52" s="15"/>
    </row>
    <row r="53" spans="10:16" s="21" customFormat="1" ht="14.25" x14ac:dyDescent="0.45">
      <c r="J53" s="27"/>
      <c r="K53" s="15"/>
      <c r="L53" s="15">
        <v>-4.6100000000000003</v>
      </c>
      <c r="M53" s="53" t="e">
        <v>#NAME?</v>
      </c>
      <c r="N53" s="15"/>
      <c r="O53" s="15"/>
      <c r="P53" s="15"/>
    </row>
    <row r="54" spans="10:16" s="21" customFormat="1" ht="14.25" x14ac:dyDescent="0.45">
      <c r="J54" s="27"/>
      <c r="K54" s="15"/>
      <c r="L54" s="15">
        <v>-4.5999999999999996</v>
      </c>
      <c r="M54" s="53" t="e">
        <v>#NAME?</v>
      </c>
      <c r="N54" s="15"/>
      <c r="O54" s="15"/>
      <c r="P54" s="15"/>
    </row>
    <row r="55" spans="10:16" s="21" customFormat="1" ht="14.25" x14ac:dyDescent="0.45">
      <c r="J55" s="27"/>
      <c r="K55" s="15"/>
      <c r="L55" s="15">
        <v>-4.59</v>
      </c>
      <c r="M55" s="53" t="e">
        <v>#NAME?</v>
      </c>
      <c r="N55" s="15"/>
      <c r="O55" s="15"/>
      <c r="P55" s="15"/>
    </row>
    <row r="56" spans="10:16" s="21" customFormat="1" ht="14.25" x14ac:dyDescent="0.45">
      <c r="J56" s="27"/>
      <c r="K56" s="15"/>
      <c r="L56" s="15">
        <v>-4.58</v>
      </c>
      <c r="M56" s="53" t="e">
        <v>#NAME?</v>
      </c>
      <c r="N56" s="15"/>
      <c r="O56" s="15"/>
      <c r="P56" s="15"/>
    </row>
    <row r="57" spans="10:16" s="21" customFormat="1" ht="14.25" x14ac:dyDescent="0.45">
      <c r="J57" s="27"/>
      <c r="K57" s="15"/>
      <c r="L57" s="15">
        <v>-4.57</v>
      </c>
      <c r="M57" s="53" t="e">
        <v>#NAME?</v>
      </c>
      <c r="N57" s="15"/>
      <c r="O57" s="15"/>
      <c r="P57" s="15"/>
    </row>
    <row r="58" spans="10:16" s="21" customFormat="1" ht="14.25" x14ac:dyDescent="0.45">
      <c r="J58" s="27"/>
      <c r="K58" s="15"/>
      <c r="L58" s="15">
        <v>-4.5599999999999996</v>
      </c>
      <c r="M58" s="53" t="e">
        <v>#NAME?</v>
      </c>
      <c r="N58" s="15"/>
      <c r="O58" s="15"/>
      <c r="P58" s="15"/>
    </row>
    <row r="59" spans="10:16" s="21" customFormat="1" ht="14.25" x14ac:dyDescent="0.45">
      <c r="J59" s="27"/>
      <c r="K59" s="15"/>
      <c r="L59" s="15">
        <v>-4.55</v>
      </c>
      <c r="M59" s="53" t="e">
        <v>#NAME?</v>
      </c>
      <c r="N59" s="15"/>
      <c r="O59" s="15"/>
      <c r="P59" s="15"/>
    </row>
    <row r="60" spans="10:16" s="21" customFormat="1" ht="14.25" x14ac:dyDescent="0.45">
      <c r="J60" s="27"/>
      <c r="K60" s="15"/>
      <c r="L60" s="15">
        <v>-4.54</v>
      </c>
      <c r="M60" s="53" t="e">
        <v>#NAME?</v>
      </c>
      <c r="N60" s="15"/>
      <c r="O60" s="15"/>
      <c r="P60" s="15"/>
    </row>
    <row r="61" spans="10:16" s="21" customFormat="1" ht="14.25" x14ac:dyDescent="0.45">
      <c r="J61" s="27"/>
      <c r="K61" s="15"/>
      <c r="L61" s="15">
        <v>-4.53</v>
      </c>
      <c r="M61" s="53" t="e">
        <v>#NAME?</v>
      </c>
      <c r="N61" s="15"/>
      <c r="O61" s="15"/>
      <c r="P61" s="15"/>
    </row>
    <row r="62" spans="10:16" s="21" customFormat="1" ht="14.25" x14ac:dyDescent="0.45">
      <c r="J62" s="27"/>
      <c r="K62" s="15"/>
      <c r="L62" s="15">
        <v>-4.5199999999999996</v>
      </c>
      <c r="M62" s="53" t="e">
        <v>#NAME?</v>
      </c>
      <c r="N62" s="15"/>
      <c r="O62" s="15"/>
      <c r="P62" s="15"/>
    </row>
    <row r="63" spans="10:16" s="21" customFormat="1" ht="14.25" x14ac:dyDescent="0.45">
      <c r="J63" s="27"/>
      <c r="K63" s="15"/>
      <c r="L63" s="15">
        <v>-4.51</v>
      </c>
      <c r="M63" s="53" t="e">
        <v>#NAME?</v>
      </c>
      <c r="N63" s="15"/>
      <c r="O63" s="15"/>
      <c r="P63" s="15"/>
    </row>
    <row r="64" spans="10:16" s="21" customFormat="1" ht="14.25" x14ac:dyDescent="0.45">
      <c r="J64" s="27"/>
      <c r="K64" s="15"/>
      <c r="L64" s="15">
        <v>-4.5</v>
      </c>
      <c r="M64" s="53" t="e">
        <v>#NAME?</v>
      </c>
      <c r="N64" s="15"/>
      <c r="O64" s="15"/>
      <c r="P64" s="15"/>
    </row>
    <row r="65" spans="10:16" s="21" customFormat="1" ht="14.25" x14ac:dyDescent="0.45">
      <c r="J65" s="27"/>
      <c r="K65" s="15"/>
      <c r="L65" s="15">
        <v>-4.49</v>
      </c>
      <c r="M65" s="53" t="e">
        <v>#NAME?</v>
      </c>
      <c r="N65" s="15"/>
      <c r="O65" s="15"/>
      <c r="P65" s="15"/>
    </row>
    <row r="66" spans="10:16" s="21" customFormat="1" ht="14.25" x14ac:dyDescent="0.45">
      <c r="J66" s="27"/>
      <c r="K66" s="15"/>
      <c r="L66" s="15">
        <v>-4.4800000000000004</v>
      </c>
      <c r="M66" s="53" t="e">
        <v>#NAME?</v>
      </c>
      <c r="N66" s="15"/>
      <c r="O66" s="15"/>
      <c r="P66" s="15"/>
    </row>
    <row r="67" spans="10:16" s="21" customFormat="1" ht="14.25" x14ac:dyDescent="0.45">
      <c r="J67" s="27"/>
      <c r="K67" s="15"/>
      <c r="L67" s="15">
        <v>-4.47</v>
      </c>
      <c r="M67" s="53" t="e">
        <v>#NAME?</v>
      </c>
      <c r="N67" s="15"/>
      <c r="O67" s="15"/>
      <c r="P67" s="15"/>
    </row>
    <row r="68" spans="10:16" s="21" customFormat="1" ht="14.25" x14ac:dyDescent="0.45">
      <c r="J68" s="27"/>
      <c r="K68" s="15"/>
      <c r="L68" s="15">
        <v>-4.46</v>
      </c>
      <c r="M68" s="53" t="e">
        <v>#NAME?</v>
      </c>
      <c r="N68" s="15"/>
      <c r="O68" s="15"/>
      <c r="P68" s="15"/>
    </row>
    <row r="69" spans="10:16" s="21" customFormat="1" ht="14.25" x14ac:dyDescent="0.45">
      <c r="J69" s="27"/>
      <c r="K69" s="15"/>
      <c r="L69" s="15">
        <v>-4.45</v>
      </c>
      <c r="M69" s="53" t="e">
        <v>#NAME?</v>
      </c>
      <c r="N69" s="15"/>
      <c r="O69" s="15"/>
      <c r="P69" s="15"/>
    </row>
    <row r="70" spans="10:16" s="21" customFormat="1" ht="14.25" x14ac:dyDescent="0.45">
      <c r="J70" s="27"/>
      <c r="K70" s="15"/>
      <c r="L70" s="15">
        <v>-4.4399999999999995</v>
      </c>
      <c r="M70" s="53" t="e">
        <v>#NAME?</v>
      </c>
      <c r="N70" s="15"/>
      <c r="O70" s="15"/>
      <c r="P70" s="15"/>
    </row>
    <row r="71" spans="10:16" s="21" customFormat="1" ht="14.25" x14ac:dyDescent="0.45">
      <c r="J71" s="27"/>
      <c r="K71" s="15"/>
      <c r="L71" s="15">
        <v>-4.43</v>
      </c>
      <c r="M71" s="53" t="e">
        <v>#NAME?</v>
      </c>
      <c r="N71" s="15"/>
      <c r="O71" s="15"/>
      <c r="P71" s="15"/>
    </row>
    <row r="72" spans="10:16" s="21" customFormat="1" ht="14.25" x14ac:dyDescent="0.45">
      <c r="J72" s="27"/>
      <c r="K72" s="15"/>
      <c r="L72" s="15">
        <v>-4.42</v>
      </c>
      <c r="M72" s="53" t="e">
        <v>#NAME?</v>
      </c>
      <c r="N72" s="15"/>
      <c r="O72" s="15"/>
      <c r="P72" s="15"/>
    </row>
    <row r="73" spans="10:16" s="21" customFormat="1" ht="14.25" x14ac:dyDescent="0.45">
      <c r="J73" s="27"/>
      <c r="K73" s="15"/>
      <c r="L73" s="15">
        <v>-4.41</v>
      </c>
      <c r="M73" s="53" t="e">
        <v>#NAME?</v>
      </c>
      <c r="N73" s="15"/>
      <c r="O73" s="15"/>
      <c r="P73" s="15"/>
    </row>
    <row r="74" spans="10:16" s="21" customFormat="1" ht="14.25" x14ac:dyDescent="0.45">
      <c r="J74" s="27"/>
      <c r="K74" s="15"/>
      <c r="L74" s="15">
        <v>-4.4000000000000004</v>
      </c>
      <c r="M74" s="53" t="e">
        <v>#NAME?</v>
      </c>
      <c r="N74" s="15"/>
      <c r="O74" s="15"/>
      <c r="P74" s="15"/>
    </row>
    <row r="75" spans="10:16" s="21" customFormat="1" ht="14.25" x14ac:dyDescent="0.45">
      <c r="J75" s="27"/>
      <c r="K75" s="15"/>
      <c r="L75" s="15">
        <v>-4.3899999999999997</v>
      </c>
      <c r="M75" s="53" t="e">
        <v>#NAME?</v>
      </c>
      <c r="N75" s="15"/>
      <c r="O75" s="15"/>
      <c r="P75" s="15"/>
    </row>
    <row r="76" spans="10:16" s="21" customFormat="1" ht="14.25" x14ac:dyDescent="0.45">
      <c r="J76" s="27"/>
      <c r="K76" s="15"/>
      <c r="L76" s="15">
        <v>-4.38</v>
      </c>
      <c r="M76" s="53" t="e">
        <v>#NAME?</v>
      </c>
      <c r="N76" s="15"/>
      <c r="O76" s="15"/>
      <c r="P76" s="15"/>
    </row>
    <row r="77" spans="10:16" s="21" customFormat="1" ht="14.25" x14ac:dyDescent="0.45">
      <c r="J77" s="27"/>
      <c r="K77" s="15"/>
      <c r="L77" s="15">
        <v>-4.37</v>
      </c>
      <c r="M77" s="53" t="e">
        <v>#NAME?</v>
      </c>
      <c r="N77" s="15"/>
      <c r="O77" s="15"/>
      <c r="P77" s="15"/>
    </row>
    <row r="78" spans="10:16" s="21" customFormat="1" ht="14.25" x14ac:dyDescent="0.45">
      <c r="J78" s="27"/>
      <c r="K78" s="15"/>
      <c r="L78" s="15">
        <v>-4.3600000000000003</v>
      </c>
      <c r="M78" s="53" t="e">
        <v>#NAME?</v>
      </c>
      <c r="N78" s="15"/>
      <c r="O78" s="15"/>
      <c r="P78" s="15"/>
    </row>
    <row r="79" spans="10:16" s="21" customFormat="1" ht="14.25" x14ac:dyDescent="0.45">
      <c r="J79" s="27"/>
      <c r="K79" s="15"/>
      <c r="L79" s="15">
        <v>-4.3499999999999996</v>
      </c>
      <c r="M79" s="53" t="e">
        <v>#NAME?</v>
      </c>
      <c r="N79" s="15"/>
      <c r="O79" s="15"/>
      <c r="P79" s="15"/>
    </row>
    <row r="80" spans="10:16" s="21" customFormat="1" ht="14.25" x14ac:dyDescent="0.45">
      <c r="J80" s="27"/>
      <c r="K80" s="15"/>
      <c r="L80" s="15">
        <v>-4.34</v>
      </c>
      <c r="M80" s="53" t="e">
        <v>#NAME?</v>
      </c>
      <c r="N80" s="15"/>
      <c r="O80" s="15"/>
      <c r="P80" s="15"/>
    </row>
    <row r="81" spans="10:16" s="21" customFormat="1" ht="14.25" x14ac:dyDescent="0.45">
      <c r="J81" s="27"/>
      <c r="K81" s="15"/>
      <c r="L81" s="15">
        <v>-4.33</v>
      </c>
      <c r="M81" s="53" t="e">
        <v>#NAME?</v>
      </c>
      <c r="N81" s="15"/>
      <c r="O81" s="15"/>
      <c r="P81" s="15"/>
    </row>
    <row r="82" spans="10:16" s="21" customFormat="1" ht="14.25" x14ac:dyDescent="0.45">
      <c r="J82" s="27"/>
      <c r="K82" s="15"/>
      <c r="L82" s="15">
        <v>-4.32</v>
      </c>
      <c r="M82" s="53" t="e">
        <v>#NAME?</v>
      </c>
      <c r="N82" s="15"/>
      <c r="O82" s="15"/>
      <c r="P82" s="15"/>
    </row>
    <row r="83" spans="10:16" s="21" customFormat="1" ht="14.25" x14ac:dyDescent="0.45">
      <c r="J83" s="27"/>
      <c r="K83" s="15"/>
      <c r="L83" s="15">
        <v>-4.3099999999999996</v>
      </c>
      <c r="M83" s="53" t="e">
        <v>#NAME?</v>
      </c>
      <c r="N83" s="15"/>
      <c r="O83" s="15"/>
      <c r="P83" s="15"/>
    </row>
    <row r="84" spans="10:16" s="21" customFormat="1" ht="14.25" x14ac:dyDescent="0.45">
      <c r="J84" s="27"/>
      <c r="K84" s="15"/>
      <c r="L84" s="15">
        <v>-4.3</v>
      </c>
      <c r="M84" s="53" t="e">
        <v>#NAME?</v>
      </c>
      <c r="N84" s="15"/>
      <c r="O84" s="15"/>
      <c r="P84" s="15"/>
    </row>
    <row r="85" spans="10:16" s="21" customFormat="1" ht="14.25" x14ac:dyDescent="0.45">
      <c r="J85" s="27"/>
      <c r="K85" s="15"/>
      <c r="L85" s="15">
        <v>-4.29</v>
      </c>
      <c r="M85" s="53" t="e">
        <v>#NAME?</v>
      </c>
      <c r="N85" s="15"/>
      <c r="O85" s="15"/>
      <c r="P85" s="15"/>
    </row>
    <row r="86" spans="10:16" s="21" customFormat="1" ht="14.25" x14ac:dyDescent="0.45">
      <c r="J86" s="27"/>
      <c r="K86" s="15"/>
      <c r="L86" s="15">
        <v>-4.28</v>
      </c>
      <c r="M86" s="53" t="e">
        <v>#NAME?</v>
      </c>
      <c r="N86" s="15"/>
      <c r="O86" s="15"/>
      <c r="P86" s="15"/>
    </row>
    <row r="87" spans="10:16" s="21" customFormat="1" ht="14.25" x14ac:dyDescent="0.45">
      <c r="J87" s="27"/>
      <c r="K87" s="15"/>
      <c r="L87" s="15">
        <v>-4.2699999999999996</v>
      </c>
      <c r="M87" s="53" t="e">
        <v>#NAME?</v>
      </c>
      <c r="N87" s="15"/>
      <c r="O87" s="15"/>
      <c r="P87" s="15"/>
    </row>
    <row r="88" spans="10:16" s="21" customFormat="1" ht="14.25" x14ac:dyDescent="0.45">
      <c r="J88" s="27"/>
      <c r="K88" s="15"/>
      <c r="L88" s="15">
        <v>-4.26</v>
      </c>
      <c r="M88" s="53" t="e">
        <v>#NAME?</v>
      </c>
      <c r="N88" s="15"/>
      <c r="O88" s="15"/>
      <c r="P88" s="15"/>
    </row>
    <row r="89" spans="10:16" s="21" customFormat="1" ht="14.25" x14ac:dyDescent="0.45">
      <c r="J89" s="27"/>
      <c r="K89" s="15"/>
      <c r="L89" s="15">
        <v>-4.25</v>
      </c>
      <c r="M89" s="53" t="e">
        <v>#NAME?</v>
      </c>
      <c r="N89" s="15"/>
      <c r="O89" s="15"/>
      <c r="P89" s="15"/>
    </row>
    <row r="90" spans="10:16" s="21" customFormat="1" ht="14.25" x14ac:dyDescent="0.45">
      <c r="J90" s="27"/>
      <c r="K90" s="15"/>
      <c r="L90" s="15">
        <v>-4.24</v>
      </c>
      <c r="M90" s="53" t="e">
        <v>#NAME?</v>
      </c>
      <c r="N90" s="15"/>
      <c r="O90" s="15"/>
      <c r="P90" s="15"/>
    </row>
    <row r="91" spans="10:16" s="21" customFormat="1" ht="14.25" x14ac:dyDescent="0.45">
      <c r="J91" s="27"/>
      <c r="K91" s="15"/>
      <c r="L91" s="15">
        <v>-4.2300000000000004</v>
      </c>
      <c r="M91" s="53" t="e">
        <v>#NAME?</v>
      </c>
      <c r="N91" s="15"/>
      <c r="O91" s="15"/>
      <c r="P91" s="15"/>
    </row>
    <row r="92" spans="10:16" s="21" customFormat="1" ht="14.25" x14ac:dyDescent="0.45">
      <c r="J92" s="27"/>
      <c r="K92" s="15"/>
      <c r="L92" s="15">
        <v>-4.22</v>
      </c>
      <c r="M92" s="53" t="e">
        <v>#NAME?</v>
      </c>
      <c r="N92" s="15"/>
      <c r="O92" s="15"/>
      <c r="P92" s="15"/>
    </row>
    <row r="93" spans="10:16" s="21" customFormat="1" ht="14.25" x14ac:dyDescent="0.45">
      <c r="J93" s="27"/>
      <c r="K93" s="15"/>
      <c r="L93" s="15">
        <v>-4.21</v>
      </c>
      <c r="M93" s="53" t="e">
        <v>#NAME?</v>
      </c>
      <c r="N93" s="15"/>
      <c r="O93" s="15"/>
      <c r="P93" s="15"/>
    </row>
    <row r="94" spans="10:16" s="21" customFormat="1" ht="14.25" x14ac:dyDescent="0.45">
      <c r="J94" s="27"/>
      <c r="K94" s="15"/>
      <c r="L94" s="15">
        <v>-4.2</v>
      </c>
      <c r="M94" s="53" t="e">
        <v>#NAME?</v>
      </c>
      <c r="N94" s="15"/>
      <c r="O94" s="15"/>
      <c r="P94" s="15"/>
    </row>
    <row r="95" spans="10:16" s="21" customFormat="1" ht="14.25" x14ac:dyDescent="0.45">
      <c r="J95" s="27"/>
      <c r="K95" s="15"/>
      <c r="L95" s="15">
        <v>-4.1899999999999995</v>
      </c>
      <c r="M95" s="53" t="e">
        <v>#NAME?</v>
      </c>
      <c r="N95" s="15"/>
      <c r="O95" s="15"/>
      <c r="P95" s="15"/>
    </row>
    <row r="96" spans="10:16" s="21" customFormat="1" ht="14.25" x14ac:dyDescent="0.45">
      <c r="J96" s="27"/>
      <c r="K96" s="15"/>
      <c r="L96" s="15">
        <v>-4.18</v>
      </c>
      <c r="M96" s="53" t="e">
        <v>#NAME?</v>
      </c>
      <c r="N96" s="15"/>
      <c r="O96" s="15"/>
      <c r="P96" s="15"/>
    </row>
    <row r="97" spans="10:16" s="21" customFormat="1" ht="14.25" x14ac:dyDescent="0.45">
      <c r="J97" s="27"/>
      <c r="K97" s="15"/>
      <c r="L97" s="15">
        <v>-4.17</v>
      </c>
      <c r="M97" s="53" t="e">
        <v>#NAME?</v>
      </c>
      <c r="N97" s="15"/>
      <c r="O97" s="15"/>
      <c r="P97" s="15"/>
    </row>
    <row r="98" spans="10:16" s="21" customFormat="1" ht="14.25" x14ac:dyDescent="0.45">
      <c r="J98" s="27"/>
      <c r="K98" s="15"/>
      <c r="L98" s="15">
        <v>-4.16</v>
      </c>
      <c r="M98" s="53" t="e">
        <v>#NAME?</v>
      </c>
      <c r="N98" s="15"/>
      <c r="O98" s="15"/>
      <c r="P98" s="15"/>
    </row>
    <row r="99" spans="10:16" s="21" customFormat="1" ht="14.25" x14ac:dyDescent="0.45">
      <c r="J99" s="27"/>
      <c r="K99" s="15"/>
      <c r="L99" s="15">
        <v>-4.1500000000000004</v>
      </c>
      <c r="M99" s="53" t="e">
        <v>#NAME?</v>
      </c>
      <c r="N99" s="15"/>
      <c r="O99" s="15"/>
      <c r="P99" s="15"/>
    </row>
    <row r="100" spans="10:16" s="21" customFormat="1" ht="14.25" x14ac:dyDescent="0.45">
      <c r="J100" s="27"/>
      <c r="K100" s="15"/>
      <c r="L100" s="15">
        <v>-4.1399999999999997</v>
      </c>
      <c r="M100" s="53" t="e">
        <v>#NAME?</v>
      </c>
      <c r="N100" s="15"/>
      <c r="O100" s="15"/>
      <c r="P100" s="15"/>
    </row>
    <row r="101" spans="10:16" s="21" customFormat="1" ht="14.25" x14ac:dyDescent="0.45">
      <c r="J101" s="27"/>
      <c r="K101" s="15"/>
      <c r="L101" s="15">
        <v>-4.13</v>
      </c>
      <c r="M101" s="53" t="e">
        <v>#NAME?</v>
      </c>
      <c r="N101" s="15"/>
      <c r="O101" s="15"/>
      <c r="P101" s="15"/>
    </row>
    <row r="102" spans="10:16" s="21" customFormat="1" ht="14.25" x14ac:dyDescent="0.45">
      <c r="J102" s="27"/>
      <c r="K102" s="15"/>
      <c r="L102" s="15">
        <v>-4.12</v>
      </c>
      <c r="M102" s="53" t="e">
        <v>#NAME?</v>
      </c>
      <c r="N102" s="15"/>
      <c r="O102" s="15"/>
      <c r="P102" s="15"/>
    </row>
    <row r="103" spans="10:16" s="21" customFormat="1" ht="14.25" x14ac:dyDescent="0.45">
      <c r="J103" s="27"/>
      <c r="K103" s="15"/>
      <c r="L103" s="15">
        <v>-4.1100000000000003</v>
      </c>
      <c r="M103" s="53" t="e">
        <v>#NAME?</v>
      </c>
      <c r="N103" s="15"/>
      <c r="O103" s="15"/>
      <c r="P103" s="15"/>
    </row>
    <row r="104" spans="10:16" s="21" customFormat="1" ht="14.25" x14ac:dyDescent="0.45">
      <c r="J104" s="27"/>
      <c r="K104" s="15"/>
      <c r="L104" s="15">
        <v>-4.0999999999999996</v>
      </c>
      <c r="M104" s="53" t="e">
        <v>#NAME?</v>
      </c>
      <c r="N104" s="15"/>
      <c r="O104" s="15"/>
      <c r="P104" s="15"/>
    </row>
    <row r="105" spans="10:16" s="21" customFormat="1" ht="14.25" x14ac:dyDescent="0.45">
      <c r="J105" s="27"/>
      <c r="K105" s="15"/>
      <c r="L105" s="15">
        <v>-4.09</v>
      </c>
      <c r="M105" s="53" t="e">
        <v>#NAME?</v>
      </c>
      <c r="N105" s="15"/>
      <c r="O105" s="15"/>
      <c r="P105" s="15"/>
    </row>
    <row r="106" spans="10:16" s="21" customFormat="1" ht="14.25" x14ac:dyDescent="0.45">
      <c r="J106" s="27"/>
      <c r="K106" s="15"/>
      <c r="L106" s="15">
        <v>-4.08</v>
      </c>
      <c r="M106" s="53" t="e">
        <v>#NAME?</v>
      </c>
      <c r="N106" s="15"/>
      <c r="O106" s="15"/>
      <c r="P106" s="15"/>
    </row>
    <row r="107" spans="10:16" x14ac:dyDescent="0.55000000000000004">
      <c r="J107" s="27"/>
      <c r="K107" s="15"/>
      <c r="L107" s="15">
        <v>-4.07</v>
      </c>
      <c r="M107" s="53" t="e">
        <v>#NAME?</v>
      </c>
      <c r="N107" s="15"/>
      <c r="O107" s="15"/>
      <c r="P107" s="15"/>
    </row>
    <row r="108" spans="10:16" x14ac:dyDescent="0.55000000000000004">
      <c r="J108" s="27"/>
      <c r="K108" s="15"/>
      <c r="L108" s="15">
        <v>-4.0599999999999996</v>
      </c>
      <c r="M108" s="53" t="e">
        <v>#NAME?</v>
      </c>
      <c r="N108" s="15"/>
      <c r="O108" s="15"/>
      <c r="P108" s="15"/>
    </row>
    <row r="109" spans="10:16" x14ac:dyDescent="0.55000000000000004">
      <c r="J109" s="27"/>
      <c r="K109" s="15"/>
      <c r="L109" s="15">
        <v>-4.05</v>
      </c>
      <c r="M109" s="53" t="e">
        <v>#NAME?</v>
      </c>
      <c r="N109" s="15"/>
      <c r="O109" s="15"/>
      <c r="P109" s="15"/>
    </row>
    <row r="110" spans="10:16" x14ac:dyDescent="0.55000000000000004">
      <c r="J110" s="27"/>
      <c r="K110" s="15"/>
      <c r="L110" s="15">
        <v>-4.04</v>
      </c>
      <c r="M110" s="53" t="e">
        <v>#NAME?</v>
      </c>
      <c r="N110" s="15"/>
      <c r="O110" s="15"/>
      <c r="P110" s="15"/>
    </row>
    <row r="111" spans="10:16" x14ac:dyDescent="0.55000000000000004">
      <c r="J111" s="27"/>
      <c r="K111" s="15"/>
      <c r="L111" s="15">
        <v>-4.03</v>
      </c>
      <c r="M111" s="53" t="e">
        <v>#NAME?</v>
      </c>
      <c r="N111" s="15"/>
      <c r="O111" s="15"/>
      <c r="P111" s="15"/>
    </row>
    <row r="112" spans="10:16" x14ac:dyDescent="0.55000000000000004">
      <c r="J112" s="27"/>
      <c r="K112" s="15"/>
      <c r="L112" s="15">
        <v>-4.0199999999999996</v>
      </c>
      <c r="M112" s="53" t="e">
        <v>#NAME?</v>
      </c>
      <c r="N112" s="15"/>
      <c r="O112" s="15"/>
      <c r="P112" s="15"/>
    </row>
    <row r="113" spans="10:16" x14ac:dyDescent="0.55000000000000004">
      <c r="J113" s="27"/>
      <c r="K113" s="15"/>
      <c r="L113" s="15">
        <v>-4.01</v>
      </c>
      <c r="M113" s="53" t="e">
        <v>#NAME?</v>
      </c>
      <c r="N113" s="15"/>
      <c r="O113" s="15"/>
      <c r="P113" s="15"/>
    </row>
    <row r="114" spans="10:16" s="21" customFormat="1" ht="14.25" x14ac:dyDescent="0.45">
      <c r="J114" s="27"/>
      <c r="K114" s="15"/>
      <c r="L114" s="15">
        <v>-4</v>
      </c>
      <c r="M114" s="53" t="e">
        <v>#NAME?</v>
      </c>
      <c r="N114" s="15"/>
      <c r="O114" s="15"/>
      <c r="P114" s="15"/>
    </row>
    <row r="115" spans="10:16" s="21" customFormat="1" ht="14.25" x14ac:dyDescent="0.45">
      <c r="J115" s="27"/>
      <c r="K115" s="15"/>
      <c r="L115" s="15">
        <v>-3.99</v>
      </c>
      <c r="M115" s="53" t="e">
        <v>#NAME?</v>
      </c>
      <c r="N115" s="15"/>
      <c r="O115" s="15"/>
      <c r="P115" s="15"/>
    </row>
    <row r="116" spans="10:16" s="21" customFormat="1" ht="14.25" x14ac:dyDescent="0.45">
      <c r="J116" s="27"/>
      <c r="K116" s="15"/>
      <c r="L116" s="15">
        <v>-3.98</v>
      </c>
      <c r="M116" s="53" t="e">
        <v>#NAME?</v>
      </c>
      <c r="N116" s="15"/>
      <c r="O116" s="15"/>
      <c r="P116" s="15"/>
    </row>
    <row r="117" spans="10:16" s="21" customFormat="1" ht="14.25" x14ac:dyDescent="0.45">
      <c r="J117" s="27"/>
      <c r="K117" s="15"/>
      <c r="L117" s="15">
        <v>-3.9699999999999998</v>
      </c>
      <c r="M117" s="53" t="e">
        <v>#NAME?</v>
      </c>
      <c r="N117" s="15"/>
      <c r="O117" s="15"/>
      <c r="P117" s="15"/>
    </row>
    <row r="118" spans="10:16" s="21" customFormat="1" ht="14.25" x14ac:dyDescent="0.45">
      <c r="J118" s="27"/>
      <c r="K118" s="15"/>
      <c r="L118" s="15">
        <v>-3.96</v>
      </c>
      <c r="M118" s="53" t="e">
        <v>#NAME?</v>
      </c>
      <c r="N118" s="15"/>
      <c r="O118" s="15"/>
      <c r="P118" s="15"/>
    </row>
    <row r="119" spans="10:16" s="21" customFormat="1" ht="14.25" x14ac:dyDescent="0.45">
      <c r="J119" s="27"/>
      <c r="K119" s="15"/>
      <c r="L119" s="15">
        <v>-3.95</v>
      </c>
      <c r="M119" s="53" t="e">
        <v>#NAME?</v>
      </c>
      <c r="N119" s="15"/>
      <c r="O119" s="15"/>
      <c r="P119" s="15"/>
    </row>
    <row r="120" spans="10:16" s="21" customFormat="1" ht="14.25" x14ac:dyDescent="0.45">
      <c r="J120" s="27"/>
      <c r="K120" s="15"/>
      <c r="L120" s="15">
        <v>-3.94</v>
      </c>
      <c r="M120" s="53" t="e">
        <v>#NAME?</v>
      </c>
      <c r="N120" s="15"/>
      <c r="O120" s="15"/>
      <c r="P120" s="15"/>
    </row>
    <row r="121" spans="10:16" s="21" customFormat="1" ht="14.25" x14ac:dyDescent="0.45">
      <c r="J121" s="27"/>
      <c r="K121" s="15"/>
      <c r="L121" s="15">
        <v>-3.9299999999999997</v>
      </c>
      <c r="M121" s="53" t="e">
        <v>#NAME?</v>
      </c>
      <c r="N121" s="15"/>
      <c r="O121" s="15"/>
      <c r="P121" s="15"/>
    </row>
    <row r="122" spans="10:16" s="21" customFormat="1" ht="14.25" x14ac:dyDescent="0.45">
      <c r="J122" s="27"/>
      <c r="K122" s="15"/>
      <c r="L122" s="15">
        <v>-3.92</v>
      </c>
      <c r="M122" s="53" t="e">
        <v>#NAME?</v>
      </c>
      <c r="N122" s="15"/>
      <c r="O122" s="15"/>
      <c r="P122" s="15"/>
    </row>
    <row r="123" spans="10:16" s="21" customFormat="1" ht="14.25" x14ac:dyDescent="0.45">
      <c r="J123" s="27"/>
      <c r="K123" s="15"/>
      <c r="L123" s="15">
        <v>-3.91</v>
      </c>
      <c r="M123" s="53" t="e">
        <v>#NAME?</v>
      </c>
      <c r="N123" s="15"/>
      <c r="O123" s="15"/>
      <c r="P123" s="15"/>
    </row>
    <row r="124" spans="10:16" s="21" customFormat="1" ht="14.25" x14ac:dyDescent="0.45">
      <c r="J124" s="27"/>
      <c r="K124" s="15"/>
      <c r="L124" s="15">
        <v>-3.9</v>
      </c>
      <c r="M124" s="53" t="e">
        <v>#NAME?</v>
      </c>
      <c r="N124" s="15"/>
      <c r="O124" s="15"/>
      <c r="P124" s="15"/>
    </row>
    <row r="125" spans="10:16" s="21" customFormat="1" ht="14.25" x14ac:dyDescent="0.45">
      <c r="J125" s="27"/>
      <c r="K125" s="15"/>
      <c r="L125" s="15">
        <v>-3.8899999999999997</v>
      </c>
      <c r="M125" s="53" t="e">
        <v>#NAME?</v>
      </c>
      <c r="N125" s="15"/>
      <c r="O125" s="15"/>
      <c r="P125" s="15"/>
    </row>
    <row r="126" spans="10:16" s="21" customFormat="1" ht="14.25" x14ac:dyDescent="0.45">
      <c r="J126" s="27"/>
      <c r="K126" s="15"/>
      <c r="L126" s="15">
        <v>-3.88</v>
      </c>
      <c r="M126" s="53" t="e">
        <v>#NAME?</v>
      </c>
      <c r="N126" s="15"/>
      <c r="O126" s="15"/>
      <c r="P126" s="15"/>
    </row>
    <row r="127" spans="10:16" s="21" customFormat="1" ht="14.25" x14ac:dyDescent="0.45">
      <c r="J127" s="27"/>
      <c r="K127" s="15"/>
      <c r="L127" s="15">
        <v>-3.87</v>
      </c>
      <c r="M127" s="53" t="e">
        <v>#NAME?</v>
      </c>
      <c r="N127" s="15"/>
      <c r="O127" s="15"/>
      <c r="P127" s="15"/>
    </row>
    <row r="128" spans="10:16" s="21" customFormat="1" ht="14.25" x14ac:dyDescent="0.45">
      <c r="J128" s="27"/>
      <c r="K128" s="15"/>
      <c r="L128" s="15">
        <v>-3.86</v>
      </c>
      <c r="M128" s="53" t="e">
        <v>#NAME?</v>
      </c>
      <c r="N128" s="15"/>
      <c r="O128" s="15"/>
      <c r="P128" s="15"/>
    </row>
    <row r="129" spans="10:16" s="21" customFormat="1" ht="14.25" x14ac:dyDescent="0.45">
      <c r="J129" s="27"/>
      <c r="K129" s="15"/>
      <c r="L129" s="15">
        <v>-3.8499999999999996</v>
      </c>
      <c r="M129" s="53" t="e">
        <v>#NAME?</v>
      </c>
      <c r="N129" s="15"/>
      <c r="O129" s="15"/>
      <c r="P129" s="15"/>
    </row>
    <row r="130" spans="10:16" s="21" customFormat="1" ht="14.25" x14ac:dyDescent="0.45">
      <c r="J130" s="27"/>
      <c r="K130" s="15"/>
      <c r="L130" s="15">
        <v>-3.84</v>
      </c>
      <c r="M130" s="53" t="e">
        <v>#NAME?</v>
      </c>
      <c r="N130" s="15"/>
      <c r="O130" s="15"/>
      <c r="P130" s="15"/>
    </row>
    <row r="131" spans="10:16" s="21" customFormat="1" ht="14.25" x14ac:dyDescent="0.45">
      <c r="J131" s="27"/>
      <c r="K131" s="15"/>
      <c r="L131" s="15">
        <v>-3.83</v>
      </c>
      <c r="M131" s="53" t="e">
        <v>#NAME?</v>
      </c>
      <c r="N131" s="15"/>
      <c r="O131" s="15"/>
      <c r="P131" s="15"/>
    </row>
    <row r="132" spans="10:16" s="21" customFormat="1" ht="14.25" x14ac:dyDescent="0.45">
      <c r="J132" s="27"/>
      <c r="K132" s="15"/>
      <c r="L132" s="15">
        <v>-3.8200000000000003</v>
      </c>
      <c r="M132" s="53" t="e">
        <v>#NAME?</v>
      </c>
      <c r="N132" s="15"/>
      <c r="O132" s="15"/>
      <c r="P132" s="15"/>
    </row>
    <row r="133" spans="10:16" s="21" customFormat="1" ht="14.25" x14ac:dyDescent="0.45">
      <c r="J133" s="27"/>
      <c r="K133" s="15"/>
      <c r="L133" s="15">
        <v>-3.81</v>
      </c>
      <c r="M133" s="53" t="e">
        <v>#NAME?</v>
      </c>
      <c r="N133" s="15"/>
      <c r="O133" s="15"/>
      <c r="P133" s="15"/>
    </row>
    <row r="134" spans="10:16" s="21" customFormat="1" ht="14.25" x14ac:dyDescent="0.45">
      <c r="J134" s="27"/>
      <c r="K134" s="15"/>
      <c r="L134" s="15">
        <v>-3.8</v>
      </c>
      <c r="M134" s="53" t="e">
        <v>#NAME?</v>
      </c>
      <c r="N134" s="15"/>
      <c r="O134" s="15"/>
      <c r="P134" s="15"/>
    </row>
    <row r="135" spans="10:16" s="21" customFormat="1" ht="14.25" x14ac:dyDescent="0.45">
      <c r="J135" s="27"/>
      <c r="K135" s="15"/>
      <c r="L135" s="15">
        <v>-3.79</v>
      </c>
      <c r="M135" s="53" t="e">
        <v>#NAME?</v>
      </c>
      <c r="N135" s="15"/>
      <c r="O135" s="15"/>
      <c r="P135" s="15"/>
    </row>
    <row r="136" spans="10:16" s="21" customFormat="1" ht="14.25" x14ac:dyDescent="0.45">
      <c r="J136" s="27"/>
      <c r="K136" s="15"/>
      <c r="L136" s="15">
        <v>-3.7800000000000002</v>
      </c>
      <c r="M136" s="53" t="e">
        <v>#NAME?</v>
      </c>
      <c r="N136" s="15"/>
      <c r="O136" s="15"/>
      <c r="P136" s="15"/>
    </row>
    <row r="137" spans="10:16" s="21" customFormat="1" ht="14.25" x14ac:dyDescent="0.45">
      <c r="J137" s="27"/>
      <c r="K137" s="15"/>
      <c r="L137" s="15">
        <v>-3.77</v>
      </c>
      <c r="M137" s="53" t="e">
        <v>#NAME?</v>
      </c>
      <c r="N137" s="15"/>
      <c r="O137" s="15"/>
      <c r="P137" s="15"/>
    </row>
    <row r="138" spans="10:16" s="21" customFormat="1" ht="14.25" x14ac:dyDescent="0.45">
      <c r="J138" s="27"/>
      <c r="K138" s="15"/>
      <c r="L138" s="15">
        <v>-3.76</v>
      </c>
      <c r="M138" s="53" t="e">
        <v>#NAME?</v>
      </c>
      <c r="N138" s="15"/>
      <c r="O138" s="15"/>
      <c r="P138" s="15"/>
    </row>
    <row r="139" spans="10:16" s="21" customFormat="1" ht="14.25" x14ac:dyDescent="0.45">
      <c r="J139" s="27"/>
      <c r="K139" s="15"/>
      <c r="L139" s="15">
        <v>-3.75</v>
      </c>
      <c r="M139" s="53" t="e">
        <v>#NAME?</v>
      </c>
      <c r="N139" s="15"/>
      <c r="O139" s="15"/>
      <c r="P139" s="15"/>
    </row>
    <row r="140" spans="10:16" s="21" customFormat="1" ht="14.25" x14ac:dyDescent="0.45">
      <c r="J140" s="27"/>
      <c r="K140" s="15"/>
      <c r="L140" s="15">
        <v>-3.74</v>
      </c>
      <c r="M140" s="53" t="e">
        <v>#NAME?</v>
      </c>
      <c r="N140" s="15"/>
      <c r="O140" s="15"/>
      <c r="P140" s="15"/>
    </row>
    <row r="141" spans="10:16" s="21" customFormat="1" ht="14.25" x14ac:dyDescent="0.45">
      <c r="J141" s="27"/>
      <c r="K141" s="15"/>
      <c r="L141" s="15">
        <v>-3.73</v>
      </c>
      <c r="M141" s="53" t="e">
        <v>#NAME?</v>
      </c>
      <c r="N141" s="15"/>
      <c r="O141" s="15"/>
      <c r="P141" s="15"/>
    </row>
    <row r="142" spans="10:16" s="21" customFormat="1" ht="14.25" x14ac:dyDescent="0.45">
      <c r="J142" s="27"/>
      <c r="K142" s="15"/>
      <c r="L142" s="15">
        <v>-3.7199999999999998</v>
      </c>
      <c r="M142" s="53" t="e">
        <v>#NAME?</v>
      </c>
      <c r="N142" s="15"/>
      <c r="O142" s="15"/>
      <c r="P142" s="15"/>
    </row>
    <row r="143" spans="10:16" s="21" customFormat="1" ht="14.25" x14ac:dyDescent="0.45">
      <c r="J143" s="27"/>
      <c r="K143" s="15"/>
      <c r="L143" s="15">
        <v>-3.71</v>
      </c>
      <c r="M143" s="53" t="e">
        <v>#NAME?</v>
      </c>
      <c r="N143" s="15"/>
      <c r="O143" s="15"/>
      <c r="P143" s="15"/>
    </row>
    <row r="144" spans="10:16" s="21" customFormat="1" ht="14.25" x14ac:dyDescent="0.45">
      <c r="J144" s="27"/>
      <c r="K144" s="15"/>
      <c r="L144" s="15">
        <v>-3.7</v>
      </c>
      <c r="M144" s="53" t="e">
        <v>#NAME?</v>
      </c>
      <c r="N144" s="15"/>
      <c r="O144" s="15"/>
      <c r="P144" s="15"/>
    </row>
    <row r="145" spans="10:16" s="21" customFormat="1" ht="14.25" x14ac:dyDescent="0.45">
      <c r="J145" s="27"/>
      <c r="K145" s="15"/>
      <c r="L145" s="15">
        <v>-3.69</v>
      </c>
      <c r="M145" s="53" t="e">
        <v>#NAME?</v>
      </c>
      <c r="N145" s="15"/>
      <c r="O145" s="15"/>
      <c r="P145" s="15"/>
    </row>
    <row r="146" spans="10:16" s="21" customFormat="1" ht="14.25" x14ac:dyDescent="0.45">
      <c r="J146" s="27"/>
      <c r="K146" s="15"/>
      <c r="L146" s="15">
        <v>-3.6799999999999997</v>
      </c>
      <c r="M146" s="53" t="e">
        <v>#NAME?</v>
      </c>
      <c r="N146" s="15"/>
      <c r="O146" s="15"/>
      <c r="P146" s="15"/>
    </row>
    <row r="147" spans="10:16" s="21" customFormat="1" ht="14.25" x14ac:dyDescent="0.45">
      <c r="J147" s="27"/>
      <c r="K147" s="15"/>
      <c r="L147" s="15">
        <v>-3.67</v>
      </c>
      <c r="M147" s="53" t="e">
        <v>#NAME?</v>
      </c>
      <c r="N147" s="15"/>
      <c r="O147" s="15"/>
      <c r="P147" s="15"/>
    </row>
    <row r="148" spans="10:16" s="21" customFormat="1" ht="14.25" x14ac:dyDescent="0.45">
      <c r="J148" s="27"/>
      <c r="K148" s="15"/>
      <c r="L148" s="15">
        <v>-3.66</v>
      </c>
      <c r="M148" s="53" t="e">
        <v>#NAME?</v>
      </c>
      <c r="N148" s="15"/>
      <c r="O148" s="15"/>
      <c r="P148" s="15"/>
    </row>
    <row r="149" spans="10:16" s="21" customFormat="1" ht="14.25" x14ac:dyDescent="0.45">
      <c r="J149" s="27"/>
      <c r="K149" s="15"/>
      <c r="L149" s="15">
        <v>-3.65</v>
      </c>
      <c r="M149" s="53" t="e">
        <v>#NAME?</v>
      </c>
      <c r="N149" s="15"/>
      <c r="O149" s="15"/>
      <c r="P149" s="15"/>
    </row>
    <row r="150" spans="10:16" s="21" customFormat="1" ht="14.25" x14ac:dyDescent="0.45">
      <c r="J150" s="27"/>
      <c r="K150" s="15"/>
      <c r="L150" s="15">
        <v>-3.6399999999999997</v>
      </c>
      <c r="M150" s="53" t="e">
        <v>#NAME?</v>
      </c>
      <c r="N150" s="15"/>
      <c r="O150" s="15"/>
      <c r="P150" s="15"/>
    </row>
    <row r="151" spans="10:16" s="21" customFormat="1" ht="14.25" x14ac:dyDescent="0.45">
      <c r="J151" s="27"/>
      <c r="K151" s="15"/>
      <c r="L151" s="15">
        <v>-3.63</v>
      </c>
      <c r="M151" s="53" t="e">
        <v>#NAME?</v>
      </c>
      <c r="N151" s="15"/>
      <c r="O151" s="15"/>
      <c r="P151" s="15"/>
    </row>
    <row r="152" spans="10:16" s="21" customFormat="1" ht="14.25" x14ac:dyDescent="0.45">
      <c r="J152" s="27"/>
      <c r="K152" s="15"/>
      <c r="L152" s="15">
        <v>-3.62</v>
      </c>
      <c r="M152" s="53" t="e">
        <v>#NAME?</v>
      </c>
      <c r="N152" s="15"/>
      <c r="O152" s="15"/>
      <c r="P152" s="15"/>
    </row>
    <row r="153" spans="10:16" s="21" customFormat="1" ht="14.25" x14ac:dyDescent="0.45">
      <c r="J153" s="27"/>
      <c r="K153" s="15"/>
      <c r="L153" s="15">
        <v>-3.61</v>
      </c>
      <c r="M153" s="53" t="e">
        <v>#NAME?</v>
      </c>
      <c r="N153" s="15"/>
      <c r="O153" s="15"/>
      <c r="P153" s="15"/>
    </row>
    <row r="154" spans="10:16" s="21" customFormat="1" ht="14.25" x14ac:dyDescent="0.45">
      <c r="J154" s="27"/>
      <c r="K154" s="15"/>
      <c r="L154" s="15">
        <v>-3.5999999999999996</v>
      </c>
      <c r="M154" s="53" t="e">
        <v>#NAME?</v>
      </c>
      <c r="N154" s="15"/>
      <c r="O154" s="15"/>
      <c r="P154" s="15"/>
    </row>
    <row r="155" spans="10:16" s="21" customFormat="1" ht="14.25" x14ac:dyDescent="0.45">
      <c r="J155" s="27"/>
      <c r="K155" s="15"/>
      <c r="L155" s="15">
        <v>-3.59</v>
      </c>
      <c r="M155" s="53" t="e">
        <v>#NAME?</v>
      </c>
      <c r="N155" s="15"/>
      <c r="O155" s="15"/>
      <c r="P155" s="15"/>
    </row>
    <row r="156" spans="10:16" s="21" customFormat="1" ht="14.25" x14ac:dyDescent="0.45">
      <c r="J156" s="27"/>
      <c r="K156" s="15"/>
      <c r="L156" s="15">
        <v>-3.58</v>
      </c>
      <c r="M156" s="53" t="e">
        <v>#NAME?</v>
      </c>
      <c r="N156" s="15"/>
      <c r="O156" s="15"/>
      <c r="P156" s="15"/>
    </row>
    <row r="157" spans="10:16" s="21" customFormat="1" ht="14.25" x14ac:dyDescent="0.45">
      <c r="J157" s="27"/>
      <c r="K157" s="15"/>
      <c r="L157" s="15">
        <v>-3.5700000000000003</v>
      </c>
      <c r="M157" s="53" t="e">
        <v>#NAME?</v>
      </c>
      <c r="N157" s="15"/>
      <c r="O157" s="15"/>
      <c r="P157" s="15"/>
    </row>
    <row r="158" spans="10:16" s="21" customFormat="1" ht="14.25" x14ac:dyDescent="0.45">
      <c r="J158" s="27"/>
      <c r="K158" s="15"/>
      <c r="L158" s="15">
        <v>-3.56</v>
      </c>
      <c r="M158" s="53" t="e">
        <v>#NAME?</v>
      </c>
      <c r="N158" s="15"/>
      <c r="O158" s="15"/>
      <c r="P158" s="15"/>
    </row>
    <row r="159" spans="10:16" s="21" customFormat="1" ht="14.25" x14ac:dyDescent="0.45">
      <c r="J159" s="27"/>
      <c r="K159" s="15"/>
      <c r="L159" s="15">
        <v>-3.55</v>
      </c>
      <c r="M159" s="53" t="e">
        <v>#NAME?</v>
      </c>
      <c r="N159" s="15"/>
      <c r="O159" s="15"/>
      <c r="P159" s="15"/>
    </row>
    <row r="160" spans="10:16" s="21" customFormat="1" ht="14.25" x14ac:dyDescent="0.45">
      <c r="J160" s="27"/>
      <c r="K160" s="15"/>
      <c r="L160" s="15">
        <v>-3.54</v>
      </c>
      <c r="M160" s="53" t="e">
        <v>#NAME?</v>
      </c>
      <c r="N160" s="15"/>
      <c r="O160" s="15"/>
      <c r="P160" s="15"/>
    </row>
    <row r="161" spans="10:16" s="21" customFormat="1" ht="14.25" x14ac:dyDescent="0.45">
      <c r="J161" s="27"/>
      <c r="K161" s="15"/>
      <c r="L161" s="15">
        <v>-3.5300000000000002</v>
      </c>
      <c r="M161" s="53" t="e">
        <v>#NAME?</v>
      </c>
      <c r="N161" s="15"/>
      <c r="O161" s="15"/>
      <c r="P161" s="15"/>
    </row>
    <row r="162" spans="10:16" s="21" customFormat="1" ht="14.25" x14ac:dyDescent="0.45">
      <c r="J162" s="27"/>
      <c r="K162" s="15"/>
      <c r="L162" s="15">
        <v>-3.52</v>
      </c>
      <c r="M162" s="53" t="e">
        <v>#NAME?</v>
      </c>
      <c r="N162" s="15"/>
      <c r="O162" s="15"/>
      <c r="P162" s="15"/>
    </row>
    <row r="163" spans="10:16" s="21" customFormat="1" ht="14.25" x14ac:dyDescent="0.45">
      <c r="J163" s="27"/>
      <c r="K163" s="15"/>
      <c r="L163" s="15">
        <v>-3.51</v>
      </c>
      <c r="M163" s="53" t="e">
        <v>#NAME?</v>
      </c>
      <c r="N163" s="15"/>
      <c r="O163" s="15"/>
      <c r="P163" s="15"/>
    </row>
    <row r="164" spans="10:16" s="21" customFormat="1" ht="14.25" x14ac:dyDescent="0.45">
      <c r="J164" s="27"/>
      <c r="K164" s="15"/>
      <c r="L164" s="15">
        <v>-3.5</v>
      </c>
      <c r="M164" s="53" t="e">
        <v>#NAME?</v>
      </c>
      <c r="N164" s="15"/>
      <c r="O164" s="15"/>
      <c r="P164" s="15"/>
    </row>
    <row r="165" spans="10:16" s="21" customFormat="1" ht="14.25" x14ac:dyDescent="0.45">
      <c r="J165" s="27"/>
      <c r="K165" s="15"/>
      <c r="L165" s="15">
        <v>-3.49</v>
      </c>
      <c r="M165" s="53" t="e">
        <v>#NAME?</v>
      </c>
      <c r="N165" s="15"/>
      <c r="O165" s="15"/>
      <c r="P165" s="15"/>
    </row>
    <row r="166" spans="10:16" s="21" customFormat="1" ht="14.25" x14ac:dyDescent="0.45">
      <c r="J166" s="27"/>
      <c r="K166" s="15"/>
      <c r="L166" s="15">
        <v>-3.48</v>
      </c>
      <c r="M166" s="53" t="e">
        <v>#NAME?</v>
      </c>
      <c r="N166" s="15"/>
      <c r="O166" s="15"/>
      <c r="P166" s="15"/>
    </row>
    <row r="167" spans="10:16" s="21" customFormat="1" ht="14.25" x14ac:dyDescent="0.45">
      <c r="J167" s="27"/>
      <c r="K167" s="15"/>
      <c r="L167" s="15">
        <v>-3.4699999999999998</v>
      </c>
      <c r="M167" s="53" t="e">
        <v>#NAME?</v>
      </c>
      <c r="N167" s="15"/>
      <c r="O167" s="15"/>
      <c r="P167" s="15"/>
    </row>
    <row r="168" spans="10:16" s="21" customFormat="1" ht="14.25" x14ac:dyDescent="0.45">
      <c r="J168" s="27"/>
      <c r="K168" s="15"/>
      <c r="L168" s="15">
        <v>-3.46</v>
      </c>
      <c r="M168" s="53" t="e">
        <v>#NAME?</v>
      </c>
      <c r="N168" s="15"/>
      <c r="O168" s="15"/>
      <c r="P168" s="15"/>
    </row>
    <row r="169" spans="10:16" s="21" customFormat="1" ht="14.25" x14ac:dyDescent="0.45">
      <c r="J169" s="27"/>
      <c r="K169" s="15"/>
      <c r="L169" s="15">
        <v>-3.45</v>
      </c>
      <c r="M169" s="53" t="e">
        <v>#NAME?</v>
      </c>
      <c r="N169" s="15"/>
      <c r="O169" s="15"/>
      <c r="P169" s="15"/>
    </row>
    <row r="170" spans="10:16" s="21" customFormat="1" ht="14.25" x14ac:dyDescent="0.45">
      <c r="J170" s="27"/>
      <c r="K170" s="15"/>
      <c r="L170" s="15">
        <v>-3.44</v>
      </c>
      <c r="M170" s="53" t="e">
        <v>#NAME?</v>
      </c>
      <c r="N170" s="15"/>
      <c r="O170" s="15"/>
      <c r="P170" s="15"/>
    </row>
    <row r="171" spans="10:16" s="21" customFormat="1" ht="14.25" x14ac:dyDescent="0.45">
      <c r="J171" s="27"/>
      <c r="K171" s="15"/>
      <c r="L171" s="15">
        <v>-3.4299999999999997</v>
      </c>
      <c r="M171" s="53" t="e">
        <v>#NAME?</v>
      </c>
      <c r="N171" s="15"/>
      <c r="O171" s="15"/>
      <c r="P171" s="15"/>
    </row>
    <row r="172" spans="10:16" s="21" customFormat="1" ht="14.25" x14ac:dyDescent="0.45">
      <c r="J172" s="27"/>
      <c r="K172" s="15"/>
      <c r="L172" s="15">
        <v>-3.42</v>
      </c>
      <c r="M172" s="53" t="e">
        <v>#NAME?</v>
      </c>
      <c r="N172" s="15"/>
      <c r="O172" s="15"/>
      <c r="P172" s="15"/>
    </row>
    <row r="173" spans="10:16" s="21" customFormat="1" ht="14.25" x14ac:dyDescent="0.45">
      <c r="J173" s="27"/>
      <c r="K173" s="15"/>
      <c r="L173" s="15">
        <v>-3.41</v>
      </c>
      <c r="M173" s="53" t="e">
        <v>#NAME?</v>
      </c>
      <c r="N173" s="15"/>
      <c r="O173" s="15"/>
      <c r="P173" s="15"/>
    </row>
    <row r="174" spans="10:16" s="21" customFormat="1" ht="14.25" x14ac:dyDescent="0.45">
      <c r="J174" s="27"/>
      <c r="K174" s="15"/>
      <c r="L174" s="15">
        <v>-3.4</v>
      </c>
      <c r="M174" s="53" t="e">
        <v>#NAME?</v>
      </c>
      <c r="N174" s="15"/>
      <c r="O174" s="15"/>
      <c r="P174" s="15"/>
    </row>
    <row r="175" spans="10:16" s="21" customFormat="1" ht="14.25" x14ac:dyDescent="0.45">
      <c r="J175" s="27"/>
      <c r="K175" s="15"/>
      <c r="L175" s="15">
        <v>-3.3899999999999997</v>
      </c>
      <c r="M175" s="53" t="e">
        <v>#NAME?</v>
      </c>
      <c r="N175" s="15"/>
      <c r="O175" s="15"/>
      <c r="P175" s="15"/>
    </row>
    <row r="176" spans="10:16" s="21" customFormat="1" ht="14.25" x14ac:dyDescent="0.45">
      <c r="J176" s="27"/>
      <c r="K176" s="15"/>
      <c r="L176" s="15">
        <v>-3.38</v>
      </c>
      <c r="M176" s="53" t="e">
        <v>#NAME?</v>
      </c>
      <c r="N176" s="15"/>
      <c r="O176" s="15"/>
      <c r="P176" s="15"/>
    </row>
    <row r="177" spans="10:16" s="21" customFormat="1" ht="14.25" x14ac:dyDescent="0.45">
      <c r="J177" s="27"/>
      <c r="K177" s="15"/>
      <c r="L177" s="15">
        <v>-3.37</v>
      </c>
      <c r="M177" s="53" t="e">
        <v>#NAME?</v>
      </c>
      <c r="N177" s="15"/>
      <c r="O177" s="15"/>
      <c r="P177" s="15"/>
    </row>
    <row r="178" spans="10:16" s="21" customFormat="1" ht="14.25" x14ac:dyDescent="0.45">
      <c r="J178" s="27"/>
      <c r="K178" s="15"/>
      <c r="L178" s="15">
        <v>-3.36</v>
      </c>
      <c r="M178" s="53" t="e">
        <v>#NAME?</v>
      </c>
      <c r="N178" s="15"/>
      <c r="O178" s="15"/>
      <c r="P178" s="15"/>
    </row>
    <row r="179" spans="10:16" s="21" customFormat="1" ht="14.25" x14ac:dyDescent="0.45">
      <c r="J179" s="27"/>
      <c r="K179" s="15"/>
      <c r="L179" s="15">
        <v>-3.3499999999999996</v>
      </c>
      <c r="M179" s="53" t="e">
        <v>#NAME?</v>
      </c>
      <c r="N179" s="15"/>
      <c r="O179" s="15"/>
      <c r="P179" s="15"/>
    </row>
    <row r="180" spans="10:16" s="21" customFormat="1" ht="14.25" x14ac:dyDescent="0.45">
      <c r="J180" s="27"/>
      <c r="K180" s="15"/>
      <c r="L180" s="15">
        <v>-3.34</v>
      </c>
      <c r="M180" s="53" t="e">
        <v>#NAME?</v>
      </c>
      <c r="N180" s="15"/>
      <c r="O180" s="15"/>
      <c r="P180" s="15"/>
    </row>
    <row r="181" spans="10:16" s="21" customFormat="1" ht="14.25" x14ac:dyDescent="0.45">
      <c r="J181" s="27"/>
      <c r="K181" s="15"/>
      <c r="L181" s="15">
        <v>-3.33</v>
      </c>
      <c r="M181" s="53" t="e">
        <v>#NAME?</v>
      </c>
      <c r="N181" s="15"/>
      <c r="O181" s="15"/>
      <c r="P181" s="15"/>
    </row>
    <row r="182" spans="10:16" s="21" customFormat="1" ht="14.25" x14ac:dyDescent="0.45">
      <c r="J182" s="27"/>
      <c r="K182" s="15"/>
      <c r="L182" s="15">
        <v>-3.3200000000000003</v>
      </c>
      <c r="M182" s="53" t="e">
        <v>#NAME?</v>
      </c>
      <c r="N182" s="15"/>
      <c r="O182" s="15"/>
      <c r="P182" s="15"/>
    </row>
    <row r="183" spans="10:16" s="21" customFormat="1" ht="14.25" x14ac:dyDescent="0.45">
      <c r="J183" s="27"/>
      <c r="K183" s="15"/>
      <c r="L183" s="15">
        <v>-3.31</v>
      </c>
      <c r="M183" s="53" t="e">
        <v>#NAME?</v>
      </c>
      <c r="N183" s="15"/>
      <c r="O183" s="15"/>
      <c r="P183" s="15"/>
    </row>
    <row r="184" spans="10:16" s="21" customFormat="1" ht="14.25" x14ac:dyDescent="0.45">
      <c r="J184" s="27"/>
      <c r="K184" s="15"/>
      <c r="L184" s="15">
        <v>-3.3</v>
      </c>
      <c r="M184" s="53" t="e">
        <v>#NAME?</v>
      </c>
      <c r="N184" s="15"/>
      <c r="O184" s="15"/>
      <c r="P184" s="15"/>
    </row>
    <row r="185" spans="10:16" s="21" customFormat="1" ht="14.25" x14ac:dyDescent="0.45">
      <c r="J185" s="27"/>
      <c r="K185" s="15"/>
      <c r="L185" s="15">
        <v>-3.29</v>
      </c>
      <c r="M185" s="53" t="e">
        <v>#NAME?</v>
      </c>
      <c r="N185" s="15"/>
      <c r="O185" s="15"/>
      <c r="P185" s="15"/>
    </row>
    <row r="186" spans="10:16" s="21" customFormat="1" ht="14.25" x14ac:dyDescent="0.45">
      <c r="J186" s="27"/>
      <c r="K186" s="15"/>
      <c r="L186" s="15">
        <v>-3.2800000000000002</v>
      </c>
      <c r="M186" s="53" t="e">
        <v>#NAME?</v>
      </c>
      <c r="N186" s="15"/>
      <c r="O186" s="15"/>
      <c r="P186" s="15"/>
    </row>
    <row r="187" spans="10:16" s="21" customFormat="1" ht="14.25" x14ac:dyDescent="0.45">
      <c r="J187" s="27"/>
      <c r="K187" s="15"/>
      <c r="L187" s="15">
        <v>-3.27</v>
      </c>
      <c r="M187" s="53" t="e">
        <v>#NAME?</v>
      </c>
      <c r="N187" s="15"/>
      <c r="O187" s="15"/>
      <c r="P187" s="15"/>
    </row>
    <row r="188" spans="10:16" s="21" customFormat="1" ht="14.25" x14ac:dyDescent="0.45">
      <c r="J188" s="27"/>
      <c r="K188" s="15"/>
      <c r="L188" s="15">
        <v>-3.26</v>
      </c>
      <c r="M188" s="53" t="e">
        <v>#NAME?</v>
      </c>
      <c r="N188" s="15"/>
      <c r="O188" s="15"/>
      <c r="P188" s="15"/>
    </row>
    <row r="189" spans="10:16" s="21" customFormat="1" ht="14.25" x14ac:dyDescent="0.45">
      <c r="J189" s="27"/>
      <c r="K189" s="15"/>
      <c r="L189" s="15">
        <v>-3.25</v>
      </c>
      <c r="M189" s="53" t="e">
        <v>#NAME?</v>
      </c>
      <c r="N189" s="15"/>
      <c r="O189" s="15"/>
      <c r="P189" s="15"/>
    </row>
    <row r="190" spans="10:16" s="21" customFormat="1" ht="14.25" x14ac:dyDescent="0.45">
      <c r="J190" s="27"/>
      <c r="K190" s="15"/>
      <c r="L190" s="15">
        <v>-3.24</v>
      </c>
      <c r="M190" s="53" t="e">
        <v>#NAME?</v>
      </c>
      <c r="N190" s="15"/>
      <c r="O190" s="15"/>
      <c r="P190" s="15"/>
    </row>
    <row r="191" spans="10:16" s="21" customFormat="1" ht="14.25" x14ac:dyDescent="0.45">
      <c r="J191" s="27"/>
      <c r="K191" s="15"/>
      <c r="L191" s="15">
        <v>-3.23</v>
      </c>
      <c r="M191" s="53" t="e">
        <v>#NAME?</v>
      </c>
      <c r="N191" s="15"/>
      <c r="O191" s="15"/>
      <c r="P191" s="15"/>
    </row>
    <row r="192" spans="10:16" s="21" customFormat="1" ht="14.25" x14ac:dyDescent="0.45">
      <c r="J192" s="27"/>
      <c r="K192" s="15"/>
      <c r="L192" s="15">
        <v>-3.2199999999999998</v>
      </c>
      <c r="M192" s="53" t="e">
        <v>#NAME?</v>
      </c>
      <c r="N192" s="15"/>
      <c r="O192" s="15"/>
      <c r="P192" s="15"/>
    </row>
    <row r="193" spans="10:16" s="21" customFormat="1" ht="14.25" x14ac:dyDescent="0.45">
      <c r="J193" s="27"/>
      <c r="K193" s="15"/>
      <c r="L193" s="15">
        <v>-3.21</v>
      </c>
      <c r="M193" s="53" t="e">
        <v>#NAME?</v>
      </c>
      <c r="N193" s="15"/>
      <c r="O193" s="15"/>
      <c r="P193" s="15"/>
    </row>
    <row r="194" spans="10:16" s="21" customFormat="1" ht="14.25" x14ac:dyDescent="0.45">
      <c r="J194" s="27"/>
      <c r="K194" s="15"/>
      <c r="L194" s="15">
        <v>-3.2</v>
      </c>
      <c r="M194" s="53" t="e">
        <v>#NAME?</v>
      </c>
      <c r="N194" s="15"/>
      <c r="O194" s="15"/>
      <c r="P194" s="15"/>
    </row>
    <row r="195" spans="10:16" s="21" customFormat="1" ht="14.25" x14ac:dyDescent="0.45">
      <c r="J195" s="27"/>
      <c r="K195" s="15"/>
      <c r="L195" s="15">
        <v>-3.19</v>
      </c>
      <c r="M195" s="53" t="e">
        <v>#NAME?</v>
      </c>
      <c r="N195" s="15"/>
      <c r="O195" s="15"/>
      <c r="P195" s="15"/>
    </row>
    <row r="196" spans="10:16" s="21" customFormat="1" ht="14.25" x14ac:dyDescent="0.45">
      <c r="J196" s="27"/>
      <c r="K196" s="15"/>
      <c r="L196" s="15">
        <v>-3.1799999999999997</v>
      </c>
      <c r="M196" s="53" t="e">
        <v>#NAME?</v>
      </c>
      <c r="N196" s="15"/>
      <c r="O196" s="15"/>
      <c r="P196" s="15"/>
    </row>
    <row r="197" spans="10:16" s="21" customFormat="1" ht="14.25" x14ac:dyDescent="0.45">
      <c r="J197" s="27"/>
      <c r="K197" s="15"/>
      <c r="L197" s="15">
        <v>-3.17</v>
      </c>
      <c r="M197" s="53" t="e">
        <v>#NAME?</v>
      </c>
      <c r="N197" s="15"/>
      <c r="O197" s="15"/>
      <c r="P197" s="15"/>
    </row>
    <row r="198" spans="10:16" s="21" customFormat="1" ht="14.25" x14ac:dyDescent="0.45">
      <c r="J198" s="27"/>
      <c r="K198" s="15"/>
      <c r="L198" s="15">
        <v>-3.16</v>
      </c>
      <c r="M198" s="53" t="e">
        <v>#NAME?</v>
      </c>
      <c r="N198" s="15"/>
      <c r="O198" s="15"/>
      <c r="P198" s="15"/>
    </row>
    <row r="199" spans="10:16" s="21" customFormat="1" ht="14.25" x14ac:dyDescent="0.45">
      <c r="J199" s="27"/>
      <c r="K199" s="15"/>
      <c r="L199" s="15">
        <v>-3.15</v>
      </c>
      <c r="M199" s="53" t="e">
        <v>#NAME?</v>
      </c>
      <c r="N199" s="15"/>
      <c r="O199" s="15"/>
      <c r="P199" s="15"/>
    </row>
    <row r="200" spans="10:16" s="21" customFormat="1" ht="14.25" x14ac:dyDescent="0.45">
      <c r="J200" s="27"/>
      <c r="K200" s="15"/>
      <c r="L200" s="15">
        <v>-3.1399999999999997</v>
      </c>
      <c r="M200" s="53" t="e">
        <v>#NAME?</v>
      </c>
      <c r="N200" s="15"/>
      <c r="O200" s="15"/>
      <c r="P200" s="15"/>
    </row>
    <row r="201" spans="10:16" s="21" customFormat="1" ht="14.25" x14ac:dyDescent="0.45">
      <c r="J201" s="27"/>
      <c r="K201" s="15"/>
      <c r="L201" s="15">
        <v>-3.13</v>
      </c>
      <c r="M201" s="53" t="e">
        <v>#NAME?</v>
      </c>
      <c r="N201" s="15"/>
      <c r="O201" s="15"/>
      <c r="P201" s="15"/>
    </row>
    <row r="202" spans="10:16" s="21" customFormat="1" ht="14.25" x14ac:dyDescent="0.45">
      <c r="J202" s="27"/>
      <c r="K202" s="15"/>
      <c r="L202" s="15">
        <v>-3.12</v>
      </c>
      <c r="M202" s="53" t="e">
        <v>#NAME?</v>
      </c>
      <c r="N202" s="15"/>
      <c r="O202" s="15"/>
      <c r="P202" s="15"/>
    </row>
    <row r="203" spans="10:16" s="21" customFormat="1" ht="14.25" x14ac:dyDescent="0.45">
      <c r="J203" s="27"/>
      <c r="K203" s="15"/>
      <c r="L203" s="15">
        <v>-3.11</v>
      </c>
      <c r="M203" s="53" t="e">
        <v>#NAME?</v>
      </c>
      <c r="N203" s="15"/>
      <c r="O203" s="15"/>
      <c r="P203" s="15"/>
    </row>
    <row r="204" spans="10:16" s="21" customFormat="1" ht="14.25" x14ac:dyDescent="0.45">
      <c r="J204" s="27"/>
      <c r="K204" s="15"/>
      <c r="L204" s="15">
        <v>-3.0999999999999996</v>
      </c>
      <c r="M204" s="53" t="e">
        <v>#NAME?</v>
      </c>
      <c r="N204" s="15"/>
      <c r="O204" s="15"/>
      <c r="P204" s="15"/>
    </row>
    <row r="205" spans="10:16" s="21" customFormat="1" ht="14.25" x14ac:dyDescent="0.45">
      <c r="J205" s="27"/>
      <c r="K205" s="15"/>
      <c r="L205" s="15">
        <v>-3.09</v>
      </c>
      <c r="M205" s="53" t="e">
        <v>#NAME?</v>
      </c>
      <c r="N205" s="15"/>
      <c r="O205" s="15"/>
      <c r="P205" s="15"/>
    </row>
    <row r="206" spans="10:16" s="21" customFormat="1" ht="14.25" x14ac:dyDescent="0.45">
      <c r="J206" s="27"/>
      <c r="K206" s="15"/>
      <c r="L206" s="15">
        <v>-3.08</v>
      </c>
      <c r="M206" s="53" t="e">
        <v>#NAME?</v>
      </c>
      <c r="N206" s="15"/>
      <c r="O206" s="15"/>
      <c r="P206" s="15"/>
    </row>
    <row r="207" spans="10:16" s="21" customFormat="1" ht="14.25" x14ac:dyDescent="0.45">
      <c r="J207" s="27"/>
      <c r="K207" s="15"/>
      <c r="L207" s="15">
        <v>-3.0700000000000003</v>
      </c>
      <c r="M207" s="53" t="e">
        <v>#NAME?</v>
      </c>
      <c r="N207" s="15"/>
      <c r="O207" s="15"/>
      <c r="P207" s="15"/>
    </row>
    <row r="208" spans="10:16" s="21" customFormat="1" ht="14.25" x14ac:dyDescent="0.45">
      <c r="J208" s="27"/>
      <c r="K208" s="15"/>
      <c r="L208" s="15">
        <v>-3.06</v>
      </c>
      <c r="M208" s="53" t="e">
        <v>#NAME?</v>
      </c>
      <c r="N208" s="15"/>
      <c r="O208" s="15"/>
      <c r="P208" s="15"/>
    </row>
    <row r="209" spans="10:16" s="21" customFormat="1" ht="14.25" x14ac:dyDescent="0.45">
      <c r="J209" s="27"/>
      <c r="K209" s="15"/>
      <c r="L209" s="15">
        <v>-3.05</v>
      </c>
      <c r="M209" s="53" t="e">
        <v>#NAME?</v>
      </c>
      <c r="N209" s="15"/>
      <c r="O209" s="15"/>
      <c r="P209" s="15"/>
    </row>
    <row r="210" spans="10:16" s="21" customFormat="1" ht="14.25" x14ac:dyDescent="0.45">
      <c r="J210" s="27"/>
      <c r="K210" s="15"/>
      <c r="L210" s="15">
        <v>-3.04</v>
      </c>
      <c r="M210" s="53" t="e">
        <v>#NAME?</v>
      </c>
      <c r="N210" s="15"/>
      <c r="O210" s="15"/>
      <c r="P210" s="15"/>
    </row>
    <row r="211" spans="10:16" s="21" customFormat="1" ht="14.25" x14ac:dyDescent="0.45">
      <c r="J211" s="27"/>
      <c r="K211" s="15"/>
      <c r="L211" s="15">
        <v>-3.0300000000000002</v>
      </c>
      <c r="M211" s="53" t="e">
        <v>#NAME?</v>
      </c>
      <c r="N211" s="15"/>
      <c r="O211" s="15"/>
      <c r="P211" s="15"/>
    </row>
    <row r="212" spans="10:16" s="21" customFormat="1" ht="14.25" x14ac:dyDescent="0.45">
      <c r="J212" s="27"/>
      <c r="K212" s="15"/>
      <c r="L212" s="15">
        <v>-3.02</v>
      </c>
      <c r="M212" s="53" t="e">
        <v>#NAME?</v>
      </c>
      <c r="N212" s="15"/>
      <c r="O212" s="15"/>
      <c r="P212" s="15"/>
    </row>
    <row r="213" spans="10:16" s="21" customFormat="1" ht="14.25" x14ac:dyDescent="0.45">
      <c r="J213" s="27"/>
      <c r="K213" s="15"/>
      <c r="L213" s="15">
        <v>-3.01</v>
      </c>
      <c r="M213" s="53" t="e">
        <v>#NAME?</v>
      </c>
      <c r="N213" s="15"/>
      <c r="O213" s="15"/>
      <c r="P213" s="15"/>
    </row>
    <row r="214" spans="10:16" s="21" customFormat="1" ht="14.25" x14ac:dyDescent="0.45">
      <c r="J214" s="27"/>
      <c r="K214" s="15"/>
      <c r="L214" s="15">
        <v>-3</v>
      </c>
      <c r="M214" s="53" t="e">
        <v>#NAME?</v>
      </c>
      <c r="N214" s="15"/>
      <c r="O214" s="15"/>
      <c r="P214" s="15"/>
    </row>
    <row r="215" spans="10:16" s="21" customFormat="1" ht="14.25" x14ac:dyDescent="0.45">
      <c r="J215" s="27"/>
      <c r="K215" s="15"/>
      <c r="L215" s="15">
        <v>-2.9899999999999998</v>
      </c>
      <c r="M215" s="53" t="e">
        <v>#NAME?</v>
      </c>
      <c r="N215" s="15"/>
      <c r="O215" s="15"/>
      <c r="P215" s="15"/>
    </row>
    <row r="216" spans="10:16" s="21" customFormat="1" ht="14.25" x14ac:dyDescent="0.45">
      <c r="J216" s="27"/>
      <c r="K216" s="15"/>
      <c r="L216" s="15">
        <v>-2.98</v>
      </c>
      <c r="M216" s="53" t="e">
        <v>#NAME?</v>
      </c>
      <c r="N216" s="15"/>
      <c r="O216" s="15"/>
      <c r="P216" s="15"/>
    </row>
    <row r="217" spans="10:16" s="21" customFormat="1" ht="14.25" x14ac:dyDescent="0.45">
      <c r="J217" s="27"/>
      <c r="K217" s="15"/>
      <c r="L217" s="15">
        <v>-2.9699999999999998</v>
      </c>
      <c r="M217" s="53" t="e">
        <v>#NAME?</v>
      </c>
      <c r="N217" s="15"/>
      <c r="O217" s="15"/>
      <c r="P217" s="15"/>
    </row>
    <row r="218" spans="10:16" s="21" customFormat="1" ht="14.25" x14ac:dyDescent="0.45">
      <c r="J218" s="27"/>
      <c r="K218" s="15"/>
      <c r="L218" s="15">
        <v>-2.96</v>
      </c>
      <c r="M218" s="53" t="e">
        <v>#NAME?</v>
      </c>
      <c r="N218" s="15"/>
      <c r="O218" s="15"/>
      <c r="P218" s="15"/>
    </row>
    <row r="219" spans="10:16" s="21" customFormat="1" ht="14.25" x14ac:dyDescent="0.45">
      <c r="J219" s="27"/>
      <c r="K219" s="15"/>
      <c r="L219" s="15">
        <v>-2.95</v>
      </c>
      <c r="M219" s="53" t="e">
        <v>#NAME?</v>
      </c>
      <c r="N219" s="15"/>
      <c r="O219" s="15"/>
      <c r="P219" s="15"/>
    </row>
    <row r="220" spans="10:16" s="21" customFormat="1" ht="14.25" x14ac:dyDescent="0.45">
      <c r="J220" s="27"/>
      <c r="K220" s="15"/>
      <c r="L220" s="15">
        <v>-2.94</v>
      </c>
      <c r="M220" s="53" t="e">
        <v>#NAME?</v>
      </c>
      <c r="N220" s="15"/>
      <c r="O220" s="15"/>
      <c r="P220" s="15"/>
    </row>
    <row r="221" spans="10:16" s="21" customFormat="1" ht="14.25" x14ac:dyDescent="0.45">
      <c r="J221" s="27"/>
      <c r="K221" s="15"/>
      <c r="L221" s="15">
        <v>-2.93</v>
      </c>
      <c r="M221" s="53" t="e">
        <v>#NAME?</v>
      </c>
      <c r="N221" s="15"/>
      <c r="O221" s="15"/>
      <c r="P221" s="15"/>
    </row>
    <row r="222" spans="10:16" s="21" customFormat="1" ht="14.25" x14ac:dyDescent="0.45">
      <c r="J222" s="27"/>
      <c r="K222" s="15"/>
      <c r="L222" s="15">
        <v>-2.92</v>
      </c>
      <c r="M222" s="53" t="e">
        <v>#NAME?</v>
      </c>
      <c r="N222" s="15"/>
      <c r="O222" s="15"/>
      <c r="P222" s="15"/>
    </row>
    <row r="223" spans="10:16" s="21" customFormat="1" ht="14.25" x14ac:dyDescent="0.45">
      <c r="J223" s="27"/>
      <c r="K223" s="15"/>
      <c r="L223" s="15">
        <v>-2.91</v>
      </c>
      <c r="M223" s="53" t="e">
        <v>#NAME?</v>
      </c>
      <c r="N223" s="15"/>
      <c r="O223" s="15"/>
      <c r="P223" s="15"/>
    </row>
    <row r="224" spans="10:16" s="21" customFormat="1" ht="14.25" x14ac:dyDescent="0.45">
      <c r="J224" s="27"/>
      <c r="K224" s="15"/>
      <c r="L224" s="15">
        <v>-2.9</v>
      </c>
      <c r="M224" s="53" t="e">
        <v>#NAME?</v>
      </c>
      <c r="N224" s="15"/>
      <c r="O224" s="15"/>
      <c r="P224" s="15"/>
    </row>
    <row r="225" spans="10:16" s="21" customFormat="1" ht="14.25" x14ac:dyDescent="0.45">
      <c r="J225" s="27"/>
      <c r="K225" s="15"/>
      <c r="L225" s="15">
        <v>-2.89</v>
      </c>
      <c r="M225" s="53" t="e">
        <v>#NAME?</v>
      </c>
      <c r="N225" s="15"/>
      <c r="O225" s="15"/>
      <c r="P225" s="15"/>
    </row>
    <row r="226" spans="10:16" s="21" customFormat="1" ht="14.25" x14ac:dyDescent="0.45">
      <c r="J226" s="27"/>
      <c r="K226" s="15"/>
      <c r="L226" s="15">
        <v>-2.88</v>
      </c>
      <c r="M226" s="53" t="e">
        <v>#NAME?</v>
      </c>
      <c r="N226" s="15"/>
      <c r="O226" s="15"/>
      <c r="P226" s="15"/>
    </row>
    <row r="227" spans="10:16" s="21" customFormat="1" ht="14.25" x14ac:dyDescent="0.45">
      <c r="J227" s="27"/>
      <c r="K227" s="15"/>
      <c r="L227" s="15">
        <v>-2.87</v>
      </c>
      <c r="M227" s="53" t="e">
        <v>#NAME?</v>
      </c>
      <c r="N227" s="15"/>
      <c r="O227" s="15"/>
      <c r="P227" s="15"/>
    </row>
    <row r="228" spans="10:16" s="21" customFormat="1" ht="14.25" x14ac:dyDescent="0.45">
      <c r="J228" s="27"/>
      <c r="K228" s="15"/>
      <c r="L228" s="15">
        <v>-2.86</v>
      </c>
      <c r="M228" s="53" t="e">
        <v>#NAME?</v>
      </c>
      <c r="N228" s="15"/>
      <c r="O228" s="15"/>
      <c r="P228" s="15"/>
    </row>
    <row r="229" spans="10:16" s="21" customFormat="1" ht="14.25" x14ac:dyDescent="0.45">
      <c r="J229" s="27"/>
      <c r="K229" s="15"/>
      <c r="L229" s="15">
        <v>-2.85</v>
      </c>
      <c r="M229" s="53" t="e">
        <v>#NAME?</v>
      </c>
      <c r="N229" s="15"/>
      <c r="O229" s="15"/>
      <c r="P229" s="15"/>
    </row>
    <row r="230" spans="10:16" s="21" customFormat="1" ht="14.25" x14ac:dyDescent="0.45">
      <c r="J230" s="27"/>
      <c r="K230" s="15"/>
      <c r="L230" s="15">
        <v>-2.84</v>
      </c>
      <c r="M230" s="53" t="e">
        <v>#NAME?</v>
      </c>
      <c r="N230" s="15"/>
      <c r="O230" s="15"/>
      <c r="P230" s="15"/>
    </row>
    <row r="231" spans="10:16" s="21" customFormat="1" ht="14.25" x14ac:dyDescent="0.45">
      <c r="J231" s="27"/>
      <c r="K231" s="15"/>
      <c r="L231" s="15">
        <v>-2.83</v>
      </c>
      <c r="M231" s="53" t="e">
        <v>#NAME?</v>
      </c>
      <c r="N231" s="15"/>
      <c r="O231" s="15"/>
      <c r="P231" s="15"/>
    </row>
    <row r="232" spans="10:16" s="21" customFormat="1" ht="14.25" x14ac:dyDescent="0.45">
      <c r="J232" s="27"/>
      <c r="K232" s="15"/>
      <c r="L232" s="15">
        <v>-2.82</v>
      </c>
      <c r="M232" s="53" t="e">
        <v>#NAME?</v>
      </c>
      <c r="N232" s="15"/>
      <c r="O232" s="15"/>
      <c r="P232" s="15"/>
    </row>
    <row r="233" spans="10:16" s="21" customFormat="1" ht="14.25" x14ac:dyDescent="0.45">
      <c r="J233" s="27"/>
      <c r="K233" s="15"/>
      <c r="L233" s="15">
        <v>-2.81</v>
      </c>
      <c r="M233" s="53" t="e">
        <v>#NAME?</v>
      </c>
      <c r="N233" s="15"/>
      <c r="O233" s="15"/>
      <c r="P233" s="15"/>
    </row>
    <row r="234" spans="10:16" s="21" customFormat="1" ht="14.25" x14ac:dyDescent="0.45">
      <c r="J234" s="27"/>
      <c r="K234" s="15"/>
      <c r="L234" s="15">
        <v>-2.8</v>
      </c>
      <c r="M234" s="53" t="e">
        <v>#NAME?</v>
      </c>
      <c r="N234" s="15"/>
      <c r="O234" s="15"/>
      <c r="P234" s="15"/>
    </row>
    <row r="235" spans="10:16" s="21" customFormat="1" ht="14.25" x14ac:dyDescent="0.45">
      <c r="J235" s="27"/>
      <c r="K235" s="15"/>
      <c r="L235" s="15">
        <v>-2.79</v>
      </c>
      <c r="M235" s="53" t="e">
        <v>#NAME?</v>
      </c>
      <c r="N235" s="15"/>
      <c r="O235" s="15"/>
      <c r="P235" s="15"/>
    </row>
    <row r="236" spans="10:16" s="21" customFormat="1" ht="14.25" x14ac:dyDescent="0.45">
      <c r="J236" s="27"/>
      <c r="K236" s="15"/>
      <c r="L236" s="15">
        <v>-2.78</v>
      </c>
      <c r="M236" s="53" t="e">
        <v>#NAME?</v>
      </c>
      <c r="N236" s="15"/>
      <c r="O236" s="15"/>
      <c r="P236" s="15"/>
    </row>
    <row r="237" spans="10:16" s="21" customFormat="1" ht="14.25" x14ac:dyDescent="0.45">
      <c r="J237" s="27"/>
      <c r="K237" s="15"/>
      <c r="L237" s="15">
        <v>-2.77</v>
      </c>
      <c r="M237" s="53" t="e">
        <v>#NAME?</v>
      </c>
      <c r="N237" s="15"/>
      <c r="O237" s="15"/>
      <c r="P237" s="15"/>
    </row>
    <row r="238" spans="10:16" s="21" customFormat="1" ht="14.25" x14ac:dyDescent="0.45">
      <c r="J238" s="27"/>
      <c r="K238" s="15"/>
      <c r="L238" s="15">
        <v>-2.76</v>
      </c>
      <c r="M238" s="53" t="e">
        <v>#NAME?</v>
      </c>
      <c r="N238" s="15"/>
      <c r="O238" s="15"/>
      <c r="P238" s="15"/>
    </row>
    <row r="239" spans="10:16" s="21" customFormat="1" ht="14.25" x14ac:dyDescent="0.45">
      <c r="J239" s="27"/>
      <c r="K239" s="15"/>
      <c r="L239" s="15">
        <v>-2.75</v>
      </c>
      <c r="M239" s="53" t="e">
        <v>#NAME?</v>
      </c>
      <c r="N239" s="15"/>
      <c r="O239" s="15"/>
      <c r="P239" s="15"/>
    </row>
    <row r="240" spans="10:16" s="21" customFormat="1" ht="14.25" x14ac:dyDescent="0.45">
      <c r="J240" s="27"/>
      <c r="K240" s="15"/>
      <c r="L240" s="15">
        <v>-2.7399999999999998</v>
      </c>
      <c r="M240" s="53" t="e">
        <v>#NAME?</v>
      </c>
      <c r="N240" s="15"/>
      <c r="O240" s="15"/>
      <c r="P240" s="15"/>
    </row>
    <row r="241" spans="10:16" s="21" customFormat="1" ht="14.25" x14ac:dyDescent="0.45">
      <c r="J241" s="27"/>
      <c r="K241" s="15"/>
      <c r="L241" s="15">
        <v>-2.73</v>
      </c>
      <c r="M241" s="53" t="e">
        <v>#NAME?</v>
      </c>
      <c r="N241" s="15"/>
      <c r="O241" s="15"/>
      <c r="P241" s="15"/>
    </row>
    <row r="242" spans="10:16" s="21" customFormat="1" ht="14.25" x14ac:dyDescent="0.45">
      <c r="J242" s="27"/>
      <c r="K242" s="15"/>
      <c r="L242" s="15">
        <v>-2.7199999999999998</v>
      </c>
      <c r="M242" s="53" t="e">
        <v>#NAME?</v>
      </c>
      <c r="N242" s="15"/>
      <c r="O242" s="15"/>
      <c r="P242" s="15"/>
    </row>
    <row r="243" spans="10:16" s="21" customFormat="1" ht="14.25" x14ac:dyDescent="0.45">
      <c r="J243" s="27"/>
      <c r="K243" s="15"/>
      <c r="L243" s="15">
        <v>-2.71</v>
      </c>
      <c r="M243" s="53" t="e">
        <v>#NAME?</v>
      </c>
      <c r="N243" s="15"/>
      <c r="O243" s="15"/>
      <c r="P243" s="15"/>
    </row>
    <row r="244" spans="10:16" s="21" customFormat="1" ht="14.25" x14ac:dyDescent="0.45">
      <c r="J244" s="27"/>
      <c r="K244" s="15"/>
      <c r="L244" s="15">
        <v>-2.6999999999999997</v>
      </c>
      <c r="M244" s="53" t="e">
        <v>#NAME?</v>
      </c>
      <c r="N244" s="15"/>
      <c r="O244" s="15"/>
      <c r="P244" s="15"/>
    </row>
    <row r="245" spans="10:16" s="21" customFormat="1" ht="14.25" x14ac:dyDescent="0.45">
      <c r="J245" s="27"/>
      <c r="K245" s="15"/>
      <c r="L245" s="15">
        <v>-2.69</v>
      </c>
      <c r="M245" s="53" t="e">
        <v>#NAME?</v>
      </c>
      <c r="N245" s="15"/>
      <c r="O245" s="15"/>
      <c r="P245" s="15"/>
    </row>
    <row r="246" spans="10:16" s="21" customFormat="1" ht="14.25" x14ac:dyDescent="0.45">
      <c r="J246" s="27"/>
      <c r="K246" s="15"/>
      <c r="L246" s="15">
        <v>-2.68</v>
      </c>
      <c r="M246" s="53" t="e">
        <v>#NAME?</v>
      </c>
      <c r="N246" s="15"/>
      <c r="O246" s="15"/>
      <c r="P246" s="15"/>
    </row>
    <row r="247" spans="10:16" s="21" customFormat="1" ht="14.25" x14ac:dyDescent="0.45">
      <c r="J247" s="27"/>
      <c r="K247" s="15"/>
      <c r="L247" s="15">
        <v>-2.67</v>
      </c>
      <c r="M247" s="53" t="e">
        <v>#NAME?</v>
      </c>
      <c r="N247" s="15"/>
      <c r="O247" s="15"/>
      <c r="P247" s="15"/>
    </row>
    <row r="248" spans="10:16" s="21" customFormat="1" ht="14.25" x14ac:dyDescent="0.45">
      <c r="J248" s="27"/>
      <c r="K248" s="15"/>
      <c r="L248" s="15">
        <v>-2.66</v>
      </c>
      <c r="M248" s="53" t="e">
        <v>#NAME?</v>
      </c>
      <c r="N248" s="15"/>
      <c r="O248" s="15"/>
      <c r="P248" s="15"/>
    </row>
    <row r="249" spans="10:16" s="21" customFormat="1" ht="14.25" x14ac:dyDescent="0.45">
      <c r="J249" s="27"/>
      <c r="K249" s="15"/>
      <c r="L249" s="15">
        <v>-2.65</v>
      </c>
      <c r="M249" s="53" t="e">
        <v>#NAME?</v>
      </c>
      <c r="N249" s="15"/>
      <c r="O249" s="15"/>
      <c r="P249" s="15"/>
    </row>
    <row r="250" spans="10:16" s="21" customFormat="1" ht="14.25" x14ac:dyDescent="0.45">
      <c r="J250" s="27"/>
      <c r="K250" s="15"/>
      <c r="L250" s="15">
        <v>-2.64</v>
      </c>
      <c r="M250" s="53" t="e">
        <v>#NAME?</v>
      </c>
      <c r="N250" s="15"/>
      <c r="O250" s="15"/>
      <c r="P250" s="15"/>
    </row>
    <row r="251" spans="10:16" s="21" customFormat="1" ht="14.25" x14ac:dyDescent="0.45">
      <c r="J251" s="27"/>
      <c r="K251" s="15"/>
      <c r="L251" s="15">
        <v>-2.63</v>
      </c>
      <c r="M251" s="53" t="e">
        <v>#NAME?</v>
      </c>
      <c r="N251" s="15"/>
      <c r="O251" s="15"/>
      <c r="P251" s="15"/>
    </row>
    <row r="252" spans="10:16" s="21" customFormat="1" ht="14.25" x14ac:dyDescent="0.45">
      <c r="J252" s="27"/>
      <c r="K252" s="15"/>
      <c r="L252" s="15">
        <v>-2.62</v>
      </c>
      <c r="M252" s="53" t="e">
        <v>#NAME?</v>
      </c>
      <c r="N252" s="15"/>
      <c r="O252" s="15"/>
      <c r="P252" s="15"/>
    </row>
    <row r="253" spans="10:16" s="21" customFormat="1" ht="14.25" x14ac:dyDescent="0.45">
      <c r="J253" s="27"/>
      <c r="K253" s="15"/>
      <c r="L253" s="15">
        <v>-2.61</v>
      </c>
      <c r="M253" s="53" t="e">
        <v>#NAME?</v>
      </c>
      <c r="N253" s="15"/>
      <c r="O253" s="15"/>
      <c r="P253" s="15"/>
    </row>
    <row r="254" spans="10:16" s="21" customFormat="1" ht="14.25" x14ac:dyDescent="0.45">
      <c r="J254" s="27"/>
      <c r="K254" s="15"/>
      <c r="L254" s="15">
        <v>-2.6</v>
      </c>
      <c r="M254" s="53" t="e">
        <v>#NAME?</v>
      </c>
      <c r="N254" s="15"/>
      <c r="O254" s="15"/>
      <c r="P254" s="15"/>
    </row>
    <row r="255" spans="10:16" s="21" customFormat="1" ht="14.25" x14ac:dyDescent="0.45">
      <c r="J255" s="27"/>
      <c r="K255" s="15"/>
      <c r="L255" s="15">
        <v>-2.59</v>
      </c>
      <c r="M255" s="53" t="e">
        <v>#NAME?</v>
      </c>
      <c r="N255" s="15"/>
      <c r="O255" s="15"/>
      <c r="P255" s="15"/>
    </row>
    <row r="256" spans="10:16" s="21" customFormat="1" ht="14.25" x14ac:dyDescent="0.45">
      <c r="J256" s="27"/>
      <c r="K256" s="15"/>
      <c r="L256" s="15">
        <v>-2.58</v>
      </c>
      <c r="M256" s="53" t="e">
        <v>#NAME?</v>
      </c>
      <c r="N256" s="15"/>
      <c r="O256" s="15"/>
      <c r="P256" s="15"/>
    </row>
    <row r="257" spans="10:16" s="21" customFormat="1" ht="14.25" x14ac:dyDescent="0.45">
      <c r="J257" s="27"/>
      <c r="K257" s="15"/>
      <c r="L257" s="15">
        <v>-2.57</v>
      </c>
      <c r="M257" s="53" t="e">
        <v>#NAME?</v>
      </c>
      <c r="N257" s="15"/>
      <c r="O257" s="15"/>
      <c r="P257" s="15"/>
    </row>
    <row r="258" spans="10:16" s="21" customFormat="1" ht="14.25" x14ac:dyDescent="0.45">
      <c r="J258" s="27"/>
      <c r="K258" s="15"/>
      <c r="L258" s="15">
        <v>-2.56</v>
      </c>
      <c r="M258" s="53" t="e">
        <v>#NAME?</v>
      </c>
      <c r="N258" s="15"/>
      <c r="O258" s="15"/>
      <c r="P258" s="15"/>
    </row>
    <row r="259" spans="10:16" s="21" customFormat="1" ht="14.25" x14ac:dyDescent="0.45">
      <c r="J259" s="27"/>
      <c r="K259" s="15"/>
      <c r="L259" s="15">
        <v>-2.5499999999999998</v>
      </c>
      <c r="M259" s="53" t="e">
        <v>#NAME?</v>
      </c>
      <c r="N259" s="15"/>
      <c r="O259" s="15"/>
      <c r="P259" s="15"/>
    </row>
    <row r="260" spans="10:16" s="21" customFormat="1" ht="14.25" x14ac:dyDescent="0.45">
      <c r="J260" s="27"/>
      <c r="K260" s="15"/>
      <c r="L260" s="15">
        <v>-2.54</v>
      </c>
      <c r="M260" s="53" t="e">
        <v>#NAME?</v>
      </c>
      <c r="N260" s="15"/>
      <c r="O260" s="15"/>
      <c r="P260" s="15"/>
    </row>
    <row r="261" spans="10:16" s="21" customFormat="1" ht="14.25" x14ac:dyDescent="0.45">
      <c r="J261" s="27"/>
      <c r="K261" s="15"/>
      <c r="L261" s="15">
        <v>-2.5299999999999998</v>
      </c>
      <c r="M261" s="53" t="e">
        <v>#NAME?</v>
      </c>
      <c r="N261" s="15"/>
      <c r="O261" s="15"/>
      <c r="P261" s="15"/>
    </row>
    <row r="262" spans="10:16" s="21" customFormat="1" ht="14.25" x14ac:dyDescent="0.45">
      <c r="J262" s="27"/>
      <c r="K262" s="15"/>
      <c r="L262" s="15">
        <v>-2.52</v>
      </c>
      <c r="M262" s="53" t="e">
        <v>#NAME?</v>
      </c>
      <c r="N262" s="15"/>
      <c r="O262" s="15"/>
      <c r="P262" s="15"/>
    </row>
    <row r="263" spans="10:16" s="21" customFormat="1" ht="14.25" x14ac:dyDescent="0.45">
      <c r="J263" s="27"/>
      <c r="K263" s="15"/>
      <c r="L263" s="15">
        <v>-2.5099999999999998</v>
      </c>
      <c r="M263" s="53" t="e">
        <v>#NAME?</v>
      </c>
      <c r="N263" s="15"/>
      <c r="O263" s="15"/>
      <c r="P263" s="15"/>
    </row>
    <row r="264" spans="10:16" s="21" customFormat="1" ht="14.25" x14ac:dyDescent="0.45">
      <c r="J264" s="27"/>
      <c r="K264" s="15"/>
      <c r="L264" s="15">
        <v>-2.5</v>
      </c>
      <c r="M264" s="53" t="e">
        <v>#NAME?</v>
      </c>
      <c r="N264" s="15"/>
      <c r="O264" s="15"/>
      <c r="P264" s="15"/>
    </row>
    <row r="265" spans="10:16" s="21" customFormat="1" ht="14.25" x14ac:dyDescent="0.45">
      <c r="J265" s="27"/>
      <c r="K265" s="15"/>
      <c r="L265" s="15">
        <v>-2.4899999999999998</v>
      </c>
      <c r="M265" s="53" t="e">
        <v>#NAME?</v>
      </c>
      <c r="N265" s="15"/>
      <c r="O265" s="15"/>
      <c r="P265" s="15"/>
    </row>
    <row r="266" spans="10:16" s="21" customFormat="1" ht="14.25" x14ac:dyDescent="0.45">
      <c r="J266" s="27"/>
      <c r="K266" s="15"/>
      <c r="L266" s="15">
        <v>-2.48</v>
      </c>
      <c r="M266" s="53" t="e">
        <v>#NAME?</v>
      </c>
      <c r="N266" s="15"/>
      <c r="O266" s="15"/>
      <c r="P266" s="15"/>
    </row>
    <row r="267" spans="10:16" s="21" customFormat="1" ht="14.25" x14ac:dyDescent="0.45">
      <c r="J267" s="27"/>
      <c r="K267" s="15"/>
      <c r="L267" s="15">
        <v>-2.4699999999999998</v>
      </c>
      <c r="M267" s="53" t="e">
        <v>#NAME?</v>
      </c>
      <c r="N267" s="15"/>
      <c r="O267" s="15"/>
      <c r="P267" s="15"/>
    </row>
    <row r="268" spans="10:16" s="21" customFormat="1" ht="14.25" x14ac:dyDescent="0.45">
      <c r="J268" s="27"/>
      <c r="K268" s="15"/>
      <c r="L268" s="15">
        <v>-2.46</v>
      </c>
      <c r="M268" s="53" t="e">
        <v>#NAME?</v>
      </c>
      <c r="N268" s="15"/>
      <c r="O268" s="15"/>
      <c r="P268" s="15"/>
    </row>
    <row r="269" spans="10:16" s="21" customFormat="1" ht="14.25" x14ac:dyDescent="0.45">
      <c r="J269" s="27"/>
      <c r="K269" s="15"/>
      <c r="L269" s="15">
        <v>-2.4499999999999997</v>
      </c>
      <c r="M269" s="53" t="e">
        <v>#NAME?</v>
      </c>
      <c r="N269" s="15"/>
      <c r="O269" s="15"/>
      <c r="P269" s="15"/>
    </row>
    <row r="270" spans="10:16" s="21" customFormat="1" ht="14.25" x14ac:dyDescent="0.45">
      <c r="J270" s="27"/>
      <c r="K270" s="15"/>
      <c r="L270" s="15">
        <v>-2.44</v>
      </c>
      <c r="M270" s="53" t="e">
        <v>#NAME?</v>
      </c>
      <c r="N270" s="15"/>
      <c r="O270" s="15"/>
      <c r="P270" s="15"/>
    </row>
    <row r="271" spans="10:16" s="21" customFormat="1" ht="14.25" x14ac:dyDescent="0.45">
      <c r="J271" s="27"/>
      <c r="K271" s="15"/>
      <c r="L271" s="15">
        <v>-2.4300000000000002</v>
      </c>
      <c r="M271" s="53" t="e">
        <v>#NAME?</v>
      </c>
      <c r="N271" s="15"/>
      <c r="O271" s="15"/>
      <c r="P271" s="15"/>
    </row>
    <row r="272" spans="10:16" s="21" customFormat="1" ht="14.25" x14ac:dyDescent="0.45">
      <c r="J272" s="27"/>
      <c r="K272" s="15"/>
      <c r="L272" s="15">
        <v>-2.42</v>
      </c>
      <c r="M272" s="53" t="e">
        <v>#NAME?</v>
      </c>
      <c r="N272" s="15"/>
      <c r="O272" s="15"/>
      <c r="P272" s="15"/>
    </row>
    <row r="273" spans="10:16" s="21" customFormat="1" ht="14.25" x14ac:dyDescent="0.45">
      <c r="J273" s="27"/>
      <c r="K273" s="15"/>
      <c r="L273" s="15">
        <v>-2.41</v>
      </c>
      <c r="M273" s="53" t="e">
        <v>#NAME?</v>
      </c>
      <c r="N273" s="15"/>
      <c r="O273" s="15"/>
      <c r="P273" s="15"/>
    </row>
    <row r="274" spans="10:16" s="21" customFormat="1" ht="14.25" x14ac:dyDescent="0.45">
      <c r="J274" s="27"/>
      <c r="K274" s="15"/>
      <c r="L274" s="15">
        <v>-2.4</v>
      </c>
      <c r="M274" s="53" t="e">
        <v>#NAME?</v>
      </c>
      <c r="N274" s="15"/>
      <c r="O274" s="15"/>
      <c r="P274" s="15"/>
    </row>
    <row r="275" spans="10:16" s="21" customFormat="1" ht="14.25" x14ac:dyDescent="0.45">
      <c r="J275" s="27"/>
      <c r="K275" s="15"/>
      <c r="L275" s="15">
        <v>-2.39</v>
      </c>
      <c r="M275" s="53" t="e">
        <v>#NAME?</v>
      </c>
      <c r="N275" s="15"/>
      <c r="O275" s="15"/>
      <c r="P275" s="15"/>
    </row>
    <row r="276" spans="10:16" s="21" customFormat="1" ht="14.25" x14ac:dyDescent="0.45">
      <c r="J276" s="27"/>
      <c r="K276" s="15"/>
      <c r="L276" s="15">
        <v>-2.38</v>
      </c>
      <c r="M276" s="53" t="e">
        <v>#NAME?</v>
      </c>
      <c r="N276" s="15"/>
      <c r="O276" s="15"/>
      <c r="P276" s="15"/>
    </row>
    <row r="277" spans="10:16" s="21" customFormat="1" ht="14.25" x14ac:dyDescent="0.45">
      <c r="J277" s="27"/>
      <c r="K277" s="15"/>
      <c r="L277" s="15">
        <v>-2.37</v>
      </c>
      <c r="M277" s="53" t="e">
        <v>#NAME?</v>
      </c>
      <c r="N277" s="15"/>
      <c r="O277" s="15"/>
      <c r="P277" s="15"/>
    </row>
    <row r="278" spans="10:16" s="21" customFormat="1" ht="14.25" x14ac:dyDescent="0.45">
      <c r="J278" s="27"/>
      <c r="K278" s="15"/>
      <c r="L278" s="15">
        <v>-2.36</v>
      </c>
      <c r="M278" s="53" t="e">
        <v>#NAME?</v>
      </c>
      <c r="N278" s="15"/>
      <c r="O278" s="15"/>
      <c r="P278" s="15"/>
    </row>
    <row r="279" spans="10:16" s="21" customFormat="1" ht="14.25" x14ac:dyDescent="0.45">
      <c r="J279" s="27"/>
      <c r="K279" s="15"/>
      <c r="L279" s="15">
        <v>-2.35</v>
      </c>
      <c r="M279" s="53" t="e">
        <v>#NAME?</v>
      </c>
      <c r="N279" s="15"/>
      <c r="O279" s="15"/>
      <c r="P279" s="15"/>
    </row>
    <row r="280" spans="10:16" s="21" customFormat="1" ht="14.25" x14ac:dyDescent="0.45">
      <c r="J280" s="27"/>
      <c r="K280" s="15"/>
      <c r="L280" s="15">
        <v>-2.34</v>
      </c>
      <c r="M280" s="53" t="e">
        <v>#NAME?</v>
      </c>
      <c r="N280" s="15"/>
      <c r="O280" s="15"/>
      <c r="P280" s="15"/>
    </row>
    <row r="281" spans="10:16" s="21" customFormat="1" ht="14.25" x14ac:dyDescent="0.45">
      <c r="J281" s="27"/>
      <c r="K281" s="15"/>
      <c r="L281" s="15">
        <v>-2.33</v>
      </c>
      <c r="M281" s="53" t="e">
        <v>#NAME?</v>
      </c>
      <c r="N281" s="15"/>
      <c r="O281" s="15"/>
      <c r="P281" s="15"/>
    </row>
    <row r="282" spans="10:16" s="21" customFormat="1" ht="14.25" x14ac:dyDescent="0.45">
      <c r="J282" s="27"/>
      <c r="K282" s="15"/>
      <c r="L282" s="15">
        <v>-2.3199999999999998</v>
      </c>
      <c r="M282" s="53" t="e">
        <v>#NAME?</v>
      </c>
      <c r="N282" s="15"/>
      <c r="O282" s="15"/>
      <c r="P282" s="15"/>
    </row>
    <row r="283" spans="10:16" s="21" customFormat="1" ht="14.25" x14ac:dyDescent="0.45">
      <c r="J283" s="27"/>
      <c r="K283" s="15"/>
      <c r="L283" s="15">
        <v>-2.31</v>
      </c>
      <c r="M283" s="53" t="e">
        <v>#NAME?</v>
      </c>
      <c r="N283" s="15"/>
      <c r="O283" s="15"/>
      <c r="P283" s="15"/>
    </row>
    <row r="284" spans="10:16" s="21" customFormat="1" ht="14.25" x14ac:dyDescent="0.45">
      <c r="J284" s="27"/>
      <c r="K284" s="15"/>
      <c r="L284" s="15">
        <v>-2.2999999999999998</v>
      </c>
      <c r="M284" s="53" t="e">
        <v>#NAME?</v>
      </c>
      <c r="N284" s="15"/>
      <c r="O284" s="15"/>
      <c r="P284" s="15"/>
    </row>
    <row r="285" spans="10:16" s="21" customFormat="1" ht="14.25" x14ac:dyDescent="0.45">
      <c r="J285" s="27"/>
      <c r="K285" s="15"/>
      <c r="L285" s="15">
        <v>-2.29</v>
      </c>
      <c r="M285" s="53" t="e">
        <v>#NAME?</v>
      </c>
      <c r="N285" s="15"/>
      <c r="O285" s="15"/>
      <c r="P285" s="15"/>
    </row>
    <row r="286" spans="10:16" s="21" customFormat="1" ht="14.25" x14ac:dyDescent="0.45">
      <c r="J286" s="27"/>
      <c r="K286" s="15"/>
      <c r="L286" s="15">
        <v>-2.2799999999999998</v>
      </c>
      <c r="M286" s="53" t="e">
        <v>#NAME?</v>
      </c>
      <c r="N286" s="15"/>
      <c r="O286" s="15"/>
      <c r="P286" s="15"/>
    </row>
    <row r="287" spans="10:16" s="21" customFormat="1" ht="14.25" x14ac:dyDescent="0.45">
      <c r="J287" s="27"/>
      <c r="K287" s="15"/>
      <c r="L287" s="15">
        <v>-2.27</v>
      </c>
      <c r="M287" s="53" t="e">
        <v>#NAME?</v>
      </c>
      <c r="N287" s="15"/>
      <c r="O287" s="15"/>
      <c r="P287" s="15"/>
    </row>
    <row r="288" spans="10:16" s="21" customFormat="1" ht="14.25" x14ac:dyDescent="0.45">
      <c r="J288" s="27"/>
      <c r="K288" s="15"/>
      <c r="L288" s="15">
        <v>-2.2599999999999998</v>
      </c>
      <c r="M288" s="53" t="e">
        <v>#NAME?</v>
      </c>
      <c r="N288" s="15"/>
      <c r="O288" s="15"/>
      <c r="P288" s="15"/>
    </row>
    <row r="289" spans="10:16" s="21" customFormat="1" ht="14.25" x14ac:dyDescent="0.45">
      <c r="J289" s="27"/>
      <c r="K289" s="15"/>
      <c r="L289" s="15">
        <v>-2.25</v>
      </c>
      <c r="M289" s="53" t="e">
        <v>#NAME?</v>
      </c>
      <c r="N289" s="15"/>
      <c r="O289" s="15"/>
      <c r="P289" s="15"/>
    </row>
    <row r="290" spans="10:16" s="21" customFormat="1" ht="14.25" x14ac:dyDescent="0.45">
      <c r="J290" s="27"/>
      <c r="K290" s="15"/>
      <c r="L290" s="15">
        <v>-2.2399999999999998</v>
      </c>
      <c r="M290" s="53" t="e">
        <v>#NAME?</v>
      </c>
      <c r="N290" s="15"/>
      <c r="O290" s="15"/>
      <c r="P290" s="15"/>
    </row>
    <row r="291" spans="10:16" s="21" customFormat="1" ht="14.25" x14ac:dyDescent="0.45">
      <c r="J291" s="27"/>
      <c r="K291" s="15"/>
      <c r="L291" s="15">
        <v>-2.23</v>
      </c>
      <c r="M291" s="53" t="e">
        <v>#NAME?</v>
      </c>
      <c r="N291" s="15"/>
      <c r="O291" s="15"/>
      <c r="P291" s="15"/>
    </row>
    <row r="292" spans="10:16" s="21" customFormat="1" ht="14.25" x14ac:dyDescent="0.45">
      <c r="J292" s="27"/>
      <c r="K292" s="15"/>
      <c r="L292" s="15">
        <v>-2.2199999999999998</v>
      </c>
      <c r="M292" s="53" t="e">
        <v>#NAME?</v>
      </c>
      <c r="N292" s="15"/>
      <c r="O292" s="15"/>
      <c r="P292" s="15"/>
    </row>
    <row r="293" spans="10:16" s="21" customFormat="1" ht="14.25" x14ac:dyDescent="0.45">
      <c r="J293" s="27"/>
      <c r="K293" s="15"/>
      <c r="L293" s="15">
        <v>-2.21</v>
      </c>
      <c r="M293" s="53" t="e">
        <v>#NAME?</v>
      </c>
      <c r="N293" s="15"/>
      <c r="O293" s="15"/>
      <c r="P293" s="15"/>
    </row>
    <row r="294" spans="10:16" s="21" customFormat="1" ht="14.25" x14ac:dyDescent="0.45">
      <c r="J294" s="27"/>
      <c r="K294" s="15"/>
      <c r="L294" s="15">
        <v>-2.1999999999999997</v>
      </c>
      <c r="M294" s="53" t="e">
        <v>#NAME?</v>
      </c>
      <c r="N294" s="15"/>
      <c r="O294" s="15"/>
      <c r="P294" s="15"/>
    </row>
    <row r="295" spans="10:16" s="21" customFormat="1" ht="14.25" x14ac:dyDescent="0.45">
      <c r="J295" s="27"/>
      <c r="K295" s="15"/>
      <c r="L295" s="15">
        <v>-2.19</v>
      </c>
      <c r="M295" s="53" t="e">
        <v>#NAME?</v>
      </c>
      <c r="N295" s="15"/>
      <c r="O295" s="15"/>
      <c r="P295" s="15"/>
    </row>
    <row r="296" spans="10:16" s="21" customFormat="1" ht="14.25" x14ac:dyDescent="0.45">
      <c r="J296" s="27"/>
      <c r="K296" s="15"/>
      <c r="L296" s="15">
        <v>-2.1800000000000002</v>
      </c>
      <c r="M296" s="53" t="e">
        <v>#NAME?</v>
      </c>
      <c r="N296" s="15"/>
      <c r="O296" s="15"/>
      <c r="P296" s="15"/>
    </row>
    <row r="297" spans="10:16" s="21" customFormat="1" ht="14.25" x14ac:dyDescent="0.45">
      <c r="J297" s="27"/>
      <c r="K297" s="15"/>
      <c r="L297" s="15">
        <v>-2.17</v>
      </c>
      <c r="M297" s="53" t="e">
        <v>#NAME?</v>
      </c>
      <c r="N297" s="15"/>
      <c r="O297" s="15"/>
      <c r="P297" s="15"/>
    </row>
    <row r="298" spans="10:16" s="21" customFormat="1" ht="14.25" x14ac:dyDescent="0.45">
      <c r="J298" s="27"/>
      <c r="K298" s="15"/>
      <c r="L298" s="15">
        <v>-2.16</v>
      </c>
      <c r="M298" s="53" t="e">
        <v>#NAME?</v>
      </c>
      <c r="N298" s="15"/>
      <c r="O298" s="15"/>
      <c r="P298" s="15"/>
    </row>
    <row r="299" spans="10:16" s="21" customFormat="1" ht="14.25" x14ac:dyDescent="0.45">
      <c r="J299" s="27"/>
      <c r="K299" s="15"/>
      <c r="L299" s="15">
        <v>-2.15</v>
      </c>
      <c r="M299" s="53" t="e">
        <v>#NAME?</v>
      </c>
      <c r="N299" s="15"/>
      <c r="O299" s="15"/>
      <c r="P299" s="15"/>
    </row>
    <row r="300" spans="10:16" s="21" customFormat="1" ht="14.25" x14ac:dyDescent="0.45">
      <c r="J300" s="27"/>
      <c r="K300" s="15"/>
      <c r="L300" s="15">
        <v>-2.14</v>
      </c>
      <c r="M300" s="53" t="e">
        <v>#NAME?</v>
      </c>
      <c r="N300" s="15"/>
      <c r="O300" s="15"/>
      <c r="P300" s="15"/>
    </row>
    <row r="301" spans="10:16" s="21" customFormat="1" ht="14.25" x14ac:dyDescent="0.45">
      <c r="J301" s="27"/>
      <c r="K301" s="15"/>
      <c r="L301" s="15">
        <v>-2.13</v>
      </c>
      <c r="M301" s="53" t="e">
        <v>#NAME?</v>
      </c>
      <c r="N301" s="15"/>
      <c r="O301" s="15"/>
      <c r="P301" s="15"/>
    </row>
    <row r="302" spans="10:16" s="21" customFormat="1" ht="14.25" x14ac:dyDescent="0.45">
      <c r="J302" s="27"/>
      <c r="K302" s="15"/>
      <c r="L302" s="15">
        <v>-2.12</v>
      </c>
      <c r="M302" s="53" t="e">
        <v>#NAME?</v>
      </c>
      <c r="N302" s="15"/>
      <c r="O302" s="15"/>
      <c r="P302" s="15"/>
    </row>
    <row r="303" spans="10:16" s="21" customFormat="1" ht="14.25" x14ac:dyDescent="0.45">
      <c r="J303" s="27"/>
      <c r="K303" s="15"/>
      <c r="L303" s="15">
        <v>-2.11</v>
      </c>
      <c r="M303" s="53" t="e">
        <v>#NAME?</v>
      </c>
      <c r="N303" s="15"/>
      <c r="O303" s="15"/>
      <c r="P303" s="15"/>
    </row>
    <row r="304" spans="10:16" s="21" customFormat="1" ht="14.25" x14ac:dyDescent="0.45">
      <c r="J304" s="27"/>
      <c r="K304" s="15"/>
      <c r="L304" s="15">
        <v>-2.1</v>
      </c>
      <c r="M304" s="53" t="e">
        <v>#NAME?</v>
      </c>
      <c r="N304" s="15"/>
      <c r="O304" s="15"/>
      <c r="P304" s="15"/>
    </row>
    <row r="305" spans="10:16" s="21" customFormat="1" ht="14.25" x14ac:dyDescent="0.45">
      <c r="J305" s="27"/>
      <c r="K305" s="15"/>
      <c r="L305" s="15">
        <v>-2.09</v>
      </c>
      <c r="M305" s="53" t="e">
        <v>#NAME?</v>
      </c>
      <c r="N305" s="15"/>
      <c r="O305" s="15"/>
      <c r="P305" s="15"/>
    </row>
    <row r="306" spans="10:16" s="21" customFormat="1" ht="14.25" x14ac:dyDescent="0.45">
      <c r="J306" s="27"/>
      <c r="K306" s="15"/>
      <c r="L306" s="15">
        <v>-2.08</v>
      </c>
      <c r="M306" s="53" t="e">
        <v>#NAME?</v>
      </c>
      <c r="N306" s="15"/>
      <c r="O306" s="15"/>
      <c r="P306" s="15"/>
    </row>
    <row r="307" spans="10:16" s="21" customFormat="1" ht="14.25" x14ac:dyDescent="0.45">
      <c r="J307" s="27"/>
      <c r="K307" s="15"/>
      <c r="L307" s="15">
        <v>-2.0699999999999998</v>
      </c>
      <c r="M307" s="53" t="e">
        <v>#NAME?</v>
      </c>
      <c r="N307" s="15"/>
      <c r="O307" s="15"/>
      <c r="P307" s="15"/>
    </row>
    <row r="308" spans="10:16" s="21" customFormat="1" ht="14.25" x14ac:dyDescent="0.45">
      <c r="J308" s="27"/>
      <c r="K308" s="15"/>
      <c r="L308" s="15">
        <v>-2.06</v>
      </c>
      <c r="M308" s="53" t="e">
        <v>#NAME?</v>
      </c>
      <c r="N308" s="15"/>
      <c r="O308" s="15"/>
      <c r="P308" s="15"/>
    </row>
    <row r="309" spans="10:16" s="21" customFormat="1" ht="14.25" x14ac:dyDescent="0.45">
      <c r="J309" s="27"/>
      <c r="K309" s="15"/>
      <c r="L309" s="15">
        <v>-2.0499999999999998</v>
      </c>
      <c r="M309" s="53" t="e">
        <v>#NAME?</v>
      </c>
      <c r="N309" s="15"/>
      <c r="O309" s="15"/>
      <c r="P309" s="15"/>
    </row>
    <row r="310" spans="10:16" s="21" customFormat="1" ht="14.25" x14ac:dyDescent="0.45">
      <c r="J310" s="27"/>
      <c r="K310" s="15"/>
      <c r="L310" s="15">
        <v>-2.04</v>
      </c>
      <c r="M310" s="53" t="e">
        <v>#NAME?</v>
      </c>
      <c r="N310" s="15"/>
      <c r="O310" s="15"/>
      <c r="P310" s="15"/>
    </row>
    <row r="311" spans="10:16" s="21" customFormat="1" ht="14.25" x14ac:dyDescent="0.45">
      <c r="J311" s="27"/>
      <c r="K311" s="15"/>
      <c r="L311" s="15">
        <v>-2.0299999999999998</v>
      </c>
      <c r="M311" s="53" t="e">
        <v>#NAME?</v>
      </c>
      <c r="N311" s="15"/>
      <c r="O311" s="15"/>
      <c r="P311" s="15"/>
    </row>
    <row r="312" spans="10:16" s="21" customFormat="1" ht="14.25" x14ac:dyDescent="0.45">
      <c r="J312" s="27"/>
      <c r="K312" s="15"/>
      <c r="L312" s="15">
        <v>-2.02</v>
      </c>
      <c r="M312" s="53" t="e">
        <v>#NAME?</v>
      </c>
      <c r="N312" s="15"/>
      <c r="O312" s="15"/>
      <c r="P312" s="15"/>
    </row>
    <row r="313" spans="10:16" s="21" customFormat="1" ht="14.25" x14ac:dyDescent="0.45">
      <c r="J313" s="27"/>
      <c r="K313" s="15"/>
      <c r="L313" s="15">
        <v>-2.0099999999999998</v>
      </c>
      <c r="M313" s="53" t="e">
        <v>#NAME?</v>
      </c>
      <c r="N313" s="15"/>
      <c r="O313" s="15"/>
      <c r="P313" s="15"/>
    </row>
    <row r="314" spans="10:16" s="21" customFormat="1" ht="14.25" x14ac:dyDescent="0.45">
      <c r="J314" s="27"/>
      <c r="K314" s="15"/>
      <c r="L314" s="15">
        <v>-2</v>
      </c>
      <c r="M314" s="53" t="e">
        <v>#NAME?</v>
      </c>
      <c r="N314" s="15"/>
      <c r="O314" s="15"/>
      <c r="P314" s="15"/>
    </row>
    <row r="315" spans="10:16" s="21" customFormat="1" ht="14.25" x14ac:dyDescent="0.45">
      <c r="J315" s="27"/>
      <c r="K315" s="15"/>
      <c r="L315" s="15">
        <v>-1.9899999999999998</v>
      </c>
      <c r="M315" s="53" t="e">
        <v>#NAME?</v>
      </c>
      <c r="N315" s="15"/>
      <c r="O315" s="15"/>
      <c r="P315" s="15"/>
    </row>
    <row r="316" spans="10:16" s="21" customFormat="1" ht="14.25" x14ac:dyDescent="0.45">
      <c r="J316" s="27"/>
      <c r="K316" s="15"/>
      <c r="L316" s="15">
        <v>-1.98</v>
      </c>
      <c r="M316" s="53" t="e">
        <v>#NAME?</v>
      </c>
      <c r="N316" s="15"/>
      <c r="O316" s="15"/>
      <c r="P316" s="15"/>
    </row>
    <row r="317" spans="10:16" s="21" customFormat="1" ht="14.25" x14ac:dyDescent="0.45">
      <c r="J317" s="27"/>
      <c r="K317" s="15"/>
      <c r="L317" s="15">
        <v>-1.9699999999999998</v>
      </c>
      <c r="M317" s="53" t="e">
        <v>#NAME?</v>
      </c>
      <c r="N317" s="15"/>
      <c r="O317" s="15"/>
      <c r="P317" s="15"/>
    </row>
    <row r="318" spans="10:16" s="21" customFormat="1" ht="14.25" x14ac:dyDescent="0.45">
      <c r="J318" s="27"/>
      <c r="K318" s="15"/>
      <c r="L318" s="15">
        <v>-1.96</v>
      </c>
      <c r="M318" s="53" t="e">
        <v>#NAME?</v>
      </c>
      <c r="N318" s="15"/>
      <c r="O318" s="15"/>
      <c r="P318" s="15"/>
    </row>
    <row r="319" spans="10:16" s="21" customFormat="1" ht="14.25" x14ac:dyDescent="0.45">
      <c r="J319" s="27"/>
      <c r="K319" s="15"/>
      <c r="L319" s="15">
        <v>-1.9499999999999997</v>
      </c>
      <c r="M319" s="53" t="e">
        <v>#NAME?</v>
      </c>
      <c r="N319" s="15"/>
      <c r="O319" s="15"/>
      <c r="P319" s="15"/>
    </row>
    <row r="320" spans="10:16" s="21" customFormat="1" ht="14.25" x14ac:dyDescent="0.45">
      <c r="J320" s="27"/>
      <c r="K320" s="15"/>
      <c r="L320" s="15">
        <v>-1.94</v>
      </c>
      <c r="M320" s="53" t="e">
        <v>#NAME?</v>
      </c>
      <c r="N320" s="15"/>
      <c r="O320" s="15"/>
      <c r="P320" s="15"/>
    </row>
    <row r="321" spans="10:16" s="21" customFormat="1" ht="14.25" x14ac:dyDescent="0.45">
      <c r="J321" s="27"/>
      <c r="K321" s="15"/>
      <c r="L321" s="15">
        <v>-1.9299999999999997</v>
      </c>
      <c r="M321" s="53" t="e">
        <v>#NAME?</v>
      </c>
      <c r="N321" s="15"/>
      <c r="O321" s="15"/>
      <c r="P321" s="15"/>
    </row>
    <row r="322" spans="10:16" s="21" customFormat="1" ht="14.25" x14ac:dyDescent="0.45">
      <c r="J322" s="27"/>
      <c r="K322" s="15"/>
      <c r="L322" s="15">
        <v>-1.92</v>
      </c>
      <c r="M322" s="53" t="e">
        <v>#NAME?</v>
      </c>
      <c r="N322" s="15"/>
      <c r="O322" s="15"/>
      <c r="P322" s="15"/>
    </row>
    <row r="323" spans="10:16" s="21" customFormat="1" ht="14.25" x14ac:dyDescent="0.45">
      <c r="J323" s="27"/>
      <c r="K323" s="15"/>
      <c r="L323" s="15">
        <v>-1.9100000000000001</v>
      </c>
      <c r="M323" s="53" t="e">
        <v>#NAME?</v>
      </c>
      <c r="N323" s="15"/>
      <c r="O323" s="15"/>
      <c r="P323" s="15"/>
    </row>
    <row r="324" spans="10:16" s="21" customFormat="1" ht="14.25" x14ac:dyDescent="0.45">
      <c r="J324" s="27"/>
      <c r="K324" s="15"/>
      <c r="L324" s="15">
        <v>-1.9</v>
      </c>
      <c r="M324" s="53" t="e">
        <v>#NAME?</v>
      </c>
      <c r="N324" s="15"/>
      <c r="O324" s="15"/>
      <c r="P324" s="15"/>
    </row>
    <row r="325" spans="10:16" s="21" customFormat="1" ht="14.25" x14ac:dyDescent="0.45">
      <c r="J325" s="27"/>
      <c r="K325" s="15"/>
      <c r="L325" s="15">
        <v>-1.8900000000000001</v>
      </c>
      <c r="M325" s="53" t="e">
        <v>#NAME?</v>
      </c>
      <c r="N325" s="15"/>
      <c r="O325" s="15"/>
      <c r="P325" s="15"/>
    </row>
    <row r="326" spans="10:16" s="21" customFormat="1" ht="14.25" x14ac:dyDescent="0.45">
      <c r="J326" s="27"/>
      <c r="K326" s="15"/>
      <c r="L326" s="15">
        <v>-1.88</v>
      </c>
      <c r="M326" s="53" t="e">
        <v>#NAME?</v>
      </c>
      <c r="N326" s="15"/>
      <c r="O326" s="15"/>
      <c r="P326" s="15"/>
    </row>
    <row r="327" spans="10:16" s="21" customFormat="1" ht="14.25" x14ac:dyDescent="0.45">
      <c r="J327" s="27"/>
      <c r="K327" s="15"/>
      <c r="L327" s="15">
        <v>-1.87</v>
      </c>
      <c r="M327" s="53" t="e">
        <v>#NAME?</v>
      </c>
      <c r="N327" s="15"/>
      <c r="O327" s="15"/>
      <c r="P327" s="15"/>
    </row>
    <row r="328" spans="10:16" s="21" customFormat="1" ht="14.25" x14ac:dyDescent="0.45">
      <c r="J328" s="27"/>
      <c r="K328" s="15"/>
      <c r="L328" s="15">
        <v>-1.8599999999999999</v>
      </c>
      <c r="M328" s="53" t="e">
        <v>#NAME?</v>
      </c>
      <c r="N328" s="15"/>
      <c r="O328" s="15"/>
      <c r="P328" s="15"/>
    </row>
    <row r="329" spans="10:16" s="21" customFormat="1" ht="14.25" x14ac:dyDescent="0.45">
      <c r="J329" s="27"/>
      <c r="K329" s="15"/>
      <c r="L329" s="15">
        <v>-1.85</v>
      </c>
      <c r="M329" s="53" t="e">
        <v>#NAME?</v>
      </c>
      <c r="N329" s="15"/>
      <c r="O329" s="15"/>
      <c r="P329" s="15"/>
    </row>
    <row r="330" spans="10:16" s="21" customFormat="1" ht="14.25" x14ac:dyDescent="0.45">
      <c r="J330" s="27"/>
      <c r="K330" s="15"/>
      <c r="L330" s="15">
        <v>-1.8399999999999999</v>
      </c>
      <c r="M330" s="53" t="e">
        <v>#NAME?</v>
      </c>
      <c r="N330" s="15"/>
      <c r="O330" s="15"/>
      <c r="P330" s="15"/>
    </row>
    <row r="331" spans="10:16" s="21" customFormat="1" ht="14.25" x14ac:dyDescent="0.45">
      <c r="J331" s="27"/>
      <c r="K331" s="15"/>
      <c r="L331" s="15">
        <v>-1.83</v>
      </c>
      <c r="M331" s="53" t="e">
        <v>#NAME?</v>
      </c>
      <c r="N331" s="15"/>
      <c r="O331" s="15"/>
      <c r="P331" s="15"/>
    </row>
    <row r="332" spans="10:16" s="21" customFormat="1" ht="14.25" x14ac:dyDescent="0.45">
      <c r="J332" s="27"/>
      <c r="K332" s="15"/>
      <c r="L332" s="15">
        <v>-1.8199999999999998</v>
      </c>
      <c r="M332" s="53" t="e">
        <v>#NAME?</v>
      </c>
      <c r="N332" s="15"/>
      <c r="O332" s="15"/>
      <c r="P332" s="15"/>
    </row>
    <row r="333" spans="10:16" s="21" customFormat="1" ht="14.25" x14ac:dyDescent="0.45">
      <c r="J333" s="27"/>
      <c r="K333" s="15"/>
      <c r="L333" s="15">
        <v>-1.81</v>
      </c>
      <c r="M333" s="53" t="e">
        <v>#NAME?</v>
      </c>
      <c r="N333" s="15"/>
      <c r="O333" s="15"/>
      <c r="P333" s="15"/>
    </row>
    <row r="334" spans="10:16" s="21" customFormat="1" ht="14.25" x14ac:dyDescent="0.45">
      <c r="J334" s="27"/>
      <c r="K334" s="15"/>
      <c r="L334" s="15">
        <v>-1.7999999999999998</v>
      </c>
      <c r="M334" s="53" t="e">
        <v>#NAME?</v>
      </c>
      <c r="N334" s="15"/>
      <c r="O334" s="15"/>
      <c r="P334" s="15"/>
    </row>
    <row r="335" spans="10:16" s="21" customFormat="1" ht="14.25" x14ac:dyDescent="0.45">
      <c r="J335" s="27"/>
      <c r="K335" s="15"/>
      <c r="L335" s="15">
        <v>-1.79</v>
      </c>
      <c r="M335" s="53" t="e">
        <v>#NAME?</v>
      </c>
      <c r="N335" s="15"/>
      <c r="O335" s="15"/>
      <c r="P335" s="15"/>
    </row>
    <row r="336" spans="10:16" s="21" customFormat="1" ht="14.25" x14ac:dyDescent="0.45">
      <c r="J336" s="27"/>
      <c r="K336" s="15"/>
      <c r="L336" s="15">
        <v>-1.7799999999999998</v>
      </c>
      <c r="M336" s="53" t="e">
        <v>#NAME?</v>
      </c>
      <c r="N336" s="15"/>
      <c r="O336" s="15"/>
      <c r="P336" s="15"/>
    </row>
    <row r="337" spans="10:16" s="21" customFormat="1" ht="14.25" x14ac:dyDescent="0.45">
      <c r="J337" s="27"/>
      <c r="K337" s="15"/>
      <c r="L337" s="15">
        <v>-1.77</v>
      </c>
      <c r="M337" s="53" t="e">
        <v>#NAME?</v>
      </c>
      <c r="N337" s="15"/>
      <c r="O337" s="15"/>
      <c r="P337" s="15"/>
    </row>
    <row r="338" spans="10:16" s="21" customFormat="1" ht="14.25" x14ac:dyDescent="0.45">
      <c r="J338" s="27"/>
      <c r="K338" s="15"/>
      <c r="L338" s="15">
        <v>-1.7599999999999998</v>
      </c>
      <c r="M338" s="53" t="e">
        <v>#NAME?</v>
      </c>
      <c r="N338" s="15"/>
      <c r="O338" s="15"/>
      <c r="P338" s="15"/>
    </row>
    <row r="339" spans="10:16" s="21" customFormat="1" ht="14.25" x14ac:dyDescent="0.45">
      <c r="J339" s="27"/>
      <c r="K339" s="15"/>
      <c r="L339" s="15">
        <v>-1.75</v>
      </c>
      <c r="M339" s="53" t="e">
        <v>#NAME?</v>
      </c>
      <c r="N339" s="15"/>
      <c r="O339" s="15"/>
      <c r="P339" s="15"/>
    </row>
    <row r="340" spans="10:16" s="21" customFormat="1" ht="14.25" x14ac:dyDescent="0.45">
      <c r="J340" s="27"/>
      <c r="K340" s="15"/>
      <c r="L340" s="15">
        <v>-1.7399999999999998</v>
      </c>
      <c r="M340" s="53" t="e">
        <v>#NAME?</v>
      </c>
      <c r="N340" s="15"/>
      <c r="O340" s="15"/>
      <c r="P340" s="15"/>
    </row>
    <row r="341" spans="10:16" s="21" customFormat="1" ht="14.25" x14ac:dyDescent="0.45">
      <c r="J341" s="27"/>
      <c r="K341" s="15"/>
      <c r="L341" s="15">
        <v>-1.73</v>
      </c>
      <c r="M341" s="53" t="e">
        <v>#NAME?</v>
      </c>
      <c r="N341" s="15"/>
      <c r="O341" s="15"/>
      <c r="P341" s="15"/>
    </row>
    <row r="342" spans="10:16" s="21" customFormat="1" ht="14.25" x14ac:dyDescent="0.45">
      <c r="J342" s="27"/>
      <c r="K342" s="15"/>
      <c r="L342" s="15">
        <v>-1.7199999999999998</v>
      </c>
      <c r="M342" s="53" t="e">
        <v>#NAME?</v>
      </c>
      <c r="N342" s="15"/>
      <c r="O342" s="15"/>
      <c r="P342" s="15"/>
    </row>
    <row r="343" spans="10:16" s="21" customFormat="1" ht="14.25" x14ac:dyDescent="0.45">
      <c r="J343" s="27"/>
      <c r="K343" s="15"/>
      <c r="L343" s="15">
        <v>-1.71</v>
      </c>
      <c r="M343" s="53" t="e">
        <v>#NAME?</v>
      </c>
      <c r="N343" s="15"/>
      <c r="O343" s="15"/>
      <c r="P343" s="15"/>
    </row>
    <row r="344" spans="10:16" s="21" customFormat="1" ht="14.25" x14ac:dyDescent="0.45">
      <c r="J344" s="27"/>
      <c r="K344" s="15"/>
      <c r="L344" s="15">
        <v>-1.6999999999999997</v>
      </c>
      <c r="M344" s="53" t="e">
        <v>#NAME?</v>
      </c>
      <c r="N344" s="15"/>
      <c r="O344" s="15"/>
      <c r="P344" s="15"/>
    </row>
    <row r="345" spans="10:16" s="21" customFormat="1" ht="14.25" x14ac:dyDescent="0.45">
      <c r="J345" s="27"/>
      <c r="K345" s="15"/>
      <c r="L345" s="15">
        <v>-1.69</v>
      </c>
      <c r="M345" s="53" t="e">
        <v>#NAME?</v>
      </c>
      <c r="N345" s="15"/>
      <c r="O345" s="15"/>
      <c r="P345" s="15"/>
    </row>
    <row r="346" spans="10:16" s="21" customFormat="1" ht="14.25" x14ac:dyDescent="0.45">
      <c r="J346" s="27"/>
      <c r="K346" s="15"/>
      <c r="L346" s="15">
        <v>-1.6799999999999997</v>
      </c>
      <c r="M346" s="53" t="e">
        <v>#NAME?</v>
      </c>
      <c r="N346" s="15"/>
      <c r="O346" s="15"/>
      <c r="P346" s="15"/>
    </row>
    <row r="347" spans="10:16" s="21" customFormat="1" ht="14.25" x14ac:dyDescent="0.45">
      <c r="J347" s="27"/>
      <c r="K347" s="15"/>
      <c r="L347" s="15">
        <v>-1.67</v>
      </c>
      <c r="M347" s="53" t="e">
        <v>#NAME?</v>
      </c>
      <c r="N347" s="15"/>
      <c r="O347" s="15"/>
      <c r="P347" s="15"/>
    </row>
    <row r="348" spans="10:16" s="21" customFormat="1" ht="14.25" x14ac:dyDescent="0.45">
      <c r="J348" s="27"/>
      <c r="K348" s="15"/>
      <c r="L348" s="15">
        <v>-1.6600000000000001</v>
      </c>
      <c r="M348" s="53" t="e">
        <v>#NAME?</v>
      </c>
      <c r="N348" s="15"/>
      <c r="O348" s="15"/>
      <c r="P348" s="15"/>
    </row>
    <row r="349" spans="10:16" s="21" customFormat="1" ht="14.25" x14ac:dyDescent="0.45">
      <c r="J349" s="27"/>
      <c r="K349" s="15"/>
      <c r="L349" s="15">
        <v>-1.65</v>
      </c>
      <c r="M349" s="53" t="e">
        <v>#NAME?</v>
      </c>
      <c r="N349" s="15"/>
      <c r="O349" s="15"/>
      <c r="P349" s="15"/>
    </row>
    <row r="350" spans="10:16" s="21" customFormat="1" ht="14.25" x14ac:dyDescent="0.45">
      <c r="J350" s="27"/>
      <c r="K350" s="15"/>
      <c r="L350" s="15">
        <v>-1.6400000000000001</v>
      </c>
      <c r="M350" s="53" t="e">
        <v>#NAME?</v>
      </c>
      <c r="N350" s="15"/>
      <c r="O350" s="15"/>
      <c r="P350" s="15"/>
    </row>
    <row r="351" spans="10:16" s="21" customFormat="1" ht="14.25" x14ac:dyDescent="0.45">
      <c r="J351" s="27"/>
      <c r="K351" s="15"/>
      <c r="L351" s="15">
        <v>-1.63</v>
      </c>
      <c r="M351" s="53" t="e">
        <v>#NAME?</v>
      </c>
      <c r="N351" s="15"/>
      <c r="O351" s="15"/>
      <c r="P351" s="15"/>
    </row>
    <row r="352" spans="10:16" s="21" customFormat="1" ht="14.25" x14ac:dyDescent="0.45">
      <c r="J352" s="27"/>
      <c r="K352" s="15"/>
      <c r="L352" s="15">
        <v>-1.62</v>
      </c>
      <c r="M352" s="53" t="e">
        <v>#NAME?</v>
      </c>
      <c r="N352" s="15"/>
      <c r="O352" s="15"/>
      <c r="P352" s="15"/>
    </row>
    <row r="353" spans="10:16" s="21" customFormat="1" ht="14.25" x14ac:dyDescent="0.45">
      <c r="J353" s="27"/>
      <c r="K353" s="15"/>
      <c r="L353" s="15">
        <v>-1.6099999999999999</v>
      </c>
      <c r="M353" s="53" t="e">
        <v>#NAME?</v>
      </c>
      <c r="N353" s="15"/>
      <c r="O353" s="15"/>
      <c r="P353" s="15"/>
    </row>
    <row r="354" spans="10:16" s="21" customFormat="1" ht="14.25" x14ac:dyDescent="0.45">
      <c r="J354" s="27"/>
      <c r="K354" s="15"/>
      <c r="L354" s="15">
        <v>-1.6</v>
      </c>
      <c r="M354" s="53" t="e">
        <v>#NAME?</v>
      </c>
      <c r="N354" s="15"/>
      <c r="O354" s="15"/>
      <c r="P354" s="15"/>
    </row>
    <row r="355" spans="10:16" s="21" customFormat="1" ht="14.25" x14ac:dyDescent="0.45">
      <c r="J355" s="27"/>
      <c r="K355" s="15"/>
      <c r="L355" s="15">
        <v>-1.5899999999999999</v>
      </c>
      <c r="M355" s="53" t="e">
        <v>#NAME?</v>
      </c>
      <c r="N355" s="15"/>
      <c r="O355" s="15"/>
      <c r="P355" s="15"/>
    </row>
    <row r="356" spans="10:16" s="21" customFormat="1" ht="14.25" x14ac:dyDescent="0.45">
      <c r="J356" s="27"/>
      <c r="K356" s="15"/>
      <c r="L356" s="15">
        <v>-1.58</v>
      </c>
      <c r="M356" s="53" t="e">
        <v>#NAME?</v>
      </c>
      <c r="N356" s="15"/>
      <c r="O356" s="15"/>
      <c r="P356" s="15"/>
    </row>
    <row r="357" spans="10:16" s="21" customFormat="1" ht="14.25" x14ac:dyDescent="0.45">
      <c r="J357" s="27"/>
      <c r="K357" s="15"/>
      <c r="L357" s="15">
        <v>-1.5699999999999998</v>
      </c>
      <c r="M357" s="53" t="e">
        <v>#NAME?</v>
      </c>
      <c r="N357" s="15"/>
      <c r="O357" s="15"/>
      <c r="P357" s="15"/>
    </row>
    <row r="358" spans="10:16" s="21" customFormat="1" ht="14.25" x14ac:dyDescent="0.45">
      <c r="J358" s="27"/>
      <c r="K358" s="15"/>
      <c r="L358" s="15">
        <v>-1.56</v>
      </c>
      <c r="M358" s="53" t="e">
        <v>#NAME?</v>
      </c>
      <c r="N358" s="15"/>
      <c r="O358" s="15"/>
      <c r="P358" s="15"/>
    </row>
    <row r="359" spans="10:16" s="21" customFormat="1" ht="14.25" x14ac:dyDescent="0.45">
      <c r="J359" s="27"/>
      <c r="K359" s="15"/>
      <c r="L359" s="15">
        <v>-1.5499999999999998</v>
      </c>
      <c r="M359" s="53" t="e">
        <v>#NAME?</v>
      </c>
      <c r="N359" s="15"/>
      <c r="O359" s="15"/>
      <c r="P359" s="15"/>
    </row>
    <row r="360" spans="10:16" s="21" customFormat="1" ht="14.25" x14ac:dyDescent="0.45">
      <c r="J360" s="27"/>
      <c r="K360" s="15"/>
      <c r="L360" s="15">
        <v>-1.54</v>
      </c>
      <c r="M360" s="53" t="e">
        <v>#NAME?</v>
      </c>
      <c r="N360" s="15"/>
      <c r="O360" s="15"/>
      <c r="P360" s="15"/>
    </row>
    <row r="361" spans="10:16" s="21" customFormat="1" ht="14.25" x14ac:dyDescent="0.45">
      <c r="J361" s="27"/>
      <c r="K361" s="15"/>
      <c r="L361" s="15">
        <v>-1.5299999999999998</v>
      </c>
      <c r="M361" s="53" t="e">
        <v>#NAME?</v>
      </c>
      <c r="N361" s="15"/>
      <c r="O361" s="15"/>
      <c r="P361" s="15"/>
    </row>
    <row r="362" spans="10:16" s="21" customFormat="1" ht="14.25" x14ac:dyDescent="0.45">
      <c r="J362" s="27"/>
      <c r="K362" s="15"/>
      <c r="L362" s="15">
        <v>-1.52</v>
      </c>
      <c r="M362" s="53" t="e">
        <v>#NAME?</v>
      </c>
      <c r="N362" s="15"/>
      <c r="O362" s="15"/>
      <c r="P362" s="15"/>
    </row>
    <row r="363" spans="10:16" s="21" customFormat="1" ht="14.25" x14ac:dyDescent="0.45">
      <c r="J363" s="27"/>
      <c r="K363" s="15"/>
      <c r="L363" s="15">
        <v>-1.5099999999999998</v>
      </c>
      <c r="M363" s="53" t="e">
        <v>#NAME?</v>
      </c>
      <c r="N363" s="15"/>
      <c r="O363" s="15"/>
      <c r="P363" s="15"/>
    </row>
    <row r="364" spans="10:16" s="21" customFormat="1" ht="14.25" x14ac:dyDescent="0.45">
      <c r="J364" s="27"/>
      <c r="K364" s="15"/>
      <c r="L364" s="15">
        <v>-1.5</v>
      </c>
      <c r="M364" s="53" t="e">
        <v>#NAME?</v>
      </c>
      <c r="N364" s="15"/>
      <c r="O364" s="15"/>
      <c r="P364" s="15"/>
    </row>
    <row r="365" spans="10:16" s="21" customFormat="1" ht="14.25" x14ac:dyDescent="0.45">
      <c r="J365" s="27"/>
      <c r="K365" s="15"/>
      <c r="L365" s="15">
        <v>-1.4899999999999998</v>
      </c>
      <c r="M365" s="53" t="e">
        <v>#NAME?</v>
      </c>
      <c r="N365" s="15"/>
      <c r="O365" s="15"/>
      <c r="P365" s="15"/>
    </row>
    <row r="366" spans="10:16" s="21" customFormat="1" ht="14.25" x14ac:dyDescent="0.45">
      <c r="J366" s="27"/>
      <c r="K366" s="15"/>
      <c r="L366" s="15">
        <v>-1.48</v>
      </c>
      <c r="M366" s="53" t="e">
        <v>#NAME?</v>
      </c>
      <c r="N366" s="15"/>
      <c r="O366" s="15"/>
      <c r="P366" s="15"/>
    </row>
    <row r="367" spans="10:16" s="21" customFormat="1" ht="14.25" x14ac:dyDescent="0.45">
      <c r="J367" s="27"/>
      <c r="K367" s="15"/>
      <c r="L367" s="15">
        <v>-1.4699999999999998</v>
      </c>
      <c r="M367" s="53" t="e">
        <v>#NAME?</v>
      </c>
      <c r="N367" s="15"/>
      <c r="O367" s="15"/>
      <c r="P367" s="15"/>
    </row>
    <row r="368" spans="10:16" s="21" customFormat="1" ht="14.25" x14ac:dyDescent="0.45">
      <c r="J368" s="27"/>
      <c r="K368" s="15"/>
      <c r="L368" s="15">
        <v>-1.46</v>
      </c>
      <c r="M368" s="53" t="e">
        <v>#NAME?</v>
      </c>
      <c r="N368" s="15"/>
      <c r="O368" s="15"/>
      <c r="P368" s="15"/>
    </row>
    <row r="369" spans="10:16" s="21" customFormat="1" ht="14.25" x14ac:dyDescent="0.45">
      <c r="J369" s="27"/>
      <c r="K369" s="15"/>
      <c r="L369" s="15">
        <v>-1.4499999999999997</v>
      </c>
      <c r="M369" s="53" t="e">
        <v>#NAME?</v>
      </c>
      <c r="N369" s="15"/>
      <c r="O369" s="15"/>
      <c r="P369" s="15"/>
    </row>
    <row r="370" spans="10:16" s="21" customFormat="1" ht="14.25" x14ac:dyDescent="0.45">
      <c r="J370" s="27"/>
      <c r="K370" s="15"/>
      <c r="L370" s="15">
        <v>-1.44</v>
      </c>
      <c r="M370" s="53" t="e">
        <v>#NAME?</v>
      </c>
      <c r="N370" s="15"/>
      <c r="O370" s="15"/>
      <c r="P370" s="15"/>
    </row>
    <row r="371" spans="10:16" s="21" customFormat="1" ht="14.25" x14ac:dyDescent="0.45">
      <c r="J371" s="27"/>
      <c r="K371" s="15"/>
      <c r="L371" s="15">
        <v>-1.4299999999999997</v>
      </c>
      <c r="M371" s="53" t="e">
        <v>#NAME?</v>
      </c>
      <c r="N371" s="15"/>
      <c r="O371" s="15"/>
      <c r="P371" s="15"/>
    </row>
    <row r="372" spans="10:16" s="21" customFormat="1" ht="14.25" x14ac:dyDescent="0.45">
      <c r="J372" s="27"/>
      <c r="K372" s="15"/>
      <c r="L372" s="15">
        <v>-1.42</v>
      </c>
      <c r="M372" s="53" t="e">
        <v>#NAME?</v>
      </c>
      <c r="N372" s="15"/>
      <c r="O372" s="15"/>
      <c r="P372" s="15"/>
    </row>
    <row r="373" spans="10:16" s="21" customFormat="1" ht="14.25" x14ac:dyDescent="0.45">
      <c r="J373" s="27"/>
      <c r="K373" s="15"/>
      <c r="L373" s="15">
        <v>-1.4100000000000001</v>
      </c>
      <c r="M373" s="53" t="e">
        <v>#NAME?</v>
      </c>
      <c r="N373" s="15"/>
      <c r="O373" s="15"/>
      <c r="P373" s="15"/>
    </row>
    <row r="374" spans="10:16" s="21" customFormat="1" ht="14.25" x14ac:dyDescent="0.45">
      <c r="J374" s="27"/>
      <c r="K374" s="15"/>
      <c r="L374" s="15">
        <v>-1.4</v>
      </c>
      <c r="M374" s="53" t="e">
        <v>#NAME?</v>
      </c>
      <c r="N374" s="15"/>
      <c r="O374" s="15"/>
      <c r="P374" s="15"/>
    </row>
    <row r="375" spans="10:16" s="21" customFormat="1" ht="14.25" x14ac:dyDescent="0.45">
      <c r="J375" s="27"/>
      <c r="K375" s="15"/>
      <c r="L375" s="15">
        <v>-1.3900000000000001</v>
      </c>
      <c r="M375" s="53" t="e">
        <v>#NAME?</v>
      </c>
      <c r="N375" s="15"/>
      <c r="O375" s="15"/>
      <c r="P375" s="15"/>
    </row>
    <row r="376" spans="10:16" s="21" customFormat="1" ht="14.25" x14ac:dyDescent="0.45">
      <c r="J376" s="27"/>
      <c r="K376" s="15"/>
      <c r="L376" s="15">
        <v>-1.38</v>
      </c>
      <c r="M376" s="53" t="e">
        <v>#NAME?</v>
      </c>
      <c r="N376" s="15"/>
      <c r="O376" s="15"/>
      <c r="P376" s="15"/>
    </row>
    <row r="377" spans="10:16" s="21" customFormat="1" ht="14.25" x14ac:dyDescent="0.45">
      <c r="J377" s="27"/>
      <c r="K377" s="15"/>
      <c r="L377" s="15">
        <v>-1.37</v>
      </c>
      <c r="M377" s="53" t="e">
        <v>#NAME?</v>
      </c>
      <c r="N377" s="15"/>
      <c r="O377" s="15"/>
      <c r="P377" s="15"/>
    </row>
    <row r="378" spans="10:16" s="21" customFormat="1" ht="14.25" x14ac:dyDescent="0.45">
      <c r="J378" s="27"/>
      <c r="K378" s="15"/>
      <c r="L378" s="15">
        <v>-1.3599999999999999</v>
      </c>
      <c r="M378" s="53" t="e">
        <v>#NAME?</v>
      </c>
      <c r="N378" s="15"/>
      <c r="O378" s="15"/>
      <c r="P378" s="15"/>
    </row>
    <row r="379" spans="10:16" s="21" customFormat="1" ht="14.25" x14ac:dyDescent="0.45">
      <c r="J379" s="27"/>
      <c r="K379" s="15"/>
      <c r="L379" s="15">
        <v>-1.35</v>
      </c>
      <c r="M379" s="53" t="e">
        <v>#NAME?</v>
      </c>
      <c r="N379" s="15"/>
      <c r="O379" s="15"/>
      <c r="P379" s="15"/>
    </row>
    <row r="380" spans="10:16" s="21" customFormat="1" ht="14.25" x14ac:dyDescent="0.45">
      <c r="J380" s="27"/>
      <c r="K380" s="15"/>
      <c r="L380" s="15">
        <v>-1.3399999999999999</v>
      </c>
      <c r="M380" s="53" t="e">
        <v>#NAME?</v>
      </c>
      <c r="N380" s="15"/>
      <c r="O380" s="15"/>
      <c r="P380" s="15"/>
    </row>
    <row r="381" spans="10:16" s="21" customFormat="1" ht="14.25" x14ac:dyDescent="0.45">
      <c r="J381" s="27"/>
      <c r="K381" s="15"/>
      <c r="L381" s="15">
        <v>-1.33</v>
      </c>
      <c r="M381" s="53" t="e">
        <v>#NAME?</v>
      </c>
      <c r="N381" s="15"/>
      <c r="O381" s="15"/>
      <c r="P381" s="15"/>
    </row>
    <row r="382" spans="10:16" s="21" customFormat="1" ht="14.25" x14ac:dyDescent="0.45">
      <c r="J382" s="27"/>
      <c r="K382" s="15"/>
      <c r="L382" s="15">
        <v>-1.3199999999999998</v>
      </c>
      <c r="M382" s="53" t="e">
        <v>#NAME?</v>
      </c>
      <c r="N382" s="15"/>
      <c r="O382" s="15"/>
      <c r="P382" s="15"/>
    </row>
    <row r="383" spans="10:16" s="21" customFormat="1" ht="14.25" x14ac:dyDescent="0.45">
      <c r="J383" s="27"/>
      <c r="K383" s="15"/>
      <c r="L383" s="15">
        <v>-1.31</v>
      </c>
      <c r="M383" s="53" t="e">
        <v>#NAME?</v>
      </c>
      <c r="N383" s="15"/>
      <c r="O383" s="15"/>
      <c r="P383" s="15"/>
    </row>
    <row r="384" spans="10:16" s="21" customFormat="1" ht="14.25" x14ac:dyDescent="0.45">
      <c r="J384" s="27"/>
      <c r="K384" s="15"/>
      <c r="L384" s="15">
        <v>-1.2999999999999998</v>
      </c>
      <c r="M384" s="53" t="e">
        <v>#NAME?</v>
      </c>
      <c r="N384" s="15"/>
      <c r="O384" s="15"/>
      <c r="P384" s="15"/>
    </row>
    <row r="385" spans="10:16" s="21" customFormat="1" ht="14.25" x14ac:dyDescent="0.45">
      <c r="J385" s="27"/>
      <c r="K385" s="15"/>
      <c r="L385" s="15">
        <v>-1.29</v>
      </c>
      <c r="M385" s="53" t="e">
        <v>#NAME?</v>
      </c>
      <c r="N385" s="15"/>
      <c r="O385" s="15"/>
      <c r="P385" s="15"/>
    </row>
    <row r="386" spans="10:16" s="21" customFormat="1" ht="14.25" x14ac:dyDescent="0.45">
      <c r="J386" s="27"/>
      <c r="K386" s="15"/>
      <c r="L386" s="15">
        <v>-1.2799999999999998</v>
      </c>
      <c r="M386" s="53" t="e">
        <v>#NAME?</v>
      </c>
      <c r="N386" s="15"/>
      <c r="O386" s="15"/>
      <c r="P386" s="15"/>
    </row>
    <row r="387" spans="10:16" s="21" customFormat="1" ht="14.25" x14ac:dyDescent="0.45">
      <c r="J387" s="27"/>
      <c r="K387" s="15"/>
      <c r="L387" s="15">
        <v>-1.27</v>
      </c>
      <c r="M387" s="53" t="e">
        <v>#NAME?</v>
      </c>
      <c r="N387" s="15"/>
      <c r="O387" s="15"/>
      <c r="P387" s="15"/>
    </row>
    <row r="388" spans="10:16" s="21" customFormat="1" ht="14.25" x14ac:dyDescent="0.45">
      <c r="J388" s="27"/>
      <c r="K388" s="15"/>
      <c r="L388" s="15">
        <v>-1.2599999999999998</v>
      </c>
      <c r="M388" s="53" t="e">
        <v>#NAME?</v>
      </c>
      <c r="N388" s="15"/>
      <c r="O388" s="15"/>
      <c r="P388" s="15"/>
    </row>
    <row r="389" spans="10:16" s="21" customFormat="1" ht="14.25" x14ac:dyDescent="0.45">
      <c r="J389" s="27"/>
      <c r="K389" s="15"/>
      <c r="L389" s="15">
        <v>-1.25</v>
      </c>
      <c r="M389" s="53" t="e">
        <v>#NAME?</v>
      </c>
      <c r="N389" s="15"/>
      <c r="O389" s="15"/>
      <c r="P389" s="15"/>
    </row>
    <row r="390" spans="10:16" s="21" customFormat="1" ht="14.25" x14ac:dyDescent="0.45">
      <c r="J390" s="27"/>
      <c r="K390" s="15"/>
      <c r="L390" s="15">
        <v>-1.2399999999999998</v>
      </c>
      <c r="M390" s="53" t="e">
        <v>#NAME?</v>
      </c>
      <c r="N390" s="15"/>
      <c r="O390" s="15"/>
      <c r="P390" s="15"/>
    </row>
    <row r="391" spans="10:16" s="21" customFormat="1" ht="14.25" x14ac:dyDescent="0.45">
      <c r="J391" s="27"/>
      <c r="K391" s="15"/>
      <c r="L391" s="15">
        <v>-1.23</v>
      </c>
      <c r="M391" s="53" t="e">
        <v>#NAME?</v>
      </c>
      <c r="N391" s="15"/>
      <c r="O391" s="15"/>
      <c r="P391" s="15"/>
    </row>
    <row r="392" spans="10:16" s="21" customFormat="1" ht="14.25" x14ac:dyDescent="0.45">
      <c r="J392" s="27"/>
      <c r="K392" s="15"/>
      <c r="L392" s="15">
        <v>-1.2199999999999998</v>
      </c>
      <c r="M392" s="53" t="e">
        <v>#NAME?</v>
      </c>
      <c r="N392" s="15"/>
      <c r="O392" s="15"/>
      <c r="P392" s="15"/>
    </row>
    <row r="393" spans="10:16" s="21" customFormat="1" ht="14.25" x14ac:dyDescent="0.45">
      <c r="J393" s="27"/>
      <c r="K393" s="15"/>
      <c r="L393" s="15">
        <v>-1.21</v>
      </c>
      <c r="M393" s="53" t="e">
        <v>#NAME?</v>
      </c>
      <c r="N393" s="15"/>
      <c r="O393" s="15"/>
      <c r="P393" s="15"/>
    </row>
    <row r="394" spans="10:16" s="21" customFormat="1" ht="14.25" x14ac:dyDescent="0.45">
      <c r="J394" s="27"/>
      <c r="K394" s="15"/>
      <c r="L394" s="15">
        <v>-1.1999999999999997</v>
      </c>
      <c r="M394" s="53" t="e">
        <v>#NAME?</v>
      </c>
      <c r="N394" s="15"/>
      <c r="O394" s="15"/>
      <c r="P394" s="15"/>
    </row>
    <row r="395" spans="10:16" s="21" customFormat="1" ht="14.25" x14ac:dyDescent="0.45">
      <c r="J395" s="27"/>
      <c r="K395" s="15"/>
      <c r="L395" s="15">
        <v>-1.19</v>
      </c>
      <c r="M395" s="53" t="e">
        <v>#NAME?</v>
      </c>
      <c r="N395" s="15"/>
      <c r="O395" s="15"/>
      <c r="P395" s="15"/>
    </row>
    <row r="396" spans="10:16" s="21" customFormat="1" ht="14.25" x14ac:dyDescent="0.45">
      <c r="J396" s="27"/>
      <c r="K396" s="15"/>
      <c r="L396" s="15">
        <v>-1.1799999999999997</v>
      </c>
      <c r="M396" s="53" t="e">
        <v>#NAME?</v>
      </c>
      <c r="N396" s="15"/>
      <c r="O396" s="15"/>
      <c r="P396" s="15"/>
    </row>
    <row r="397" spans="10:16" s="21" customFormat="1" ht="14.25" x14ac:dyDescent="0.45">
      <c r="J397" s="27"/>
      <c r="K397" s="15"/>
      <c r="L397" s="15">
        <v>-1.17</v>
      </c>
      <c r="M397" s="53" t="e">
        <v>#NAME?</v>
      </c>
      <c r="N397" s="15"/>
      <c r="O397" s="15"/>
      <c r="P397" s="15"/>
    </row>
    <row r="398" spans="10:16" s="21" customFormat="1" ht="14.25" x14ac:dyDescent="0.45">
      <c r="J398" s="27"/>
      <c r="K398" s="15"/>
      <c r="L398" s="15">
        <v>-1.1600000000000001</v>
      </c>
      <c r="M398" s="53" t="e">
        <v>#NAME?</v>
      </c>
      <c r="N398" s="15"/>
      <c r="O398" s="15"/>
      <c r="P398" s="15"/>
    </row>
    <row r="399" spans="10:16" s="21" customFormat="1" ht="14.25" x14ac:dyDescent="0.45">
      <c r="J399" s="27"/>
      <c r="K399" s="15"/>
      <c r="L399" s="15">
        <v>-1.1499999999999999</v>
      </c>
      <c r="M399" s="53" t="e">
        <v>#NAME?</v>
      </c>
      <c r="N399" s="15"/>
      <c r="O399" s="15"/>
      <c r="P399" s="15"/>
    </row>
    <row r="400" spans="10:16" s="21" customFormat="1" ht="14.25" x14ac:dyDescent="0.45">
      <c r="J400" s="27"/>
      <c r="K400" s="15"/>
      <c r="L400" s="15">
        <v>-1.1400000000000001</v>
      </c>
      <c r="M400" s="53" t="e">
        <v>#NAME?</v>
      </c>
      <c r="N400" s="15"/>
      <c r="O400" s="15"/>
      <c r="P400" s="15"/>
    </row>
    <row r="401" spans="10:16" s="21" customFormat="1" ht="14.25" x14ac:dyDescent="0.45">
      <c r="J401" s="27"/>
      <c r="K401" s="15"/>
      <c r="L401" s="15">
        <v>-1.1299999999999999</v>
      </c>
      <c r="M401" s="53" t="e">
        <v>#NAME?</v>
      </c>
      <c r="N401" s="15"/>
      <c r="O401" s="15"/>
      <c r="P401" s="15"/>
    </row>
    <row r="402" spans="10:16" s="21" customFormat="1" ht="14.25" x14ac:dyDescent="0.45">
      <c r="J402" s="27"/>
      <c r="K402" s="15"/>
      <c r="L402" s="15">
        <v>-1.1200000000000001</v>
      </c>
      <c r="M402" s="53" t="e">
        <v>#NAME?</v>
      </c>
      <c r="N402" s="15"/>
      <c r="O402" s="15"/>
      <c r="P402" s="15"/>
    </row>
    <row r="403" spans="10:16" s="21" customFormat="1" ht="14.25" x14ac:dyDescent="0.45">
      <c r="J403" s="27"/>
      <c r="K403" s="15"/>
      <c r="L403" s="15">
        <v>-1.1099999999999999</v>
      </c>
      <c r="M403" s="53" t="e">
        <v>#NAME?</v>
      </c>
      <c r="N403" s="15"/>
      <c r="O403" s="15"/>
      <c r="P403" s="15"/>
    </row>
    <row r="404" spans="10:16" s="21" customFormat="1" ht="14.25" x14ac:dyDescent="0.45">
      <c r="J404" s="27"/>
      <c r="K404" s="15"/>
      <c r="L404" s="15">
        <v>-1.1000000000000001</v>
      </c>
      <c r="M404" s="53" t="e">
        <v>#NAME?</v>
      </c>
      <c r="N404" s="15"/>
      <c r="O404" s="15"/>
      <c r="P404" s="15"/>
    </row>
    <row r="405" spans="10:16" s="21" customFormat="1" ht="14.25" x14ac:dyDescent="0.45">
      <c r="J405" s="27"/>
      <c r="K405" s="15"/>
      <c r="L405" s="15">
        <v>-1.0899999999999999</v>
      </c>
      <c r="M405" s="53" t="e">
        <v>#NAME?</v>
      </c>
      <c r="N405" s="15"/>
      <c r="O405" s="15"/>
      <c r="P405" s="15"/>
    </row>
    <row r="406" spans="10:16" s="21" customFormat="1" ht="14.25" x14ac:dyDescent="0.45">
      <c r="J406" s="27"/>
      <c r="K406" s="15"/>
      <c r="L406" s="15">
        <v>-1.08</v>
      </c>
      <c r="M406" s="53" t="e">
        <v>#NAME?</v>
      </c>
      <c r="N406" s="15"/>
      <c r="O406" s="15"/>
      <c r="P406" s="15"/>
    </row>
    <row r="407" spans="10:16" s="21" customFormat="1" ht="14.25" x14ac:dyDescent="0.45">
      <c r="J407" s="27"/>
      <c r="K407" s="15"/>
      <c r="L407" s="15">
        <v>-1.0699999999999998</v>
      </c>
      <c r="M407" s="53" t="e">
        <v>#NAME?</v>
      </c>
      <c r="N407" s="15"/>
      <c r="O407" s="15"/>
      <c r="P407" s="15"/>
    </row>
    <row r="408" spans="10:16" s="21" customFormat="1" ht="14.25" x14ac:dyDescent="0.45">
      <c r="J408" s="27"/>
      <c r="K408" s="15"/>
      <c r="L408" s="15">
        <v>-1.06</v>
      </c>
      <c r="M408" s="53" t="e">
        <v>#NAME?</v>
      </c>
      <c r="N408" s="15"/>
      <c r="O408" s="15"/>
      <c r="P408" s="15"/>
    </row>
    <row r="409" spans="10:16" s="21" customFormat="1" ht="14.25" x14ac:dyDescent="0.45">
      <c r="J409" s="27"/>
      <c r="K409" s="15"/>
      <c r="L409" s="15">
        <v>-1.0499999999999998</v>
      </c>
      <c r="M409" s="53" t="e">
        <v>#NAME?</v>
      </c>
      <c r="N409" s="15"/>
      <c r="O409" s="15"/>
      <c r="P409" s="15"/>
    </row>
    <row r="410" spans="10:16" s="21" customFormat="1" ht="14.25" x14ac:dyDescent="0.45">
      <c r="J410" s="27"/>
      <c r="K410" s="15"/>
      <c r="L410" s="15">
        <v>-1.04</v>
      </c>
      <c r="M410" s="53" t="e">
        <v>#NAME?</v>
      </c>
      <c r="N410" s="15"/>
      <c r="O410" s="15"/>
      <c r="P410" s="15"/>
    </row>
    <row r="411" spans="10:16" s="21" customFormat="1" ht="14.25" x14ac:dyDescent="0.45">
      <c r="J411" s="27"/>
      <c r="K411" s="15"/>
      <c r="L411" s="15">
        <v>-1.0299999999999998</v>
      </c>
      <c r="M411" s="53" t="e">
        <v>#NAME?</v>
      </c>
      <c r="N411" s="15"/>
      <c r="O411" s="15"/>
      <c r="P411" s="15"/>
    </row>
    <row r="412" spans="10:16" s="21" customFormat="1" ht="14.25" x14ac:dyDescent="0.45">
      <c r="J412" s="27"/>
      <c r="K412" s="15"/>
      <c r="L412" s="15">
        <v>-1.02</v>
      </c>
      <c r="M412" s="53" t="e">
        <v>#NAME?</v>
      </c>
      <c r="N412" s="15"/>
      <c r="O412" s="15"/>
      <c r="P412" s="15"/>
    </row>
    <row r="413" spans="10:16" s="21" customFormat="1" ht="14.25" x14ac:dyDescent="0.45">
      <c r="J413" s="27"/>
      <c r="K413" s="15"/>
      <c r="L413" s="15">
        <v>-1.0099999999999998</v>
      </c>
      <c r="M413" s="53" t="e">
        <v>#NAME?</v>
      </c>
      <c r="N413" s="15"/>
      <c r="O413" s="15"/>
      <c r="P413" s="15"/>
    </row>
    <row r="414" spans="10:16" s="21" customFormat="1" ht="14.25" x14ac:dyDescent="0.45">
      <c r="J414" s="27"/>
      <c r="K414" s="15"/>
      <c r="L414" s="15">
        <v>-1</v>
      </c>
      <c r="M414" s="53" t="e">
        <v>#NAME?</v>
      </c>
      <c r="N414" s="15"/>
      <c r="O414" s="15"/>
      <c r="P414" s="15"/>
    </row>
    <row r="415" spans="10:16" s="21" customFormat="1" ht="14.25" x14ac:dyDescent="0.45">
      <c r="J415" s="27"/>
      <c r="K415" s="15"/>
      <c r="L415" s="15">
        <v>-0.99000000000000021</v>
      </c>
      <c r="M415" s="53" t="e">
        <v>#NAME?</v>
      </c>
      <c r="N415" s="15"/>
      <c r="O415" s="15"/>
      <c r="P415" s="15"/>
    </row>
    <row r="416" spans="10:16" s="21" customFormat="1" ht="14.25" x14ac:dyDescent="0.45">
      <c r="J416" s="27"/>
      <c r="K416" s="15"/>
      <c r="L416" s="15">
        <v>-0.97999999999999954</v>
      </c>
      <c r="M416" s="53" t="e">
        <v>#NAME?</v>
      </c>
      <c r="N416" s="15"/>
      <c r="O416" s="15"/>
      <c r="P416" s="15"/>
    </row>
    <row r="417" spans="10:16" s="21" customFormat="1" ht="14.25" x14ac:dyDescent="0.45">
      <c r="J417" s="27"/>
      <c r="K417" s="15"/>
      <c r="L417" s="15">
        <v>-0.96999999999999975</v>
      </c>
      <c r="M417" s="53" t="e">
        <v>#NAME?</v>
      </c>
      <c r="N417" s="15"/>
      <c r="O417" s="15"/>
      <c r="P417" s="15"/>
    </row>
    <row r="418" spans="10:16" s="21" customFormat="1" ht="14.25" x14ac:dyDescent="0.45">
      <c r="J418" s="27"/>
      <c r="K418" s="15"/>
      <c r="L418" s="15">
        <v>-0.96</v>
      </c>
      <c r="M418" s="53" t="e">
        <v>#NAME?</v>
      </c>
      <c r="N418" s="15"/>
      <c r="O418" s="15"/>
      <c r="P418" s="15"/>
    </row>
    <row r="419" spans="10:16" s="21" customFormat="1" ht="14.25" x14ac:dyDescent="0.45">
      <c r="J419" s="27"/>
      <c r="K419" s="15"/>
      <c r="L419" s="15">
        <v>-0.95000000000000018</v>
      </c>
      <c r="M419" s="53" t="e">
        <v>#NAME?</v>
      </c>
      <c r="N419" s="15"/>
      <c r="O419" s="15"/>
      <c r="P419" s="15"/>
    </row>
    <row r="420" spans="10:16" s="21" customFormat="1" ht="14.25" x14ac:dyDescent="0.45">
      <c r="J420" s="27"/>
      <c r="K420" s="15"/>
      <c r="L420" s="15">
        <v>-0.9399999999999995</v>
      </c>
      <c r="M420" s="53" t="e">
        <v>#NAME?</v>
      </c>
      <c r="N420" s="15"/>
      <c r="O420" s="15"/>
      <c r="P420" s="15"/>
    </row>
    <row r="421" spans="10:16" s="21" customFormat="1" ht="14.25" x14ac:dyDescent="0.45">
      <c r="J421" s="27"/>
      <c r="K421" s="15"/>
      <c r="L421" s="15">
        <v>-0.92999999999999972</v>
      </c>
      <c r="M421" s="53" t="e">
        <v>#NAME?</v>
      </c>
      <c r="N421" s="15"/>
      <c r="O421" s="15"/>
      <c r="P421" s="15"/>
    </row>
    <row r="422" spans="10:16" s="21" customFormat="1" ht="14.25" x14ac:dyDescent="0.45">
      <c r="J422" s="27"/>
      <c r="K422" s="15"/>
      <c r="L422" s="15">
        <v>-0.91999999999999993</v>
      </c>
      <c r="M422" s="53" t="e">
        <v>#NAME?</v>
      </c>
      <c r="N422" s="15"/>
      <c r="O422" s="15"/>
      <c r="P422" s="15"/>
    </row>
    <row r="423" spans="10:16" s="21" customFormat="1" ht="14.25" x14ac:dyDescent="0.45">
      <c r="J423" s="27"/>
      <c r="K423" s="15"/>
      <c r="L423" s="15">
        <v>-0.91000000000000014</v>
      </c>
      <c r="M423" s="53" t="e">
        <v>#NAME?</v>
      </c>
      <c r="N423" s="15"/>
      <c r="O423" s="15"/>
      <c r="P423" s="15"/>
    </row>
    <row r="424" spans="10:16" s="21" customFormat="1" ht="14.25" x14ac:dyDescent="0.45">
      <c r="J424" s="27"/>
      <c r="K424" s="15"/>
      <c r="L424" s="15">
        <v>-0.90000000000000036</v>
      </c>
      <c r="M424" s="53" t="e">
        <v>#NAME?</v>
      </c>
      <c r="N424" s="15"/>
      <c r="O424" s="15"/>
      <c r="P424" s="15"/>
    </row>
    <row r="425" spans="10:16" s="21" customFormat="1" ht="14.25" x14ac:dyDescent="0.45">
      <c r="J425" s="27"/>
      <c r="K425" s="15"/>
      <c r="L425" s="15">
        <v>-0.88999999999999968</v>
      </c>
      <c r="M425" s="53" t="e">
        <v>#NAME?</v>
      </c>
      <c r="N425" s="15"/>
      <c r="O425" s="15"/>
      <c r="P425" s="15"/>
    </row>
    <row r="426" spans="10:16" s="21" customFormat="1" ht="14.25" x14ac:dyDescent="0.45">
      <c r="J426" s="27"/>
      <c r="K426" s="15"/>
      <c r="L426" s="15">
        <v>-0.87999999999999989</v>
      </c>
      <c r="M426" s="53" t="e">
        <v>#NAME?</v>
      </c>
      <c r="N426" s="15"/>
      <c r="O426" s="15"/>
      <c r="P426" s="15"/>
    </row>
    <row r="427" spans="10:16" s="21" customFormat="1" ht="14.25" x14ac:dyDescent="0.45">
      <c r="J427" s="27"/>
      <c r="K427" s="15"/>
      <c r="L427" s="15">
        <v>-0.87000000000000011</v>
      </c>
      <c r="M427" s="53" t="e">
        <v>#NAME?</v>
      </c>
      <c r="N427" s="15"/>
      <c r="O427" s="15"/>
      <c r="P427" s="15"/>
    </row>
    <row r="428" spans="10:16" s="21" customFormat="1" ht="14.25" x14ac:dyDescent="0.45">
      <c r="J428" s="27"/>
      <c r="K428" s="15"/>
      <c r="L428" s="15">
        <v>-0.86000000000000032</v>
      </c>
      <c r="M428" s="53" t="e">
        <v>#NAME?</v>
      </c>
      <c r="N428" s="15"/>
      <c r="O428" s="15"/>
      <c r="P428" s="15"/>
    </row>
    <row r="429" spans="10:16" s="21" customFormat="1" ht="14.25" x14ac:dyDescent="0.45">
      <c r="J429" s="27"/>
      <c r="K429" s="15"/>
      <c r="L429" s="15">
        <v>-0.84999999999999964</v>
      </c>
      <c r="M429" s="53" t="e">
        <v>#NAME?</v>
      </c>
      <c r="N429" s="15"/>
      <c r="O429" s="15"/>
      <c r="P429" s="15"/>
    </row>
    <row r="430" spans="10:16" s="21" customFormat="1" ht="14.25" x14ac:dyDescent="0.45">
      <c r="J430" s="27"/>
      <c r="K430" s="15"/>
      <c r="L430" s="15">
        <v>-0.83999999999999986</v>
      </c>
      <c r="M430" s="53" t="e">
        <v>#NAME?</v>
      </c>
      <c r="N430" s="15"/>
      <c r="O430" s="15"/>
      <c r="P430" s="15"/>
    </row>
    <row r="431" spans="10:16" s="21" customFormat="1" ht="14.25" x14ac:dyDescent="0.45">
      <c r="J431" s="27"/>
      <c r="K431" s="15"/>
      <c r="L431" s="15">
        <v>-0.83000000000000007</v>
      </c>
      <c r="M431" s="53" t="e">
        <v>#NAME?</v>
      </c>
      <c r="N431" s="15"/>
      <c r="O431" s="15"/>
      <c r="P431" s="15"/>
    </row>
    <row r="432" spans="10:16" s="21" customFormat="1" ht="14.25" x14ac:dyDescent="0.45">
      <c r="J432" s="27"/>
      <c r="K432" s="15"/>
      <c r="L432" s="15">
        <v>-0.82000000000000028</v>
      </c>
      <c r="M432" s="53" t="e">
        <v>#NAME?</v>
      </c>
      <c r="N432" s="15"/>
      <c r="O432" s="15"/>
      <c r="P432" s="15"/>
    </row>
    <row r="433" spans="10:16" s="21" customFormat="1" ht="14.25" x14ac:dyDescent="0.45">
      <c r="J433" s="27"/>
      <c r="K433" s="15"/>
      <c r="L433" s="15">
        <v>-0.80999999999999961</v>
      </c>
      <c r="M433" s="53" t="e">
        <v>#NAME?</v>
      </c>
      <c r="N433" s="15"/>
      <c r="O433" s="15"/>
      <c r="P433" s="15"/>
    </row>
    <row r="434" spans="10:16" s="21" customFormat="1" ht="14.25" x14ac:dyDescent="0.45">
      <c r="J434" s="27"/>
      <c r="K434" s="15"/>
      <c r="L434" s="15">
        <v>-0.79999999999999982</v>
      </c>
      <c r="M434" s="53" t="e">
        <v>#NAME?</v>
      </c>
      <c r="N434" s="15"/>
      <c r="O434" s="15"/>
      <c r="P434" s="15"/>
    </row>
    <row r="435" spans="10:16" s="21" customFormat="1" ht="14.25" x14ac:dyDescent="0.45">
      <c r="J435" s="27"/>
      <c r="K435" s="15"/>
      <c r="L435" s="15">
        <v>-0.79</v>
      </c>
      <c r="M435" s="53" t="e">
        <v>#NAME?</v>
      </c>
      <c r="N435" s="15"/>
      <c r="O435" s="15"/>
      <c r="P435" s="15"/>
    </row>
    <row r="436" spans="10:16" s="21" customFormat="1" ht="14.25" x14ac:dyDescent="0.45">
      <c r="J436" s="27"/>
      <c r="K436" s="15"/>
      <c r="L436" s="15">
        <v>-0.78000000000000025</v>
      </c>
      <c r="M436" s="53" t="e">
        <v>#NAME?</v>
      </c>
      <c r="N436" s="15"/>
      <c r="O436" s="15"/>
      <c r="P436" s="15"/>
    </row>
    <row r="437" spans="10:16" s="21" customFormat="1" ht="14.25" x14ac:dyDescent="0.45">
      <c r="J437" s="27"/>
      <c r="K437" s="15"/>
      <c r="L437" s="15">
        <v>-0.76999999999999957</v>
      </c>
      <c r="M437" s="53" t="e">
        <v>#NAME?</v>
      </c>
      <c r="N437" s="15"/>
      <c r="O437" s="15"/>
      <c r="P437" s="15"/>
    </row>
    <row r="438" spans="10:16" s="21" customFormat="1" ht="14.25" x14ac:dyDescent="0.45">
      <c r="J438" s="27"/>
      <c r="K438" s="15"/>
      <c r="L438" s="15">
        <v>-0.75999999999999979</v>
      </c>
      <c r="M438" s="53" t="e">
        <v>#NAME?</v>
      </c>
      <c r="N438" s="15"/>
      <c r="O438" s="15"/>
      <c r="P438" s="15"/>
    </row>
    <row r="439" spans="10:16" s="21" customFormat="1" ht="14.25" x14ac:dyDescent="0.45">
      <c r="J439" s="27"/>
      <c r="K439" s="15"/>
      <c r="L439" s="15">
        <v>-0.75</v>
      </c>
      <c r="M439" s="53" t="e">
        <v>#NAME?</v>
      </c>
      <c r="N439" s="15"/>
      <c r="O439" s="15"/>
      <c r="P439" s="15"/>
    </row>
    <row r="440" spans="10:16" s="21" customFormat="1" ht="14.25" x14ac:dyDescent="0.45">
      <c r="J440" s="27"/>
      <c r="K440" s="15"/>
      <c r="L440" s="15">
        <v>-0.74000000000000021</v>
      </c>
      <c r="M440" s="53" t="e">
        <v>#NAME?</v>
      </c>
      <c r="N440" s="15"/>
      <c r="O440" s="15"/>
      <c r="P440" s="15"/>
    </row>
    <row r="441" spans="10:16" s="21" customFormat="1" ht="14.25" x14ac:dyDescent="0.45">
      <c r="J441" s="27"/>
      <c r="K441" s="15"/>
      <c r="L441" s="15">
        <v>-0.72999999999999954</v>
      </c>
      <c r="M441" s="53" t="e">
        <v>#NAME?</v>
      </c>
      <c r="N441" s="15"/>
      <c r="O441" s="15"/>
      <c r="P441" s="15"/>
    </row>
    <row r="442" spans="10:16" s="21" customFormat="1" ht="14.25" x14ac:dyDescent="0.45">
      <c r="J442" s="27"/>
      <c r="K442" s="15"/>
      <c r="L442" s="15">
        <v>-0.71999999999999975</v>
      </c>
      <c r="M442" s="53" t="e">
        <v>#NAME?</v>
      </c>
      <c r="N442" s="15"/>
      <c r="O442" s="15"/>
      <c r="P442" s="15"/>
    </row>
    <row r="443" spans="10:16" s="21" customFormat="1" ht="14.25" x14ac:dyDescent="0.45">
      <c r="J443" s="27"/>
      <c r="K443" s="15"/>
      <c r="L443" s="15">
        <v>-0.71</v>
      </c>
      <c r="M443" s="53" t="e">
        <v>#NAME?</v>
      </c>
      <c r="N443" s="15"/>
      <c r="O443" s="15"/>
      <c r="P443" s="15"/>
    </row>
    <row r="444" spans="10:16" s="21" customFormat="1" ht="14.25" x14ac:dyDescent="0.45">
      <c r="J444" s="27"/>
      <c r="K444" s="15"/>
      <c r="L444" s="15">
        <v>-0.70000000000000018</v>
      </c>
      <c r="M444" s="53" t="e">
        <v>#NAME?</v>
      </c>
      <c r="N444" s="15"/>
      <c r="O444" s="15"/>
      <c r="P444" s="15"/>
    </row>
    <row r="445" spans="10:16" s="21" customFormat="1" ht="14.25" x14ac:dyDescent="0.45">
      <c r="J445" s="27"/>
      <c r="K445" s="15"/>
      <c r="L445" s="15">
        <v>-0.6899999999999995</v>
      </c>
      <c r="M445" s="53" t="e">
        <v>#NAME?</v>
      </c>
      <c r="N445" s="15"/>
      <c r="O445" s="15"/>
      <c r="P445" s="15"/>
    </row>
    <row r="446" spans="10:16" s="21" customFormat="1" ht="14.25" x14ac:dyDescent="0.45">
      <c r="J446" s="27"/>
      <c r="K446" s="15"/>
      <c r="L446" s="15">
        <v>-0.67999999999999972</v>
      </c>
      <c r="M446" s="53" t="e">
        <v>#NAME?</v>
      </c>
      <c r="N446" s="15"/>
      <c r="O446" s="15"/>
      <c r="P446" s="15"/>
    </row>
    <row r="447" spans="10:16" s="21" customFormat="1" ht="14.25" x14ac:dyDescent="0.45">
      <c r="J447" s="27"/>
      <c r="K447" s="15"/>
      <c r="L447" s="15">
        <v>-0.66999999999999993</v>
      </c>
      <c r="M447" s="53" t="e">
        <v>#NAME?</v>
      </c>
      <c r="N447" s="15"/>
      <c r="O447" s="15"/>
      <c r="P447" s="15"/>
    </row>
    <row r="448" spans="10:16" s="21" customFormat="1" ht="14.25" x14ac:dyDescent="0.45">
      <c r="J448" s="27"/>
      <c r="K448" s="15"/>
      <c r="L448" s="15">
        <v>-0.66000000000000014</v>
      </c>
      <c r="M448" s="53" t="e">
        <v>#NAME?</v>
      </c>
      <c r="N448" s="15"/>
      <c r="O448" s="15"/>
      <c r="P448" s="15"/>
    </row>
    <row r="449" spans="10:16" s="21" customFormat="1" ht="14.25" x14ac:dyDescent="0.45">
      <c r="J449" s="27"/>
      <c r="K449" s="15"/>
      <c r="L449" s="15">
        <v>-0.64999999999999947</v>
      </c>
      <c r="M449" s="53" t="e">
        <v>#NAME?</v>
      </c>
      <c r="N449" s="15"/>
      <c r="O449" s="15"/>
      <c r="P449" s="15"/>
    </row>
    <row r="450" spans="10:16" s="21" customFormat="1" ht="14.25" x14ac:dyDescent="0.45">
      <c r="J450" s="27"/>
      <c r="K450" s="15"/>
      <c r="L450" s="15">
        <v>-0.63999999999999968</v>
      </c>
      <c r="M450" s="53" t="e">
        <v>#NAME?</v>
      </c>
      <c r="N450" s="15"/>
      <c r="O450" s="15"/>
      <c r="P450" s="15"/>
    </row>
    <row r="451" spans="10:16" s="21" customFormat="1" ht="14.25" x14ac:dyDescent="0.45">
      <c r="J451" s="27"/>
      <c r="K451" s="15"/>
      <c r="L451" s="15">
        <v>-0.62999999999999989</v>
      </c>
      <c r="M451" s="53" t="e">
        <v>#NAME?</v>
      </c>
      <c r="N451" s="15"/>
      <c r="O451" s="15"/>
      <c r="P451" s="15"/>
    </row>
    <row r="452" spans="10:16" s="21" customFormat="1" ht="14.25" x14ac:dyDescent="0.45">
      <c r="J452" s="27"/>
      <c r="K452" s="15"/>
      <c r="L452" s="15">
        <v>-0.62000000000000011</v>
      </c>
      <c r="M452" s="53" t="e">
        <v>#NAME?</v>
      </c>
      <c r="N452" s="15"/>
      <c r="O452" s="15"/>
      <c r="P452" s="15"/>
    </row>
    <row r="453" spans="10:16" s="21" customFormat="1" ht="14.25" x14ac:dyDescent="0.45">
      <c r="J453" s="27"/>
      <c r="K453" s="15"/>
      <c r="L453" s="15">
        <v>-0.61000000000000032</v>
      </c>
      <c r="M453" s="53" t="e">
        <v>#NAME?</v>
      </c>
      <c r="N453" s="15"/>
      <c r="O453" s="15"/>
      <c r="P453" s="15"/>
    </row>
    <row r="454" spans="10:16" s="21" customFormat="1" ht="14.25" x14ac:dyDescent="0.45">
      <c r="J454" s="27"/>
      <c r="K454" s="15"/>
      <c r="L454" s="15">
        <v>-0.59999999999999964</v>
      </c>
      <c r="M454" s="53" t="e">
        <v>#NAME?</v>
      </c>
      <c r="N454" s="15"/>
      <c r="O454" s="15"/>
      <c r="P454" s="15"/>
    </row>
    <row r="455" spans="10:16" s="21" customFormat="1" ht="14.25" x14ac:dyDescent="0.45">
      <c r="J455" s="27"/>
      <c r="K455" s="15"/>
      <c r="L455" s="15">
        <v>-0.58999999999999986</v>
      </c>
      <c r="M455" s="53" t="e">
        <v>#NAME?</v>
      </c>
      <c r="N455" s="15"/>
      <c r="O455" s="15"/>
      <c r="P455" s="15"/>
    </row>
    <row r="456" spans="10:16" s="21" customFormat="1" ht="14.25" x14ac:dyDescent="0.45">
      <c r="J456" s="27"/>
      <c r="K456" s="15"/>
      <c r="L456" s="15">
        <v>-0.58000000000000007</v>
      </c>
      <c r="M456" s="53" t="e">
        <v>#NAME?</v>
      </c>
      <c r="N456" s="15"/>
      <c r="O456" s="15"/>
      <c r="P456" s="15"/>
    </row>
    <row r="457" spans="10:16" s="21" customFormat="1" ht="14.25" x14ac:dyDescent="0.45">
      <c r="J457" s="27"/>
      <c r="K457" s="15"/>
      <c r="L457" s="15">
        <v>-0.57000000000000028</v>
      </c>
      <c r="M457" s="53" t="e">
        <v>#NAME?</v>
      </c>
      <c r="N457" s="15"/>
      <c r="O457" s="15"/>
      <c r="P457" s="15"/>
    </row>
    <row r="458" spans="10:16" s="21" customFormat="1" ht="14.25" x14ac:dyDescent="0.45">
      <c r="J458" s="27"/>
      <c r="K458" s="15"/>
      <c r="L458" s="15">
        <v>-0.55999999999999961</v>
      </c>
      <c r="M458" s="53" t="e">
        <v>#NAME?</v>
      </c>
      <c r="N458" s="15"/>
      <c r="O458" s="15"/>
      <c r="P458" s="15"/>
    </row>
    <row r="459" spans="10:16" s="21" customFormat="1" ht="14.25" x14ac:dyDescent="0.45">
      <c r="J459" s="27"/>
      <c r="K459" s="15"/>
      <c r="L459" s="15">
        <v>-0.54999999999999982</v>
      </c>
      <c r="M459" s="53" t="e">
        <v>#NAME?</v>
      </c>
      <c r="N459" s="15"/>
      <c r="O459" s="15"/>
      <c r="P459" s="15"/>
    </row>
    <row r="460" spans="10:16" s="21" customFormat="1" ht="14.25" x14ac:dyDescent="0.45">
      <c r="J460" s="27"/>
      <c r="K460" s="15"/>
      <c r="L460" s="15">
        <v>-0.54</v>
      </c>
      <c r="M460" s="53" t="e">
        <v>#NAME?</v>
      </c>
      <c r="N460" s="15"/>
      <c r="O460" s="15"/>
      <c r="P460" s="15"/>
    </row>
    <row r="461" spans="10:16" s="21" customFormat="1" ht="14.25" x14ac:dyDescent="0.45">
      <c r="J461" s="27"/>
      <c r="K461" s="15"/>
      <c r="L461" s="15">
        <v>-0.53000000000000025</v>
      </c>
      <c r="M461" s="53" t="e">
        <v>#NAME?</v>
      </c>
      <c r="N461" s="15"/>
      <c r="O461" s="15"/>
      <c r="P461" s="15"/>
    </row>
    <row r="462" spans="10:16" s="21" customFormat="1" ht="14.25" x14ac:dyDescent="0.45">
      <c r="J462" s="27"/>
      <c r="K462" s="15"/>
      <c r="L462" s="15">
        <v>-0.51999999999999957</v>
      </c>
      <c r="M462" s="53" t="e">
        <v>#NAME?</v>
      </c>
      <c r="N462" s="15"/>
      <c r="O462" s="15"/>
      <c r="P462" s="15"/>
    </row>
    <row r="463" spans="10:16" s="21" customFormat="1" ht="14.25" x14ac:dyDescent="0.45">
      <c r="J463" s="27"/>
      <c r="K463" s="15"/>
      <c r="L463" s="15">
        <v>-0.50999999999999979</v>
      </c>
      <c r="M463" s="53" t="e">
        <v>#NAME?</v>
      </c>
      <c r="N463" s="15"/>
      <c r="O463" s="15"/>
      <c r="P463" s="15"/>
    </row>
    <row r="464" spans="10:16" s="21" customFormat="1" ht="14.25" x14ac:dyDescent="0.45">
      <c r="J464" s="27"/>
      <c r="K464" s="15"/>
      <c r="L464" s="15">
        <v>-0.5</v>
      </c>
      <c r="M464" s="53" t="e">
        <v>#NAME?</v>
      </c>
      <c r="N464" s="15"/>
      <c r="O464" s="15"/>
      <c r="P464" s="15"/>
    </row>
    <row r="465" spans="10:16" s="21" customFormat="1" ht="14.25" x14ac:dyDescent="0.45">
      <c r="J465" s="27"/>
      <c r="K465" s="15"/>
      <c r="L465" s="15">
        <v>-0.49000000000000021</v>
      </c>
      <c r="M465" s="53" t="e">
        <v>#NAME?</v>
      </c>
      <c r="N465" s="15"/>
      <c r="O465" s="15"/>
      <c r="P465" s="15"/>
    </row>
    <row r="466" spans="10:16" s="21" customFormat="1" ht="14.25" x14ac:dyDescent="0.45">
      <c r="J466" s="27"/>
      <c r="K466" s="15"/>
      <c r="L466" s="15">
        <v>-0.47999999999999954</v>
      </c>
      <c r="M466" s="53" t="e">
        <v>#NAME?</v>
      </c>
      <c r="N466" s="15"/>
      <c r="O466" s="15"/>
      <c r="P466" s="15"/>
    </row>
    <row r="467" spans="10:16" s="21" customFormat="1" ht="14.25" x14ac:dyDescent="0.45">
      <c r="J467" s="27"/>
      <c r="K467" s="15"/>
      <c r="L467" s="15">
        <v>-0.46999999999999975</v>
      </c>
      <c r="M467" s="53" t="e">
        <v>#NAME?</v>
      </c>
      <c r="N467" s="15"/>
      <c r="O467" s="15"/>
      <c r="P467" s="15"/>
    </row>
    <row r="468" spans="10:16" s="21" customFormat="1" ht="14.25" x14ac:dyDescent="0.45">
      <c r="J468" s="27"/>
      <c r="K468" s="15"/>
      <c r="L468" s="15">
        <v>-0.45999999999999996</v>
      </c>
      <c r="M468" s="53" t="e">
        <v>#NAME?</v>
      </c>
      <c r="N468" s="15"/>
      <c r="O468" s="15"/>
      <c r="P468" s="15"/>
    </row>
    <row r="469" spans="10:16" s="21" customFormat="1" ht="14.25" x14ac:dyDescent="0.45">
      <c r="J469" s="27"/>
      <c r="K469" s="15"/>
      <c r="L469" s="15">
        <v>-0.45000000000000018</v>
      </c>
      <c r="M469" s="53" t="e">
        <v>#NAME?</v>
      </c>
      <c r="N469" s="15"/>
      <c r="O469" s="15"/>
      <c r="P469" s="15"/>
    </row>
    <row r="470" spans="10:16" s="21" customFormat="1" ht="14.25" x14ac:dyDescent="0.45">
      <c r="J470" s="27"/>
      <c r="K470" s="15"/>
      <c r="L470" s="15">
        <v>-0.4399999999999995</v>
      </c>
      <c r="M470" s="53" t="e">
        <v>#NAME?</v>
      </c>
      <c r="N470" s="15"/>
      <c r="O470" s="15"/>
      <c r="P470" s="15"/>
    </row>
    <row r="471" spans="10:16" s="21" customFormat="1" ht="14.25" x14ac:dyDescent="0.45">
      <c r="J471" s="27"/>
      <c r="K471" s="15"/>
      <c r="L471" s="15">
        <v>-0.42999999999999972</v>
      </c>
      <c r="M471" s="53" t="e">
        <v>#NAME?</v>
      </c>
      <c r="N471" s="15"/>
      <c r="O471" s="15"/>
      <c r="P471" s="15"/>
    </row>
    <row r="472" spans="10:16" s="21" customFormat="1" ht="14.25" x14ac:dyDescent="0.45">
      <c r="J472" s="27"/>
      <c r="K472" s="15"/>
      <c r="L472" s="15">
        <v>-0.41999999999999993</v>
      </c>
      <c r="M472" s="53" t="e">
        <v>#NAME?</v>
      </c>
      <c r="N472" s="15"/>
      <c r="O472" s="15"/>
      <c r="P472" s="15"/>
    </row>
    <row r="473" spans="10:16" s="21" customFormat="1" ht="14.25" x14ac:dyDescent="0.45">
      <c r="J473" s="27"/>
      <c r="K473" s="15"/>
      <c r="L473" s="15">
        <v>-0.41000000000000014</v>
      </c>
      <c r="M473" s="53" t="e">
        <v>#NAME?</v>
      </c>
      <c r="N473" s="15"/>
      <c r="O473" s="15"/>
      <c r="P473" s="15"/>
    </row>
    <row r="474" spans="10:16" s="21" customFormat="1" ht="14.25" x14ac:dyDescent="0.45">
      <c r="J474" s="27"/>
      <c r="K474" s="15"/>
      <c r="L474" s="15">
        <v>-0.39999999999999947</v>
      </c>
      <c r="M474" s="53" t="e">
        <v>#NAME?</v>
      </c>
      <c r="N474" s="15"/>
      <c r="O474" s="15"/>
      <c r="P474" s="15"/>
    </row>
    <row r="475" spans="10:16" s="21" customFormat="1" ht="14.25" x14ac:dyDescent="0.45">
      <c r="J475" s="27"/>
      <c r="K475" s="15"/>
      <c r="L475" s="15">
        <v>-0.38999999999999968</v>
      </c>
      <c r="M475" s="53" t="e">
        <v>#NAME?</v>
      </c>
      <c r="N475" s="15"/>
      <c r="O475" s="15"/>
      <c r="P475" s="15"/>
    </row>
    <row r="476" spans="10:16" s="21" customFormat="1" ht="14.25" x14ac:dyDescent="0.45">
      <c r="J476" s="27"/>
      <c r="K476" s="15"/>
      <c r="L476" s="15">
        <v>-0.37999999999999989</v>
      </c>
      <c r="M476" s="53" t="e">
        <v>#NAME?</v>
      </c>
      <c r="N476" s="15"/>
      <c r="O476" s="15"/>
      <c r="P476" s="15"/>
    </row>
    <row r="477" spans="10:16" s="21" customFormat="1" ht="14.25" x14ac:dyDescent="0.45">
      <c r="J477" s="27"/>
      <c r="K477" s="15"/>
      <c r="L477" s="15">
        <v>-0.37000000000000011</v>
      </c>
      <c r="M477" s="53" t="e">
        <v>#NAME?</v>
      </c>
      <c r="N477" s="15"/>
      <c r="O477" s="15"/>
      <c r="P477" s="15"/>
    </row>
    <row r="478" spans="10:16" s="21" customFormat="1" ht="14.25" x14ac:dyDescent="0.45">
      <c r="J478" s="27"/>
      <c r="K478" s="15"/>
      <c r="L478" s="15">
        <v>-0.36000000000000032</v>
      </c>
      <c r="M478" s="53" t="e">
        <v>#NAME?</v>
      </c>
      <c r="N478" s="15"/>
      <c r="O478" s="15"/>
      <c r="P478" s="15"/>
    </row>
    <row r="479" spans="10:16" s="21" customFormat="1" ht="14.25" x14ac:dyDescent="0.45">
      <c r="J479" s="27"/>
      <c r="K479" s="15"/>
      <c r="L479" s="15">
        <v>-0.34999999999999964</v>
      </c>
      <c r="M479" s="53" t="e">
        <v>#NAME?</v>
      </c>
      <c r="N479" s="15"/>
      <c r="O479" s="15"/>
      <c r="P479" s="15"/>
    </row>
    <row r="480" spans="10:16" s="21" customFormat="1" ht="14.25" x14ac:dyDescent="0.45">
      <c r="J480" s="27"/>
      <c r="K480" s="15"/>
      <c r="L480" s="15">
        <v>-0.33999999999999986</v>
      </c>
      <c r="M480" s="53" t="e">
        <v>#NAME?</v>
      </c>
      <c r="N480" s="15"/>
      <c r="O480" s="15"/>
      <c r="P480" s="15"/>
    </row>
    <row r="481" spans="10:16" s="21" customFormat="1" ht="14.25" x14ac:dyDescent="0.45">
      <c r="J481" s="27"/>
      <c r="K481" s="15"/>
      <c r="L481" s="15">
        <v>-0.33000000000000007</v>
      </c>
      <c r="M481" s="53" t="e">
        <v>#NAME?</v>
      </c>
      <c r="N481" s="15"/>
      <c r="O481" s="15"/>
      <c r="P481" s="15"/>
    </row>
    <row r="482" spans="10:16" s="21" customFormat="1" ht="14.25" x14ac:dyDescent="0.45">
      <c r="J482" s="27"/>
      <c r="K482" s="15"/>
      <c r="L482" s="15">
        <v>-0.32000000000000028</v>
      </c>
      <c r="M482" s="53" t="e">
        <v>#NAME?</v>
      </c>
      <c r="N482" s="15"/>
      <c r="O482" s="15"/>
      <c r="P482" s="15"/>
    </row>
    <row r="483" spans="10:16" s="21" customFormat="1" ht="14.25" x14ac:dyDescent="0.45">
      <c r="J483" s="27"/>
      <c r="K483" s="15"/>
      <c r="L483" s="15">
        <v>-0.30999999999999961</v>
      </c>
      <c r="M483" s="53" t="e">
        <v>#NAME?</v>
      </c>
      <c r="N483" s="15"/>
      <c r="O483" s="15"/>
      <c r="P483" s="15"/>
    </row>
    <row r="484" spans="10:16" s="21" customFormat="1" ht="14.25" x14ac:dyDescent="0.45">
      <c r="J484" s="27"/>
      <c r="K484" s="15"/>
      <c r="L484" s="15">
        <v>-0.29999999999999982</v>
      </c>
      <c r="M484" s="53" t="e">
        <v>#NAME?</v>
      </c>
      <c r="N484" s="15"/>
      <c r="O484" s="15"/>
      <c r="P484" s="15"/>
    </row>
    <row r="485" spans="10:16" s="21" customFormat="1" ht="14.25" x14ac:dyDescent="0.45">
      <c r="J485" s="27"/>
      <c r="K485" s="15"/>
      <c r="L485" s="15">
        <v>-0.29000000000000004</v>
      </c>
      <c r="M485" s="53" t="e">
        <v>#NAME?</v>
      </c>
      <c r="N485" s="15"/>
      <c r="O485" s="15"/>
      <c r="P485" s="15"/>
    </row>
    <row r="486" spans="10:16" s="21" customFormat="1" ht="14.25" x14ac:dyDescent="0.45">
      <c r="J486" s="27"/>
      <c r="K486" s="15"/>
      <c r="L486" s="15">
        <v>-0.28000000000000025</v>
      </c>
      <c r="M486" s="53" t="e">
        <v>#NAME?</v>
      </c>
      <c r="N486" s="15"/>
      <c r="O486" s="15"/>
      <c r="P486" s="15"/>
    </row>
    <row r="487" spans="10:16" s="21" customFormat="1" ht="14.25" x14ac:dyDescent="0.45">
      <c r="J487" s="27"/>
      <c r="K487" s="15"/>
      <c r="L487" s="15">
        <v>-0.26999999999999957</v>
      </c>
      <c r="M487" s="53" t="e">
        <v>#NAME?</v>
      </c>
      <c r="N487" s="15"/>
      <c r="O487" s="15"/>
      <c r="P487" s="15"/>
    </row>
    <row r="488" spans="10:16" s="21" customFormat="1" ht="14.25" x14ac:dyDescent="0.45">
      <c r="J488" s="27"/>
      <c r="K488" s="15"/>
      <c r="L488" s="15">
        <v>-0.25999999999999979</v>
      </c>
      <c r="M488" s="53" t="e">
        <v>#NAME?</v>
      </c>
      <c r="N488" s="15"/>
      <c r="O488" s="15"/>
      <c r="P488" s="15"/>
    </row>
    <row r="489" spans="10:16" s="21" customFormat="1" ht="14.25" x14ac:dyDescent="0.45">
      <c r="J489" s="27"/>
      <c r="K489" s="15"/>
      <c r="L489" s="15">
        <v>-0.25</v>
      </c>
      <c r="M489" s="53" t="e">
        <v>#NAME?</v>
      </c>
      <c r="N489" s="15"/>
      <c r="O489" s="15"/>
      <c r="P489" s="15"/>
    </row>
    <row r="490" spans="10:16" s="21" customFormat="1" ht="14.25" x14ac:dyDescent="0.45">
      <c r="J490" s="27"/>
      <c r="K490" s="15"/>
      <c r="L490" s="15">
        <v>-0.24000000000000021</v>
      </c>
      <c r="M490" s="53" t="e">
        <v>#NAME?</v>
      </c>
      <c r="N490" s="15"/>
      <c r="O490" s="15"/>
      <c r="P490" s="15"/>
    </row>
    <row r="491" spans="10:16" s="21" customFormat="1" ht="14.25" x14ac:dyDescent="0.45">
      <c r="J491" s="27"/>
      <c r="K491" s="15"/>
      <c r="L491" s="15">
        <v>-0.22999999999999954</v>
      </c>
      <c r="M491" s="53" t="e">
        <v>#NAME?</v>
      </c>
      <c r="N491" s="15"/>
      <c r="O491" s="15"/>
      <c r="P491" s="15"/>
    </row>
    <row r="492" spans="10:16" s="21" customFormat="1" ht="14.25" x14ac:dyDescent="0.45">
      <c r="J492" s="27"/>
      <c r="K492" s="15"/>
      <c r="L492" s="15">
        <v>-0.21999999999999975</v>
      </c>
      <c r="M492" s="53" t="e">
        <v>#NAME?</v>
      </c>
      <c r="N492" s="15"/>
      <c r="O492" s="15"/>
      <c r="P492" s="15"/>
    </row>
    <row r="493" spans="10:16" s="21" customFormat="1" ht="14.25" x14ac:dyDescent="0.45">
      <c r="J493" s="27"/>
      <c r="K493" s="15"/>
      <c r="L493" s="15">
        <v>-0.20999999999999996</v>
      </c>
      <c r="M493" s="53" t="e">
        <v>#NAME?</v>
      </c>
      <c r="N493" s="15"/>
      <c r="O493" s="15"/>
      <c r="P493" s="15"/>
    </row>
    <row r="494" spans="10:16" s="21" customFormat="1" ht="14.25" x14ac:dyDescent="0.45">
      <c r="J494" s="27"/>
      <c r="K494" s="15"/>
      <c r="L494" s="15">
        <v>-0.20000000000000018</v>
      </c>
      <c r="M494" s="53" t="e">
        <v>#NAME?</v>
      </c>
      <c r="N494" s="15"/>
      <c r="O494" s="15"/>
      <c r="P494" s="15"/>
    </row>
    <row r="495" spans="10:16" s="21" customFormat="1" ht="14.25" x14ac:dyDescent="0.45">
      <c r="J495" s="27"/>
      <c r="K495" s="15"/>
      <c r="L495" s="15">
        <v>-0.1899999999999995</v>
      </c>
      <c r="M495" s="53" t="e">
        <v>#NAME?</v>
      </c>
      <c r="N495" s="15"/>
      <c r="O495" s="15"/>
      <c r="P495" s="15"/>
    </row>
    <row r="496" spans="10:16" s="21" customFormat="1" ht="14.25" x14ac:dyDescent="0.45">
      <c r="J496" s="27"/>
      <c r="K496" s="15"/>
      <c r="L496" s="15">
        <v>-0.17999999999999972</v>
      </c>
      <c r="M496" s="53" t="e">
        <v>#NAME?</v>
      </c>
      <c r="N496" s="15"/>
      <c r="O496" s="15"/>
      <c r="P496" s="15"/>
    </row>
    <row r="497" spans="10:16" s="21" customFormat="1" ht="14.25" x14ac:dyDescent="0.45">
      <c r="J497" s="27"/>
      <c r="K497" s="15"/>
      <c r="L497" s="15">
        <v>-0.16999999999999993</v>
      </c>
      <c r="M497" s="53" t="e">
        <v>#NAME?</v>
      </c>
      <c r="N497" s="15"/>
      <c r="O497" s="15"/>
      <c r="P497" s="15"/>
    </row>
    <row r="498" spans="10:16" s="21" customFormat="1" ht="14.25" x14ac:dyDescent="0.45">
      <c r="J498" s="27"/>
      <c r="K498" s="15"/>
      <c r="L498" s="15">
        <v>-0.16000000000000014</v>
      </c>
      <c r="M498" s="53" t="e">
        <v>#NAME?</v>
      </c>
      <c r="N498" s="15"/>
      <c r="O498" s="15"/>
      <c r="P498" s="15"/>
    </row>
    <row r="499" spans="10:16" s="21" customFormat="1" ht="14.25" x14ac:dyDescent="0.45">
      <c r="J499" s="27"/>
      <c r="K499" s="15"/>
      <c r="L499" s="15">
        <v>-0.14999999999999947</v>
      </c>
      <c r="M499" s="53" t="e">
        <v>#NAME?</v>
      </c>
      <c r="N499" s="15"/>
      <c r="O499" s="15"/>
      <c r="P499" s="15"/>
    </row>
    <row r="500" spans="10:16" s="21" customFormat="1" ht="14.25" x14ac:dyDescent="0.45">
      <c r="J500" s="27"/>
      <c r="K500" s="15"/>
      <c r="L500" s="15">
        <v>-0.13999999999999968</v>
      </c>
      <c r="M500" s="53" t="e">
        <v>#NAME?</v>
      </c>
      <c r="N500" s="15"/>
      <c r="O500" s="15"/>
      <c r="P500" s="15"/>
    </row>
    <row r="501" spans="10:16" s="21" customFormat="1" ht="14.25" x14ac:dyDescent="0.45">
      <c r="J501" s="27"/>
      <c r="K501" s="15"/>
      <c r="L501" s="15">
        <v>-0.12999999999999989</v>
      </c>
      <c r="M501" s="53" t="e">
        <v>#NAME?</v>
      </c>
      <c r="N501" s="15"/>
      <c r="O501" s="15"/>
      <c r="P501" s="15"/>
    </row>
    <row r="502" spans="10:16" s="21" customFormat="1" ht="14.25" x14ac:dyDescent="0.45">
      <c r="J502" s="27"/>
      <c r="K502" s="15"/>
      <c r="L502" s="15">
        <v>-0.12000000000000011</v>
      </c>
      <c r="M502" s="53" t="e">
        <v>#NAME?</v>
      </c>
      <c r="N502" s="15"/>
      <c r="O502" s="15"/>
      <c r="P502" s="15"/>
    </row>
    <row r="503" spans="10:16" s="21" customFormat="1" ht="14.25" x14ac:dyDescent="0.45">
      <c r="J503" s="27"/>
      <c r="K503" s="15"/>
      <c r="L503" s="15">
        <v>-0.11000000000000032</v>
      </c>
      <c r="M503" s="53" t="e">
        <v>#NAME?</v>
      </c>
      <c r="N503" s="15"/>
      <c r="O503" s="15"/>
      <c r="P503" s="15"/>
    </row>
    <row r="504" spans="10:16" s="21" customFormat="1" ht="14.25" x14ac:dyDescent="0.45">
      <c r="J504" s="27"/>
      <c r="K504" s="15"/>
      <c r="L504" s="15">
        <v>-9.9999999999999645E-2</v>
      </c>
      <c r="M504" s="53" t="e">
        <v>#NAME?</v>
      </c>
      <c r="N504" s="15"/>
      <c r="O504" s="15"/>
      <c r="P504" s="15"/>
    </row>
    <row r="505" spans="10:16" s="21" customFormat="1" ht="14.25" x14ac:dyDescent="0.45">
      <c r="J505" s="27"/>
      <c r="K505" s="15"/>
      <c r="L505" s="15">
        <v>-8.9999999999999858E-2</v>
      </c>
      <c r="M505" s="53" t="e">
        <v>#NAME?</v>
      </c>
      <c r="N505" s="15"/>
      <c r="O505" s="15"/>
      <c r="P505" s="15"/>
    </row>
    <row r="506" spans="10:16" s="21" customFormat="1" ht="14.25" x14ac:dyDescent="0.45">
      <c r="J506" s="27"/>
      <c r="K506" s="15"/>
      <c r="L506" s="15">
        <v>-8.0000000000000071E-2</v>
      </c>
      <c r="M506" s="53" t="e">
        <v>#NAME?</v>
      </c>
      <c r="N506" s="15"/>
      <c r="O506" s="15"/>
      <c r="P506" s="15"/>
    </row>
    <row r="507" spans="10:16" s="21" customFormat="1" ht="14.25" x14ac:dyDescent="0.45">
      <c r="J507" s="27"/>
      <c r="K507" s="15"/>
      <c r="L507" s="15">
        <v>-7.0000000000000284E-2</v>
      </c>
      <c r="M507" s="53" t="e">
        <v>#NAME?</v>
      </c>
      <c r="N507" s="15"/>
      <c r="O507" s="15"/>
      <c r="P507" s="15"/>
    </row>
    <row r="508" spans="10:16" s="21" customFormat="1" ht="14.25" x14ac:dyDescent="0.45">
      <c r="J508" s="27"/>
      <c r="K508" s="15"/>
      <c r="L508" s="15">
        <v>-5.9999999999999609E-2</v>
      </c>
      <c r="M508" s="53" t="e">
        <v>#NAME?</v>
      </c>
      <c r="N508" s="15"/>
      <c r="O508" s="15"/>
      <c r="P508" s="15"/>
    </row>
    <row r="509" spans="10:16" s="21" customFormat="1" ht="14.25" x14ac:dyDescent="0.45">
      <c r="J509" s="27"/>
      <c r="K509" s="15"/>
      <c r="L509" s="15">
        <v>-4.9999999999999822E-2</v>
      </c>
      <c r="M509" s="53" t="e">
        <v>#NAME?</v>
      </c>
      <c r="N509" s="15"/>
      <c r="O509" s="15"/>
      <c r="P509" s="15"/>
    </row>
    <row r="510" spans="10:16" s="21" customFormat="1" ht="14.25" x14ac:dyDescent="0.45">
      <c r="J510" s="27"/>
      <c r="K510" s="15"/>
      <c r="L510" s="15">
        <v>-4.0000000000000036E-2</v>
      </c>
      <c r="M510" s="53" t="e">
        <v>#NAME?</v>
      </c>
      <c r="N510" s="15"/>
      <c r="O510" s="15"/>
      <c r="P510" s="15"/>
    </row>
    <row r="511" spans="10:16" s="21" customFormat="1" ht="14.25" x14ac:dyDescent="0.45">
      <c r="J511" s="27"/>
      <c r="K511" s="15"/>
      <c r="L511" s="15">
        <v>-3.0000000000000249E-2</v>
      </c>
      <c r="M511" s="53" t="e">
        <v>#NAME?</v>
      </c>
      <c r="N511" s="15"/>
      <c r="O511" s="15"/>
      <c r="P511" s="15"/>
    </row>
    <row r="512" spans="10:16" s="21" customFormat="1" ht="14.25" x14ac:dyDescent="0.45">
      <c r="J512" s="27"/>
      <c r="K512" s="15"/>
      <c r="L512" s="15">
        <v>-1.9999999999999574E-2</v>
      </c>
      <c r="M512" s="53" t="e">
        <v>#NAME?</v>
      </c>
      <c r="N512" s="15"/>
      <c r="O512" s="15"/>
      <c r="P512" s="15"/>
    </row>
    <row r="513" spans="10:16" s="21" customFormat="1" ht="14.25" x14ac:dyDescent="0.45">
      <c r="J513" s="27"/>
      <c r="K513" s="15"/>
      <c r="L513" s="15">
        <v>-9.9999999999997868E-3</v>
      </c>
      <c r="M513" s="53" t="e">
        <v>#NAME?</v>
      </c>
      <c r="N513" s="15"/>
      <c r="O513" s="15"/>
      <c r="P513" s="15"/>
    </row>
    <row r="514" spans="10:16" s="21" customFormat="1" ht="14.25" x14ac:dyDescent="0.45">
      <c r="J514" s="27"/>
      <c r="K514" s="15"/>
      <c r="L514" s="15">
        <v>0</v>
      </c>
      <c r="M514" s="53" t="e">
        <v>#NAME?</v>
      </c>
      <c r="N514" s="15"/>
      <c r="O514" s="15"/>
      <c r="P514" s="15"/>
    </row>
    <row r="515" spans="10:16" s="21" customFormat="1" ht="14.25" x14ac:dyDescent="0.45">
      <c r="J515" s="27"/>
      <c r="K515" s="15"/>
      <c r="L515" s="15">
        <v>9.9999999999997868E-3</v>
      </c>
      <c r="M515" s="53" t="e">
        <v>#NAME?</v>
      </c>
      <c r="N515" s="15"/>
      <c r="O515" s="15"/>
      <c r="P515" s="15"/>
    </row>
    <row r="516" spans="10:16" s="21" customFormat="1" ht="14.25" x14ac:dyDescent="0.45">
      <c r="J516" s="27"/>
      <c r="K516" s="15"/>
      <c r="L516" s="15">
        <v>2.0000000000000462E-2</v>
      </c>
      <c r="M516" s="53" t="e">
        <v>#NAME?</v>
      </c>
      <c r="N516" s="15"/>
      <c r="O516" s="15"/>
      <c r="P516" s="15"/>
    </row>
    <row r="517" spans="10:16" s="21" customFormat="1" ht="14.25" x14ac:dyDescent="0.45">
      <c r="J517" s="27"/>
      <c r="K517" s="15"/>
      <c r="L517" s="15">
        <v>3.0000000000000249E-2</v>
      </c>
      <c r="M517" s="53" t="e">
        <v>#NAME?</v>
      </c>
      <c r="N517" s="15"/>
      <c r="O517" s="15"/>
      <c r="P517" s="15"/>
    </row>
    <row r="518" spans="10:16" s="21" customFormat="1" ht="14.25" x14ac:dyDescent="0.45">
      <c r="J518" s="27"/>
      <c r="K518" s="15"/>
      <c r="L518" s="15">
        <v>4.0000000000000036E-2</v>
      </c>
      <c r="M518" s="53" t="e">
        <v>#NAME?</v>
      </c>
      <c r="N518" s="15"/>
      <c r="O518" s="15"/>
      <c r="P518" s="15"/>
    </row>
    <row r="519" spans="10:16" s="21" customFormat="1" ht="14.25" x14ac:dyDescent="0.45">
      <c r="J519" s="27"/>
      <c r="K519" s="15"/>
      <c r="L519" s="15">
        <v>4.9999999999999822E-2</v>
      </c>
      <c r="M519" s="53" t="e">
        <v>#NAME?</v>
      </c>
      <c r="N519" s="15"/>
      <c r="O519" s="15"/>
      <c r="P519" s="15"/>
    </row>
    <row r="520" spans="10:16" s="21" customFormat="1" ht="14.25" x14ac:dyDescent="0.45">
      <c r="J520" s="27"/>
      <c r="K520" s="15"/>
      <c r="L520" s="15">
        <v>6.0000000000000497E-2</v>
      </c>
      <c r="M520" s="53" t="e">
        <v>#NAME?</v>
      </c>
      <c r="N520" s="15"/>
      <c r="O520" s="15"/>
      <c r="P520" s="15"/>
    </row>
    <row r="521" spans="10:16" s="21" customFormat="1" ht="14.25" x14ac:dyDescent="0.45">
      <c r="J521" s="27"/>
      <c r="K521" s="15"/>
      <c r="L521" s="15">
        <v>7.0000000000000284E-2</v>
      </c>
      <c r="M521" s="53" t="e">
        <v>#NAME?</v>
      </c>
      <c r="N521" s="15"/>
      <c r="O521" s="15"/>
      <c r="P521" s="15"/>
    </row>
    <row r="522" spans="10:16" s="21" customFormat="1" ht="14.25" x14ac:dyDescent="0.45">
      <c r="J522" s="27"/>
      <c r="K522" s="15"/>
      <c r="L522" s="15">
        <v>8.0000000000000071E-2</v>
      </c>
      <c r="M522" s="53" t="e">
        <v>#NAME?</v>
      </c>
      <c r="N522" s="15"/>
      <c r="O522" s="15"/>
      <c r="P522" s="15"/>
    </row>
    <row r="523" spans="10:16" s="21" customFormat="1" ht="14.25" x14ac:dyDescent="0.45">
      <c r="J523" s="27"/>
      <c r="K523" s="15"/>
      <c r="L523" s="15">
        <v>8.9999999999999858E-2</v>
      </c>
      <c r="M523" s="53" t="e">
        <v>#NAME?</v>
      </c>
      <c r="N523" s="15"/>
      <c r="O523" s="15"/>
      <c r="P523" s="15"/>
    </row>
    <row r="524" spans="10:16" s="21" customFormat="1" ht="14.25" x14ac:dyDescent="0.45">
      <c r="J524" s="27"/>
      <c r="K524" s="15"/>
      <c r="L524" s="15">
        <v>0.10000000000000053</v>
      </c>
      <c r="M524" s="53" t="e">
        <v>#NAME?</v>
      </c>
      <c r="N524" s="15"/>
      <c r="O524" s="15"/>
      <c r="P524" s="15"/>
    </row>
    <row r="525" spans="10:16" s="21" customFormat="1" ht="14.25" x14ac:dyDescent="0.45">
      <c r="J525" s="27"/>
      <c r="K525" s="15"/>
      <c r="L525" s="15">
        <v>0.11000000000000032</v>
      </c>
      <c r="M525" s="53" t="e">
        <v>#NAME?</v>
      </c>
      <c r="N525" s="15"/>
      <c r="O525" s="15"/>
      <c r="P525" s="15"/>
    </row>
    <row r="526" spans="10:16" s="21" customFormat="1" ht="14.25" x14ac:dyDescent="0.45">
      <c r="J526" s="27"/>
      <c r="K526" s="15"/>
      <c r="L526" s="15">
        <v>0.12000000000000011</v>
      </c>
      <c r="M526" s="53" t="e">
        <v>#NAME?</v>
      </c>
      <c r="N526" s="15"/>
      <c r="O526" s="15"/>
      <c r="P526" s="15"/>
    </row>
    <row r="527" spans="10:16" s="21" customFormat="1" ht="14.25" x14ac:dyDescent="0.45">
      <c r="J527" s="27"/>
      <c r="K527" s="15"/>
      <c r="L527" s="15">
        <v>0.12999999999999989</v>
      </c>
      <c r="M527" s="53" t="e">
        <v>#NAME?</v>
      </c>
      <c r="N527" s="15"/>
      <c r="O527" s="15"/>
      <c r="P527" s="15"/>
    </row>
    <row r="528" spans="10:16" s="21" customFormat="1" ht="14.25" x14ac:dyDescent="0.45">
      <c r="J528" s="27"/>
      <c r="K528" s="15"/>
      <c r="L528" s="15">
        <v>0.13999999999999968</v>
      </c>
      <c r="M528" s="53" t="e">
        <v>#NAME?</v>
      </c>
      <c r="N528" s="15"/>
      <c r="O528" s="15"/>
      <c r="P528" s="15"/>
    </row>
    <row r="529" spans="10:16" s="21" customFormat="1" ht="14.25" x14ac:dyDescent="0.45">
      <c r="J529" s="27"/>
      <c r="K529" s="15"/>
      <c r="L529" s="15">
        <v>0.15000000000000036</v>
      </c>
      <c r="M529" s="53" t="e">
        <v>#NAME?</v>
      </c>
      <c r="N529" s="15"/>
      <c r="O529" s="15"/>
      <c r="P529" s="15"/>
    </row>
    <row r="530" spans="10:16" s="21" customFormat="1" ht="14.25" x14ac:dyDescent="0.45">
      <c r="J530" s="27"/>
      <c r="K530" s="15"/>
      <c r="L530" s="15">
        <v>0.16000000000000014</v>
      </c>
      <c r="M530" s="53" t="e">
        <v>#NAME?</v>
      </c>
      <c r="N530" s="15"/>
      <c r="O530" s="15"/>
      <c r="P530" s="15"/>
    </row>
    <row r="531" spans="10:16" s="21" customFormat="1" ht="14.25" x14ac:dyDescent="0.45">
      <c r="J531" s="27"/>
      <c r="K531" s="15"/>
      <c r="L531" s="15">
        <v>0.16999999999999993</v>
      </c>
      <c r="M531" s="53" t="e">
        <v>#NAME?</v>
      </c>
      <c r="N531" s="15"/>
      <c r="O531" s="15"/>
      <c r="P531" s="15"/>
    </row>
    <row r="532" spans="10:16" s="21" customFormat="1" ht="14.25" x14ac:dyDescent="0.45">
      <c r="J532" s="27"/>
      <c r="K532" s="15"/>
      <c r="L532" s="15">
        <v>0.17999999999999972</v>
      </c>
      <c r="M532" s="53" t="e">
        <v>#NAME?</v>
      </c>
      <c r="N532" s="15"/>
      <c r="O532" s="15"/>
      <c r="P532" s="15"/>
    </row>
    <row r="533" spans="10:16" s="21" customFormat="1" ht="14.25" x14ac:dyDescent="0.45">
      <c r="J533" s="27"/>
      <c r="K533" s="15"/>
      <c r="L533" s="15">
        <v>0.19000000000000039</v>
      </c>
      <c r="M533" s="53" t="e">
        <v>#NAME?</v>
      </c>
      <c r="N533" s="15"/>
      <c r="O533" s="15"/>
      <c r="P533" s="15"/>
    </row>
    <row r="534" spans="10:16" s="21" customFormat="1" ht="14.25" x14ac:dyDescent="0.45">
      <c r="J534" s="27"/>
      <c r="K534" s="15"/>
      <c r="L534" s="15">
        <v>0.20000000000000018</v>
      </c>
      <c r="M534" s="53" t="e">
        <v>#NAME?</v>
      </c>
      <c r="N534" s="15"/>
      <c r="O534" s="15"/>
      <c r="P534" s="15"/>
    </row>
    <row r="535" spans="10:16" s="21" customFormat="1" ht="14.25" x14ac:dyDescent="0.45">
      <c r="J535" s="27"/>
      <c r="K535" s="15"/>
      <c r="L535" s="15">
        <v>0.20999999999999996</v>
      </c>
      <c r="M535" s="53" t="e">
        <v>#NAME?</v>
      </c>
      <c r="N535" s="15"/>
      <c r="O535" s="15"/>
      <c r="P535" s="15"/>
    </row>
    <row r="536" spans="10:16" s="21" customFormat="1" ht="14.25" x14ac:dyDescent="0.45">
      <c r="J536" s="27"/>
      <c r="K536" s="15"/>
      <c r="L536" s="15">
        <v>0.21999999999999975</v>
      </c>
      <c r="M536" s="53" t="e">
        <v>#NAME?</v>
      </c>
      <c r="N536" s="15"/>
      <c r="O536" s="15"/>
      <c r="P536" s="15"/>
    </row>
    <row r="537" spans="10:16" s="21" customFormat="1" ht="14.25" x14ac:dyDescent="0.45">
      <c r="J537" s="27"/>
      <c r="K537" s="15"/>
      <c r="L537" s="15">
        <v>0.23000000000000043</v>
      </c>
      <c r="M537" s="53" t="e">
        <v>#NAME?</v>
      </c>
      <c r="N537" s="15"/>
      <c r="O537" s="15"/>
      <c r="P537" s="15"/>
    </row>
    <row r="538" spans="10:16" s="21" customFormat="1" ht="14.25" x14ac:dyDescent="0.45">
      <c r="J538" s="27"/>
      <c r="K538" s="15"/>
      <c r="L538" s="15">
        <v>0.24000000000000021</v>
      </c>
      <c r="M538" s="53" t="e">
        <v>#NAME?</v>
      </c>
      <c r="N538" s="15"/>
      <c r="O538" s="15"/>
      <c r="P538" s="15"/>
    </row>
    <row r="539" spans="10:16" s="21" customFormat="1" ht="14.25" x14ac:dyDescent="0.45">
      <c r="J539" s="27"/>
      <c r="K539" s="15"/>
      <c r="L539" s="15">
        <v>0.25</v>
      </c>
      <c r="M539" s="53" t="e">
        <v>#NAME?</v>
      </c>
      <c r="N539" s="15"/>
      <c r="O539" s="15"/>
      <c r="P539" s="15"/>
    </row>
    <row r="540" spans="10:16" s="21" customFormat="1" ht="14.25" x14ac:dyDescent="0.45">
      <c r="J540" s="27"/>
      <c r="K540" s="15"/>
      <c r="L540" s="15">
        <v>0.25999999999999979</v>
      </c>
      <c r="M540" s="53" t="e">
        <v>#NAME?</v>
      </c>
      <c r="N540" s="15"/>
      <c r="O540" s="15"/>
      <c r="P540" s="15"/>
    </row>
    <row r="541" spans="10:16" s="21" customFormat="1" ht="14.25" x14ac:dyDescent="0.45">
      <c r="J541" s="27"/>
      <c r="K541" s="15"/>
      <c r="L541" s="15">
        <v>0.27000000000000046</v>
      </c>
      <c r="M541" s="53" t="e">
        <v>#NAME?</v>
      </c>
      <c r="N541" s="15"/>
      <c r="O541" s="15"/>
      <c r="P541" s="15"/>
    </row>
    <row r="542" spans="10:16" s="21" customFormat="1" ht="14.25" x14ac:dyDescent="0.45">
      <c r="J542" s="27"/>
      <c r="K542" s="15"/>
      <c r="L542" s="15">
        <v>0.28000000000000025</v>
      </c>
      <c r="M542" s="53" t="e">
        <v>#NAME?</v>
      </c>
      <c r="N542" s="15"/>
      <c r="O542" s="15"/>
      <c r="P542" s="15"/>
    </row>
    <row r="543" spans="10:16" s="21" customFormat="1" ht="14.25" x14ac:dyDescent="0.45">
      <c r="J543" s="27"/>
      <c r="K543" s="15"/>
      <c r="L543" s="15">
        <v>0.29000000000000004</v>
      </c>
      <c r="M543" s="53" t="e">
        <v>#NAME?</v>
      </c>
      <c r="N543" s="15"/>
      <c r="O543" s="15"/>
      <c r="P543" s="15"/>
    </row>
    <row r="544" spans="10:16" s="21" customFormat="1" ht="14.25" x14ac:dyDescent="0.45">
      <c r="J544" s="27"/>
      <c r="K544" s="15"/>
      <c r="L544" s="15">
        <v>0.29999999999999982</v>
      </c>
      <c r="M544" s="53" t="e">
        <v>#NAME?</v>
      </c>
      <c r="N544" s="15"/>
      <c r="O544" s="15"/>
      <c r="P544" s="15"/>
    </row>
    <row r="545" spans="10:16" s="21" customFormat="1" ht="14.25" x14ac:dyDescent="0.45">
      <c r="J545" s="27"/>
      <c r="K545" s="15"/>
      <c r="L545" s="15">
        <v>0.3100000000000005</v>
      </c>
      <c r="M545" s="53" t="e">
        <v>#NAME?</v>
      </c>
      <c r="N545" s="15"/>
      <c r="O545" s="15"/>
      <c r="P545" s="15"/>
    </row>
    <row r="546" spans="10:16" s="21" customFormat="1" ht="14.25" x14ac:dyDescent="0.45">
      <c r="J546" s="27"/>
      <c r="K546" s="15"/>
      <c r="L546" s="15">
        <v>0.32000000000000028</v>
      </c>
      <c r="M546" s="53" t="e">
        <v>#NAME?</v>
      </c>
      <c r="N546" s="15"/>
      <c r="O546" s="15"/>
      <c r="P546" s="15"/>
    </row>
    <row r="547" spans="10:16" s="21" customFormat="1" ht="14.25" x14ac:dyDescent="0.45">
      <c r="J547" s="27"/>
      <c r="K547" s="15"/>
      <c r="L547" s="15">
        <v>0.33000000000000007</v>
      </c>
      <c r="M547" s="53" t="e">
        <v>#NAME?</v>
      </c>
      <c r="N547" s="15"/>
      <c r="O547" s="15"/>
      <c r="P547" s="15"/>
    </row>
    <row r="548" spans="10:16" s="21" customFormat="1" ht="14.25" x14ac:dyDescent="0.45">
      <c r="J548" s="27"/>
      <c r="K548" s="15"/>
      <c r="L548" s="15">
        <v>0.33999999999999986</v>
      </c>
      <c r="M548" s="53" t="e">
        <v>#NAME?</v>
      </c>
      <c r="N548" s="15"/>
      <c r="O548" s="15"/>
      <c r="P548" s="15"/>
    </row>
    <row r="549" spans="10:16" s="21" customFormat="1" ht="14.25" x14ac:dyDescent="0.45">
      <c r="J549" s="27"/>
      <c r="K549" s="15"/>
      <c r="L549" s="15">
        <v>0.35000000000000053</v>
      </c>
      <c r="M549" s="53" t="e">
        <v>#NAME?</v>
      </c>
      <c r="N549" s="15"/>
      <c r="O549" s="15"/>
      <c r="P549" s="15"/>
    </row>
    <row r="550" spans="10:16" s="21" customFormat="1" ht="14.25" x14ac:dyDescent="0.45">
      <c r="J550" s="27"/>
      <c r="K550" s="15"/>
      <c r="L550" s="15">
        <v>0.36000000000000032</v>
      </c>
      <c r="M550" s="53" t="e">
        <v>#NAME?</v>
      </c>
      <c r="N550" s="15"/>
      <c r="O550" s="15"/>
      <c r="P550" s="15"/>
    </row>
    <row r="551" spans="10:16" s="21" customFormat="1" ht="14.25" x14ac:dyDescent="0.45">
      <c r="J551" s="27"/>
      <c r="K551" s="15"/>
      <c r="L551" s="15">
        <v>0.37000000000000011</v>
      </c>
      <c r="M551" s="53" t="e">
        <v>#NAME?</v>
      </c>
      <c r="N551" s="15"/>
      <c r="O551" s="15"/>
      <c r="P551" s="15"/>
    </row>
    <row r="552" spans="10:16" s="21" customFormat="1" ht="14.25" x14ac:dyDescent="0.45">
      <c r="J552" s="27"/>
      <c r="K552" s="15"/>
      <c r="L552" s="15">
        <v>0.37999999999999989</v>
      </c>
      <c r="M552" s="53" t="e">
        <v>#NAME?</v>
      </c>
      <c r="N552" s="15"/>
      <c r="O552" s="15"/>
      <c r="P552" s="15"/>
    </row>
    <row r="553" spans="10:16" s="21" customFormat="1" ht="14.25" x14ac:dyDescent="0.45">
      <c r="J553" s="27"/>
      <c r="K553" s="15"/>
      <c r="L553" s="15">
        <v>0.38999999999999968</v>
      </c>
      <c r="M553" s="53" t="e">
        <v>#NAME?</v>
      </c>
      <c r="N553" s="15"/>
      <c r="O553" s="15"/>
      <c r="P553" s="15"/>
    </row>
    <row r="554" spans="10:16" s="21" customFormat="1" ht="14.25" x14ac:dyDescent="0.45">
      <c r="J554" s="27"/>
      <c r="K554" s="15"/>
      <c r="L554" s="15">
        <v>0.40000000000000036</v>
      </c>
      <c r="M554" s="53" t="e">
        <v>#NAME?</v>
      </c>
      <c r="N554" s="15"/>
      <c r="O554" s="15"/>
      <c r="P554" s="15"/>
    </row>
    <row r="555" spans="10:16" s="21" customFormat="1" ht="14.25" x14ac:dyDescent="0.45">
      <c r="J555" s="27"/>
      <c r="K555" s="15"/>
      <c r="L555" s="15">
        <v>0.41000000000000014</v>
      </c>
      <c r="M555" s="53" t="e">
        <v>#NAME?</v>
      </c>
      <c r="N555" s="15"/>
      <c r="O555" s="15"/>
      <c r="P555" s="15"/>
    </row>
    <row r="556" spans="10:16" s="21" customFormat="1" ht="14.25" x14ac:dyDescent="0.45">
      <c r="J556" s="27"/>
      <c r="K556" s="15"/>
      <c r="L556" s="15">
        <v>0.41999999999999993</v>
      </c>
      <c r="M556" s="53" t="e">
        <v>#NAME?</v>
      </c>
      <c r="N556" s="15"/>
      <c r="O556" s="15"/>
      <c r="P556" s="15"/>
    </row>
    <row r="557" spans="10:16" s="21" customFormat="1" ht="14.25" x14ac:dyDescent="0.45">
      <c r="J557" s="27"/>
      <c r="K557" s="15"/>
      <c r="L557" s="15">
        <v>0.42999999999999972</v>
      </c>
      <c r="M557" s="53" t="e">
        <v>#NAME?</v>
      </c>
      <c r="N557" s="15"/>
      <c r="O557" s="15"/>
      <c r="P557" s="15"/>
    </row>
    <row r="558" spans="10:16" s="21" customFormat="1" ht="14.25" x14ac:dyDescent="0.45">
      <c r="J558" s="27"/>
      <c r="K558" s="15"/>
      <c r="L558" s="15">
        <v>0.44000000000000039</v>
      </c>
      <c r="M558" s="53" t="e">
        <v>#NAME?</v>
      </c>
      <c r="N558" s="15"/>
      <c r="O558" s="15"/>
      <c r="P558" s="15"/>
    </row>
    <row r="559" spans="10:16" s="21" customFormat="1" ht="14.25" x14ac:dyDescent="0.45">
      <c r="J559" s="27"/>
      <c r="K559" s="15"/>
      <c r="L559" s="15">
        <v>0.45000000000000018</v>
      </c>
      <c r="M559" s="53" t="e">
        <v>#NAME?</v>
      </c>
      <c r="N559" s="15"/>
      <c r="O559" s="15"/>
      <c r="P559" s="15"/>
    </row>
    <row r="560" spans="10:16" s="21" customFormat="1" ht="14.25" x14ac:dyDescent="0.45">
      <c r="J560" s="27"/>
      <c r="K560" s="15"/>
      <c r="L560" s="15">
        <v>0.45999999999999996</v>
      </c>
      <c r="M560" s="53" t="e">
        <v>#NAME?</v>
      </c>
      <c r="N560" s="15"/>
      <c r="O560" s="15"/>
      <c r="P560" s="15"/>
    </row>
    <row r="561" spans="10:16" s="21" customFormat="1" ht="14.25" x14ac:dyDescent="0.45">
      <c r="J561" s="27"/>
      <c r="K561" s="15"/>
      <c r="L561" s="15">
        <v>0.46999999999999975</v>
      </c>
      <c r="M561" s="53" t="e">
        <v>#NAME?</v>
      </c>
      <c r="N561" s="15"/>
      <c r="O561" s="15"/>
      <c r="P561" s="15"/>
    </row>
    <row r="562" spans="10:16" s="21" customFormat="1" ht="14.25" x14ac:dyDescent="0.45">
      <c r="J562" s="27"/>
      <c r="K562" s="15"/>
      <c r="L562" s="15">
        <v>0.48000000000000043</v>
      </c>
      <c r="M562" s="53" t="e">
        <v>#NAME?</v>
      </c>
      <c r="N562" s="15"/>
      <c r="O562" s="15"/>
      <c r="P562" s="15"/>
    </row>
    <row r="563" spans="10:16" s="21" customFormat="1" ht="14.25" x14ac:dyDescent="0.45">
      <c r="J563" s="27"/>
      <c r="K563" s="15"/>
      <c r="L563" s="15">
        <v>0.49000000000000021</v>
      </c>
      <c r="M563" s="53" t="e">
        <v>#NAME?</v>
      </c>
      <c r="N563" s="15"/>
      <c r="O563" s="15"/>
      <c r="P563" s="15"/>
    </row>
    <row r="564" spans="10:16" s="21" customFormat="1" ht="14.25" x14ac:dyDescent="0.45">
      <c r="J564" s="27"/>
      <c r="K564" s="15"/>
      <c r="L564" s="15">
        <v>0.5</v>
      </c>
      <c r="M564" s="53" t="e">
        <v>#NAME?</v>
      </c>
      <c r="N564" s="15"/>
      <c r="O564" s="15"/>
      <c r="P564" s="15"/>
    </row>
    <row r="565" spans="10:16" s="21" customFormat="1" ht="14.25" x14ac:dyDescent="0.45">
      <c r="J565" s="27"/>
      <c r="K565" s="15"/>
      <c r="L565" s="15">
        <v>0.50999999999999979</v>
      </c>
      <c r="M565" s="53" t="e">
        <v>#NAME?</v>
      </c>
      <c r="N565" s="15"/>
      <c r="O565" s="15"/>
      <c r="P565" s="15"/>
    </row>
    <row r="566" spans="10:16" s="21" customFormat="1" ht="14.25" x14ac:dyDescent="0.45">
      <c r="J566" s="27"/>
      <c r="K566" s="15"/>
      <c r="L566" s="15">
        <v>0.52000000000000046</v>
      </c>
      <c r="M566" s="53" t="e">
        <v>#NAME?</v>
      </c>
      <c r="N566" s="15"/>
      <c r="O566" s="15"/>
      <c r="P566" s="15"/>
    </row>
    <row r="567" spans="10:16" s="21" customFormat="1" ht="14.25" x14ac:dyDescent="0.45">
      <c r="J567" s="27"/>
      <c r="K567" s="15"/>
      <c r="L567" s="15">
        <v>0.53000000000000025</v>
      </c>
      <c r="M567" s="53" t="e">
        <v>#NAME?</v>
      </c>
      <c r="N567" s="15"/>
      <c r="O567" s="15"/>
      <c r="P567" s="15"/>
    </row>
    <row r="568" spans="10:16" s="21" customFormat="1" ht="14.25" x14ac:dyDescent="0.45">
      <c r="J568" s="27"/>
      <c r="K568" s="15"/>
      <c r="L568" s="15">
        <v>0.54</v>
      </c>
      <c r="M568" s="53" t="e">
        <v>#NAME?</v>
      </c>
      <c r="N568" s="15"/>
      <c r="O568" s="15"/>
      <c r="P568" s="15"/>
    </row>
    <row r="569" spans="10:16" s="21" customFormat="1" ht="14.25" x14ac:dyDescent="0.45">
      <c r="J569" s="27"/>
      <c r="K569" s="15"/>
      <c r="L569" s="15">
        <v>0.54999999999999982</v>
      </c>
      <c r="M569" s="53" t="e">
        <v>#NAME?</v>
      </c>
      <c r="N569" s="15"/>
      <c r="O569" s="15"/>
      <c r="P569" s="15"/>
    </row>
    <row r="570" spans="10:16" s="21" customFormat="1" ht="14.25" x14ac:dyDescent="0.45">
      <c r="J570" s="27"/>
      <c r="K570" s="15"/>
      <c r="L570" s="15">
        <v>0.5600000000000005</v>
      </c>
      <c r="M570" s="53" t="e">
        <v>#NAME?</v>
      </c>
      <c r="N570" s="15"/>
      <c r="O570" s="15"/>
      <c r="P570" s="15"/>
    </row>
    <row r="571" spans="10:16" s="21" customFormat="1" ht="14.25" x14ac:dyDescent="0.45">
      <c r="J571" s="27"/>
      <c r="K571" s="15"/>
      <c r="L571" s="15">
        <v>0.57000000000000028</v>
      </c>
      <c r="M571" s="53" t="e">
        <v>#NAME?</v>
      </c>
      <c r="N571" s="15"/>
      <c r="O571" s="15"/>
      <c r="P571" s="15"/>
    </row>
    <row r="572" spans="10:16" s="21" customFormat="1" ht="14.25" x14ac:dyDescent="0.45">
      <c r="J572" s="27"/>
      <c r="K572" s="15"/>
      <c r="L572" s="15">
        <v>0.58000000000000007</v>
      </c>
      <c r="M572" s="53" t="e">
        <v>#NAME?</v>
      </c>
      <c r="N572" s="15"/>
      <c r="O572" s="15"/>
      <c r="P572" s="15"/>
    </row>
    <row r="573" spans="10:16" s="21" customFormat="1" ht="14.25" x14ac:dyDescent="0.45">
      <c r="J573" s="27"/>
      <c r="K573" s="15"/>
      <c r="L573" s="15">
        <v>0.58999999999999986</v>
      </c>
      <c r="M573" s="53" t="e">
        <v>#NAME?</v>
      </c>
      <c r="N573" s="15"/>
      <c r="O573" s="15"/>
      <c r="P573" s="15"/>
    </row>
    <row r="574" spans="10:16" s="21" customFormat="1" ht="14.25" x14ac:dyDescent="0.45">
      <c r="J574" s="27"/>
      <c r="K574" s="15"/>
      <c r="L574" s="15">
        <v>0.60000000000000053</v>
      </c>
      <c r="M574" s="53" t="e">
        <v>#NAME?</v>
      </c>
      <c r="N574" s="15"/>
      <c r="O574" s="15"/>
      <c r="P574" s="15"/>
    </row>
    <row r="575" spans="10:16" s="21" customFormat="1" ht="14.25" x14ac:dyDescent="0.45">
      <c r="J575" s="27"/>
      <c r="K575" s="15"/>
      <c r="L575" s="15">
        <v>0.61000000000000032</v>
      </c>
      <c r="M575" s="53" t="e">
        <v>#NAME?</v>
      </c>
      <c r="N575" s="15"/>
      <c r="O575" s="15"/>
      <c r="P575" s="15"/>
    </row>
    <row r="576" spans="10:16" s="21" customFormat="1" ht="14.25" x14ac:dyDescent="0.45">
      <c r="J576" s="27"/>
      <c r="K576" s="15"/>
      <c r="L576" s="15">
        <v>0.62000000000000011</v>
      </c>
      <c r="M576" s="53" t="e">
        <v>#NAME?</v>
      </c>
      <c r="N576" s="15"/>
      <c r="O576" s="15"/>
      <c r="P576" s="15"/>
    </row>
    <row r="577" spans="10:16" s="21" customFormat="1" ht="14.25" x14ac:dyDescent="0.45">
      <c r="J577" s="27"/>
      <c r="K577" s="15"/>
      <c r="L577" s="15">
        <v>0.62999999999999989</v>
      </c>
      <c r="M577" s="53" t="e">
        <v>#NAME?</v>
      </c>
      <c r="N577" s="15"/>
      <c r="O577" s="15"/>
      <c r="P577" s="15"/>
    </row>
    <row r="578" spans="10:16" s="21" customFormat="1" ht="14.25" x14ac:dyDescent="0.45">
      <c r="J578" s="27"/>
      <c r="K578" s="15"/>
      <c r="L578" s="15">
        <v>0.63999999999999968</v>
      </c>
      <c r="M578" s="53" t="e">
        <v>#NAME?</v>
      </c>
      <c r="N578" s="15"/>
      <c r="O578" s="15"/>
      <c r="P578" s="15"/>
    </row>
    <row r="579" spans="10:16" s="21" customFormat="1" ht="14.25" x14ac:dyDescent="0.45">
      <c r="J579" s="27"/>
      <c r="K579" s="15"/>
      <c r="L579" s="15">
        <v>0.65000000000000036</v>
      </c>
      <c r="M579" s="53" t="e">
        <v>#NAME?</v>
      </c>
      <c r="N579" s="15"/>
      <c r="O579" s="15"/>
      <c r="P579" s="15"/>
    </row>
    <row r="580" spans="10:16" s="21" customFormat="1" ht="14.25" x14ac:dyDescent="0.45">
      <c r="J580" s="27"/>
      <c r="K580" s="15"/>
      <c r="L580" s="15">
        <v>0.66000000000000014</v>
      </c>
      <c r="M580" s="53" t="e">
        <v>#NAME?</v>
      </c>
      <c r="N580" s="15"/>
      <c r="O580" s="15"/>
      <c r="P580" s="15"/>
    </row>
    <row r="581" spans="10:16" s="21" customFormat="1" ht="14.25" x14ac:dyDescent="0.45">
      <c r="J581" s="27"/>
      <c r="K581" s="15"/>
      <c r="L581" s="15">
        <v>0.66999999999999993</v>
      </c>
      <c r="M581" s="53" t="e">
        <v>#NAME?</v>
      </c>
      <c r="N581" s="15"/>
      <c r="O581" s="15"/>
      <c r="P581" s="15"/>
    </row>
    <row r="582" spans="10:16" s="21" customFormat="1" ht="14.25" x14ac:dyDescent="0.45">
      <c r="J582" s="27"/>
      <c r="K582" s="15"/>
      <c r="L582" s="15">
        <v>0.67999999999999972</v>
      </c>
      <c r="M582" s="53" t="e">
        <v>#NAME?</v>
      </c>
      <c r="N582" s="15"/>
      <c r="O582" s="15"/>
      <c r="P582" s="15"/>
    </row>
    <row r="583" spans="10:16" s="21" customFormat="1" ht="14.25" x14ac:dyDescent="0.45">
      <c r="J583" s="27"/>
      <c r="K583" s="15"/>
      <c r="L583" s="15">
        <v>0.69000000000000039</v>
      </c>
      <c r="M583" s="53" t="e">
        <v>#NAME?</v>
      </c>
      <c r="N583" s="15"/>
      <c r="O583" s="15"/>
      <c r="P583" s="15"/>
    </row>
    <row r="584" spans="10:16" s="21" customFormat="1" ht="14.25" x14ac:dyDescent="0.45">
      <c r="J584" s="27"/>
      <c r="K584" s="15"/>
      <c r="L584" s="15">
        <v>0.70000000000000018</v>
      </c>
      <c r="M584" s="53" t="e">
        <v>#NAME?</v>
      </c>
      <c r="N584" s="15"/>
      <c r="O584" s="15"/>
      <c r="P584" s="15"/>
    </row>
    <row r="585" spans="10:16" s="21" customFormat="1" ht="14.25" x14ac:dyDescent="0.45">
      <c r="J585" s="27"/>
      <c r="K585" s="15"/>
      <c r="L585" s="15">
        <v>0.71</v>
      </c>
      <c r="M585" s="53" t="e">
        <v>#NAME?</v>
      </c>
      <c r="N585" s="15"/>
      <c r="O585" s="15"/>
      <c r="P585" s="15"/>
    </row>
    <row r="586" spans="10:16" s="21" customFormat="1" ht="14.25" x14ac:dyDescent="0.45">
      <c r="J586" s="27"/>
      <c r="K586" s="15"/>
      <c r="L586" s="15">
        <v>0.71999999999999975</v>
      </c>
      <c r="M586" s="53" t="e">
        <v>#NAME?</v>
      </c>
      <c r="N586" s="15"/>
      <c r="O586" s="15"/>
      <c r="P586" s="15"/>
    </row>
    <row r="587" spans="10:16" s="21" customFormat="1" ht="14.25" x14ac:dyDescent="0.45">
      <c r="J587" s="27"/>
      <c r="K587" s="15"/>
      <c r="L587" s="15">
        <v>0.73000000000000043</v>
      </c>
      <c r="M587" s="53" t="e">
        <v>#NAME?</v>
      </c>
      <c r="N587" s="15"/>
      <c r="O587" s="15"/>
      <c r="P587" s="15"/>
    </row>
    <row r="588" spans="10:16" s="21" customFormat="1" ht="14.25" x14ac:dyDescent="0.45">
      <c r="J588" s="27"/>
      <c r="K588" s="15"/>
      <c r="L588" s="15">
        <v>0.74000000000000021</v>
      </c>
      <c r="M588" s="53" t="e">
        <v>#NAME?</v>
      </c>
      <c r="N588" s="15"/>
      <c r="O588" s="15"/>
      <c r="P588" s="15"/>
    </row>
    <row r="589" spans="10:16" s="21" customFormat="1" ht="14.25" x14ac:dyDescent="0.45">
      <c r="J589" s="27"/>
      <c r="K589" s="15"/>
      <c r="L589" s="15">
        <v>0.75</v>
      </c>
      <c r="M589" s="53" t="e">
        <v>#NAME?</v>
      </c>
      <c r="N589" s="15"/>
      <c r="O589" s="15"/>
      <c r="P589" s="15"/>
    </row>
    <row r="590" spans="10:16" s="21" customFormat="1" ht="14.25" x14ac:dyDescent="0.45">
      <c r="J590" s="27"/>
      <c r="K590" s="15"/>
      <c r="L590" s="15">
        <v>0.75999999999999979</v>
      </c>
      <c r="M590" s="53" t="e">
        <v>#NAME?</v>
      </c>
      <c r="N590" s="15"/>
      <c r="O590" s="15"/>
      <c r="P590" s="15"/>
    </row>
    <row r="591" spans="10:16" s="21" customFormat="1" ht="14.25" x14ac:dyDescent="0.45">
      <c r="J591" s="27"/>
      <c r="K591" s="15"/>
      <c r="L591" s="15">
        <v>0.77000000000000046</v>
      </c>
      <c r="M591" s="53" t="e">
        <v>#NAME?</v>
      </c>
      <c r="N591" s="15"/>
      <c r="O591" s="15"/>
      <c r="P591" s="15"/>
    </row>
    <row r="592" spans="10:16" s="21" customFormat="1" ht="14.25" x14ac:dyDescent="0.45">
      <c r="J592" s="27"/>
      <c r="K592" s="15"/>
      <c r="L592" s="15">
        <v>0.78000000000000025</v>
      </c>
      <c r="M592" s="53" t="e">
        <v>#NAME?</v>
      </c>
      <c r="N592" s="15"/>
      <c r="O592" s="15"/>
      <c r="P592" s="15"/>
    </row>
    <row r="593" spans="10:16" s="21" customFormat="1" ht="14.25" x14ac:dyDescent="0.45">
      <c r="J593" s="27"/>
      <c r="K593" s="15"/>
      <c r="L593" s="15">
        <v>0.79</v>
      </c>
      <c r="M593" s="53" t="e">
        <v>#NAME?</v>
      </c>
      <c r="N593" s="15"/>
      <c r="O593" s="15"/>
      <c r="P593" s="15"/>
    </row>
    <row r="594" spans="10:16" s="21" customFormat="1" ht="14.25" x14ac:dyDescent="0.45">
      <c r="J594" s="27"/>
      <c r="K594" s="15"/>
      <c r="L594" s="15">
        <v>0.79999999999999982</v>
      </c>
      <c r="M594" s="53" t="e">
        <v>#NAME?</v>
      </c>
      <c r="N594" s="15"/>
      <c r="O594" s="15"/>
      <c r="P594" s="15"/>
    </row>
    <row r="595" spans="10:16" s="21" customFormat="1" ht="14.25" x14ac:dyDescent="0.45">
      <c r="J595" s="27"/>
      <c r="K595" s="15"/>
      <c r="L595" s="15">
        <v>0.8100000000000005</v>
      </c>
      <c r="M595" s="53" t="e">
        <v>#NAME?</v>
      </c>
      <c r="N595" s="15"/>
      <c r="O595" s="15"/>
      <c r="P595" s="15"/>
    </row>
    <row r="596" spans="10:16" s="21" customFormat="1" ht="14.25" x14ac:dyDescent="0.45">
      <c r="J596" s="27"/>
      <c r="K596" s="15"/>
      <c r="L596" s="15">
        <v>0.82000000000000028</v>
      </c>
      <c r="M596" s="53" t="e">
        <v>#NAME?</v>
      </c>
      <c r="N596" s="15"/>
      <c r="O596" s="15"/>
      <c r="P596" s="15"/>
    </row>
    <row r="597" spans="10:16" s="21" customFormat="1" ht="14.25" x14ac:dyDescent="0.45">
      <c r="J597" s="27"/>
      <c r="K597" s="15"/>
      <c r="L597" s="15">
        <v>0.83000000000000007</v>
      </c>
      <c r="M597" s="53" t="e">
        <v>#NAME?</v>
      </c>
      <c r="N597" s="15"/>
      <c r="O597" s="15"/>
      <c r="P597" s="15"/>
    </row>
    <row r="598" spans="10:16" s="21" customFormat="1" ht="14.25" x14ac:dyDescent="0.45">
      <c r="J598" s="27"/>
      <c r="K598" s="15"/>
      <c r="L598" s="15">
        <v>0.83999999999999986</v>
      </c>
      <c r="M598" s="53" t="e">
        <v>#NAME?</v>
      </c>
      <c r="N598" s="15"/>
      <c r="O598" s="15"/>
      <c r="P598" s="15"/>
    </row>
    <row r="599" spans="10:16" s="21" customFormat="1" ht="14.25" x14ac:dyDescent="0.45">
      <c r="J599" s="27"/>
      <c r="K599" s="15"/>
      <c r="L599" s="15">
        <v>0.85000000000000053</v>
      </c>
      <c r="M599" s="53" t="e">
        <v>#NAME?</v>
      </c>
      <c r="N599" s="15"/>
      <c r="O599" s="15"/>
      <c r="P599" s="15"/>
    </row>
    <row r="600" spans="10:16" s="21" customFormat="1" ht="14.25" x14ac:dyDescent="0.45">
      <c r="J600" s="27"/>
      <c r="K600" s="15"/>
      <c r="L600" s="15">
        <v>0.86000000000000032</v>
      </c>
      <c r="M600" s="53" t="e">
        <v>#NAME?</v>
      </c>
      <c r="N600" s="15"/>
      <c r="O600" s="15"/>
      <c r="P600" s="15"/>
    </row>
    <row r="601" spans="10:16" s="21" customFormat="1" ht="14.25" x14ac:dyDescent="0.45">
      <c r="J601" s="27"/>
      <c r="K601" s="15"/>
      <c r="L601" s="15">
        <v>0.87000000000000011</v>
      </c>
      <c r="M601" s="53" t="e">
        <v>#NAME?</v>
      </c>
      <c r="N601" s="15"/>
      <c r="O601" s="15"/>
      <c r="P601" s="15"/>
    </row>
    <row r="602" spans="10:16" s="21" customFormat="1" ht="14.25" x14ac:dyDescent="0.45">
      <c r="J602" s="27"/>
      <c r="K602" s="15"/>
      <c r="L602" s="15">
        <v>0.87999999999999989</v>
      </c>
      <c r="M602" s="53" t="e">
        <v>#NAME?</v>
      </c>
      <c r="N602" s="15"/>
      <c r="O602" s="15"/>
      <c r="P602" s="15"/>
    </row>
    <row r="603" spans="10:16" s="21" customFormat="1" ht="14.25" x14ac:dyDescent="0.45">
      <c r="J603" s="27"/>
      <c r="K603" s="15"/>
      <c r="L603" s="15">
        <v>0.88999999999999968</v>
      </c>
      <c r="M603" s="53" t="e">
        <v>#NAME?</v>
      </c>
      <c r="N603" s="15"/>
      <c r="O603" s="15"/>
      <c r="P603" s="15"/>
    </row>
    <row r="604" spans="10:16" s="21" customFormat="1" ht="14.25" x14ac:dyDescent="0.45">
      <c r="J604" s="27"/>
      <c r="K604" s="15"/>
      <c r="L604" s="15">
        <v>0.90000000000000036</v>
      </c>
      <c r="M604" s="53" t="e">
        <v>#NAME?</v>
      </c>
      <c r="N604" s="15"/>
      <c r="O604" s="15"/>
      <c r="P604" s="15"/>
    </row>
    <row r="605" spans="10:16" s="21" customFormat="1" ht="14.25" x14ac:dyDescent="0.45">
      <c r="J605" s="27"/>
      <c r="K605" s="15"/>
      <c r="L605" s="15">
        <v>0.91000000000000014</v>
      </c>
      <c r="M605" s="53" t="e">
        <v>#NAME?</v>
      </c>
      <c r="N605" s="15"/>
      <c r="O605" s="15"/>
      <c r="P605" s="15"/>
    </row>
    <row r="606" spans="10:16" s="21" customFormat="1" ht="14.25" x14ac:dyDescent="0.45">
      <c r="J606" s="27"/>
      <c r="K606" s="15"/>
      <c r="L606" s="15">
        <v>0.91999999999999993</v>
      </c>
      <c r="M606" s="53" t="e">
        <v>#NAME?</v>
      </c>
      <c r="N606" s="15"/>
      <c r="O606" s="15"/>
      <c r="P606" s="15"/>
    </row>
    <row r="607" spans="10:16" s="21" customFormat="1" ht="14.25" x14ac:dyDescent="0.45">
      <c r="J607" s="27"/>
      <c r="K607" s="15"/>
      <c r="L607" s="15">
        <v>0.92999999999999972</v>
      </c>
      <c r="M607" s="53" t="e">
        <v>#NAME?</v>
      </c>
      <c r="N607" s="15"/>
      <c r="O607" s="15"/>
      <c r="P607" s="15"/>
    </row>
    <row r="608" spans="10:16" s="21" customFormat="1" ht="14.25" x14ac:dyDescent="0.45">
      <c r="J608" s="27"/>
      <c r="K608" s="15"/>
      <c r="L608" s="15">
        <v>0.94000000000000039</v>
      </c>
      <c r="M608" s="53" t="e">
        <v>#NAME?</v>
      </c>
      <c r="N608" s="15"/>
      <c r="O608" s="15"/>
      <c r="P608" s="15"/>
    </row>
    <row r="609" spans="10:16" s="21" customFormat="1" ht="14.25" x14ac:dyDescent="0.45">
      <c r="J609" s="27"/>
      <c r="K609" s="15"/>
      <c r="L609" s="15">
        <v>0.95000000000000018</v>
      </c>
      <c r="M609" s="53" t="e">
        <v>#NAME?</v>
      </c>
      <c r="N609" s="15"/>
      <c r="O609" s="15"/>
      <c r="P609" s="15"/>
    </row>
    <row r="610" spans="10:16" s="21" customFormat="1" ht="14.25" x14ac:dyDescent="0.45">
      <c r="J610" s="27"/>
      <c r="K610" s="15"/>
      <c r="L610" s="15">
        <v>0.96</v>
      </c>
      <c r="M610" s="53" t="e">
        <v>#NAME?</v>
      </c>
      <c r="N610" s="15"/>
      <c r="O610" s="15"/>
      <c r="P610" s="15"/>
    </row>
    <row r="611" spans="10:16" s="21" customFormat="1" ht="14.25" x14ac:dyDescent="0.45">
      <c r="J611" s="27"/>
      <c r="K611" s="15"/>
      <c r="L611" s="15">
        <v>0.96999999999999975</v>
      </c>
      <c r="M611" s="53" t="e">
        <v>#NAME?</v>
      </c>
      <c r="N611" s="15"/>
      <c r="O611" s="15"/>
      <c r="P611" s="15"/>
    </row>
    <row r="612" spans="10:16" s="21" customFormat="1" ht="14.25" x14ac:dyDescent="0.45">
      <c r="J612" s="27"/>
      <c r="K612" s="15"/>
      <c r="L612" s="15">
        <v>0.98000000000000043</v>
      </c>
      <c r="M612" s="53" t="e">
        <v>#NAME?</v>
      </c>
      <c r="N612" s="15"/>
      <c r="O612" s="15"/>
      <c r="P612" s="15"/>
    </row>
    <row r="613" spans="10:16" s="21" customFormat="1" ht="14.25" x14ac:dyDescent="0.45">
      <c r="J613" s="27"/>
      <c r="K613" s="15"/>
      <c r="L613" s="15">
        <v>0.99000000000000021</v>
      </c>
      <c r="M613" s="53" t="e">
        <v>#NAME?</v>
      </c>
      <c r="N613" s="15"/>
      <c r="O613" s="15"/>
      <c r="P613" s="15"/>
    </row>
    <row r="614" spans="10:16" s="21" customFormat="1" ht="14.25" x14ac:dyDescent="0.45">
      <c r="J614" s="27"/>
      <c r="K614" s="15"/>
      <c r="L614" s="15">
        <v>1</v>
      </c>
      <c r="M614" s="53" t="e">
        <v>#NAME?</v>
      </c>
      <c r="N614" s="15"/>
      <c r="O614" s="15"/>
      <c r="P614" s="15"/>
    </row>
    <row r="615" spans="10:16" s="21" customFormat="1" ht="14.25" x14ac:dyDescent="0.45">
      <c r="J615" s="27"/>
      <c r="K615" s="15"/>
      <c r="L615" s="15">
        <v>1.0099999999999998</v>
      </c>
      <c r="M615" s="53" t="e">
        <v>#NAME?</v>
      </c>
      <c r="N615" s="15"/>
      <c r="O615" s="15"/>
      <c r="P615" s="15"/>
    </row>
    <row r="616" spans="10:16" s="21" customFormat="1" ht="14.25" x14ac:dyDescent="0.45">
      <c r="J616" s="27"/>
      <c r="K616" s="15"/>
      <c r="L616" s="15">
        <v>1.0200000000000005</v>
      </c>
      <c r="M616" s="53" t="e">
        <v>#NAME?</v>
      </c>
      <c r="N616" s="15"/>
      <c r="O616" s="15"/>
      <c r="P616" s="15"/>
    </row>
    <row r="617" spans="10:16" s="21" customFormat="1" ht="14.25" x14ac:dyDescent="0.45">
      <c r="J617" s="27"/>
      <c r="K617" s="15"/>
      <c r="L617" s="15">
        <v>1.0300000000000002</v>
      </c>
      <c r="M617" s="53" t="e">
        <v>#NAME?</v>
      </c>
      <c r="N617" s="15"/>
      <c r="O617" s="15"/>
      <c r="P617" s="15"/>
    </row>
    <row r="618" spans="10:16" s="21" customFormat="1" ht="14.25" x14ac:dyDescent="0.45">
      <c r="J618" s="27"/>
      <c r="K618" s="15"/>
      <c r="L618" s="15">
        <v>1.04</v>
      </c>
      <c r="M618" s="53" t="e">
        <v>#NAME?</v>
      </c>
      <c r="N618" s="15"/>
      <c r="O618" s="15"/>
      <c r="P618" s="15"/>
    </row>
    <row r="619" spans="10:16" s="21" customFormat="1" ht="14.25" x14ac:dyDescent="0.45">
      <c r="J619" s="27"/>
      <c r="K619" s="15"/>
      <c r="L619" s="15">
        <v>1.0499999999999998</v>
      </c>
      <c r="M619" s="53" t="e">
        <v>#NAME?</v>
      </c>
      <c r="N619" s="15"/>
      <c r="O619" s="15"/>
      <c r="P619" s="15"/>
    </row>
    <row r="620" spans="10:16" s="21" customFormat="1" ht="14.25" x14ac:dyDescent="0.45">
      <c r="J620" s="27"/>
      <c r="K620" s="15"/>
      <c r="L620" s="15">
        <v>1.0600000000000005</v>
      </c>
      <c r="M620" s="53" t="e">
        <v>#NAME?</v>
      </c>
      <c r="N620" s="15"/>
      <c r="O620" s="15"/>
      <c r="P620" s="15"/>
    </row>
    <row r="621" spans="10:16" s="21" customFormat="1" ht="14.25" x14ac:dyDescent="0.45">
      <c r="J621" s="27"/>
      <c r="K621" s="15"/>
      <c r="L621" s="15">
        <v>1.0700000000000003</v>
      </c>
      <c r="M621" s="53" t="e">
        <v>#NAME?</v>
      </c>
      <c r="N621" s="15"/>
      <c r="O621" s="15"/>
      <c r="P621" s="15"/>
    </row>
    <row r="622" spans="10:16" s="21" customFormat="1" ht="14.25" x14ac:dyDescent="0.45">
      <c r="J622" s="27"/>
      <c r="K622" s="15"/>
      <c r="L622" s="15">
        <v>1.08</v>
      </c>
      <c r="M622" s="53" t="e">
        <v>#NAME?</v>
      </c>
      <c r="N622" s="15"/>
      <c r="O622" s="15"/>
      <c r="P622" s="15"/>
    </row>
    <row r="623" spans="10:16" s="21" customFormat="1" ht="14.25" x14ac:dyDescent="0.45">
      <c r="J623" s="27"/>
      <c r="K623" s="15"/>
      <c r="L623" s="15">
        <v>1.0899999999999999</v>
      </c>
      <c r="M623" s="53" t="e">
        <v>#NAME?</v>
      </c>
      <c r="N623" s="15"/>
      <c r="O623" s="15"/>
      <c r="P623" s="15"/>
    </row>
    <row r="624" spans="10:16" s="21" customFormat="1" ht="14.25" x14ac:dyDescent="0.45">
      <c r="J624" s="27"/>
      <c r="K624" s="15"/>
      <c r="L624" s="15">
        <v>1.1000000000000005</v>
      </c>
      <c r="M624" s="53" t="e">
        <v>#NAME?</v>
      </c>
      <c r="N624" s="15"/>
      <c r="O624" s="15"/>
      <c r="P624" s="15"/>
    </row>
    <row r="625" spans="10:16" s="21" customFormat="1" ht="14.25" x14ac:dyDescent="0.45">
      <c r="J625" s="27"/>
      <c r="K625" s="15"/>
      <c r="L625" s="15">
        <v>1.1100000000000003</v>
      </c>
      <c r="M625" s="53" t="e">
        <v>#NAME?</v>
      </c>
      <c r="N625" s="15"/>
      <c r="O625" s="15"/>
      <c r="P625" s="15"/>
    </row>
    <row r="626" spans="10:16" s="21" customFormat="1" ht="14.25" x14ac:dyDescent="0.45">
      <c r="J626" s="27"/>
      <c r="K626" s="15"/>
      <c r="L626" s="15">
        <v>1.1200000000000001</v>
      </c>
      <c r="M626" s="53" t="e">
        <v>#NAME?</v>
      </c>
      <c r="N626" s="15"/>
      <c r="O626" s="15"/>
      <c r="P626" s="15"/>
    </row>
    <row r="627" spans="10:16" s="21" customFormat="1" ht="14.25" x14ac:dyDescent="0.45">
      <c r="J627" s="27"/>
      <c r="K627" s="15"/>
      <c r="L627" s="15">
        <v>1.1299999999999999</v>
      </c>
      <c r="M627" s="53" t="e">
        <v>#NAME?</v>
      </c>
      <c r="N627" s="15"/>
      <c r="O627" s="15"/>
      <c r="P627" s="15"/>
    </row>
    <row r="628" spans="10:16" s="21" customFormat="1" ht="14.25" x14ac:dyDescent="0.45">
      <c r="J628" s="27"/>
      <c r="K628" s="15"/>
      <c r="L628" s="15">
        <v>1.1400000000000006</v>
      </c>
      <c r="M628" s="53" t="e">
        <v>#NAME?</v>
      </c>
      <c r="N628" s="15"/>
      <c r="O628" s="15"/>
      <c r="P628" s="15"/>
    </row>
    <row r="629" spans="10:16" s="21" customFormat="1" ht="14.25" x14ac:dyDescent="0.45">
      <c r="J629" s="27"/>
      <c r="K629" s="15"/>
      <c r="L629" s="15">
        <v>1.1500000000000004</v>
      </c>
      <c r="M629" s="53" t="e">
        <v>#NAME?</v>
      </c>
      <c r="N629" s="15"/>
      <c r="O629" s="15"/>
      <c r="P629" s="15"/>
    </row>
    <row r="630" spans="10:16" s="21" customFormat="1" ht="14.25" x14ac:dyDescent="0.45">
      <c r="J630" s="27"/>
      <c r="K630" s="15"/>
      <c r="L630" s="15">
        <v>1.1600000000000001</v>
      </c>
      <c r="M630" s="53" t="e">
        <v>#NAME?</v>
      </c>
      <c r="N630" s="15"/>
      <c r="O630" s="15"/>
      <c r="P630" s="15"/>
    </row>
    <row r="631" spans="10:16" s="21" customFormat="1" ht="14.25" x14ac:dyDescent="0.45">
      <c r="J631" s="27"/>
      <c r="K631" s="15"/>
      <c r="L631" s="15">
        <v>1.17</v>
      </c>
      <c r="M631" s="53" t="e">
        <v>#NAME?</v>
      </c>
      <c r="N631" s="15"/>
      <c r="O631" s="15"/>
      <c r="P631" s="15"/>
    </row>
    <row r="632" spans="10:16" s="21" customFormat="1" ht="14.25" x14ac:dyDescent="0.45">
      <c r="J632" s="27"/>
      <c r="K632" s="15"/>
      <c r="L632" s="15">
        <v>1.1799999999999997</v>
      </c>
      <c r="M632" s="53" t="e">
        <v>#NAME?</v>
      </c>
      <c r="N632" s="15"/>
      <c r="O632" s="15"/>
      <c r="P632" s="15"/>
    </row>
    <row r="633" spans="10:16" s="21" customFormat="1" ht="14.25" x14ac:dyDescent="0.45">
      <c r="J633" s="27"/>
      <c r="K633" s="15"/>
      <c r="L633" s="15">
        <v>1.1900000000000004</v>
      </c>
      <c r="M633" s="53" t="e">
        <v>#NAME?</v>
      </c>
      <c r="N633" s="15"/>
      <c r="O633" s="15"/>
      <c r="P633" s="15"/>
    </row>
    <row r="634" spans="10:16" s="21" customFormat="1" ht="14.25" x14ac:dyDescent="0.45">
      <c r="J634" s="27"/>
      <c r="K634" s="15"/>
      <c r="L634" s="15">
        <v>1.2000000000000002</v>
      </c>
      <c r="M634" s="53" t="e">
        <v>#NAME?</v>
      </c>
      <c r="N634" s="15"/>
      <c r="O634" s="15"/>
      <c r="P634" s="15"/>
    </row>
    <row r="635" spans="10:16" s="21" customFormat="1" ht="14.25" x14ac:dyDescent="0.45">
      <c r="J635" s="27"/>
      <c r="K635" s="15"/>
      <c r="L635" s="15">
        <v>1.21</v>
      </c>
      <c r="M635" s="53" t="e">
        <v>#NAME?</v>
      </c>
      <c r="N635" s="15"/>
      <c r="O635" s="15"/>
      <c r="P635" s="15"/>
    </row>
    <row r="636" spans="10:16" s="21" customFormat="1" ht="14.25" x14ac:dyDescent="0.45">
      <c r="J636" s="27"/>
      <c r="K636" s="15"/>
      <c r="L636" s="15">
        <v>1.2199999999999998</v>
      </c>
      <c r="M636" s="53" t="e">
        <v>#NAME?</v>
      </c>
      <c r="N636" s="15"/>
      <c r="O636" s="15"/>
      <c r="P636" s="15"/>
    </row>
    <row r="637" spans="10:16" s="21" customFormat="1" ht="14.25" x14ac:dyDescent="0.45">
      <c r="J637" s="27"/>
      <c r="K637" s="15"/>
      <c r="L637" s="15">
        <v>1.2300000000000004</v>
      </c>
      <c r="M637" s="53" t="e">
        <v>#NAME?</v>
      </c>
      <c r="N637" s="15"/>
      <c r="O637" s="15"/>
      <c r="P637" s="15"/>
    </row>
    <row r="638" spans="10:16" s="21" customFormat="1" ht="14.25" x14ac:dyDescent="0.45">
      <c r="J638" s="27"/>
      <c r="K638" s="15"/>
      <c r="L638" s="15">
        <v>1.2400000000000002</v>
      </c>
      <c r="M638" s="53" t="e">
        <v>#NAME?</v>
      </c>
      <c r="N638" s="15"/>
      <c r="O638" s="15"/>
      <c r="P638" s="15"/>
    </row>
    <row r="639" spans="10:16" s="21" customFormat="1" ht="14.25" x14ac:dyDescent="0.45">
      <c r="J639" s="27"/>
      <c r="K639" s="15"/>
      <c r="L639" s="15">
        <v>1.25</v>
      </c>
      <c r="M639" s="53" t="e">
        <v>#NAME?</v>
      </c>
      <c r="N639" s="15"/>
      <c r="O639" s="15"/>
      <c r="P639" s="15"/>
    </row>
    <row r="640" spans="10:16" s="21" customFormat="1" ht="14.25" x14ac:dyDescent="0.45">
      <c r="J640" s="27"/>
      <c r="K640" s="15"/>
      <c r="L640" s="15">
        <v>1.2599999999999998</v>
      </c>
      <c r="M640" s="53" t="e">
        <v>#NAME?</v>
      </c>
      <c r="N640" s="15"/>
      <c r="O640" s="15"/>
      <c r="P640" s="15"/>
    </row>
    <row r="641" spans="10:16" s="21" customFormat="1" ht="14.25" x14ac:dyDescent="0.45">
      <c r="J641" s="27"/>
      <c r="K641" s="15"/>
      <c r="L641" s="15">
        <v>1.2700000000000005</v>
      </c>
      <c r="M641" s="53" t="e">
        <v>#NAME?</v>
      </c>
      <c r="N641" s="15"/>
      <c r="O641" s="15"/>
      <c r="P641" s="15"/>
    </row>
    <row r="642" spans="10:16" s="21" customFormat="1" ht="14.25" x14ac:dyDescent="0.45">
      <c r="J642" s="27"/>
      <c r="K642" s="15"/>
      <c r="L642" s="15">
        <v>1.2800000000000002</v>
      </c>
      <c r="M642" s="53" t="e">
        <v>#NAME?</v>
      </c>
      <c r="N642" s="15"/>
      <c r="O642" s="15"/>
      <c r="P642" s="15"/>
    </row>
    <row r="643" spans="10:16" s="21" customFormat="1" ht="14.25" x14ac:dyDescent="0.45">
      <c r="J643" s="27"/>
      <c r="K643" s="15"/>
      <c r="L643" s="15">
        <v>1.29</v>
      </c>
      <c r="M643" s="53" t="e">
        <v>#NAME?</v>
      </c>
      <c r="N643" s="15"/>
      <c r="O643" s="15"/>
      <c r="P643" s="15"/>
    </row>
    <row r="644" spans="10:16" s="21" customFormat="1" ht="14.25" x14ac:dyDescent="0.45">
      <c r="J644" s="27"/>
      <c r="K644" s="15"/>
      <c r="L644" s="15">
        <v>1.2999999999999998</v>
      </c>
      <c r="M644" s="53" t="e">
        <v>#NAME?</v>
      </c>
      <c r="N644" s="15"/>
      <c r="O644" s="15"/>
      <c r="P644" s="15"/>
    </row>
    <row r="645" spans="10:16" s="21" customFormat="1" ht="14.25" x14ac:dyDescent="0.45">
      <c r="J645" s="27"/>
      <c r="K645" s="15"/>
      <c r="L645" s="15">
        <v>1.3100000000000005</v>
      </c>
      <c r="M645" s="53" t="e">
        <v>#NAME?</v>
      </c>
      <c r="N645" s="15"/>
      <c r="O645" s="15"/>
      <c r="P645" s="15"/>
    </row>
    <row r="646" spans="10:16" s="21" customFormat="1" ht="14.25" x14ac:dyDescent="0.45">
      <c r="J646" s="27"/>
      <c r="K646" s="15"/>
      <c r="L646" s="15">
        <v>1.3200000000000003</v>
      </c>
      <c r="M646" s="53" t="e">
        <v>#NAME?</v>
      </c>
      <c r="N646" s="15"/>
      <c r="O646" s="15"/>
      <c r="P646" s="15"/>
    </row>
    <row r="647" spans="10:16" s="21" customFormat="1" ht="14.25" x14ac:dyDescent="0.45">
      <c r="J647" s="27"/>
      <c r="K647" s="15"/>
      <c r="L647" s="15">
        <v>1.33</v>
      </c>
      <c r="M647" s="53" t="e">
        <v>#NAME?</v>
      </c>
      <c r="N647" s="15"/>
      <c r="O647" s="15"/>
      <c r="P647" s="15"/>
    </row>
    <row r="648" spans="10:16" s="21" customFormat="1" ht="14.25" x14ac:dyDescent="0.45">
      <c r="J648" s="27"/>
      <c r="K648" s="15"/>
      <c r="L648" s="15">
        <v>1.3399999999999999</v>
      </c>
      <c r="M648" s="53" t="e">
        <v>#NAME?</v>
      </c>
      <c r="N648" s="15"/>
      <c r="O648" s="15"/>
      <c r="P648" s="15"/>
    </row>
    <row r="649" spans="10:16" s="21" customFormat="1" ht="14.25" x14ac:dyDescent="0.45">
      <c r="J649" s="27"/>
      <c r="K649" s="15"/>
      <c r="L649" s="15">
        <v>1.3500000000000005</v>
      </c>
      <c r="M649" s="53" t="e">
        <v>#NAME?</v>
      </c>
      <c r="N649" s="15"/>
      <c r="O649" s="15"/>
      <c r="P649" s="15"/>
    </row>
    <row r="650" spans="10:16" s="21" customFormat="1" ht="14.25" x14ac:dyDescent="0.45">
      <c r="J650" s="27"/>
      <c r="K650" s="15"/>
      <c r="L650" s="15">
        <v>1.3600000000000003</v>
      </c>
      <c r="M650" s="53" t="e">
        <v>#NAME?</v>
      </c>
      <c r="N650" s="15"/>
      <c r="O650" s="15"/>
      <c r="P650" s="15"/>
    </row>
    <row r="651" spans="10:16" s="21" customFormat="1" ht="14.25" x14ac:dyDescent="0.45">
      <c r="J651" s="27"/>
      <c r="K651" s="15"/>
      <c r="L651" s="15">
        <v>1.37</v>
      </c>
      <c r="M651" s="53" t="e">
        <v>#NAME?</v>
      </c>
      <c r="N651" s="15"/>
      <c r="O651" s="15"/>
      <c r="P651" s="15"/>
    </row>
    <row r="652" spans="10:16" s="21" customFormat="1" ht="14.25" x14ac:dyDescent="0.45">
      <c r="J652" s="27"/>
      <c r="K652" s="15"/>
      <c r="L652" s="15">
        <v>1.38</v>
      </c>
      <c r="M652" s="53" t="e">
        <v>#NAME?</v>
      </c>
      <c r="N652" s="15"/>
      <c r="O652" s="15"/>
      <c r="P652" s="15"/>
    </row>
    <row r="653" spans="10:16" s="21" customFormat="1" ht="14.25" x14ac:dyDescent="0.45">
      <c r="J653" s="27"/>
      <c r="K653" s="15"/>
      <c r="L653" s="15">
        <v>1.3900000000000006</v>
      </c>
      <c r="M653" s="53" t="e">
        <v>#NAME?</v>
      </c>
      <c r="N653" s="15"/>
      <c r="O653" s="15"/>
      <c r="P653" s="15"/>
    </row>
    <row r="654" spans="10:16" s="21" customFormat="1" ht="14.25" x14ac:dyDescent="0.45">
      <c r="J654" s="27"/>
      <c r="K654" s="15"/>
      <c r="L654" s="15">
        <v>1.4000000000000004</v>
      </c>
      <c r="M654" s="53" t="e">
        <v>#NAME?</v>
      </c>
      <c r="N654" s="15"/>
      <c r="O654" s="15"/>
      <c r="P654" s="15"/>
    </row>
    <row r="655" spans="10:16" s="21" customFormat="1" ht="14.25" x14ac:dyDescent="0.45">
      <c r="J655" s="27"/>
      <c r="K655" s="15"/>
      <c r="L655" s="15">
        <v>1.4100000000000001</v>
      </c>
      <c r="M655" s="53" t="e">
        <v>#NAME?</v>
      </c>
      <c r="N655" s="15"/>
      <c r="O655" s="15"/>
      <c r="P655" s="15"/>
    </row>
    <row r="656" spans="10:16" s="21" customFormat="1" ht="14.25" x14ac:dyDescent="0.45">
      <c r="J656" s="27"/>
      <c r="K656" s="15"/>
      <c r="L656" s="15">
        <v>1.42</v>
      </c>
      <c r="M656" s="53" t="e">
        <v>#NAME?</v>
      </c>
      <c r="N656" s="15"/>
      <c r="O656" s="15"/>
      <c r="P656" s="15"/>
    </row>
    <row r="657" spans="10:16" s="21" customFormat="1" ht="14.25" x14ac:dyDescent="0.45">
      <c r="J657" s="27"/>
      <c r="K657" s="15"/>
      <c r="L657" s="15">
        <v>1.4299999999999997</v>
      </c>
      <c r="M657" s="53" t="e">
        <v>#NAME?</v>
      </c>
      <c r="N657" s="15"/>
      <c r="O657" s="15"/>
      <c r="P657" s="15"/>
    </row>
    <row r="658" spans="10:16" s="21" customFormat="1" ht="14.25" x14ac:dyDescent="0.45">
      <c r="J658" s="27"/>
      <c r="K658" s="15"/>
      <c r="L658" s="15">
        <v>1.4400000000000004</v>
      </c>
      <c r="M658" s="53" t="e">
        <v>#NAME?</v>
      </c>
      <c r="N658" s="15"/>
      <c r="O658" s="15"/>
      <c r="P658" s="15"/>
    </row>
    <row r="659" spans="10:16" s="21" customFormat="1" ht="14.25" x14ac:dyDescent="0.45">
      <c r="J659" s="27"/>
      <c r="K659" s="15"/>
      <c r="L659" s="15">
        <v>1.4500000000000002</v>
      </c>
      <c r="M659" s="53" t="e">
        <v>#NAME?</v>
      </c>
      <c r="N659" s="15"/>
      <c r="O659" s="15"/>
      <c r="P659" s="15"/>
    </row>
    <row r="660" spans="10:16" s="21" customFormat="1" ht="14.25" x14ac:dyDescent="0.45">
      <c r="J660" s="27"/>
      <c r="K660" s="15"/>
      <c r="L660" s="15">
        <v>1.46</v>
      </c>
      <c r="M660" s="53" t="e">
        <v>#NAME?</v>
      </c>
      <c r="N660" s="15"/>
      <c r="O660" s="15"/>
      <c r="P660" s="15"/>
    </row>
    <row r="661" spans="10:16" s="21" customFormat="1" ht="14.25" x14ac:dyDescent="0.45">
      <c r="J661" s="27"/>
      <c r="K661" s="15"/>
      <c r="L661" s="15">
        <v>1.4699999999999998</v>
      </c>
      <c r="M661" s="53" t="e">
        <v>#NAME?</v>
      </c>
      <c r="N661" s="15"/>
      <c r="O661" s="15"/>
      <c r="P661" s="15"/>
    </row>
    <row r="662" spans="10:16" s="21" customFormat="1" ht="14.25" x14ac:dyDescent="0.45">
      <c r="J662" s="27"/>
      <c r="K662" s="15"/>
      <c r="L662" s="15">
        <v>1.4800000000000004</v>
      </c>
      <c r="M662" s="53" t="e">
        <v>#NAME?</v>
      </c>
      <c r="N662" s="15"/>
      <c r="O662" s="15"/>
      <c r="P662" s="15"/>
    </row>
    <row r="663" spans="10:16" s="21" customFormat="1" ht="14.25" x14ac:dyDescent="0.45">
      <c r="J663" s="27"/>
      <c r="K663" s="15"/>
      <c r="L663" s="15">
        <v>1.4900000000000002</v>
      </c>
      <c r="M663" s="53" t="e">
        <v>#NAME?</v>
      </c>
      <c r="N663" s="15"/>
      <c r="O663" s="15"/>
      <c r="P663" s="15"/>
    </row>
    <row r="664" spans="10:16" s="21" customFormat="1" ht="14.25" x14ac:dyDescent="0.45">
      <c r="J664" s="27"/>
      <c r="K664" s="15"/>
      <c r="L664" s="15">
        <v>1.5</v>
      </c>
      <c r="M664" s="53" t="e">
        <v>#NAME?</v>
      </c>
      <c r="N664" s="15"/>
      <c r="O664" s="15"/>
      <c r="P664" s="15"/>
    </row>
    <row r="665" spans="10:16" s="21" customFormat="1" ht="14.25" x14ac:dyDescent="0.45">
      <c r="J665" s="27"/>
      <c r="K665" s="15"/>
      <c r="L665" s="15">
        <v>1.5099999999999998</v>
      </c>
      <c r="M665" s="53" t="e">
        <v>#NAME?</v>
      </c>
      <c r="N665" s="15"/>
      <c r="O665" s="15"/>
      <c r="P665" s="15"/>
    </row>
    <row r="666" spans="10:16" s="21" customFormat="1" ht="14.25" x14ac:dyDescent="0.45">
      <c r="J666" s="27"/>
      <c r="K666" s="15"/>
      <c r="L666" s="15">
        <v>1.5200000000000005</v>
      </c>
      <c r="M666" s="53" t="e">
        <v>#NAME?</v>
      </c>
      <c r="N666" s="15"/>
      <c r="O666" s="15"/>
      <c r="P666" s="15"/>
    </row>
    <row r="667" spans="10:16" s="21" customFormat="1" ht="14.25" x14ac:dyDescent="0.45">
      <c r="J667" s="27"/>
      <c r="K667" s="15"/>
      <c r="L667" s="15">
        <v>1.5300000000000002</v>
      </c>
      <c r="M667" s="53" t="e">
        <v>#NAME?</v>
      </c>
      <c r="N667" s="15"/>
      <c r="O667" s="15"/>
      <c r="P667" s="15"/>
    </row>
    <row r="668" spans="10:16" s="21" customFormat="1" ht="14.25" x14ac:dyDescent="0.45">
      <c r="J668" s="27"/>
      <c r="K668" s="15"/>
      <c r="L668" s="15">
        <v>1.54</v>
      </c>
      <c r="M668" s="53" t="e">
        <v>#NAME?</v>
      </c>
      <c r="N668" s="15"/>
      <c r="O668" s="15"/>
      <c r="P668" s="15"/>
    </row>
    <row r="669" spans="10:16" s="21" customFormat="1" ht="14.25" x14ac:dyDescent="0.45">
      <c r="J669" s="27"/>
      <c r="K669" s="15"/>
      <c r="L669" s="15">
        <v>1.5499999999999998</v>
      </c>
      <c r="M669" s="53" t="e">
        <v>#NAME?</v>
      </c>
      <c r="N669" s="15"/>
      <c r="O669" s="15"/>
      <c r="P669" s="15"/>
    </row>
    <row r="670" spans="10:16" s="21" customFormat="1" ht="14.25" x14ac:dyDescent="0.45">
      <c r="J670" s="27"/>
      <c r="K670" s="15"/>
      <c r="L670" s="15">
        <v>1.5600000000000005</v>
      </c>
      <c r="M670" s="53" t="e">
        <v>#NAME?</v>
      </c>
      <c r="N670" s="15"/>
      <c r="O670" s="15"/>
      <c r="P670" s="15"/>
    </row>
    <row r="671" spans="10:16" s="21" customFormat="1" ht="14.25" x14ac:dyDescent="0.45">
      <c r="J671" s="27"/>
      <c r="K671" s="15"/>
      <c r="L671" s="15">
        <v>1.5700000000000003</v>
      </c>
      <c r="M671" s="53" t="e">
        <v>#NAME?</v>
      </c>
      <c r="N671" s="15"/>
      <c r="O671" s="15"/>
      <c r="P671" s="15"/>
    </row>
    <row r="672" spans="10:16" s="21" customFormat="1" ht="14.25" x14ac:dyDescent="0.45">
      <c r="J672" s="27"/>
      <c r="K672" s="15"/>
      <c r="L672" s="15">
        <v>1.58</v>
      </c>
      <c r="M672" s="53" t="e">
        <v>#NAME?</v>
      </c>
      <c r="N672" s="15"/>
      <c r="O672" s="15"/>
      <c r="P672" s="15"/>
    </row>
    <row r="673" spans="10:16" s="21" customFormat="1" ht="14.25" x14ac:dyDescent="0.45">
      <c r="J673" s="27"/>
      <c r="K673" s="15"/>
      <c r="L673" s="15">
        <v>1.5899999999999999</v>
      </c>
      <c r="M673" s="53" t="e">
        <v>#NAME?</v>
      </c>
      <c r="N673" s="15"/>
      <c r="O673" s="15"/>
      <c r="P673" s="15"/>
    </row>
    <row r="674" spans="10:16" s="21" customFormat="1" ht="14.25" x14ac:dyDescent="0.45">
      <c r="J674" s="27"/>
      <c r="K674" s="15"/>
      <c r="L674" s="15">
        <v>1.6000000000000005</v>
      </c>
      <c r="M674" s="53" t="e">
        <v>#NAME?</v>
      </c>
      <c r="N674" s="15"/>
      <c r="O674" s="15"/>
      <c r="P674" s="15"/>
    </row>
    <row r="675" spans="10:16" s="21" customFormat="1" ht="14.25" x14ac:dyDescent="0.45">
      <c r="J675" s="27"/>
      <c r="K675" s="15"/>
      <c r="L675" s="15">
        <v>1.6100000000000003</v>
      </c>
      <c r="M675" s="53" t="e">
        <v>#NAME?</v>
      </c>
      <c r="N675" s="15"/>
      <c r="O675" s="15"/>
      <c r="P675" s="15"/>
    </row>
    <row r="676" spans="10:16" s="21" customFormat="1" ht="14.25" x14ac:dyDescent="0.45">
      <c r="J676" s="27"/>
      <c r="K676" s="15"/>
      <c r="L676" s="15">
        <v>1.62</v>
      </c>
      <c r="M676" s="53" t="e">
        <v>#NAME?</v>
      </c>
      <c r="N676" s="15"/>
      <c r="O676" s="15"/>
      <c r="P676" s="15"/>
    </row>
    <row r="677" spans="10:16" s="21" customFormat="1" ht="14.25" x14ac:dyDescent="0.45">
      <c r="J677" s="27"/>
      <c r="K677" s="15"/>
      <c r="L677" s="15">
        <v>1.63</v>
      </c>
      <c r="M677" s="53" t="e">
        <v>#NAME?</v>
      </c>
      <c r="N677" s="15"/>
      <c r="O677" s="15"/>
      <c r="P677" s="15"/>
    </row>
    <row r="678" spans="10:16" s="21" customFormat="1" ht="14.25" x14ac:dyDescent="0.45">
      <c r="J678" s="27"/>
      <c r="K678" s="15"/>
      <c r="L678" s="15">
        <v>1.6400000000000006</v>
      </c>
      <c r="M678" s="53" t="e">
        <v>#NAME?</v>
      </c>
      <c r="N678" s="15"/>
      <c r="O678" s="15"/>
      <c r="P678" s="15"/>
    </row>
    <row r="679" spans="10:16" s="21" customFormat="1" ht="14.25" x14ac:dyDescent="0.45">
      <c r="J679" s="27"/>
      <c r="K679" s="15"/>
      <c r="L679" s="15">
        <v>1.6500000000000004</v>
      </c>
      <c r="M679" s="53" t="e">
        <v>#NAME?</v>
      </c>
      <c r="N679" s="15"/>
      <c r="O679" s="15"/>
      <c r="P679" s="15"/>
    </row>
    <row r="680" spans="10:16" s="21" customFormat="1" ht="14.25" x14ac:dyDescent="0.45">
      <c r="J680" s="27"/>
      <c r="K680" s="15"/>
      <c r="L680" s="15">
        <v>1.6600000000000001</v>
      </c>
      <c r="M680" s="53" t="e">
        <v>#NAME?</v>
      </c>
      <c r="N680" s="15"/>
      <c r="O680" s="15"/>
      <c r="P680" s="15"/>
    </row>
    <row r="681" spans="10:16" s="21" customFormat="1" ht="14.25" x14ac:dyDescent="0.45">
      <c r="J681" s="27"/>
      <c r="K681" s="15"/>
      <c r="L681" s="15">
        <v>1.67</v>
      </c>
      <c r="M681" s="53" t="e">
        <v>#NAME?</v>
      </c>
      <c r="N681" s="15"/>
      <c r="O681" s="15"/>
      <c r="P681" s="15"/>
    </row>
    <row r="682" spans="10:16" s="21" customFormat="1" ht="14.25" x14ac:dyDescent="0.45">
      <c r="J682" s="27"/>
      <c r="K682" s="15"/>
      <c r="L682" s="15">
        <v>1.6799999999999997</v>
      </c>
      <c r="M682" s="53" t="e">
        <v>#NAME?</v>
      </c>
      <c r="N682" s="15"/>
      <c r="O682" s="15"/>
      <c r="P682" s="15"/>
    </row>
    <row r="683" spans="10:16" s="21" customFormat="1" ht="14.25" x14ac:dyDescent="0.45">
      <c r="J683" s="27"/>
      <c r="K683" s="15"/>
      <c r="L683" s="15">
        <v>1.6900000000000004</v>
      </c>
      <c r="M683" s="53" t="e">
        <v>#NAME?</v>
      </c>
      <c r="N683" s="15"/>
      <c r="O683" s="15"/>
      <c r="P683" s="15"/>
    </row>
    <row r="684" spans="10:16" s="21" customFormat="1" ht="14.25" x14ac:dyDescent="0.45">
      <c r="J684" s="27"/>
      <c r="K684" s="15"/>
      <c r="L684" s="15">
        <v>1.7000000000000002</v>
      </c>
      <c r="M684" s="53" t="e">
        <v>#NAME?</v>
      </c>
      <c r="N684" s="15"/>
      <c r="O684" s="15"/>
      <c r="P684" s="15"/>
    </row>
    <row r="685" spans="10:16" s="21" customFormat="1" ht="14.25" x14ac:dyDescent="0.45">
      <c r="J685" s="27"/>
      <c r="K685" s="15"/>
      <c r="L685" s="15">
        <v>1.71</v>
      </c>
      <c r="M685" s="53" t="e">
        <v>#NAME?</v>
      </c>
      <c r="N685" s="15"/>
      <c r="O685" s="15"/>
      <c r="P685" s="15"/>
    </row>
    <row r="686" spans="10:16" s="21" customFormat="1" ht="14.25" x14ac:dyDescent="0.45">
      <c r="J686" s="27"/>
      <c r="K686" s="15"/>
      <c r="L686" s="15">
        <v>1.7199999999999998</v>
      </c>
      <c r="M686" s="53" t="e">
        <v>#NAME?</v>
      </c>
      <c r="N686" s="15"/>
      <c r="O686" s="15"/>
      <c r="P686" s="15"/>
    </row>
    <row r="687" spans="10:16" s="21" customFormat="1" ht="14.25" x14ac:dyDescent="0.45">
      <c r="J687" s="27"/>
      <c r="K687" s="15"/>
      <c r="L687" s="15">
        <v>1.7300000000000004</v>
      </c>
      <c r="M687" s="53" t="e">
        <v>#NAME?</v>
      </c>
      <c r="N687" s="15"/>
      <c r="O687" s="15"/>
      <c r="P687" s="15"/>
    </row>
    <row r="688" spans="10:16" s="21" customFormat="1" ht="14.25" x14ac:dyDescent="0.45">
      <c r="J688" s="27"/>
      <c r="K688" s="15"/>
      <c r="L688" s="15">
        <v>1.7400000000000002</v>
      </c>
      <c r="M688" s="53" t="e">
        <v>#NAME?</v>
      </c>
      <c r="N688" s="15"/>
      <c r="O688" s="15"/>
      <c r="P688" s="15"/>
    </row>
    <row r="689" spans="10:16" s="21" customFormat="1" ht="14.25" x14ac:dyDescent="0.45">
      <c r="J689" s="27"/>
      <c r="K689" s="15"/>
      <c r="L689" s="15">
        <v>1.75</v>
      </c>
      <c r="M689" s="53" t="e">
        <v>#NAME?</v>
      </c>
      <c r="N689" s="15"/>
      <c r="O689" s="15"/>
      <c r="P689" s="15"/>
    </row>
    <row r="690" spans="10:16" s="21" customFormat="1" ht="14.25" x14ac:dyDescent="0.45">
      <c r="J690" s="27"/>
      <c r="K690" s="15"/>
      <c r="L690" s="15">
        <v>1.7599999999999998</v>
      </c>
      <c r="M690" s="53" t="e">
        <v>#NAME?</v>
      </c>
      <c r="N690" s="15"/>
      <c r="O690" s="15"/>
      <c r="P690" s="15"/>
    </row>
    <row r="691" spans="10:16" s="21" customFormat="1" ht="14.25" x14ac:dyDescent="0.45">
      <c r="J691" s="27"/>
      <c r="K691" s="15"/>
      <c r="L691" s="15">
        <v>1.7700000000000005</v>
      </c>
      <c r="M691" s="53" t="e">
        <v>#NAME?</v>
      </c>
      <c r="N691" s="15"/>
      <c r="O691" s="15"/>
      <c r="P691" s="15"/>
    </row>
    <row r="692" spans="10:16" s="21" customFormat="1" ht="14.25" x14ac:dyDescent="0.45">
      <c r="J692" s="27"/>
      <c r="K692" s="15"/>
      <c r="L692" s="15">
        <v>1.7800000000000002</v>
      </c>
      <c r="M692" s="53" t="e">
        <v>#NAME?</v>
      </c>
      <c r="N692" s="15"/>
      <c r="O692" s="15"/>
      <c r="P692" s="15"/>
    </row>
    <row r="693" spans="10:16" s="21" customFormat="1" ht="14.25" x14ac:dyDescent="0.45">
      <c r="J693" s="27"/>
      <c r="K693" s="15"/>
      <c r="L693" s="15">
        <v>1.79</v>
      </c>
      <c r="M693" s="53" t="e">
        <v>#NAME?</v>
      </c>
      <c r="N693" s="15"/>
      <c r="O693" s="15"/>
      <c r="P693" s="15"/>
    </row>
    <row r="694" spans="10:16" s="21" customFormat="1" ht="14.25" x14ac:dyDescent="0.45">
      <c r="J694" s="27"/>
      <c r="K694" s="15"/>
      <c r="L694" s="15">
        <v>1.7999999999999998</v>
      </c>
      <c r="M694" s="53" t="e">
        <v>#NAME?</v>
      </c>
      <c r="N694" s="15"/>
      <c r="O694" s="15"/>
      <c r="P694" s="15"/>
    </row>
    <row r="695" spans="10:16" s="21" customFormat="1" ht="14.25" x14ac:dyDescent="0.45">
      <c r="J695" s="27"/>
      <c r="K695" s="15"/>
      <c r="L695" s="15">
        <v>1.8100000000000005</v>
      </c>
      <c r="M695" s="53" t="e">
        <v>#NAME?</v>
      </c>
      <c r="N695" s="15"/>
      <c r="O695" s="15"/>
      <c r="P695" s="15"/>
    </row>
    <row r="696" spans="10:16" s="21" customFormat="1" ht="14.25" x14ac:dyDescent="0.45">
      <c r="J696" s="27"/>
      <c r="K696" s="15"/>
      <c r="L696" s="15">
        <v>1.8200000000000003</v>
      </c>
      <c r="M696" s="53" t="e">
        <v>#NAME?</v>
      </c>
      <c r="N696" s="15"/>
      <c r="O696" s="15"/>
      <c r="P696" s="15"/>
    </row>
    <row r="697" spans="10:16" s="21" customFormat="1" ht="14.25" x14ac:dyDescent="0.45">
      <c r="J697" s="27"/>
      <c r="K697" s="15"/>
      <c r="L697" s="15">
        <v>1.83</v>
      </c>
      <c r="M697" s="53" t="e">
        <v>#NAME?</v>
      </c>
      <c r="N697" s="15"/>
      <c r="O697" s="15"/>
      <c r="P697" s="15"/>
    </row>
    <row r="698" spans="10:16" s="21" customFormat="1" ht="14.25" x14ac:dyDescent="0.45">
      <c r="J698" s="27"/>
      <c r="K698" s="15"/>
      <c r="L698" s="15">
        <v>1.8399999999999999</v>
      </c>
      <c r="M698" s="53" t="e">
        <v>#NAME?</v>
      </c>
      <c r="N698" s="15"/>
      <c r="O698" s="15"/>
      <c r="P698" s="15"/>
    </row>
    <row r="699" spans="10:16" s="21" customFormat="1" ht="14.25" x14ac:dyDescent="0.45">
      <c r="J699" s="27"/>
      <c r="K699" s="15"/>
      <c r="L699" s="15">
        <v>1.8500000000000005</v>
      </c>
      <c r="M699" s="53" t="e">
        <v>#NAME?</v>
      </c>
      <c r="N699" s="15"/>
      <c r="O699" s="15"/>
      <c r="P699" s="15"/>
    </row>
    <row r="700" spans="10:16" s="21" customFormat="1" ht="14.25" x14ac:dyDescent="0.45">
      <c r="J700" s="27"/>
      <c r="K700" s="15"/>
      <c r="L700" s="15">
        <v>1.8600000000000003</v>
      </c>
      <c r="M700" s="53" t="e">
        <v>#NAME?</v>
      </c>
      <c r="N700" s="15"/>
      <c r="O700" s="15"/>
      <c r="P700" s="15"/>
    </row>
    <row r="701" spans="10:16" s="21" customFormat="1" ht="14.25" x14ac:dyDescent="0.45">
      <c r="J701" s="27"/>
      <c r="K701" s="15"/>
      <c r="L701" s="15">
        <v>1.87</v>
      </c>
      <c r="M701" s="53" t="e">
        <v>#NAME?</v>
      </c>
      <c r="N701" s="15"/>
      <c r="O701" s="15"/>
      <c r="P701" s="15"/>
    </row>
    <row r="702" spans="10:16" s="21" customFormat="1" ht="14.25" x14ac:dyDescent="0.45">
      <c r="J702" s="27"/>
      <c r="K702" s="15"/>
      <c r="L702" s="15">
        <v>1.88</v>
      </c>
      <c r="M702" s="53" t="e">
        <v>#NAME?</v>
      </c>
      <c r="N702" s="15"/>
      <c r="O702" s="15"/>
      <c r="P702" s="15"/>
    </row>
    <row r="703" spans="10:16" s="21" customFormat="1" ht="14.25" x14ac:dyDescent="0.45">
      <c r="J703" s="27"/>
      <c r="K703" s="15"/>
      <c r="L703" s="15">
        <v>1.8900000000000006</v>
      </c>
      <c r="M703" s="53" t="e">
        <v>#NAME?</v>
      </c>
      <c r="N703" s="15"/>
      <c r="O703" s="15"/>
      <c r="P703" s="15"/>
    </row>
    <row r="704" spans="10:16" s="21" customFormat="1" ht="14.25" x14ac:dyDescent="0.45">
      <c r="J704" s="27"/>
      <c r="K704" s="15"/>
      <c r="L704" s="15">
        <v>1.9000000000000004</v>
      </c>
      <c r="M704" s="53" t="e">
        <v>#NAME?</v>
      </c>
      <c r="N704" s="15"/>
      <c r="O704" s="15"/>
      <c r="P704" s="15"/>
    </row>
    <row r="705" spans="10:16" s="21" customFormat="1" ht="14.25" x14ac:dyDescent="0.45">
      <c r="J705" s="27"/>
      <c r="K705" s="15"/>
      <c r="L705" s="15">
        <v>1.9100000000000001</v>
      </c>
      <c r="M705" s="53" t="e">
        <v>#NAME?</v>
      </c>
      <c r="N705" s="15"/>
      <c r="O705" s="15"/>
      <c r="P705" s="15"/>
    </row>
    <row r="706" spans="10:16" s="21" customFormat="1" ht="14.25" x14ac:dyDescent="0.45">
      <c r="J706" s="27"/>
      <c r="K706" s="15"/>
      <c r="L706" s="15">
        <v>1.92</v>
      </c>
      <c r="M706" s="53" t="e">
        <v>#NAME?</v>
      </c>
      <c r="N706" s="15"/>
      <c r="O706" s="15"/>
      <c r="P706" s="15"/>
    </row>
    <row r="707" spans="10:16" s="21" customFormat="1" ht="14.25" x14ac:dyDescent="0.45">
      <c r="J707" s="27"/>
      <c r="K707" s="15"/>
      <c r="L707" s="15">
        <v>1.9299999999999997</v>
      </c>
      <c r="M707" s="53" t="e">
        <v>#NAME?</v>
      </c>
      <c r="N707" s="15"/>
      <c r="O707" s="15"/>
      <c r="P707" s="15"/>
    </row>
    <row r="708" spans="10:16" s="21" customFormat="1" ht="14.25" x14ac:dyDescent="0.45">
      <c r="J708" s="27"/>
      <c r="K708" s="15"/>
      <c r="L708" s="15">
        <v>1.9400000000000004</v>
      </c>
      <c r="M708" s="53" t="e">
        <v>#NAME?</v>
      </c>
      <c r="N708" s="15"/>
      <c r="O708" s="15"/>
      <c r="P708" s="15"/>
    </row>
    <row r="709" spans="10:16" s="21" customFormat="1" ht="14.25" x14ac:dyDescent="0.45">
      <c r="J709" s="27"/>
      <c r="K709" s="15"/>
      <c r="L709" s="15">
        <v>1.9500000000000002</v>
      </c>
      <c r="M709" s="53" t="e">
        <v>#NAME?</v>
      </c>
      <c r="N709" s="15"/>
      <c r="O709" s="15"/>
      <c r="P709" s="15"/>
    </row>
    <row r="710" spans="10:16" s="21" customFormat="1" ht="14.25" x14ac:dyDescent="0.45">
      <c r="J710" s="27"/>
      <c r="K710" s="15"/>
      <c r="L710" s="15">
        <v>1.96</v>
      </c>
      <c r="M710" s="53" t="e">
        <v>#NAME?</v>
      </c>
      <c r="N710" s="15"/>
      <c r="O710" s="15"/>
      <c r="P710" s="15"/>
    </row>
    <row r="711" spans="10:16" s="21" customFormat="1" ht="14.25" x14ac:dyDescent="0.45">
      <c r="J711" s="27"/>
      <c r="K711" s="15"/>
      <c r="L711" s="15">
        <v>1.9699999999999998</v>
      </c>
      <c r="M711" s="53" t="e">
        <v>#NAME?</v>
      </c>
      <c r="N711" s="15"/>
      <c r="O711" s="15"/>
      <c r="P711" s="15"/>
    </row>
    <row r="712" spans="10:16" s="21" customFormat="1" ht="14.25" x14ac:dyDescent="0.45">
      <c r="J712" s="27"/>
      <c r="K712" s="15"/>
      <c r="L712" s="15">
        <v>1.9800000000000004</v>
      </c>
      <c r="M712" s="53" t="e">
        <v>#NAME?</v>
      </c>
      <c r="N712" s="15"/>
      <c r="O712" s="15"/>
      <c r="P712" s="15"/>
    </row>
    <row r="713" spans="10:16" s="21" customFormat="1" ht="14.25" x14ac:dyDescent="0.45">
      <c r="J713" s="27"/>
      <c r="K713" s="15"/>
      <c r="L713" s="15">
        <v>1.9900000000000002</v>
      </c>
      <c r="M713" s="53" t="e">
        <v>#NAME?</v>
      </c>
      <c r="N713" s="15"/>
      <c r="O713" s="15"/>
      <c r="P713" s="15"/>
    </row>
    <row r="714" spans="10:16" s="21" customFormat="1" ht="14.25" x14ac:dyDescent="0.45">
      <c r="J714" s="27"/>
      <c r="K714" s="15"/>
      <c r="L714" s="15">
        <v>2</v>
      </c>
      <c r="M714" s="53" t="e">
        <v>#NAME?</v>
      </c>
      <c r="N714" s="15"/>
      <c r="O714" s="15"/>
      <c r="P714" s="15"/>
    </row>
    <row r="715" spans="10:16" s="21" customFormat="1" ht="14.25" x14ac:dyDescent="0.45">
      <c r="J715" s="27"/>
      <c r="K715" s="15"/>
      <c r="L715" s="15">
        <v>2.0099999999999998</v>
      </c>
      <c r="M715" s="53" t="e">
        <v>#NAME?</v>
      </c>
      <c r="N715" s="15"/>
      <c r="O715" s="15"/>
      <c r="P715" s="15"/>
    </row>
    <row r="716" spans="10:16" s="21" customFormat="1" ht="14.25" x14ac:dyDescent="0.45">
      <c r="J716" s="27"/>
      <c r="K716" s="15"/>
      <c r="L716" s="15">
        <v>2.0200000000000005</v>
      </c>
      <c r="M716" s="53" t="e">
        <v>#NAME?</v>
      </c>
      <c r="N716" s="15"/>
      <c r="O716" s="15"/>
      <c r="P716" s="15"/>
    </row>
    <row r="717" spans="10:16" s="21" customFormat="1" ht="14.25" x14ac:dyDescent="0.45">
      <c r="J717" s="27"/>
      <c r="K717" s="15"/>
      <c r="L717" s="15">
        <v>2.0300000000000002</v>
      </c>
      <c r="M717" s="53" t="e">
        <v>#NAME?</v>
      </c>
      <c r="N717" s="15"/>
      <c r="O717" s="15"/>
      <c r="P717" s="15"/>
    </row>
    <row r="718" spans="10:16" s="21" customFormat="1" ht="14.25" x14ac:dyDescent="0.45">
      <c r="J718" s="27"/>
      <c r="K718" s="15"/>
      <c r="L718" s="15">
        <v>2.04</v>
      </c>
      <c r="M718" s="53" t="e">
        <v>#NAME?</v>
      </c>
      <c r="N718" s="15"/>
      <c r="O718" s="15"/>
      <c r="P718" s="15"/>
    </row>
    <row r="719" spans="10:16" s="21" customFormat="1" ht="14.25" x14ac:dyDescent="0.45">
      <c r="J719" s="27"/>
      <c r="K719" s="15"/>
      <c r="L719" s="15">
        <v>2.0499999999999998</v>
      </c>
      <c r="M719" s="53" t="e">
        <v>#NAME?</v>
      </c>
      <c r="N719" s="15"/>
      <c r="O719" s="15"/>
      <c r="P719" s="15"/>
    </row>
    <row r="720" spans="10:16" s="21" customFormat="1" ht="14.25" x14ac:dyDescent="0.45">
      <c r="J720" s="27"/>
      <c r="K720" s="15"/>
      <c r="L720" s="15">
        <v>2.0600000000000005</v>
      </c>
      <c r="M720" s="53" t="e">
        <v>#NAME?</v>
      </c>
      <c r="N720" s="15"/>
      <c r="O720" s="15"/>
      <c r="P720" s="15"/>
    </row>
    <row r="721" spans="10:16" s="21" customFormat="1" ht="14.25" x14ac:dyDescent="0.45">
      <c r="J721" s="27"/>
      <c r="K721" s="15"/>
      <c r="L721" s="15">
        <v>2.0700000000000003</v>
      </c>
      <c r="M721" s="53" t="e">
        <v>#NAME?</v>
      </c>
      <c r="N721" s="15"/>
      <c r="O721" s="15"/>
      <c r="P721" s="15"/>
    </row>
    <row r="722" spans="10:16" s="21" customFormat="1" ht="14.25" x14ac:dyDescent="0.45">
      <c r="J722" s="27"/>
      <c r="K722" s="15"/>
      <c r="L722" s="15">
        <v>2.08</v>
      </c>
      <c r="M722" s="53" t="e">
        <v>#NAME?</v>
      </c>
      <c r="N722" s="15"/>
      <c r="O722" s="15"/>
      <c r="P722" s="15"/>
    </row>
    <row r="723" spans="10:16" s="21" customFormat="1" ht="14.25" x14ac:dyDescent="0.45">
      <c r="J723" s="27"/>
      <c r="K723" s="15"/>
      <c r="L723" s="15">
        <v>2.09</v>
      </c>
      <c r="M723" s="53" t="e">
        <v>#NAME?</v>
      </c>
      <c r="N723" s="15"/>
      <c r="O723" s="15"/>
      <c r="P723" s="15"/>
    </row>
    <row r="724" spans="10:16" s="21" customFormat="1" ht="14.25" x14ac:dyDescent="0.45">
      <c r="J724" s="27"/>
      <c r="K724" s="15"/>
      <c r="L724" s="15">
        <v>2.1000000000000005</v>
      </c>
      <c r="M724" s="53" t="e">
        <v>#NAME?</v>
      </c>
      <c r="N724" s="15"/>
      <c r="O724" s="15"/>
      <c r="P724" s="15"/>
    </row>
    <row r="725" spans="10:16" s="21" customFormat="1" ht="14.25" x14ac:dyDescent="0.45">
      <c r="J725" s="27"/>
      <c r="K725" s="15"/>
      <c r="L725" s="15">
        <v>2.1100000000000003</v>
      </c>
      <c r="M725" s="53" t="e">
        <v>#NAME?</v>
      </c>
      <c r="N725" s="15"/>
      <c r="O725" s="15"/>
      <c r="P725" s="15"/>
    </row>
    <row r="726" spans="10:16" s="21" customFormat="1" ht="14.25" x14ac:dyDescent="0.45">
      <c r="J726" s="27"/>
      <c r="K726" s="15"/>
      <c r="L726" s="15">
        <v>2.12</v>
      </c>
      <c r="M726" s="53" t="e">
        <v>#NAME?</v>
      </c>
      <c r="N726" s="15"/>
      <c r="O726" s="15"/>
      <c r="P726" s="15"/>
    </row>
    <row r="727" spans="10:16" s="21" customFormat="1" ht="14.25" x14ac:dyDescent="0.45">
      <c r="J727" s="27"/>
      <c r="K727" s="15"/>
      <c r="L727" s="15">
        <v>2.13</v>
      </c>
      <c r="M727" s="53" t="e">
        <v>#NAME?</v>
      </c>
      <c r="N727" s="15"/>
      <c r="O727" s="15"/>
      <c r="P727" s="15"/>
    </row>
    <row r="728" spans="10:16" s="21" customFormat="1" ht="14.25" x14ac:dyDescent="0.45">
      <c r="J728" s="27"/>
      <c r="K728" s="15"/>
      <c r="L728" s="15">
        <v>2.1400000000000006</v>
      </c>
      <c r="M728" s="53" t="e">
        <v>#NAME?</v>
      </c>
      <c r="N728" s="15"/>
      <c r="O728" s="15"/>
      <c r="P728" s="15"/>
    </row>
    <row r="729" spans="10:16" s="21" customFormat="1" ht="14.25" x14ac:dyDescent="0.45">
      <c r="J729" s="27"/>
      <c r="K729" s="15"/>
      <c r="L729" s="15">
        <v>2.1500000000000004</v>
      </c>
      <c r="M729" s="53" t="e">
        <v>#NAME?</v>
      </c>
      <c r="N729" s="15"/>
      <c r="O729" s="15"/>
      <c r="P729" s="15"/>
    </row>
    <row r="730" spans="10:16" s="21" customFormat="1" ht="14.25" x14ac:dyDescent="0.45">
      <c r="J730" s="27"/>
      <c r="K730" s="15"/>
      <c r="L730" s="15">
        <v>2.16</v>
      </c>
      <c r="M730" s="53" t="e">
        <v>#NAME?</v>
      </c>
      <c r="N730" s="15"/>
      <c r="O730" s="15"/>
      <c r="P730" s="15"/>
    </row>
    <row r="731" spans="10:16" s="21" customFormat="1" ht="14.25" x14ac:dyDescent="0.45">
      <c r="J731" s="27"/>
      <c r="K731" s="15"/>
      <c r="L731" s="15">
        <v>2.17</v>
      </c>
      <c r="M731" s="53" t="e">
        <v>#NAME?</v>
      </c>
      <c r="N731" s="15"/>
      <c r="O731" s="15"/>
      <c r="P731" s="15"/>
    </row>
    <row r="732" spans="10:16" s="21" customFormat="1" ht="14.25" x14ac:dyDescent="0.45">
      <c r="J732" s="27"/>
      <c r="K732" s="15"/>
      <c r="L732" s="15">
        <v>2.1799999999999997</v>
      </c>
      <c r="M732" s="53" t="e">
        <v>#NAME?</v>
      </c>
      <c r="N732" s="15"/>
      <c r="O732" s="15"/>
      <c r="P732" s="15"/>
    </row>
    <row r="733" spans="10:16" s="21" customFormat="1" ht="14.25" x14ac:dyDescent="0.45">
      <c r="J733" s="27"/>
      <c r="K733" s="15"/>
      <c r="L733" s="15">
        <v>2.1900000000000004</v>
      </c>
      <c r="M733" s="53" t="e">
        <v>#NAME?</v>
      </c>
      <c r="N733" s="15"/>
      <c r="O733" s="15"/>
      <c r="P733" s="15"/>
    </row>
    <row r="734" spans="10:16" s="21" customFormat="1" ht="14.25" x14ac:dyDescent="0.45">
      <c r="J734" s="27"/>
      <c r="K734" s="15"/>
      <c r="L734" s="15">
        <v>2.2000000000000002</v>
      </c>
      <c r="M734" s="53" t="e">
        <v>#NAME?</v>
      </c>
      <c r="N734" s="15"/>
      <c r="O734" s="15"/>
      <c r="P734" s="15"/>
    </row>
    <row r="735" spans="10:16" s="21" customFormat="1" ht="14.25" x14ac:dyDescent="0.45">
      <c r="J735" s="27"/>
      <c r="K735" s="15"/>
      <c r="L735" s="15">
        <v>2.21</v>
      </c>
      <c r="M735" s="53" t="e">
        <v>#NAME?</v>
      </c>
      <c r="N735" s="15"/>
      <c r="O735" s="15"/>
      <c r="P735" s="15"/>
    </row>
    <row r="736" spans="10:16" s="21" customFormat="1" ht="14.25" x14ac:dyDescent="0.45">
      <c r="J736" s="27"/>
      <c r="K736" s="15"/>
      <c r="L736" s="15">
        <v>2.2199999999999998</v>
      </c>
      <c r="M736" s="53" t="e">
        <v>#NAME?</v>
      </c>
      <c r="N736" s="15"/>
      <c r="O736" s="15"/>
      <c r="P736" s="15"/>
    </row>
    <row r="737" spans="10:16" s="21" customFormat="1" ht="14.25" x14ac:dyDescent="0.45">
      <c r="J737" s="27"/>
      <c r="K737" s="15"/>
      <c r="L737" s="15">
        <v>2.2300000000000004</v>
      </c>
      <c r="M737" s="53" t="e">
        <v>#NAME?</v>
      </c>
      <c r="N737" s="15"/>
      <c r="O737" s="15"/>
      <c r="P737" s="15"/>
    </row>
    <row r="738" spans="10:16" s="21" customFormat="1" ht="14.25" x14ac:dyDescent="0.45">
      <c r="J738" s="27"/>
      <c r="K738" s="15"/>
      <c r="L738" s="15">
        <v>2.2400000000000002</v>
      </c>
      <c r="M738" s="53" t="e">
        <v>#NAME?</v>
      </c>
      <c r="N738" s="15"/>
      <c r="O738" s="15"/>
      <c r="P738" s="15"/>
    </row>
    <row r="739" spans="10:16" s="21" customFormat="1" ht="14.25" x14ac:dyDescent="0.45">
      <c r="J739" s="27"/>
      <c r="K739" s="15"/>
      <c r="L739" s="15">
        <v>2.25</v>
      </c>
      <c r="M739" s="53" t="e">
        <v>#NAME?</v>
      </c>
      <c r="N739" s="15"/>
      <c r="O739" s="15"/>
      <c r="P739" s="15"/>
    </row>
    <row r="740" spans="10:16" s="21" customFormat="1" ht="14.25" x14ac:dyDescent="0.45">
      <c r="J740" s="27"/>
      <c r="K740" s="15"/>
      <c r="L740" s="15">
        <v>2.2599999999999998</v>
      </c>
      <c r="M740" s="53" t="e">
        <v>#NAME?</v>
      </c>
      <c r="N740" s="15"/>
      <c r="O740" s="15"/>
      <c r="P740" s="15"/>
    </row>
    <row r="741" spans="10:16" s="21" customFormat="1" ht="14.25" x14ac:dyDescent="0.45">
      <c r="J741" s="27"/>
      <c r="K741" s="15"/>
      <c r="L741" s="15">
        <v>2.2700000000000005</v>
      </c>
      <c r="M741" s="53" t="e">
        <v>#NAME?</v>
      </c>
      <c r="N741" s="15"/>
      <c r="O741" s="15"/>
      <c r="P741" s="15"/>
    </row>
    <row r="742" spans="10:16" s="21" customFormat="1" ht="14.25" x14ac:dyDescent="0.45">
      <c r="J742" s="27"/>
      <c r="K742" s="15"/>
      <c r="L742" s="15">
        <v>2.2800000000000002</v>
      </c>
      <c r="M742" s="53" t="e">
        <v>#NAME?</v>
      </c>
      <c r="N742" s="15"/>
      <c r="O742" s="15"/>
      <c r="P742" s="15"/>
    </row>
    <row r="743" spans="10:16" s="21" customFormat="1" ht="14.25" x14ac:dyDescent="0.45">
      <c r="J743" s="27"/>
      <c r="K743" s="15"/>
      <c r="L743" s="15">
        <v>2.29</v>
      </c>
      <c r="M743" s="53" t="e">
        <v>#NAME?</v>
      </c>
      <c r="N743" s="15"/>
      <c r="O743" s="15"/>
      <c r="P743" s="15"/>
    </row>
    <row r="744" spans="10:16" s="21" customFormat="1" ht="14.25" x14ac:dyDescent="0.45">
      <c r="J744" s="27"/>
      <c r="K744" s="15"/>
      <c r="L744" s="15">
        <v>2.2999999999999998</v>
      </c>
      <c r="M744" s="53" t="e">
        <v>#NAME?</v>
      </c>
      <c r="N744" s="15"/>
      <c r="O744" s="15"/>
      <c r="P744" s="15"/>
    </row>
    <row r="745" spans="10:16" s="21" customFormat="1" ht="14.25" x14ac:dyDescent="0.45">
      <c r="J745" s="27"/>
      <c r="K745" s="15"/>
      <c r="L745" s="15">
        <v>2.3100000000000005</v>
      </c>
      <c r="M745" s="53" t="e">
        <v>#NAME?</v>
      </c>
      <c r="N745" s="15"/>
      <c r="O745" s="15"/>
      <c r="P745" s="15"/>
    </row>
    <row r="746" spans="10:16" s="21" customFormat="1" ht="14.25" x14ac:dyDescent="0.45">
      <c r="J746" s="27"/>
      <c r="K746" s="15"/>
      <c r="L746" s="15">
        <v>2.3200000000000003</v>
      </c>
      <c r="M746" s="53" t="e">
        <v>#NAME?</v>
      </c>
      <c r="N746" s="15"/>
      <c r="O746" s="15"/>
      <c r="P746" s="15"/>
    </row>
    <row r="747" spans="10:16" s="21" customFormat="1" ht="14.25" x14ac:dyDescent="0.45">
      <c r="J747" s="27"/>
      <c r="K747" s="15"/>
      <c r="L747" s="15">
        <v>2.33</v>
      </c>
      <c r="M747" s="53" t="e">
        <v>#NAME?</v>
      </c>
      <c r="N747" s="15"/>
      <c r="O747" s="15"/>
      <c r="P747" s="15"/>
    </row>
    <row r="748" spans="10:16" s="21" customFormat="1" ht="14.25" x14ac:dyDescent="0.45">
      <c r="J748" s="27"/>
      <c r="K748" s="15"/>
      <c r="L748" s="15">
        <v>2.34</v>
      </c>
      <c r="M748" s="53" t="e">
        <v>#NAME?</v>
      </c>
      <c r="N748" s="15"/>
      <c r="O748" s="15"/>
      <c r="P748" s="15"/>
    </row>
    <row r="749" spans="10:16" s="21" customFormat="1" ht="14.25" x14ac:dyDescent="0.45">
      <c r="J749" s="27"/>
      <c r="K749" s="15"/>
      <c r="L749" s="15">
        <v>2.3500000000000005</v>
      </c>
      <c r="M749" s="53" t="e">
        <v>#NAME?</v>
      </c>
      <c r="N749" s="15"/>
      <c r="O749" s="15"/>
      <c r="P749" s="15"/>
    </row>
    <row r="750" spans="10:16" s="21" customFormat="1" ht="14.25" x14ac:dyDescent="0.45">
      <c r="J750" s="27"/>
      <c r="K750" s="15"/>
      <c r="L750" s="15">
        <v>2.3600000000000003</v>
      </c>
      <c r="M750" s="53" t="e">
        <v>#NAME?</v>
      </c>
      <c r="N750" s="15"/>
      <c r="O750" s="15"/>
      <c r="P750" s="15"/>
    </row>
    <row r="751" spans="10:16" s="21" customFormat="1" ht="14.25" x14ac:dyDescent="0.45">
      <c r="J751" s="27"/>
      <c r="K751" s="15"/>
      <c r="L751" s="15">
        <v>2.37</v>
      </c>
      <c r="M751" s="53" t="e">
        <v>#NAME?</v>
      </c>
      <c r="N751" s="15"/>
      <c r="O751" s="15"/>
      <c r="P751" s="15"/>
    </row>
    <row r="752" spans="10:16" s="21" customFormat="1" ht="14.25" x14ac:dyDescent="0.45">
      <c r="J752" s="27"/>
      <c r="K752" s="15"/>
      <c r="L752" s="15">
        <v>2.38</v>
      </c>
      <c r="M752" s="53" t="e">
        <v>#NAME?</v>
      </c>
      <c r="N752" s="15"/>
      <c r="O752" s="15"/>
      <c r="P752" s="15"/>
    </row>
    <row r="753" spans="10:16" s="21" customFormat="1" ht="14.25" x14ac:dyDescent="0.45">
      <c r="J753" s="27"/>
      <c r="K753" s="15"/>
      <c r="L753" s="15">
        <v>2.3900000000000006</v>
      </c>
      <c r="M753" s="53" t="e">
        <v>#NAME?</v>
      </c>
      <c r="N753" s="15"/>
      <c r="O753" s="15"/>
      <c r="P753" s="15"/>
    </row>
    <row r="754" spans="10:16" s="21" customFormat="1" ht="14.25" x14ac:dyDescent="0.45">
      <c r="J754" s="27"/>
      <c r="K754" s="15"/>
      <c r="L754" s="15">
        <v>2.4000000000000004</v>
      </c>
      <c r="M754" s="53" t="e">
        <v>#NAME?</v>
      </c>
      <c r="N754" s="15"/>
      <c r="O754" s="15"/>
      <c r="P754" s="15"/>
    </row>
    <row r="755" spans="10:16" s="21" customFormat="1" ht="14.25" x14ac:dyDescent="0.45">
      <c r="J755" s="27"/>
      <c r="K755" s="15"/>
      <c r="L755" s="15">
        <v>2.41</v>
      </c>
      <c r="M755" s="53" t="e">
        <v>#NAME?</v>
      </c>
      <c r="N755" s="15"/>
      <c r="O755" s="15"/>
      <c r="P755" s="15"/>
    </row>
    <row r="756" spans="10:16" s="21" customFormat="1" ht="14.25" x14ac:dyDescent="0.45">
      <c r="J756" s="27"/>
      <c r="K756" s="15"/>
      <c r="L756" s="15">
        <v>2.42</v>
      </c>
      <c r="M756" s="53" t="e">
        <v>#NAME?</v>
      </c>
      <c r="N756" s="15"/>
      <c r="O756" s="15"/>
      <c r="P756" s="15"/>
    </row>
    <row r="757" spans="10:16" s="21" customFormat="1" ht="14.25" x14ac:dyDescent="0.45">
      <c r="J757" s="27"/>
      <c r="K757" s="15"/>
      <c r="L757" s="15">
        <v>2.4299999999999997</v>
      </c>
      <c r="M757" s="53" t="e">
        <v>#NAME?</v>
      </c>
      <c r="N757" s="15"/>
      <c r="O757" s="15"/>
      <c r="P757" s="15"/>
    </row>
    <row r="758" spans="10:16" s="21" customFormat="1" ht="14.25" x14ac:dyDescent="0.45">
      <c r="J758" s="27"/>
      <c r="K758" s="15"/>
      <c r="L758" s="15">
        <v>2.4400000000000004</v>
      </c>
      <c r="M758" s="53" t="e">
        <v>#NAME?</v>
      </c>
      <c r="N758" s="15"/>
      <c r="O758" s="15"/>
      <c r="P758" s="15"/>
    </row>
    <row r="759" spans="10:16" s="21" customFormat="1" ht="14.25" x14ac:dyDescent="0.45">
      <c r="J759" s="27"/>
      <c r="K759" s="15"/>
      <c r="L759" s="15">
        <v>2.4500000000000002</v>
      </c>
      <c r="M759" s="53" t="e">
        <v>#NAME?</v>
      </c>
      <c r="N759" s="15"/>
      <c r="O759" s="15"/>
      <c r="P759" s="15"/>
    </row>
    <row r="760" spans="10:16" s="21" customFormat="1" ht="14.25" x14ac:dyDescent="0.45">
      <c r="J760" s="27"/>
      <c r="K760" s="15"/>
      <c r="L760" s="15">
        <v>2.46</v>
      </c>
      <c r="M760" s="53" t="e">
        <v>#NAME?</v>
      </c>
      <c r="N760" s="15"/>
      <c r="O760" s="15"/>
      <c r="P760" s="15"/>
    </row>
    <row r="761" spans="10:16" s="21" customFormat="1" ht="14.25" x14ac:dyDescent="0.45">
      <c r="J761" s="27"/>
      <c r="K761" s="15"/>
      <c r="L761" s="15">
        <v>2.4699999999999998</v>
      </c>
      <c r="M761" s="53" t="e">
        <v>#NAME?</v>
      </c>
      <c r="N761" s="15"/>
      <c r="O761" s="15"/>
      <c r="P761" s="15"/>
    </row>
    <row r="762" spans="10:16" s="21" customFormat="1" ht="14.25" x14ac:dyDescent="0.45">
      <c r="J762" s="27"/>
      <c r="K762" s="15"/>
      <c r="L762" s="15">
        <v>2.4800000000000004</v>
      </c>
      <c r="M762" s="53" t="e">
        <v>#NAME?</v>
      </c>
      <c r="N762" s="15"/>
      <c r="O762" s="15"/>
      <c r="P762" s="15"/>
    </row>
    <row r="763" spans="10:16" s="21" customFormat="1" ht="14.25" x14ac:dyDescent="0.45">
      <c r="J763" s="27"/>
      <c r="K763" s="15"/>
      <c r="L763" s="15">
        <v>2.4900000000000002</v>
      </c>
      <c r="M763" s="53" t="e">
        <v>#NAME?</v>
      </c>
      <c r="N763" s="15"/>
      <c r="O763" s="15"/>
      <c r="P763" s="15"/>
    </row>
    <row r="764" spans="10:16" s="21" customFormat="1" ht="14.25" x14ac:dyDescent="0.45">
      <c r="J764" s="27"/>
      <c r="K764" s="15"/>
      <c r="L764" s="15">
        <v>2.5</v>
      </c>
      <c r="M764" s="53" t="e">
        <v>#NAME?</v>
      </c>
      <c r="N764" s="15"/>
      <c r="O764" s="15"/>
      <c r="P764" s="15"/>
    </row>
    <row r="765" spans="10:16" s="21" customFormat="1" ht="14.25" x14ac:dyDescent="0.45">
      <c r="J765" s="27"/>
      <c r="K765" s="15"/>
      <c r="L765" s="15">
        <v>2.5099999999999998</v>
      </c>
      <c r="M765" s="53" t="e">
        <v>#NAME?</v>
      </c>
      <c r="N765" s="15"/>
      <c r="O765" s="15"/>
      <c r="P765" s="15"/>
    </row>
    <row r="766" spans="10:16" s="21" customFormat="1" ht="14.25" x14ac:dyDescent="0.45">
      <c r="J766" s="27"/>
      <c r="K766" s="15"/>
      <c r="L766" s="15">
        <v>2.5200000000000005</v>
      </c>
      <c r="M766" s="53" t="e">
        <v>#NAME?</v>
      </c>
      <c r="N766" s="15"/>
      <c r="O766" s="15"/>
      <c r="P766" s="15"/>
    </row>
    <row r="767" spans="10:16" s="21" customFormat="1" ht="14.25" x14ac:dyDescent="0.45">
      <c r="J767" s="27"/>
      <c r="K767" s="15"/>
      <c r="L767" s="15">
        <v>2.5300000000000002</v>
      </c>
      <c r="M767" s="53" t="e">
        <v>#NAME?</v>
      </c>
      <c r="N767" s="15"/>
      <c r="O767" s="15"/>
      <c r="P767" s="15"/>
    </row>
    <row r="768" spans="10:16" s="21" customFormat="1" ht="14.25" x14ac:dyDescent="0.45">
      <c r="J768" s="27"/>
      <c r="K768" s="15"/>
      <c r="L768" s="15">
        <v>2.54</v>
      </c>
      <c r="M768" s="53" t="e">
        <v>#NAME?</v>
      </c>
      <c r="N768" s="15"/>
      <c r="O768" s="15"/>
      <c r="P768" s="15"/>
    </row>
    <row r="769" spans="10:16" s="21" customFormat="1" ht="14.25" x14ac:dyDescent="0.45">
      <c r="J769" s="27"/>
      <c r="K769" s="15"/>
      <c r="L769" s="15">
        <v>2.5499999999999998</v>
      </c>
      <c r="M769" s="53" t="e">
        <v>#NAME?</v>
      </c>
      <c r="N769" s="15"/>
      <c r="O769" s="15"/>
      <c r="P769" s="15"/>
    </row>
    <row r="770" spans="10:16" s="21" customFormat="1" ht="14.25" x14ac:dyDescent="0.45">
      <c r="J770" s="27"/>
      <c r="K770" s="15"/>
      <c r="L770" s="15">
        <v>2.5600000000000005</v>
      </c>
      <c r="M770" s="53" t="e">
        <v>#NAME?</v>
      </c>
      <c r="N770" s="15"/>
      <c r="O770" s="15"/>
      <c r="P770" s="15"/>
    </row>
    <row r="771" spans="10:16" s="21" customFormat="1" ht="14.25" x14ac:dyDescent="0.45">
      <c r="J771" s="27"/>
      <c r="K771" s="15"/>
      <c r="L771" s="15">
        <v>2.5700000000000003</v>
      </c>
      <c r="M771" s="53" t="e">
        <v>#NAME?</v>
      </c>
      <c r="N771" s="15"/>
      <c r="O771" s="15"/>
      <c r="P771" s="15"/>
    </row>
    <row r="772" spans="10:16" s="21" customFormat="1" ht="14.25" x14ac:dyDescent="0.45">
      <c r="J772" s="27"/>
      <c r="K772" s="15"/>
      <c r="L772" s="15">
        <v>2.58</v>
      </c>
      <c r="M772" s="53" t="e">
        <v>#NAME?</v>
      </c>
      <c r="N772" s="15"/>
      <c r="O772" s="15"/>
      <c r="P772" s="15"/>
    </row>
    <row r="773" spans="10:16" s="21" customFormat="1" ht="14.25" x14ac:dyDescent="0.45">
      <c r="J773" s="27"/>
      <c r="K773" s="15"/>
      <c r="L773" s="15">
        <v>2.59</v>
      </c>
      <c r="M773" s="53" t="e">
        <v>#NAME?</v>
      </c>
      <c r="N773" s="15"/>
      <c r="O773" s="15"/>
      <c r="P773" s="15"/>
    </row>
    <row r="774" spans="10:16" s="21" customFormat="1" ht="14.25" x14ac:dyDescent="0.45">
      <c r="J774" s="27"/>
      <c r="K774" s="15"/>
      <c r="L774" s="15">
        <v>2.6000000000000005</v>
      </c>
      <c r="M774" s="53" t="e">
        <v>#NAME?</v>
      </c>
      <c r="N774" s="15"/>
      <c r="O774" s="15"/>
      <c r="P774" s="15"/>
    </row>
    <row r="775" spans="10:16" s="21" customFormat="1" ht="14.25" x14ac:dyDescent="0.45">
      <c r="J775" s="27"/>
      <c r="K775" s="15"/>
      <c r="L775" s="15">
        <v>2.6100000000000003</v>
      </c>
      <c r="M775" s="53" t="e">
        <v>#NAME?</v>
      </c>
      <c r="N775" s="15"/>
      <c r="O775" s="15"/>
      <c r="P775" s="15"/>
    </row>
    <row r="776" spans="10:16" s="21" customFormat="1" ht="14.25" x14ac:dyDescent="0.45">
      <c r="J776" s="27"/>
      <c r="K776" s="15"/>
      <c r="L776" s="15">
        <v>2.62</v>
      </c>
      <c r="M776" s="53" t="e">
        <v>#NAME?</v>
      </c>
      <c r="N776" s="15"/>
      <c r="O776" s="15"/>
      <c r="P776" s="15"/>
    </row>
    <row r="777" spans="10:16" s="21" customFormat="1" ht="14.25" x14ac:dyDescent="0.45">
      <c r="J777" s="27"/>
      <c r="K777" s="15"/>
      <c r="L777" s="15">
        <v>2.63</v>
      </c>
      <c r="M777" s="53" t="e">
        <v>#NAME?</v>
      </c>
      <c r="N777" s="15"/>
      <c r="O777" s="15"/>
      <c r="P777" s="15"/>
    </row>
    <row r="778" spans="10:16" s="21" customFormat="1" ht="14.25" x14ac:dyDescent="0.45">
      <c r="J778" s="27"/>
      <c r="K778" s="15"/>
      <c r="L778" s="15">
        <v>2.6400000000000006</v>
      </c>
      <c r="M778" s="53" t="e">
        <v>#NAME?</v>
      </c>
      <c r="N778" s="15"/>
      <c r="O778" s="15"/>
      <c r="P778" s="15"/>
    </row>
    <row r="779" spans="10:16" s="21" customFormat="1" ht="14.25" x14ac:dyDescent="0.45">
      <c r="J779" s="27"/>
      <c r="K779" s="15"/>
      <c r="L779" s="15">
        <v>2.6500000000000004</v>
      </c>
      <c r="M779" s="53" t="e">
        <v>#NAME?</v>
      </c>
      <c r="N779" s="15"/>
      <c r="O779" s="15"/>
      <c r="P779" s="15"/>
    </row>
    <row r="780" spans="10:16" s="21" customFormat="1" ht="14.25" x14ac:dyDescent="0.45">
      <c r="J780" s="27"/>
      <c r="K780" s="15"/>
      <c r="L780" s="15">
        <v>2.66</v>
      </c>
      <c r="M780" s="53" t="e">
        <v>#NAME?</v>
      </c>
      <c r="N780" s="15"/>
      <c r="O780" s="15"/>
      <c r="P780" s="15"/>
    </row>
    <row r="781" spans="10:16" s="21" customFormat="1" ht="14.25" x14ac:dyDescent="0.45">
      <c r="J781" s="27"/>
      <c r="K781" s="15"/>
      <c r="L781" s="15">
        <v>2.67</v>
      </c>
      <c r="M781" s="53" t="e">
        <v>#NAME?</v>
      </c>
      <c r="N781" s="15"/>
      <c r="O781" s="15"/>
      <c r="P781" s="15"/>
    </row>
    <row r="782" spans="10:16" s="21" customFormat="1" ht="14.25" x14ac:dyDescent="0.45">
      <c r="J782" s="27"/>
      <c r="K782" s="15"/>
      <c r="L782" s="15">
        <v>2.6799999999999997</v>
      </c>
      <c r="M782" s="53" t="e">
        <v>#NAME?</v>
      </c>
      <c r="N782" s="15"/>
      <c r="O782" s="15"/>
      <c r="P782" s="15"/>
    </row>
    <row r="783" spans="10:16" s="21" customFormat="1" ht="14.25" x14ac:dyDescent="0.45">
      <c r="J783" s="27"/>
      <c r="K783" s="15"/>
      <c r="L783" s="15">
        <v>2.6900000000000004</v>
      </c>
      <c r="M783" s="53" t="e">
        <v>#NAME?</v>
      </c>
      <c r="N783" s="15"/>
      <c r="O783" s="15"/>
      <c r="P783" s="15"/>
    </row>
    <row r="784" spans="10:16" s="21" customFormat="1" ht="14.25" x14ac:dyDescent="0.45">
      <c r="J784" s="27"/>
      <c r="K784" s="15"/>
      <c r="L784" s="15">
        <v>2.7</v>
      </c>
      <c r="M784" s="53" t="e">
        <v>#NAME?</v>
      </c>
      <c r="N784" s="15"/>
      <c r="O784" s="15"/>
      <c r="P784" s="15"/>
    </row>
    <row r="785" spans="10:16" s="21" customFormat="1" ht="14.25" x14ac:dyDescent="0.45">
      <c r="J785" s="27"/>
      <c r="K785" s="15"/>
      <c r="L785" s="15">
        <v>2.71</v>
      </c>
      <c r="M785" s="53" t="e">
        <v>#NAME?</v>
      </c>
      <c r="N785" s="15"/>
      <c r="O785" s="15"/>
      <c r="P785" s="15"/>
    </row>
    <row r="786" spans="10:16" s="21" customFormat="1" ht="14.25" x14ac:dyDescent="0.45">
      <c r="J786" s="27"/>
      <c r="K786" s="15"/>
      <c r="L786" s="15">
        <v>2.7199999999999998</v>
      </c>
      <c r="M786" s="53" t="e">
        <v>#NAME?</v>
      </c>
      <c r="N786" s="15"/>
      <c r="O786" s="15"/>
      <c r="P786" s="15"/>
    </row>
    <row r="787" spans="10:16" s="21" customFormat="1" ht="14.25" x14ac:dyDescent="0.45">
      <c r="J787" s="27"/>
      <c r="K787" s="15"/>
      <c r="L787" s="15">
        <v>2.7300000000000004</v>
      </c>
      <c r="M787" s="53" t="e">
        <v>#NAME?</v>
      </c>
      <c r="N787" s="15"/>
      <c r="O787" s="15"/>
      <c r="P787" s="15"/>
    </row>
    <row r="788" spans="10:16" s="21" customFormat="1" ht="14.25" x14ac:dyDescent="0.45">
      <c r="J788" s="27"/>
      <c r="K788" s="15"/>
      <c r="L788" s="15">
        <v>2.74</v>
      </c>
      <c r="M788" s="53" t="e">
        <v>#NAME?</v>
      </c>
      <c r="N788" s="15"/>
      <c r="O788" s="15"/>
      <c r="P788" s="15"/>
    </row>
    <row r="789" spans="10:16" s="21" customFormat="1" ht="14.25" x14ac:dyDescent="0.45">
      <c r="J789" s="27"/>
      <c r="K789" s="15"/>
      <c r="L789" s="15">
        <v>2.75</v>
      </c>
      <c r="M789" s="53" t="e">
        <v>#NAME?</v>
      </c>
      <c r="N789" s="15"/>
      <c r="O789" s="15"/>
      <c r="P789" s="15"/>
    </row>
    <row r="790" spans="10:16" s="21" customFormat="1" ht="14.25" x14ac:dyDescent="0.45">
      <c r="J790" s="27"/>
      <c r="K790" s="15"/>
      <c r="L790" s="15">
        <v>2.76</v>
      </c>
      <c r="M790" s="53" t="e">
        <v>#NAME?</v>
      </c>
      <c r="N790" s="15"/>
      <c r="O790" s="15"/>
      <c r="P790" s="15"/>
    </row>
    <row r="791" spans="10:16" s="21" customFormat="1" ht="14.25" x14ac:dyDescent="0.45">
      <c r="J791" s="27"/>
      <c r="K791" s="15"/>
      <c r="L791" s="15">
        <v>2.7700000000000005</v>
      </c>
      <c r="M791" s="53" t="e">
        <v>#NAME?</v>
      </c>
      <c r="N791" s="15"/>
      <c r="O791" s="15"/>
      <c r="P791" s="15"/>
    </row>
    <row r="792" spans="10:16" s="21" customFormat="1" ht="14.25" x14ac:dyDescent="0.45">
      <c r="J792" s="27"/>
      <c r="K792" s="15"/>
      <c r="L792" s="15">
        <v>2.7800000000000002</v>
      </c>
      <c r="M792" s="53" t="e">
        <v>#NAME?</v>
      </c>
      <c r="N792" s="15"/>
      <c r="O792" s="15"/>
      <c r="P792" s="15"/>
    </row>
    <row r="793" spans="10:16" s="21" customFormat="1" ht="14.25" x14ac:dyDescent="0.45">
      <c r="J793" s="27"/>
      <c r="K793" s="15"/>
      <c r="L793" s="15">
        <v>2.79</v>
      </c>
      <c r="M793" s="53" t="e">
        <v>#NAME?</v>
      </c>
      <c r="N793" s="15"/>
      <c r="O793" s="15"/>
      <c r="P793" s="15"/>
    </row>
    <row r="794" spans="10:16" s="21" customFormat="1" ht="14.25" x14ac:dyDescent="0.45">
      <c r="J794" s="27"/>
      <c r="K794" s="15"/>
      <c r="L794" s="15">
        <v>2.8</v>
      </c>
      <c r="M794" s="53" t="e">
        <v>#NAME?</v>
      </c>
      <c r="N794" s="15"/>
      <c r="O794" s="15"/>
      <c r="P794" s="15"/>
    </row>
    <row r="795" spans="10:16" s="21" customFormat="1" ht="14.25" x14ac:dyDescent="0.45">
      <c r="J795" s="27"/>
      <c r="K795" s="15"/>
      <c r="L795" s="15">
        <v>2.8100000000000005</v>
      </c>
      <c r="M795" s="53" t="e">
        <v>#NAME?</v>
      </c>
      <c r="N795" s="15"/>
      <c r="O795" s="15"/>
      <c r="P795" s="15"/>
    </row>
    <row r="796" spans="10:16" s="21" customFormat="1" ht="14.25" x14ac:dyDescent="0.45">
      <c r="J796" s="27"/>
      <c r="K796" s="15"/>
      <c r="L796" s="15">
        <v>2.8200000000000003</v>
      </c>
      <c r="M796" s="53" t="e">
        <v>#NAME?</v>
      </c>
      <c r="N796" s="15"/>
      <c r="O796" s="15"/>
      <c r="P796" s="15"/>
    </row>
    <row r="797" spans="10:16" s="21" customFormat="1" ht="14.25" x14ac:dyDescent="0.45">
      <c r="J797" s="27"/>
      <c r="K797" s="15"/>
      <c r="L797" s="15">
        <v>2.83</v>
      </c>
      <c r="M797" s="53" t="e">
        <v>#NAME?</v>
      </c>
      <c r="N797" s="15"/>
      <c r="O797" s="15"/>
      <c r="P797" s="15"/>
    </row>
    <row r="798" spans="10:16" s="21" customFormat="1" ht="14.25" x14ac:dyDescent="0.45">
      <c r="J798" s="27"/>
      <c r="K798" s="15"/>
      <c r="L798" s="15">
        <v>2.84</v>
      </c>
      <c r="M798" s="53" t="e">
        <v>#NAME?</v>
      </c>
      <c r="N798" s="15"/>
      <c r="O798" s="15"/>
      <c r="P798" s="15"/>
    </row>
    <row r="799" spans="10:16" s="21" customFormat="1" ht="14.25" x14ac:dyDescent="0.45">
      <c r="J799" s="27"/>
      <c r="K799" s="15"/>
      <c r="L799" s="15">
        <v>2.8500000000000005</v>
      </c>
      <c r="M799" s="53" t="e">
        <v>#NAME?</v>
      </c>
      <c r="N799" s="15"/>
      <c r="O799" s="15"/>
      <c r="P799" s="15"/>
    </row>
    <row r="800" spans="10:16" s="21" customFormat="1" ht="14.25" x14ac:dyDescent="0.45">
      <c r="J800" s="27"/>
      <c r="K800" s="15"/>
      <c r="L800" s="15">
        <v>2.8600000000000003</v>
      </c>
      <c r="M800" s="53" t="e">
        <v>#NAME?</v>
      </c>
      <c r="N800" s="15"/>
      <c r="O800" s="15"/>
      <c r="P800" s="15"/>
    </row>
    <row r="801" spans="10:16" s="21" customFormat="1" ht="14.25" x14ac:dyDescent="0.45">
      <c r="J801" s="27"/>
      <c r="K801" s="15"/>
      <c r="L801" s="15">
        <v>2.87</v>
      </c>
      <c r="M801" s="53" t="e">
        <v>#NAME?</v>
      </c>
      <c r="N801" s="15"/>
      <c r="O801" s="15"/>
      <c r="P801" s="15"/>
    </row>
    <row r="802" spans="10:16" s="21" customFormat="1" ht="14.25" x14ac:dyDescent="0.45">
      <c r="J802" s="27"/>
      <c r="K802" s="15"/>
      <c r="L802" s="15">
        <v>2.88</v>
      </c>
      <c r="M802" s="53" t="e">
        <v>#NAME?</v>
      </c>
      <c r="N802" s="15"/>
      <c r="O802" s="15"/>
      <c r="P802" s="15"/>
    </row>
    <row r="803" spans="10:16" s="21" customFormat="1" ht="14.25" x14ac:dyDescent="0.45">
      <c r="J803" s="27"/>
      <c r="K803" s="15"/>
      <c r="L803" s="15">
        <v>2.8900000000000006</v>
      </c>
      <c r="M803" s="53" t="e">
        <v>#NAME?</v>
      </c>
      <c r="N803" s="15"/>
      <c r="O803" s="15"/>
      <c r="P803" s="15"/>
    </row>
    <row r="804" spans="10:16" s="21" customFormat="1" ht="14.25" x14ac:dyDescent="0.45">
      <c r="J804" s="27"/>
      <c r="K804" s="15"/>
      <c r="L804" s="15">
        <v>2.9000000000000004</v>
      </c>
      <c r="M804" s="53" t="e">
        <v>#NAME?</v>
      </c>
      <c r="N804" s="15"/>
      <c r="O804" s="15"/>
      <c r="P804" s="15"/>
    </row>
    <row r="805" spans="10:16" s="21" customFormat="1" ht="14.25" x14ac:dyDescent="0.45">
      <c r="J805" s="27"/>
      <c r="K805" s="15"/>
      <c r="L805" s="15">
        <v>2.91</v>
      </c>
      <c r="M805" s="53" t="e">
        <v>#NAME?</v>
      </c>
      <c r="N805" s="15"/>
      <c r="O805" s="15"/>
      <c r="P805" s="15"/>
    </row>
    <row r="806" spans="10:16" s="21" customFormat="1" ht="14.25" x14ac:dyDescent="0.45">
      <c r="J806" s="27"/>
      <c r="K806" s="15"/>
      <c r="L806" s="15">
        <v>2.92</v>
      </c>
      <c r="M806" s="53" t="e">
        <v>#NAME?</v>
      </c>
      <c r="N806" s="15"/>
      <c r="O806" s="15"/>
      <c r="P806" s="15"/>
    </row>
    <row r="807" spans="10:16" s="21" customFormat="1" ht="14.25" x14ac:dyDescent="0.45">
      <c r="J807" s="27"/>
      <c r="K807" s="15"/>
      <c r="L807" s="15">
        <v>2.9300000000000006</v>
      </c>
      <c r="M807" s="53" t="e">
        <v>#NAME?</v>
      </c>
      <c r="N807" s="15"/>
      <c r="O807" s="15"/>
      <c r="P807" s="15"/>
    </row>
    <row r="808" spans="10:16" s="21" customFormat="1" ht="14.25" x14ac:dyDescent="0.45">
      <c r="J808" s="27"/>
      <c r="K808" s="15"/>
      <c r="L808" s="15">
        <v>2.9400000000000004</v>
      </c>
      <c r="M808" s="53" t="e">
        <v>#NAME?</v>
      </c>
      <c r="N808" s="15"/>
      <c r="O808" s="15"/>
      <c r="P808" s="15"/>
    </row>
    <row r="809" spans="10:16" s="21" customFormat="1" ht="14.25" x14ac:dyDescent="0.45">
      <c r="J809" s="27"/>
      <c r="K809" s="15"/>
      <c r="L809" s="15">
        <v>2.95</v>
      </c>
      <c r="M809" s="53" t="e">
        <v>#NAME?</v>
      </c>
      <c r="N809" s="15"/>
      <c r="O809" s="15"/>
      <c r="P809" s="15"/>
    </row>
    <row r="810" spans="10:16" s="21" customFormat="1" ht="14.25" x14ac:dyDescent="0.45">
      <c r="J810" s="27"/>
      <c r="K810" s="15"/>
      <c r="L810" s="15">
        <v>2.96</v>
      </c>
      <c r="M810" s="53" t="e">
        <v>#NAME?</v>
      </c>
      <c r="N810" s="15"/>
      <c r="O810" s="15"/>
      <c r="P810" s="15"/>
    </row>
    <row r="811" spans="10:16" s="21" customFormat="1" ht="14.25" x14ac:dyDescent="0.45">
      <c r="J811" s="27"/>
      <c r="K811" s="15"/>
      <c r="L811" s="15">
        <v>2.9699999999999998</v>
      </c>
      <c r="M811" s="53" t="e">
        <v>#NAME?</v>
      </c>
      <c r="N811" s="15"/>
      <c r="O811" s="15"/>
      <c r="P811" s="15"/>
    </row>
    <row r="812" spans="10:16" s="21" customFormat="1" ht="14.25" x14ac:dyDescent="0.45">
      <c r="J812" s="27"/>
      <c r="K812" s="15"/>
      <c r="L812" s="15">
        <v>2.9800000000000004</v>
      </c>
      <c r="M812" s="53" t="e">
        <v>#NAME?</v>
      </c>
      <c r="N812" s="15"/>
      <c r="O812" s="15"/>
      <c r="P812" s="15"/>
    </row>
    <row r="813" spans="10:16" s="21" customFormat="1" ht="14.25" x14ac:dyDescent="0.45">
      <c r="J813" s="27"/>
      <c r="K813" s="15"/>
      <c r="L813" s="15">
        <v>2.99</v>
      </c>
      <c r="M813" s="53" t="e">
        <v>#NAME?</v>
      </c>
      <c r="N813" s="15"/>
      <c r="O813" s="15"/>
      <c r="P813" s="15"/>
    </row>
    <row r="814" spans="10:16" s="21" customFormat="1" ht="14.25" x14ac:dyDescent="0.45">
      <c r="J814" s="27"/>
      <c r="K814" s="15"/>
      <c r="L814" s="15">
        <v>3</v>
      </c>
      <c r="M814" s="53" t="e">
        <v>#NAME?</v>
      </c>
      <c r="N814" s="15"/>
      <c r="O814" s="15"/>
      <c r="P814" s="15"/>
    </row>
    <row r="815" spans="10:16" s="21" customFormat="1" ht="14.25" x14ac:dyDescent="0.45">
      <c r="J815" s="27"/>
      <c r="K815" s="15"/>
      <c r="L815" s="15">
        <v>3.01</v>
      </c>
      <c r="M815" s="53" t="e">
        <v>#NAME?</v>
      </c>
      <c r="N815" s="15"/>
      <c r="O815" s="15"/>
      <c r="P815" s="15"/>
    </row>
    <row r="816" spans="10:16" s="21" customFormat="1" ht="14.25" x14ac:dyDescent="0.45">
      <c r="J816" s="27"/>
      <c r="K816" s="15"/>
      <c r="L816" s="15">
        <v>3.0199999999999996</v>
      </c>
      <c r="M816" s="53" t="e">
        <v>#NAME?</v>
      </c>
      <c r="N816" s="15"/>
      <c r="O816" s="15"/>
      <c r="P816" s="15"/>
    </row>
    <row r="817" spans="10:16" s="21" customFormat="1" ht="14.25" x14ac:dyDescent="0.45">
      <c r="J817" s="27"/>
      <c r="K817" s="15"/>
      <c r="L817" s="15">
        <v>3.0299999999999994</v>
      </c>
      <c r="M817" s="53" t="e">
        <v>#NAME?</v>
      </c>
      <c r="N817" s="15"/>
      <c r="O817" s="15"/>
      <c r="P817" s="15"/>
    </row>
    <row r="818" spans="10:16" s="21" customFormat="1" ht="14.25" x14ac:dyDescent="0.45">
      <c r="J818" s="27"/>
      <c r="K818" s="15"/>
      <c r="L818" s="15">
        <v>3.0400000000000009</v>
      </c>
      <c r="M818" s="53" t="e">
        <v>#NAME?</v>
      </c>
      <c r="N818" s="15"/>
      <c r="O818" s="15"/>
      <c r="P818" s="15"/>
    </row>
    <row r="819" spans="10:16" s="21" customFormat="1" ht="14.25" x14ac:dyDescent="0.45">
      <c r="J819" s="27"/>
      <c r="K819" s="15"/>
      <c r="L819" s="15">
        <v>3.0500000000000007</v>
      </c>
      <c r="M819" s="53" t="e">
        <v>#NAME?</v>
      </c>
      <c r="N819" s="15"/>
      <c r="O819" s="15"/>
      <c r="P819" s="15"/>
    </row>
    <row r="820" spans="10:16" s="21" customFormat="1" ht="14.25" x14ac:dyDescent="0.45">
      <c r="J820" s="27"/>
      <c r="K820" s="15"/>
      <c r="L820" s="15">
        <v>3.0600000000000005</v>
      </c>
      <c r="M820" s="53" t="e">
        <v>#NAME?</v>
      </c>
      <c r="N820" s="15"/>
      <c r="O820" s="15"/>
      <c r="P820" s="15"/>
    </row>
    <row r="821" spans="10:16" s="21" customFormat="1" ht="14.25" x14ac:dyDescent="0.45">
      <c r="J821" s="27"/>
      <c r="K821" s="15"/>
      <c r="L821" s="15">
        <v>3.0700000000000003</v>
      </c>
      <c r="M821" s="53" t="e">
        <v>#NAME?</v>
      </c>
      <c r="N821" s="15"/>
      <c r="O821" s="15"/>
      <c r="P821" s="15"/>
    </row>
    <row r="822" spans="10:16" s="21" customFormat="1" ht="14.25" x14ac:dyDescent="0.45">
      <c r="J822" s="27"/>
      <c r="K822" s="15"/>
      <c r="L822" s="15">
        <v>3.08</v>
      </c>
      <c r="M822" s="53" t="e">
        <v>#NAME?</v>
      </c>
      <c r="N822" s="15"/>
      <c r="O822" s="15"/>
      <c r="P822" s="15"/>
    </row>
    <row r="823" spans="10:16" s="21" customFormat="1" ht="14.25" x14ac:dyDescent="0.45">
      <c r="J823" s="27"/>
      <c r="K823" s="15"/>
      <c r="L823" s="15">
        <v>3.09</v>
      </c>
      <c r="M823" s="53" t="e">
        <v>#NAME?</v>
      </c>
      <c r="N823" s="15"/>
      <c r="O823" s="15"/>
      <c r="P823" s="15"/>
    </row>
    <row r="824" spans="10:16" s="21" customFormat="1" ht="14.25" x14ac:dyDescent="0.45">
      <c r="J824" s="27"/>
      <c r="K824" s="15"/>
      <c r="L824" s="15">
        <v>3.0999999999999996</v>
      </c>
      <c r="M824" s="53" t="e">
        <v>#NAME?</v>
      </c>
      <c r="N824" s="15"/>
      <c r="O824" s="15"/>
      <c r="P824" s="15"/>
    </row>
    <row r="825" spans="10:16" s="21" customFormat="1" ht="14.25" x14ac:dyDescent="0.45">
      <c r="J825" s="27"/>
      <c r="K825" s="15"/>
      <c r="L825" s="15">
        <v>3.1099999999999994</v>
      </c>
      <c r="M825" s="53" t="e">
        <v>#NAME?</v>
      </c>
      <c r="N825" s="15"/>
      <c r="O825" s="15"/>
      <c r="P825" s="15"/>
    </row>
    <row r="826" spans="10:16" s="21" customFormat="1" ht="14.25" x14ac:dyDescent="0.45">
      <c r="J826" s="27"/>
      <c r="K826" s="15"/>
      <c r="L826" s="15">
        <v>3.120000000000001</v>
      </c>
      <c r="M826" s="53" t="e">
        <v>#NAME?</v>
      </c>
      <c r="N826" s="15"/>
      <c r="O826" s="15"/>
      <c r="P826" s="15"/>
    </row>
    <row r="827" spans="10:16" s="21" customFormat="1" ht="14.25" x14ac:dyDescent="0.45">
      <c r="J827" s="27"/>
      <c r="K827" s="15"/>
      <c r="L827" s="15">
        <v>3.1300000000000008</v>
      </c>
      <c r="M827" s="53" t="e">
        <v>#NAME?</v>
      </c>
      <c r="N827" s="15"/>
      <c r="O827" s="15"/>
      <c r="P827" s="15"/>
    </row>
    <row r="828" spans="10:16" s="21" customFormat="1" ht="14.25" x14ac:dyDescent="0.45">
      <c r="J828" s="27"/>
      <c r="K828" s="15"/>
      <c r="L828" s="15">
        <v>3.1400000000000006</v>
      </c>
      <c r="M828" s="53" t="e">
        <v>#NAME?</v>
      </c>
      <c r="N828" s="15"/>
      <c r="O828" s="15"/>
      <c r="P828" s="15"/>
    </row>
    <row r="829" spans="10:16" s="21" customFormat="1" ht="14.25" x14ac:dyDescent="0.45">
      <c r="J829" s="27"/>
      <c r="K829" s="15"/>
      <c r="L829" s="15">
        <v>3.1500000000000004</v>
      </c>
      <c r="M829" s="53" t="e">
        <v>#NAME?</v>
      </c>
      <c r="N829" s="15"/>
      <c r="O829" s="15"/>
      <c r="P829" s="15"/>
    </row>
    <row r="830" spans="10:16" s="21" customFormat="1" ht="14.25" x14ac:dyDescent="0.45">
      <c r="J830" s="27"/>
      <c r="K830" s="15"/>
      <c r="L830" s="15">
        <v>3.16</v>
      </c>
      <c r="M830" s="53" t="e">
        <v>#NAME?</v>
      </c>
      <c r="N830" s="15"/>
      <c r="O830" s="15"/>
      <c r="P830" s="15"/>
    </row>
    <row r="831" spans="10:16" s="21" customFormat="1" ht="14.25" x14ac:dyDescent="0.45">
      <c r="J831" s="27"/>
      <c r="K831" s="15"/>
      <c r="L831" s="15">
        <v>3.17</v>
      </c>
      <c r="M831" s="53" t="e">
        <v>#NAME?</v>
      </c>
      <c r="N831" s="15"/>
      <c r="O831" s="15"/>
      <c r="P831" s="15"/>
    </row>
    <row r="832" spans="10:16" s="21" customFormat="1" ht="14.25" x14ac:dyDescent="0.45">
      <c r="J832" s="27"/>
      <c r="K832" s="15"/>
      <c r="L832" s="15">
        <v>3.1799999999999997</v>
      </c>
      <c r="M832" s="53" t="e">
        <v>#NAME?</v>
      </c>
      <c r="N832" s="15"/>
      <c r="O832" s="15"/>
      <c r="P832" s="15"/>
    </row>
    <row r="833" spans="10:16" s="21" customFormat="1" ht="14.25" x14ac:dyDescent="0.45">
      <c r="J833" s="27"/>
      <c r="K833" s="15"/>
      <c r="L833" s="15">
        <v>3.1899999999999995</v>
      </c>
      <c r="M833" s="53" t="e">
        <v>#NAME?</v>
      </c>
      <c r="N833" s="15"/>
      <c r="O833" s="15"/>
      <c r="P833" s="15"/>
    </row>
    <row r="834" spans="10:16" s="21" customFormat="1" ht="14.25" x14ac:dyDescent="0.45">
      <c r="J834" s="27"/>
      <c r="K834" s="15"/>
      <c r="L834" s="15">
        <v>3.1999999999999993</v>
      </c>
      <c r="M834" s="53" t="e">
        <v>#NAME?</v>
      </c>
      <c r="N834" s="15"/>
      <c r="O834" s="15"/>
      <c r="P834" s="15"/>
    </row>
    <row r="835" spans="10:16" s="21" customFormat="1" ht="14.25" x14ac:dyDescent="0.45">
      <c r="J835" s="27"/>
      <c r="K835" s="15"/>
      <c r="L835" s="15">
        <v>3.2100000000000009</v>
      </c>
      <c r="M835" s="53" t="e">
        <v>#NAME?</v>
      </c>
      <c r="N835" s="15"/>
      <c r="O835" s="15"/>
      <c r="P835" s="15"/>
    </row>
    <row r="836" spans="10:16" s="21" customFormat="1" ht="14.25" x14ac:dyDescent="0.45">
      <c r="J836" s="27"/>
      <c r="K836" s="15"/>
      <c r="L836" s="15">
        <v>3.2200000000000006</v>
      </c>
      <c r="M836" s="53" t="e">
        <v>#NAME?</v>
      </c>
      <c r="N836" s="15"/>
      <c r="O836" s="15"/>
      <c r="P836" s="15"/>
    </row>
    <row r="837" spans="10:16" s="21" customFormat="1" ht="14.25" x14ac:dyDescent="0.45">
      <c r="J837" s="27"/>
      <c r="K837" s="15"/>
      <c r="L837" s="15">
        <v>3.2300000000000004</v>
      </c>
      <c r="M837" s="53" t="e">
        <v>#NAME?</v>
      </c>
      <c r="N837" s="15"/>
      <c r="O837" s="15"/>
      <c r="P837" s="15"/>
    </row>
    <row r="838" spans="10:16" s="21" customFormat="1" ht="14.25" x14ac:dyDescent="0.45">
      <c r="J838" s="27"/>
      <c r="K838" s="15"/>
      <c r="L838" s="15">
        <v>3.24</v>
      </c>
      <c r="M838" s="53" t="e">
        <v>#NAME?</v>
      </c>
      <c r="N838" s="15"/>
      <c r="O838" s="15"/>
      <c r="P838" s="15"/>
    </row>
    <row r="839" spans="10:16" s="21" customFormat="1" ht="14.25" x14ac:dyDescent="0.45">
      <c r="J839" s="27"/>
      <c r="K839" s="15"/>
      <c r="L839" s="15">
        <v>3.25</v>
      </c>
      <c r="M839" s="53" t="e">
        <v>#NAME?</v>
      </c>
      <c r="N839" s="15"/>
      <c r="O839" s="15"/>
      <c r="P839" s="15"/>
    </row>
    <row r="840" spans="10:16" s="21" customFormat="1" ht="14.25" x14ac:dyDescent="0.45">
      <c r="J840" s="27"/>
      <c r="K840" s="15"/>
      <c r="L840" s="15">
        <v>3.26</v>
      </c>
      <c r="M840" s="53" t="e">
        <v>#NAME?</v>
      </c>
      <c r="N840" s="15"/>
      <c r="O840" s="15"/>
      <c r="P840" s="15"/>
    </row>
    <row r="841" spans="10:16" s="21" customFormat="1" ht="14.25" x14ac:dyDescent="0.45">
      <c r="J841" s="27"/>
      <c r="K841" s="15"/>
      <c r="L841" s="15">
        <v>3.2699999999999996</v>
      </c>
      <c r="M841" s="53" t="e">
        <v>#NAME?</v>
      </c>
      <c r="N841" s="15"/>
      <c r="O841" s="15"/>
      <c r="P841" s="15"/>
    </row>
    <row r="842" spans="10:16" s="21" customFormat="1" ht="14.25" x14ac:dyDescent="0.45">
      <c r="J842" s="27"/>
      <c r="K842" s="15"/>
      <c r="L842" s="15">
        <v>3.2799999999999994</v>
      </c>
      <c r="M842" s="53" t="e">
        <v>#NAME?</v>
      </c>
      <c r="N842" s="15"/>
      <c r="O842" s="15"/>
      <c r="P842" s="15"/>
    </row>
    <row r="843" spans="10:16" s="21" customFormat="1" ht="14.25" x14ac:dyDescent="0.45">
      <c r="J843" s="27"/>
      <c r="K843" s="15"/>
      <c r="L843" s="15">
        <v>3.2900000000000009</v>
      </c>
      <c r="M843" s="53" t="e">
        <v>#NAME?</v>
      </c>
      <c r="N843" s="15"/>
      <c r="O843" s="15"/>
      <c r="P843" s="15"/>
    </row>
    <row r="844" spans="10:16" s="21" customFormat="1" ht="14.25" x14ac:dyDescent="0.45">
      <c r="J844" s="27"/>
      <c r="K844" s="15"/>
      <c r="L844" s="15">
        <v>3.3000000000000007</v>
      </c>
      <c r="M844" s="53" t="e">
        <v>#NAME?</v>
      </c>
      <c r="N844" s="15"/>
      <c r="O844" s="15"/>
      <c r="P844" s="15"/>
    </row>
    <row r="845" spans="10:16" s="21" customFormat="1" ht="14.25" x14ac:dyDescent="0.45">
      <c r="J845" s="27"/>
      <c r="K845" s="15"/>
      <c r="L845" s="15">
        <v>3.3100000000000005</v>
      </c>
      <c r="M845" s="53" t="e">
        <v>#NAME?</v>
      </c>
      <c r="N845" s="15"/>
      <c r="O845" s="15"/>
      <c r="P845" s="15"/>
    </row>
    <row r="846" spans="10:16" s="21" customFormat="1" ht="14.25" x14ac:dyDescent="0.45">
      <c r="J846" s="27"/>
      <c r="K846" s="15"/>
      <c r="L846" s="15">
        <v>3.3200000000000003</v>
      </c>
      <c r="M846" s="53" t="e">
        <v>#NAME?</v>
      </c>
      <c r="N846" s="15"/>
      <c r="O846" s="15"/>
      <c r="P846" s="15"/>
    </row>
    <row r="847" spans="10:16" s="21" customFormat="1" ht="14.25" x14ac:dyDescent="0.45">
      <c r="J847" s="27"/>
      <c r="K847" s="15"/>
      <c r="L847" s="15">
        <v>3.33</v>
      </c>
      <c r="M847" s="53" t="e">
        <v>#NAME?</v>
      </c>
      <c r="N847" s="15"/>
      <c r="O847" s="15"/>
      <c r="P847" s="15"/>
    </row>
    <row r="848" spans="10:16" s="21" customFormat="1" ht="14.25" x14ac:dyDescent="0.45">
      <c r="J848" s="27"/>
      <c r="K848" s="15"/>
      <c r="L848" s="15">
        <v>3.34</v>
      </c>
      <c r="M848" s="53" t="e">
        <v>#NAME?</v>
      </c>
      <c r="N848" s="15"/>
      <c r="O848" s="15"/>
      <c r="P848" s="15"/>
    </row>
    <row r="849" spans="10:16" s="21" customFormat="1" ht="14.25" x14ac:dyDescent="0.45">
      <c r="J849" s="27"/>
      <c r="K849" s="15"/>
      <c r="L849" s="15">
        <v>3.3499999999999996</v>
      </c>
      <c r="M849" s="53" t="e">
        <v>#NAME?</v>
      </c>
      <c r="N849" s="15"/>
      <c r="O849" s="15"/>
      <c r="P849" s="15"/>
    </row>
    <row r="850" spans="10:16" s="21" customFormat="1" ht="14.25" x14ac:dyDescent="0.45">
      <c r="J850" s="27"/>
      <c r="K850" s="15"/>
      <c r="L850" s="15">
        <v>3.3599999999999994</v>
      </c>
      <c r="M850" s="53" t="e">
        <v>#NAME?</v>
      </c>
      <c r="N850" s="15"/>
      <c r="O850" s="15"/>
      <c r="P850" s="15"/>
    </row>
    <row r="851" spans="10:16" s="21" customFormat="1" ht="14.25" x14ac:dyDescent="0.45">
      <c r="J851" s="27"/>
      <c r="K851" s="15"/>
      <c r="L851" s="15">
        <v>3.370000000000001</v>
      </c>
      <c r="M851" s="53" t="e">
        <v>#NAME?</v>
      </c>
      <c r="N851" s="15"/>
      <c r="O851" s="15"/>
      <c r="P851" s="15"/>
    </row>
    <row r="852" spans="10:16" s="21" customFormat="1" ht="14.25" x14ac:dyDescent="0.45">
      <c r="J852" s="27"/>
      <c r="K852" s="15"/>
      <c r="L852" s="15">
        <v>3.3800000000000008</v>
      </c>
      <c r="M852" s="53" t="e">
        <v>#NAME?</v>
      </c>
      <c r="N852" s="15"/>
      <c r="O852" s="15"/>
      <c r="P852" s="15"/>
    </row>
    <row r="853" spans="10:16" s="21" customFormat="1" ht="14.25" x14ac:dyDescent="0.45">
      <c r="J853" s="27"/>
      <c r="K853" s="15"/>
      <c r="L853" s="15">
        <v>3.3900000000000006</v>
      </c>
      <c r="M853" s="53" t="e">
        <v>#NAME?</v>
      </c>
      <c r="N853" s="15"/>
      <c r="O853" s="15"/>
      <c r="P853" s="15"/>
    </row>
    <row r="854" spans="10:16" s="21" customFormat="1" ht="14.25" x14ac:dyDescent="0.45">
      <c r="J854" s="27"/>
      <c r="K854" s="15"/>
      <c r="L854" s="15">
        <v>3.4000000000000004</v>
      </c>
      <c r="M854" s="53" t="e">
        <v>#NAME?</v>
      </c>
      <c r="N854" s="15"/>
      <c r="O854" s="15"/>
      <c r="P854" s="15"/>
    </row>
    <row r="855" spans="10:16" s="21" customFormat="1" ht="14.25" x14ac:dyDescent="0.45">
      <c r="J855" s="27"/>
      <c r="K855" s="15"/>
      <c r="L855" s="15">
        <v>3.41</v>
      </c>
      <c r="M855" s="53" t="e">
        <v>#NAME?</v>
      </c>
      <c r="N855" s="15"/>
      <c r="O855" s="15"/>
      <c r="P855" s="15"/>
    </row>
    <row r="856" spans="10:16" s="21" customFormat="1" ht="14.25" x14ac:dyDescent="0.45">
      <c r="J856" s="27"/>
      <c r="K856" s="15"/>
      <c r="L856" s="15">
        <v>3.42</v>
      </c>
      <c r="M856" s="53" t="e">
        <v>#NAME?</v>
      </c>
      <c r="N856" s="15"/>
      <c r="O856" s="15"/>
      <c r="P856" s="15"/>
    </row>
    <row r="857" spans="10:16" s="21" customFormat="1" ht="14.25" x14ac:dyDescent="0.45">
      <c r="J857" s="27"/>
      <c r="K857" s="15"/>
      <c r="L857" s="15">
        <v>3.4299999999999997</v>
      </c>
      <c r="M857" s="53" t="e">
        <v>#NAME?</v>
      </c>
      <c r="N857" s="15"/>
      <c r="O857" s="15"/>
      <c r="P857" s="15"/>
    </row>
    <row r="858" spans="10:16" s="21" customFormat="1" ht="14.25" x14ac:dyDescent="0.45">
      <c r="J858" s="27"/>
      <c r="K858" s="15"/>
      <c r="L858" s="15">
        <v>3.4399999999999995</v>
      </c>
      <c r="M858" s="53" t="e">
        <v>#NAME?</v>
      </c>
      <c r="N858" s="15"/>
      <c r="O858" s="15"/>
      <c r="P858" s="15"/>
    </row>
    <row r="859" spans="10:16" s="21" customFormat="1" ht="14.25" x14ac:dyDescent="0.45">
      <c r="J859" s="27"/>
      <c r="K859" s="15"/>
      <c r="L859" s="15">
        <v>3.4499999999999993</v>
      </c>
      <c r="M859" s="53" t="e">
        <v>#NAME?</v>
      </c>
      <c r="N859" s="15"/>
      <c r="O859" s="15"/>
      <c r="P859" s="15"/>
    </row>
    <row r="860" spans="10:16" s="21" customFormat="1" ht="14.25" x14ac:dyDescent="0.45">
      <c r="J860" s="27"/>
      <c r="K860" s="15"/>
      <c r="L860" s="15">
        <v>3.4600000000000009</v>
      </c>
      <c r="M860" s="53" t="e">
        <v>#NAME?</v>
      </c>
      <c r="N860" s="15"/>
      <c r="O860" s="15"/>
      <c r="P860" s="15"/>
    </row>
    <row r="861" spans="10:16" s="21" customFormat="1" ht="14.25" x14ac:dyDescent="0.45">
      <c r="J861" s="27"/>
      <c r="K861" s="15"/>
      <c r="L861" s="15">
        <v>3.4700000000000006</v>
      </c>
      <c r="M861" s="53" t="e">
        <v>#NAME?</v>
      </c>
      <c r="N861" s="15"/>
      <c r="O861" s="15"/>
      <c r="P861" s="15"/>
    </row>
    <row r="862" spans="10:16" s="21" customFormat="1" ht="14.25" x14ac:dyDescent="0.45">
      <c r="J862" s="27"/>
      <c r="K862" s="15"/>
      <c r="L862" s="15">
        <v>3.4800000000000004</v>
      </c>
      <c r="M862" s="53" t="e">
        <v>#NAME?</v>
      </c>
      <c r="N862" s="15"/>
      <c r="O862" s="15"/>
      <c r="P862" s="15"/>
    </row>
    <row r="863" spans="10:16" s="21" customFormat="1" ht="14.25" x14ac:dyDescent="0.45">
      <c r="J863" s="27"/>
      <c r="K863" s="15"/>
      <c r="L863" s="15">
        <v>3.49</v>
      </c>
      <c r="M863" s="53" t="e">
        <v>#NAME?</v>
      </c>
      <c r="N863" s="15"/>
      <c r="O863" s="15"/>
      <c r="P863" s="15"/>
    </row>
    <row r="864" spans="10:16" s="21" customFormat="1" ht="14.25" x14ac:dyDescent="0.45">
      <c r="J864" s="27"/>
      <c r="K864" s="15"/>
      <c r="L864" s="15">
        <v>3.5</v>
      </c>
      <c r="M864" s="53" t="e">
        <v>#NAME?</v>
      </c>
      <c r="N864" s="15"/>
      <c r="O864" s="15"/>
      <c r="P864" s="15"/>
    </row>
    <row r="865" spans="10:16" s="21" customFormat="1" ht="14.25" x14ac:dyDescent="0.45">
      <c r="J865" s="27"/>
      <c r="K865" s="15"/>
      <c r="L865" s="15">
        <v>3.51</v>
      </c>
      <c r="M865" s="53" t="e">
        <v>#NAME?</v>
      </c>
      <c r="N865" s="15"/>
      <c r="O865" s="15"/>
      <c r="P865" s="15"/>
    </row>
    <row r="866" spans="10:16" s="21" customFormat="1" ht="14.25" x14ac:dyDescent="0.45">
      <c r="J866" s="27"/>
      <c r="K866" s="15"/>
      <c r="L866" s="15">
        <v>3.5199999999999996</v>
      </c>
      <c r="M866" s="53" t="e">
        <v>#NAME?</v>
      </c>
      <c r="N866" s="15"/>
      <c r="O866" s="15"/>
      <c r="P866" s="15"/>
    </row>
    <row r="867" spans="10:16" s="21" customFormat="1" ht="14.25" x14ac:dyDescent="0.45">
      <c r="J867" s="27"/>
      <c r="K867" s="15"/>
      <c r="L867" s="15">
        <v>3.5299999999999994</v>
      </c>
      <c r="M867" s="53" t="e">
        <v>#NAME?</v>
      </c>
      <c r="N867" s="15"/>
      <c r="O867" s="15"/>
      <c r="P867" s="15"/>
    </row>
    <row r="868" spans="10:16" s="21" customFormat="1" ht="14.25" x14ac:dyDescent="0.45">
      <c r="J868" s="27"/>
      <c r="K868" s="15"/>
      <c r="L868" s="15">
        <v>3.5400000000000009</v>
      </c>
      <c r="M868" s="53" t="e">
        <v>#NAME?</v>
      </c>
      <c r="N868" s="15"/>
      <c r="O868" s="15"/>
      <c r="P868" s="15"/>
    </row>
    <row r="869" spans="10:16" s="21" customFormat="1" ht="14.25" x14ac:dyDescent="0.45">
      <c r="J869" s="27"/>
      <c r="K869" s="15"/>
      <c r="L869" s="15">
        <v>3.5500000000000007</v>
      </c>
      <c r="M869" s="53" t="e">
        <v>#NAME?</v>
      </c>
      <c r="N869" s="15"/>
      <c r="O869" s="15"/>
      <c r="P869" s="15"/>
    </row>
    <row r="870" spans="10:16" s="21" customFormat="1" ht="14.25" x14ac:dyDescent="0.45">
      <c r="J870" s="27"/>
      <c r="K870" s="15"/>
      <c r="L870" s="15">
        <v>3.5600000000000005</v>
      </c>
      <c r="M870" s="53" t="e">
        <v>#NAME?</v>
      </c>
      <c r="N870" s="15"/>
      <c r="O870" s="15"/>
      <c r="P870" s="15"/>
    </row>
    <row r="871" spans="10:16" s="21" customFormat="1" ht="14.25" x14ac:dyDescent="0.45">
      <c r="J871" s="27"/>
      <c r="K871" s="15"/>
      <c r="L871" s="15">
        <v>3.5700000000000003</v>
      </c>
      <c r="M871" s="53" t="e">
        <v>#NAME?</v>
      </c>
      <c r="N871" s="15"/>
      <c r="O871" s="15"/>
      <c r="P871" s="15"/>
    </row>
    <row r="872" spans="10:16" s="21" customFormat="1" ht="14.25" x14ac:dyDescent="0.45">
      <c r="J872" s="27"/>
      <c r="K872" s="15"/>
      <c r="L872" s="15">
        <v>3.58</v>
      </c>
      <c r="M872" s="53" t="e">
        <v>#NAME?</v>
      </c>
      <c r="N872" s="15"/>
      <c r="O872" s="15"/>
      <c r="P872" s="15"/>
    </row>
    <row r="873" spans="10:16" s="21" customFormat="1" ht="14.25" x14ac:dyDescent="0.45">
      <c r="J873" s="27"/>
      <c r="K873" s="15"/>
      <c r="L873" s="15">
        <v>3.59</v>
      </c>
      <c r="M873" s="53" t="e">
        <v>#NAME?</v>
      </c>
      <c r="N873" s="15"/>
      <c r="O873" s="15"/>
      <c r="P873" s="15"/>
    </row>
    <row r="874" spans="10:16" s="21" customFormat="1" ht="14.25" x14ac:dyDescent="0.45">
      <c r="J874" s="27"/>
      <c r="K874" s="15"/>
      <c r="L874" s="15">
        <v>3.5999999999999996</v>
      </c>
      <c r="M874" s="53" t="e">
        <v>#NAME?</v>
      </c>
      <c r="N874" s="15"/>
      <c r="O874" s="15"/>
      <c r="P874" s="15"/>
    </row>
    <row r="875" spans="10:16" s="21" customFormat="1" ht="14.25" x14ac:dyDescent="0.45">
      <c r="J875" s="27"/>
      <c r="K875" s="15"/>
      <c r="L875" s="15">
        <v>3.6099999999999994</v>
      </c>
      <c r="M875" s="53" t="e">
        <v>#NAME?</v>
      </c>
      <c r="N875" s="15"/>
      <c r="O875" s="15"/>
      <c r="P875" s="15"/>
    </row>
    <row r="876" spans="10:16" s="21" customFormat="1" ht="14.25" x14ac:dyDescent="0.45">
      <c r="J876" s="27"/>
      <c r="K876" s="15"/>
      <c r="L876" s="15">
        <v>3.620000000000001</v>
      </c>
      <c r="M876" s="53" t="e">
        <v>#NAME?</v>
      </c>
      <c r="N876" s="15"/>
      <c r="O876" s="15"/>
      <c r="P876" s="15"/>
    </row>
    <row r="877" spans="10:16" s="21" customFormat="1" ht="14.25" x14ac:dyDescent="0.45">
      <c r="J877" s="27"/>
      <c r="K877" s="15"/>
      <c r="L877" s="15">
        <v>3.6300000000000008</v>
      </c>
      <c r="M877" s="53" t="e">
        <v>#NAME?</v>
      </c>
      <c r="N877" s="15"/>
      <c r="O877" s="15"/>
      <c r="P877" s="15"/>
    </row>
    <row r="878" spans="10:16" s="21" customFormat="1" ht="14.25" x14ac:dyDescent="0.45">
      <c r="J878" s="27"/>
      <c r="K878" s="15"/>
      <c r="L878" s="15">
        <v>3.6400000000000006</v>
      </c>
      <c r="M878" s="53" t="e">
        <v>#NAME?</v>
      </c>
      <c r="N878" s="15"/>
      <c r="O878" s="15"/>
      <c r="P878" s="15"/>
    </row>
    <row r="879" spans="10:16" s="21" customFormat="1" ht="14.25" x14ac:dyDescent="0.45">
      <c r="J879" s="27"/>
      <c r="K879" s="15"/>
      <c r="L879" s="15">
        <v>3.6500000000000004</v>
      </c>
      <c r="M879" s="53" t="e">
        <v>#NAME?</v>
      </c>
      <c r="N879" s="15"/>
      <c r="O879" s="15"/>
      <c r="P879" s="15"/>
    </row>
    <row r="880" spans="10:16" s="21" customFormat="1" ht="14.25" x14ac:dyDescent="0.45">
      <c r="J880" s="27"/>
      <c r="K880" s="15"/>
      <c r="L880" s="15">
        <v>3.66</v>
      </c>
      <c r="M880" s="53" t="e">
        <v>#NAME?</v>
      </c>
      <c r="N880" s="15"/>
      <c r="O880" s="15"/>
      <c r="P880" s="15"/>
    </row>
    <row r="881" spans="10:16" s="21" customFormat="1" ht="14.25" x14ac:dyDescent="0.45">
      <c r="J881" s="27"/>
      <c r="K881" s="15"/>
      <c r="L881" s="15">
        <v>3.67</v>
      </c>
      <c r="M881" s="53" t="e">
        <v>#NAME?</v>
      </c>
      <c r="N881" s="15"/>
      <c r="O881" s="15"/>
      <c r="P881" s="15"/>
    </row>
    <row r="882" spans="10:16" s="21" customFormat="1" ht="14.25" x14ac:dyDescent="0.45">
      <c r="J882" s="27"/>
      <c r="K882" s="15"/>
      <c r="L882" s="15">
        <v>3.6799999999999997</v>
      </c>
      <c r="M882" s="53" t="e">
        <v>#NAME?</v>
      </c>
      <c r="N882" s="15"/>
      <c r="O882" s="15"/>
      <c r="P882" s="15"/>
    </row>
    <row r="883" spans="10:16" s="21" customFormat="1" ht="14.25" x14ac:dyDescent="0.45">
      <c r="J883" s="27"/>
      <c r="K883" s="15"/>
      <c r="L883" s="15">
        <v>3.6899999999999995</v>
      </c>
      <c r="M883" s="53" t="e">
        <v>#NAME?</v>
      </c>
      <c r="N883" s="15"/>
      <c r="O883" s="15"/>
      <c r="P883" s="15"/>
    </row>
    <row r="884" spans="10:16" s="21" customFormat="1" ht="14.25" x14ac:dyDescent="0.45">
      <c r="J884" s="27"/>
      <c r="K884" s="15"/>
      <c r="L884" s="15">
        <v>3.7000000000000011</v>
      </c>
      <c r="M884" s="53" t="e">
        <v>#NAME?</v>
      </c>
      <c r="N884" s="15"/>
      <c r="O884" s="15"/>
      <c r="P884" s="15"/>
    </row>
    <row r="885" spans="10:16" s="21" customFormat="1" ht="14.25" x14ac:dyDescent="0.45">
      <c r="J885" s="27"/>
      <c r="K885" s="15"/>
      <c r="L885" s="15">
        <v>3.7100000000000009</v>
      </c>
      <c r="M885" s="53" t="e">
        <v>#NAME?</v>
      </c>
      <c r="N885" s="15"/>
      <c r="O885" s="15"/>
      <c r="P885" s="15"/>
    </row>
    <row r="886" spans="10:16" s="21" customFormat="1" ht="14.25" x14ac:dyDescent="0.45">
      <c r="J886" s="27"/>
      <c r="K886" s="15"/>
      <c r="L886" s="15">
        <v>3.7200000000000006</v>
      </c>
      <c r="M886" s="53" t="e">
        <v>#NAME?</v>
      </c>
      <c r="N886" s="15"/>
      <c r="O886" s="15"/>
      <c r="P886" s="15"/>
    </row>
    <row r="887" spans="10:16" s="21" customFormat="1" ht="14.25" x14ac:dyDescent="0.45">
      <c r="J887" s="27"/>
      <c r="K887" s="15"/>
      <c r="L887" s="15">
        <v>3.7300000000000004</v>
      </c>
      <c r="M887" s="53" t="e">
        <v>#NAME?</v>
      </c>
      <c r="N887" s="15"/>
      <c r="O887" s="15"/>
      <c r="P887" s="15"/>
    </row>
    <row r="888" spans="10:16" s="21" customFormat="1" ht="14.25" x14ac:dyDescent="0.45">
      <c r="J888" s="27"/>
      <c r="K888" s="15"/>
      <c r="L888" s="15">
        <v>3.74</v>
      </c>
      <c r="M888" s="53" t="e">
        <v>#NAME?</v>
      </c>
      <c r="N888" s="15"/>
      <c r="O888" s="15"/>
      <c r="P888" s="15"/>
    </row>
    <row r="889" spans="10:16" s="21" customFormat="1" ht="14.25" x14ac:dyDescent="0.45">
      <c r="J889" s="27"/>
      <c r="K889" s="15"/>
      <c r="L889" s="15">
        <v>3.75</v>
      </c>
      <c r="M889" s="53" t="e">
        <v>#NAME?</v>
      </c>
      <c r="N889" s="15"/>
      <c r="O889" s="15"/>
      <c r="P889" s="15"/>
    </row>
    <row r="890" spans="10:16" s="21" customFormat="1" ht="14.25" x14ac:dyDescent="0.45">
      <c r="J890" s="27"/>
      <c r="K890" s="15"/>
      <c r="L890" s="15">
        <v>3.76</v>
      </c>
      <c r="M890" s="53" t="e">
        <v>#NAME?</v>
      </c>
      <c r="N890" s="15"/>
      <c r="O890" s="15"/>
      <c r="P890" s="15"/>
    </row>
    <row r="891" spans="10:16" s="21" customFormat="1" ht="14.25" x14ac:dyDescent="0.45">
      <c r="J891" s="27"/>
      <c r="K891" s="15"/>
      <c r="L891" s="15">
        <v>3.7699999999999996</v>
      </c>
      <c r="M891" s="53" t="e">
        <v>#NAME?</v>
      </c>
      <c r="N891" s="15"/>
      <c r="O891" s="15"/>
      <c r="P891" s="15"/>
    </row>
    <row r="892" spans="10:16" s="21" customFormat="1" ht="14.25" x14ac:dyDescent="0.45">
      <c r="J892" s="27"/>
      <c r="K892" s="15"/>
      <c r="L892" s="15">
        <v>3.7799999999999994</v>
      </c>
      <c r="M892" s="53" t="e">
        <v>#NAME?</v>
      </c>
      <c r="N892" s="15"/>
      <c r="O892" s="15"/>
      <c r="P892" s="15"/>
    </row>
    <row r="893" spans="10:16" s="21" customFormat="1" ht="14.25" x14ac:dyDescent="0.45">
      <c r="J893" s="27"/>
      <c r="K893" s="15"/>
      <c r="L893" s="15">
        <v>3.7900000000000009</v>
      </c>
      <c r="M893" s="53" t="e">
        <v>#NAME?</v>
      </c>
      <c r="N893" s="15"/>
      <c r="O893" s="15"/>
      <c r="P893" s="15"/>
    </row>
    <row r="894" spans="10:16" s="21" customFormat="1" ht="14.25" x14ac:dyDescent="0.45">
      <c r="J894" s="27"/>
      <c r="K894" s="15"/>
      <c r="L894" s="15">
        <v>3.8000000000000007</v>
      </c>
      <c r="M894" s="53" t="e">
        <v>#NAME?</v>
      </c>
      <c r="N894" s="15"/>
      <c r="O894" s="15"/>
      <c r="P894" s="15"/>
    </row>
    <row r="895" spans="10:16" s="21" customFormat="1" ht="14.25" x14ac:dyDescent="0.45">
      <c r="J895" s="27"/>
      <c r="K895" s="15"/>
      <c r="L895" s="15">
        <v>3.8100000000000005</v>
      </c>
      <c r="M895" s="53" t="e">
        <v>#NAME?</v>
      </c>
      <c r="N895" s="15"/>
      <c r="O895" s="15"/>
      <c r="P895" s="15"/>
    </row>
    <row r="896" spans="10:16" s="21" customFormat="1" ht="14.25" x14ac:dyDescent="0.45">
      <c r="J896" s="27"/>
      <c r="K896" s="15"/>
      <c r="L896" s="15">
        <v>3.8200000000000003</v>
      </c>
      <c r="M896" s="53" t="e">
        <v>#NAME?</v>
      </c>
      <c r="N896" s="15"/>
      <c r="O896" s="15"/>
      <c r="P896" s="15"/>
    </row>
    <row r="897" spans="10:16" s="21" customFormat="1" ht="14.25" x14ac:dyDescent="0.45">
      <c r="J897" s="27"/>
      <c r="K897" s="15"/>
      <c r="L897" s="15">
        <v>3.83</v>
      </c>
      <c r="M897" s="53" t="e">
        <v>#NAME?</v>
      </c>
      <c r="N897" s="15"/>
      <c r="O897" s="15"/>
      <c r="P897" s="15"/>
    </row>
    <row r="898" spans="10:16" s="21" customFormat="1" ht="14.25" x14ac:dyDescent="0.45">
      <c r="J898" s="27"/>
      <c r="K898" s="15"/>
      <c r="L898" s="15">
        <v>3.84</v>
      </c>
      <c r="M898" s="53" t="e">
        <v>#NAME?</v>
      </c>
      <c r="N898" s="15"/>
      <c r="O898" s="15"/>
      <c r="P898" s="15"/>
    </row>
    <row r="899" spans="10:16" s="21" customFormat="1" ht="14.25" x14ac:dyDescent="0.45">
      <c r="J899" s="27"/>
      <c r="K899" s="15"/>
      <c r="L899" s="15">
        <v>3.8499999999999996</v>
      </c>
      <c r="M899" s="53" t="e">
        <v>#NAME?</v>
      </c>
      <c r="N899" s="15"/>
      <c r="O899" s="15"/>
      <c r="P899" s="15"/>
    </row>
    <row r="900" spans="10:16" s="21" customFormat="1" ht="14.25" x14ac:dyDescent="0.45">
      <c r="J900" s="27"/>
      <c r="K900" s="15"/>
      <c r="L900" s="15">
        <v>3.8599999999999994</v>
      </c>
      <c r="M900" s="53" t="e">
        <v>#NAME?</v>
      </c>
      <c r="N900" s="15"/>
      <c r="O900" s="15"/>
      <c r="P900" s="15"/>
    </row>
    <row r="901" spans="10:16" s="21" customFormat="1" ht="14.25" x14ac:dyDescent="0.45">
      <c r="J901" s="27"/>
      <c r="K901" s="15"/>
      <c r="L901" s="15">
        <v>3.870000000000001</v>
      </c>
      <c r="M901" s="53" t="e">
        <v>#NAME?</v>
      </c>
      <c r="N901" s="15"/>
      <c r="O901" s="15"/>
      <c r="P901" s="15"/>
    </row>
    <row r="902" spans="10:16" s="21" customFormat="1" ht="14.25" x14ac:dyDescent="0.45">
      <c r="J902" s="27"/>
      <c r="K902" s="15"/>
      <c r="L902" s="15">
        <v>3.8800000000000008</v>
      </c>
      <c r="M902" s="53" t="e">
        <v>#NAME?</v>
      </c>
      <c r="N902" s="15"/>
      <c r="O902" s="15"/>
      <c r="P902" s="15"/>
    </row>
    <row r="903" spans="10:16" s="21" customFormat="1" ht="14.25" x14ac:dyDescent="0.45">
      <c r="J903" s="27"/>
      <c r="K903" s="15"/>
      <c r="L903" s="15">
        <v>3.8900000000000006</v>
      </c>
      <c r="M903" s="53" t="e">
        <v>#NAME?</v>
      </c>
      <c r="N903" s="15"/>
      <c r="O903" s="15"/>
      <c r="P903" s="15"/>
    </row>
    <row r="904" spans="10:16" s="21" customFormat="1" ht="14.25" x14ac:dyDescent="0.45">
      <c r="J904" s="27"/>
      <c r="K904" s="15"/>
      <c r="L904" s="15">
        <v>3.9000000000000004</v>
      </c>
      <c r="M904" s="53" t="e">
        <v>#NAME?</v>
      </c>
      <c r="N904" s="15"/>
      <c r="O904" s="15"/>
      <c r="P904" s="15"/>
    </row>
    <row r="905" spans="10:16" s="21" customFormat="1" ht="14.25" x14ac:dyDescent="0.45">
      <c r="J905" s="27"/>
      <c r="K905" s="15"/>
      <c r="L905" s="15">
        <v>3.91</v>
      </c>
      <c r="M905" s="53" t="e">
        <v>#NAME?</v>
      </c>
      <c r="N905" s="15"/>
      <c r="O905" s="15"/>
      <c r="P905" s="15"/>
    </row>
    <row r="906" spans="10:16" s="21" customFormat="1" ht="14.25" x14ac:dyDescent="0.45">
      <c r="J906" s="27"/>
      <c r="K906" s="15"/>
      <c r="L906" s="15">
        <v>3.92</v>
      </c>
      <c r="M906" s="53" t="e">
        <v>#NAME?</v>
      </c>
      <c r="N906" s="15"/>
      <c r="O906" s="15"/>
      <c r="P906" s="15"/>
    </row>
    <row r="907" spans="10:16" s="21" customFormat="1" ht="14.25" x14ac:dyDescent="0.45">
      <c r="J907" s="27"/>
      <c r="K907" s="15"/>
      <c r="L907" s="15">
        <v>3.9299999999999997</v>
      </c>
      <c r="M907" s="53" t="e">
        <v>#NAME?</v>
      </c>
      <c r="N907" s="15"/>
      <c r="O907" s="15"/>
      <c r="P907" s="15"/>
    </row>
    <row r="908" spans="10:16" s="21" customFormat="1" ht="14.25" x14ac:dyDescent="0.45">
      <c r="J908" s="27"/>
      <c r="K908" s="15"/>
      <c r="L908" s="15">
        <v>3.9399999999999995</v>
      </c>
      <c r="M908" s="53" t="e">
        <v>#NAME?</v>
      </c>
      <c r="N908" s="15"/>
      <c r="O908" s="15"/>
      <c r="P908" s="15"/>
    </row>
    <row r="909" spans="10:16" s="21" customFormat="1" ht="14.25" x14ac:dyDescent="0.45">
      <c r="J909" s="27"/>
      <c r="K909" s="15"/>
      <c r="L909" s="15">
        <v>3.9500000000000011</v>
      </c>
      <c r="M909" s="53" t="e">
        <v>#NAME?</v>
      </c>
      <c r="N909" s="15"/>
      <c r="O909" s="15"/>
      <c r="P909" s="15"/>
    </row>
    <row r="910" spans="10:16" s="21" customFormat="1" ht="14.25" x14ac:dyDescent="0.45">
      <c r="J910" s="27"/>
      <c r="K910" s="15"/>
      <c r="L910" s="15">
        <v>3.9600000000000009</v>
      </c>
      <c r="M910" s="53" t="e">
        <v>#NAME?</v>
      </c>
      <c r="N910" s="15"/>
      <c r="O910" s="15"/>
      <c r="P910" s="15"/>
    </row>
    <row r="911" spans="10:16" s="21" customFormat="1" ht="14.25" x14ac:dyDescent="0.45">
      <c r="J911" s="27"/>
      <c r="K911" s="15"/>
      <c r="L911" s="15">
        <v>3.9700000000000006</v>
      </c>
      <c r="M911" s="53" t="e">
        <v>#NAME?</v>
      </c>
      <c r="N911" s="15"/>
      <c r="O911" s="15"/>
      <c r="P911" s="15"/>
    </row>
    <row r="912" spans="10:16" s="21" customFormat="1" ht="14.25" x14ac:dyDescent="0.45">
      <c r="J912" s="27"/>
      <c r="K912" s="15"/>
      <c r="L912" s="15">
        <v>3.9800000000000004</v>
      </c>
      <c r="M912" s="53" t="e">
        <v>#NAME?</v>
      </c>
      <c r="N912" s="15"/>
      <c r="O912" s="15"/>
      <c r="P912" s="15"/>
    </row>
    <row r="913" spans="10:16" s="21" customFormat="1" ht="14.25" x14ac:dyDescent="0.45">
      <c r="J913" s="27"/>
      <c r="K913" s="15"/>
      <c r="L913" s="15">
        <v>3.99</v>
      </c>
      <c r="M913" s="53" t="e">
        <v>#NAME?</v>
      </c>
      <c r="N913" s="15"/>
      <c r="O913" s="15"/>
      <c r="P913" s="15"/>
    </row>
    <row r="914" spans="10:16" s="21" customFormat="1" ht="14.25" x14ac:dyDescent="0.45">
      <c r="J914" s="27"/>
      <c r="K914" s="15"/>
      <c r="L914" s="15">
        <v>4</v>
      </c>
      <c r="M914" s="53" t="e">
        <v>#NAME?</v>
      </c>
      <c r="N914" s="15"/>
      <c r="O914" s="15"/>
      <c r="P914" s="15"/>
    </row>
    <row r="915" spans="10:16" s="21" customFormat="1" ht="14.25" x14ac:dyDescent="0.45">
      <c r="J915" s="27"/>
      <c r="K915" s="15"/>
      <c r="L915" s="15">
        <v>4.01</v>
      </c>
      <c r="M915" s="53" t="e">
        <v>#NAME?</v>
      </c>
      <c r="N915" s="15"/>
      <c r="O915" s="15"/>
      <c r="P915" s="15"/>
    </row>
    <row r="916" spans="10:16" s="21" customFormat="1" ht="14.25" x14ac:dyDescent="0.45">
      <c r="J916" s="27"/>
      <c r="K916" s="15"/>
      <c r="L916" s="15">
        <v>4.0199999999999996</v>
      </c>
      <c r="M916" s="53" t="e">
        <v>#NAME?</v>
      </c>
      <c r="N916" s="15"/>
      <c r="O916" s="15"/>
      <c r="P916" s="15"/>
    </row>
    <row r="917" spans="10:16" s="21" customFormat="1" ht="14.25" x14ac:dyDescent="0.45">
      <c r="J917" s="27"/>
      <c r="K917" s="15"/>
      <c r="L917" s="15">
        <v>4.0299999999999994</v>
      </c>
      <c r="M917" s="53" t="e">
        <v>#NAME?</v>
      </c>
      <c r="N917" s="15"/>
      <c r="O917" s="15"/>
      <c r="P917" s="15"/>
    </row>
    <row r="918" spans="10:16" s="21" customFormat="1" ht="14.25" x14ac:dyDescent="0.45">
      <c r="J918" s="27"/>
      <c r="K918" s="15"/>
      <c r="L918" s="15">
        <v>4.0400000000000009</v>
      </c>
      <c r="M918" s="53" t="e">
        <v>#NAME?</v>
      </c>
      <c r="N918" s="15"/>
      <c r="O918" s="15"/>
      <c r="P918" s="15"/>
    </row>
    <row r="919" spans="10:16" s="21" customFormat="1" ht="14.25" x14ac:dyDescent="0.45">
      <c r="J919" s="27"/>
      <c r="K919" s="15"/>
      <c r="L919" s="15">
        <v>4.0500000000000007</v>
      </c>
      <c r="M919" s="53" t="e">
        <v>#NAME?</v>
      </c>
      <c r="N919" s="15"/>
      <c r="O919" s="15"/>
      <c r="P919" s="15"/>
    </row>
    <row r="920" spans="10:16" s="21" customFormat="1" ht="14.25" x14ac:dyDescent="0.45">
      <c r="J920" s="27"/>
      <c r="K920" s="15"/>
      <c r="L920" s="15">
        <v>4.0600000000000005</v>
      </c>
      <c r="M920" s="53" t="e">
        <v>#NAME?</v>
      </c>
      <c r="N920" s="15"/>
      <c r="O920" s="15"/>
      <c r="P920" s="15"/>
    </row>
    <row r="921" spans="10:16" s="21" customFormat="1" ht="14.25" x14ac:dyDescent="0.45">
      <c r="J921" s="27"/>
      <c r="K921" s="15"/>
      <c r="L921" s="15">
        <v>4.07</v>
      </c>
      <c r="M921" s="53" t="e">
        <v>#NAME?</v>
      </c>
      <c r="N921" s="15"/>
      <c r="O921" s="15"/>
      <c r="P921" s="15"/>
    </row>
    <row r="922" spans="10:16" s="21" customFormat="1" ht="14.25" x14ac:dyDescent="0.45">
      <c r="J922" s="27"/>
      <c r="K922" s="15"/>
      <c r="L922" s="15">
        <v>4.08</v>
      </c>
      <c r="M922" s="53" t="e">
        <v>#NAME?</v>
      </c>
      <c r="N922" s="15"/>
      <c r="O922" s="15"/>
      <c r="P922" s="15"/>
    </row>
    <row r="923" spans="10:16" s="21" customFormat="1" ht="14.25" x14ac:dyDescent="0.45">
      <c r="J923" s="27"/>
      <c r="K923" s="15"/>
      <c r="L923" s="15">
        <v>4.09</v>
      </c>
      <c r="M923" s="53" t="e">
        <v>#NAME?</v>
      </c>
      <c r="N923" s="15"/>
      <c r="O923" s="15"/>
      <c r="P923" s="15"/>
    </row>
    <row r="924" spans="10:16" s="21" customFormat="1" ht="14.25" x14ac:dyDescent="0.45">
      <c r="J924" s="27"/>
      <c r="K924" s="15"/>
      <c r="L924" s="15">
        <v>4.0999999999999996</v>
      </c>
      <c r="M924" s="53" t="e">
        <v>#NAME?</v>
      </c>
      <c r="N924" s="15"/>
      <c r="O924" s="15"/>
      <c r="P924" s="15"/>
    </row>
    <row r="925" spans="10:16" s="21" customFormat="1" ht="14.25" x14ac:dyDescent="0.45">
      <c r="J925" s="27"/>
      <c r="K925" s="15"/>
      <c r="L925" s="15">
        <v>4.1099999999999994</v>
      </c>
      <c r="M925" s="53" t="e">
        <v>#NAME?</v>
      </c>
      <c r="N925" s="15"/>
      <c r="O925" s="15"/>
      <c r="P925" s="15"/>
    </row>
    <row r="926" spans="10:16" s="21" customFormat="1" ht="14.25" x14ac:dyDescent="0.45">
      <c r="J926" s="27"/>
      <c r="K926" s="15"/>
      <c r="L926" s="15">
        <v>4.120000000000001</v>
      </c>
      <c r="M926" s="53" t="e">
        <v>#NAME?</v>
      </c>
      <c r="N926" s="15"/>
      <c r="O926" s="15"/>
      <c r="P926" s="15"/>
    </row>
    <row r="927" spans="10:16" s="21" customFormat="1" ht="14.25" x14ac:dyDescent="0.45">
      <c r="J927" s="27"/>
      <c r="K927" s="15"/>
      <c r="L927" s="15">
        <v>4.1300000000000008</v>
      </c>
      <c r="M927" s="53" t="e">
        <v>#NAME?</v>
      </c>
      <c r="N927" s="15"/>
      <c r="O927" s="15"/>
      <c r="P927" s="15"/>
    </row>
    <row r="928" spans="10:16" s="21" customFormat="1" ht="14.25" x14ac:dyDescent="0.45">
      <c r="J928" s="27"/>
      <c r="K928" s="15"/>
      <c r="L928" s="15">
        <v>4.1400000000000006</v>
      </c>
      <c r="M928" s="53" t="e">
        <v>#NAME?</v>
      </c>
      <c r="N928" s="15"/>
      <c r="O928" s="15"/>
      <c r="P928" s="15"/>
    </row>
    <row r="929" spans="10:16" s="21" customFormat="1" ht="14.25" x14ac:dyDescent="0.45">
      <c r="J929" s="27"/>
      <c r="K929" s="15"/>
      <c r="L929" s="15">
        <v>4.1500000000000004</v>
      </c>
      <c r="M929" s="53" t="e">
        <v>#NAME?</v>
      </c>
      <c r="N929" s="15"/>
      <c r="O929" s="15"/>
      <c r="P929" s="15"/>
    </row>
    <row r="930" spans="10:16" s="21" customFormat="1" ht="14.25" x14ac:dyDescent="0.45">
      <c r="J930" s="27"/>
      <c r="K930" s="15"/>
      <c r="L930" s="15">
        <v>4.16</v>
      </c>
      <c r="M930" s="53" t="e">
        <v>#NAME?</v>
      </c>
      <c r="N930" s="15"/>
      <c r="O930" s="15"/>
      <c r="P930" s="15"/>
    </row>
    <row r="931" spans="10:16" s="21" customFormat="1" ht="14.25" x14ac:dyDescent="0.45">
      <c r="J931" s="27"/>
      <c r="K931" s="15"/>
      <c r="L931" s="15">
        <v>4.17</v>
      </c>
      <c r="M931" s="53" t="e">
        <v>#NAME?</v>
      </c>
      <c r="N931" s="15"/>
      <c r="O931" s="15"/>
      <c r="P931" s="15"/>
    </row>
    <row r="932" spans="10:16" s="21" customFormat="1" ht="14.25" x14ac:dyDescent="0.45">
      <c r="J932" s="27"/>
      <c r="K932" s="15"/>
      <c r="L932" s="15">
        <v>4.18</v>
      </c>
      <c r="M932" s="53" t="e">
        <v>#NAME?</v>
      </c>
      <c r="N932" s="15"/>
      <c r="O932" s="15"/>
      <c r="P932" s="15"/>
    </row>
    <row r="933" spans="10:16" s="21" customFormat="1" ht="14.25" x14ac:dyDescent="0.45">
      <c r="J933" s="27"/>
      <c r="K933" s="15"/>
      <c r="L933" s="15">
        <v>4.1899999999999995</v>
      </c>
      <c r="M933" s="53" t="e">
        <v>#NAME?</v>
      </c>
      <c r="N933" s="15"/>
      <c r="O933" s="15"/>
      <c r="P933" s="15"/>
    </row>
    <row r="934" spans="10:16" s="21" customFormat="1" ht="14.25" x14ac:dyDescent="0.45">
      <c r="J934" s="27"/>
      <c r="K934" s="15"/>
      <c r="L934" s="15">
        <v>4.2000000000000011</v>
      </c>
      <c r="M934" s="53" t="e">
        <v>#NAME?</v>
      </c>
      <c r="N934" s="15"/>
      <c r="O934" s="15"/>
      <c r="P934" s="15"/>
    </row>
    <row r="935" spans="10:16" s="21" customFormat="1" ht="14.25" x14ac:dyDescent="0.45">
      <c r="J935" s="27"/>
      <c r="K935" s="15"/>
      <c r="L935" s="15">
        <v>4.2100000000000009</v>
      </c>
      <c r="M935" s="53" t="e">
        <v>#NAME?</v>
      </c>
      <c r="N935" s="15"/>
      <c r="O935" s="15"/>
      <c r="P935" s="15"/>
    </row>
    <row r="936" spans="10:16" s="21" customFormat="1" ht="14.25" x14ac:dyDescent="0.45">
      <c r="J936" s="27"/>
      <c r="K936" s="15"/>
      <c r="L936" s="15">
        <v>4.2200000000000006</v>
      </c>
      <c r="M936" s="53" t="e">
        <v>#NAME?</v>
      </c>
      <c r="N936" s="15"/>
      <c r="O936" s="15"/>
      <c r="P936" s="15"/>
    </row>
    <row r="937" spans="10:16" s="21" customFormat="1" ht="14.25" x14ac:dyDescent="0.45">
      <c r="J937" s="27"/>
      <c r="K937" s="15"/>
      <c r="L937" s="15">
        <v>4.2300000000000004</v>
      </c>
      <c r="M937" s="53" t="e">
        <v>#NAME?</v>
      </c>
      <c r="N937" s="15"/>
      <c r="O937" s="15"/>
      <c r="P937" s="15"/>
    </row>
    <row r="938" spans="10:16" s="21" customFormat="1" ht="14.25" x14ac:dyDescent="0.45">
      <c r="J938" s="27"/>
      <c r="K938" s="15"/>
      <c r="L938" s="15">
        <v>4.24</v>
      </c>
      <c r="M938" s="53" t="e">
        <v>#NAME?</v>
      </c>
      <c r="N938" s="15"/>
      <c r="O938" s="15"/>
      <c r="P938" s="15"/>
    </row>
    <row r="939" spans="10:16" s="21" customFormat="1" ht="14.25" x14ac:dyDescent="0.45">
      <c r="J939" s="27"/>
      <c r="K939" s="15"/>
      <c r="L939" s="15">
        <v>4.25</v>
      </c>
      <c r="M939" s="53" t="e">
        <v>#NAME?</v>
      </c>
      <c r="N939" s="15"/>
      <c r="O939" s="15"/>
      <c r="P939" s="15"/>
    </row>
    <row r="940" spans="10:16" s="21" customFormat="1" ht="14.25" x14ac:dyDescent="0.45">
      <c r="J940" s="27"/>
      <c r="K940" s="15"/>
      <c r="L940" s="15">
        <v>4.26</v>
      </c>
      <c r="M940" s="53" t="e">
        <v>#NAME?</v>
      </c>
      <c r="N940" s="15"/>
      <c r="O940" s="15"/>
      <c r="P940" s="15"/>
    </row>
    <row r="941" spans="10:16" s="21" customFormat="1" ht="14.25" x14ac:dyDescent="0.45">
      <c r="J941" s="27"/>
      <c r="K941" s="15"/>
      <c r="L941" s="15">
        <v>4.2699999999999996</v>
      </c>
      <c r="M941" s="53" t="e">
        <v>#NAME?</v>
      </c>
      <c r="N941" s="15"/>
      <c r="O941" s="15"/>
      <c r="P941" s="15"/>
    </row>
    <row r="942" spans="10:16" s="21" customFormat="1" ht="14.25" x14ac:dyDescent="0.45">
      <c r="J942" s="27"/>
      <c r="K942" s="15"/>
      <c r="L942" s="15">
        <v>4.2799999999999994</v>
      </c>
      <c r="M942" s="53" t="e">
        <v>#NAME?</v>
      </c>
      <c r="N942" s="15"/>
      <c r="O942" s="15"/>
      <c r="P942" s="15"/>
    </row>
    <row r="943" spans="10:16" s="21" customFormat="1" ht="14.25" x14ac:dyDescent="0.45">
      <c r="J943" s="27"/>
      <c r="K943" s="15"/>
      <c r="L943" s="15">
        <v>4.2900000000000009</v>
      </c>
      <c r="M943" s="53" t="e">
        <v>#NAME?</v>
      </c>
      <c r="N943" s="15"/>
      <c r="O943" s="15"/>
      <c r="P943" s="15"/>
    </row>
    <row r="944" spans="10:16" s="21" customFormat="1" ht="14.25" x14ac:dyDescent="0.45">
      <c r="J944" s="27"/>
      <c r="K944" s="15"/>
      <c r="L944" s="15">
        <v>4.3000000000000007</v>
      </c>
      <c r="M944" s="53" t="e">
        <v>#NAME?</v>
      </c>
      <c r="N944" s="15"/>
      <c r="O944" s="15"/>
      <c r="P944" s="15"/>
    </row>
    <row r="945" spans="10:16" s="21" customFormat="1" ht="14.25" x14ac:dyDescent="0.45">
      <c r="J945" s="27"/>
      <c r="K945" s="15"/>
      <c r="L945" s="15">
        <v>4.3100000000000005</v>
      </c>
      <c r="M945" s="53" t="e">
        <v>#NAME?</v>
      </c>
      <c r="N945" s="15"/>
      <c r="O945" s="15"/>
      <c r="P945" s="15"/>
    </row>
    <row r="946" spans="10:16" s="21" customFormat="1" ht="14.25" x14ac:dyDescent="0.45">
      <c r="J946" s="27"/>
      <c r="K946" s="15"/>
      <c r="L946" s="15">
        <v>4.32</v>
      </c>
      <c r="M946" s="53" t="e">
        <v>#NAME?</v>
      </c>
      <c r="N946" s="15"/>
      <c r="O946" s="15"/>
      <c r="P946" s="15"/>
    </row>
    <row r="947" spans="10:16" s="21" customFormat="1" ht="14.25" x14ac:dyDescent="0.45">
      <c r="J947" s="27"/>
      <c r="K947" s="15"/>
      <c r="L947" s="15">
        <v>4.33</v>
      </c>
      <c r="M947" s="53" t="e">
        <v>#NAME?</v>
      </c>
      <c r="N947" s="15"/>
      <c r="O947" s="15"/>
      <c r="P947" s="15"/>
    </row>
    <row r="948" spans="10:16" s="21" customFormat="1" ht="14.25" x14ac:dyDescent="0.45">
      <c r="J948" s="27"/>
      <c r="K948" s="15"/>
      <c r="L948" s="15">
        <v>4.34</v>
      </c>
      <c r="M948" s="53" t="e">
        <v>#NAME?</v>
      </c>
      <c r="N948" s="15"/>
      <c r="O948" s="15"/>
      <c r="P948" s="15"/>
    </row>
    <row r="949" spans="10:16" s="21" customFormat="1" ht="14.25" x14ac:dyDescent="0.45">
      <c r="J949" s="27"/>
      <c r="K949" s="15"/>
      <c r="L949" s="15">
        <v>4.3499999999999996</v>
      </c>
      <c r="M949" s="53" t="e">
        <v>#NAME?</v>
      </c>
      <c r="N949" s="15"/>
      <c r="O949" s="15"/>
      <c r="P949" s="15"/>
    </row>
    <row r="950" spans="10:16" s="21" customFormat="1" ht="14.25" x14ac:dyDescent="0.45">
      <c r="J950" s="27"/>
      <c r="K950" s="15"/>
      <c r="L950" s="15">
        <v>4.3599999999999994</v>
      </c>
      <c r="M950" s="53" t="e">
        <v>#NAME?</v>
      </c>
      <c r="N950" s="15"/>
      <c r="O950" s="15"/>
      <c r="P950" s="15"/>
    </row>
    <row r="951" spans="10:16" s="21" customFormat="1" ht="14.25" x14ac:dyDescent="0.45">
      <c r="J951" s="27"/>
      <c r="K951" s="15"/>
      <c r="L951" s="15">
        <v>4.370000000000001</v>
      </c>
      <c r="M951" s="53" t="e">
        <v>#NAME?</v>
      </c>
      <c r="N951" s="15"/>
      <c r="O951" s="15"/>
      <c r="P951" s="15"/>
    </row>
    <row r="952" spans="10:16" s="21" customFormat="1" ht="14.25" x14ac:dyDescent="0.45">
      <c r="J952" s="27"/>
      <c r="K952" s="15"/>
      <c r="L952" s="15">
        <v>4.3800000000000008</v>
      </c>
      <c r="M952" s="53" t="e">
        <v>#NAME?</v>
      </c>
      <c r="N952" s="15"/>
      <c r="O952" s="15"/>
      <c r="P952" s="15"/>
    </row>
    <row r="953" spans="10:16" s="21" customFormat="1" ht="14.25" x14ac:dyDescent="0.45">
      <c r="J953" s="27"/>
      <c r="K953" s="15"/>
      <c r="L953" s="15">
        <v>4.3900000000000006</v>
      </c>
      <c r="M953" s="53" t="e">
        <v>#NAME?</v>
      </c>
      <c r="N953" s="15"/>
      <c r="O953" s="15"/>
      <c r="P953" s="15"/>
    </row>
    <row r="954" spans="10:16" s="21" customFormat="1" ht="14.25" x14ac:dyDescent="0.45">
      <c r="J954" s="27"/>
      <c r="K954" s="15"/>
      <c r="L954" s="15">
        <v>4.4000000000000004</v>
      </c>
      <c r="M954" s="53" t="e">
        <v>#NAME?</v>
      </c>
      <c r="N954" s="15"/>
      <c r="O954" s="15"/>
      <c r="P954" s="15"/>
    </row>
    <row r="955" spans="10:16" s="21" customFormat="1" ht="14.25" x14ac:dyDescent="0.45">
      <c r="J955" s="27"/>
      <c r="K955" s="15"/>
      <c r="L955" s="15">
        <v>4.41</v>
      </c>
      <c r="M955" s="53" t="e">
        <v>#NAME?</v>
      </c>
      <c r="N955" s="15"/>
      <c r="O955" s="15"/>
      <c r="P955" s="15"/>
    </row>
    <row r="956" spans="10:16" s="21" customFormat="1" ht="14.25" x14ac:dyDescent="0.45">
      <c r="J956" s="27"/>
      <c r="K956" s="15"/>
      <c r="L956" s="15">
        <v>4.42</v>
      </c>
      <c r="M956" s="53" t="e">
        <v>#NAME?</v>
      </c>
      <c r="N956" s="15"/>
      <c r="O956" s="15"/>
      <c r="P956" s="15"/>
    </row>
    <row r="957" spans="10:16" s="21" customFormat="1" ht="14.25" x14ac:dyDescent="0.45">
      <c r="J957" s="27"/>
      <c r="K957" s="15"/>
      <c r="L957" s="15">
        <v>4.43</v>
      </c>
      <c r="M957" s="53" t="e">
        <v>#NAME?</v>
      </c>
      <c r="N957" s="15"/>
      <c r="O957" s="15"/>
      <c r="P957" s="15"/>
    </row>
    <row r="958" spans="10:16" s="21" customFormat="1" ht="14.25" x14ac:dyDescent="0.45">
      <c r="J958" s="27"/>
      <c r="K958" s="15"/>
      <c r="L958" s="15">
        <v>4.4399999999999995</v>
      </c>
      <c r="M958" s="53" t="e">
        <v>#NAME?</v>
      </c>
      <c r="N958" s="15"/>
      <c r="O958" s="15"/>
      <c r="P958" s="15"/>
    </row>
    <row r="959" spans="10:16" s="21" customFormat="1" ht="14.25" x14ac:dyDescent="0.45">
      <c r="J959" s="27"/>
      <c r="K959" s="15"/>
      <c r="L959" s="15">
        <v>4.4500000000000011</v>
      </c>
      <c r="M959" s="53" t="e">
        <v>#NAME?</v>
      </c>
      <c r="N959" s="15"/>
      <c r="O959" s="15"/>
      <c r="P959" s="15"/>
    </row>
    <row r="960" spans="10:16" s="21" customFormat="1" ht="14.25" x14ac:dyDescent="0.45">
      <c r="J960" s="27"/>
      <c r="K960" s="15"/>
      <c r="L960" s="15">
        <v>4.4600000000000009</v>
      </c>
      <c r="M960" s="53" t="e">
        <v>#NAME?</v>
      </c>
      <c r="N960" s="15"/>
      <c r="O960" s="15"/>
      <c r="P960" s="15"/>
    </row>
    <row r="961" spans="10:16" s="21" customFormat="1" ht="14.25" x14ac:dyDescent="0.45">
      <c r="J961" s="27"/>
      <c r="K961" s="15"/>
      <c r="L961" s="15">
        <v>4.4700000000000006</v>
      </c>
      <c r="M961" s="53" t="e">
        <v>#NAME?</v>
      </c>
      <c r="N961" s="15"/>
      <c r="O961" s="15"/>
      <c r="P961" s="15"/>
    </row>
    <row r="962" spans="10:16" s="21" customFormat="1" ht="14.25" x14ac:dyDescent="0.45">
      <c r="J962" s="27"/>
      <c r="K962" s="15"/>
      <c r="L962" s="15">
        <v>4.4800000000000004</v>
      </c>
      <c r="M962" s="53" t="e">
        <v>#NAME?</v>
      </c>
      <c r="N962" s="15"/>
      <c r="O962" s="15"/>
      <c r="P962" s="15"/>
    </row>
    <row r="963" spans="10:16" s="21" customFormat="1" ht="14.25" x14ac:dyDescent="0.45">
      <c r="J963" s="27"/>
      <c r="K963" s="15"/>
      <c r="L963" s="15">
        <v>4.49</v>
      </c>
      <c r="M963" s="53" t="e">
        <v>#NAME?</v>
      </c>
      <c r="N963" s="15"/>
      <c r="O963" s="15"/>
      <c r="P963" s="15"/>
    </row>
    <row r="964" spans="10:16" s="21" customFormat="1" ht="14.25" x14ac:dyDescent="0.45">
      <c r="J964" s="27"/>
      <c r="K964" s="15"/>
      <c r="L964" s="15">
        <v>4.5</v>
      </c>
      <c r="M964" s="53" t="e">
        <v>#NAME?</v>
      </c>
      <c r="N964" s="15"/>
      <c r="O964" s="15"/>
      <c r="P964" s="15"/>
    </row>
    <row r="965" spans="10:16" s="21" customFormat="1" ht="14.25" x14ac:dyDescent="0.45">
      <c r="J965" s="27"/>
      <c r="K965" s="15"/>
      <c r="L965" s="15">
        <v>4.51</v>
      </c>
      <c r="M965" s="53" t="e">
        <v>#NAME?</v>
      </c>
      <c r="N965" s="15"/>
      <c r="O965" s="15"/>
      <c r="P965" s="15"/>
    </row>
    <row r="966" spans="10:16" s="21" customFormat="1" ht="14.25" x14ac:dyDescent="0.45">
      <c r="J966" s="27"/>
      <c r="K966" s="15"/>
      <c r="L966" s="15">
        <v>4.5199999999999996</v>
      </c>
      <c r="M966" s="53" t="e">
        <v>#NAME?</v>
      </c>
      <c r="N966" s="15"/>
      <c r="O966" s="15"/>
      <c r="P966" s="15"/>
    </row>
    <row r="967" spans="10:16" s="21" customFormat="1" ht="14.25" x14ac:dyDescent="0.45">
      <c r="J967" s="27"/>
      <c r="K967" s="15"/>
      <c r="L967" s="15">
        <v>4.5299999999999994</v>
      </c>
      <c r="M967" s="53" t="e">
        <v>#NAME?</v>
      </c>
      <c r="N967" s="15"/>
      <c r="O967" s="15"/>
      <c r="P967" s="15"/>
    </row>
    <row r="968" spans="10:16" s="21" customFormat="1" ht="14.25" x14ac:dyDescent="0.45">
      <c r="J968" s="27"/>
      <c r="K968" s="15"/>
      <c r="L968" s="15">
        <v>4.5400000000000009</v>
      </c>
      <c r="M968" s="53" t="e">
        <v>#NAME?</v>
      </c>
      <c r="N968" s="15"/>
      <c r="O968" s="15"/>
      <c r="P968" s="15"/>
    </row>
    <row r="969" spans="10:16" s="21" customFormat="1" ht="14.25" x14ac:dyDescent="0.45">
      <c r="J969" s="27"/>
      <c r="K969" s="15"/>
      <c r="L969" s="15">
        <v>4.5500000000000007</v>
      </c>
      <c r="M969" s="53" t="e">
        <v>#NAME?</v>
      </c>
      <c r="N969" s="15"/>
      <c r="O969" s="15"/>
      <c r="P969" s="15"/>
    </row>
    <row r="970" spans="10:16" s="21" customFormat="1" ht="14.25" x14ac:dyDescent="0.45">
      <c r="J970" s="27"/>
      <c r="K970" s="15"/>
      <c r="L970" s="15">
        <v>4.5600000000000005</v>
      </c>
      <c r="M970" s="53" t="e">
        <v>#NAME?</v>
      </c>
      <c r="N970" s="15"/>
      <c r="O970" s="15"/>
      <c r="P970" s="15"/>
    </row>
    <row r="971" spans="10:16" s="21" customFormat="1" ht="14.25" x14ac:dyDescent="0.45">
      <c r="J971" s="27"/>
      <c r="K971" s="15"/>
      <c r="L971" s="15">
        <v>4.57</v>
      </c>
      <c r="M971" s="53" t="e">
        <v>#NAME?</v>
      </c>
      <c r="N971" s="15"/>
      <c r="O971" s="15"/>
      <c r="P971" s="15"/>
    </row>
    <row r="972" spans="10:16" s="21" customFormat="1" ht="14.25" x14ac:dyDescent="0.45">
      <c r="J972" s="27"/>
      <c r="K972" s="15"/>
      <c r="L972" s="15">
        <v>4.58</v>
      </c>
      <c r="M972" s="53" t="e">
        <v>#NAME?</v>
      </c>
      <c r="N972" s="15"/>
      <c r="O972" s="15"/>
      <c r="P972" s="15"/>
    </row>
    <row r="973" spans="10:16" s="21" customFormat="1" ht="14.25" x14ac:dyDescent="0.45">
      <c r="J973" s="27"/>
      <c r="K973" s="15"/>
      <c r="L973" s="15">
        <v>4.59</v>
      </c>
      <c r="M973" s="53" t="e">
        <v>#NAME?</v>
      </c>
      <c r="N973" s="15"/>
      <c r="O973" s="15"/>
      <c r="P973" s="15"/>
    </row>
    <row r="974" spans="10:16" s="21" customFormat="1" ht="14.25" x14ac:dyDescent="0.45">
      <c r="J974" s="27"/>
      <c r="K974" s="15"/>
      <c r="L974" s="15">
        <v>4.5999999999999996</v>
      </c>
      <c r="M974" s="53" t="e">
        <v>#NAME?</v>
      </c>
      <c r="N974" s="15"/>
      <c r="O974" s="15"/>
      <c r="P974" s="15"/>
    </row>
    <row r="975" spans="10:16" s="21" customFormat="1" ht="14.25" x14ac:dyDescent="0.45">
      <c r="J975" s="27"/>
      <c r="K975" s="15"/>
      <c r="L975" s="15">
        <v>4.6099999999999994</v>
      </c>
      <c r="M975" s="53" t="e">
        <v>#NAME?</v>
      </c>
      <c r="N975" s="15"/>
      <c r="O975" s="15"/>
      <c r="P975" s="15"/>
    </row>
    <row r="976" spans="10:16" s="21" customFormat="1" ht="14.25" x14ac:dyDescent="0.45">
      <c r="J976" s="27"/>
      <c r="K976" s="15"/>
      <c r="L976" s="15">
        <v>4.620000000000001</v>
      </c>
      <c r="M976" s="53" t="e">
        <v>#NAME?</v>
      </c>
      <c r="N976" s="15"/>
      <c r="O976" s="15"/>
      <c r="P976" s="15"/>
    </row>
    <row r="977" spans="10:16" s="21" customFormat="1" ht="14.25" x14ac:dyDescent="0.45">
      <c r="J977" s="27"/>
      <c r="K977" s="15"/>
      <c r="L977" s="15">
        <v>4.6300000000000008</v>
      </c>
      <c r="M977" s="53" t="e">
        <v>#NAME?</v>
      </c>
      <c r="N977" s="15"/>
      <c r="O977" s="15"/>
      <c r="P977" s="15"/>
    </row>
    <row r="978" spans="10:16" s="21" customFormat="1" ht="14.25" x14ac:dyDescent="0.45">
      <c r="J978" s="27"/>
      <c r="K978" s="15"/>
      <c r="L978" s="15">
        <v>4.6400000000000006</v>
      </c>
      <c r="M978" s="53" t="e">
        <v>#NAME?</v>
      </c>
      <c r="N978" s="15"/>
      <c r="O978" s="15"/>
      <c r="P978" s="15"/>
    </row>
    <row r="979" spans="10:16" s="21" customFormat="1" ht="14.25" x14ac:dyDescent="0.45">
      <c r="J979" s="27"/>
      <c r="K979" s="15"/>
      <c r="L979" s="15">
        <v>4.6500000000000004</v>
      </c>
      <c r="M979" s="53" t="e">
        <v>#NAME?</v>
      </c>
      <c r="N979" s="15"/>
      <c r="O979" s="15"/>
      <c r="P979" s="15"/>
    </row>
    <row r="980" spans="10:16" s="21" customFormat="1" ht="14.25" x14ac:dyDescent="0.45">
      <c r="J980" s="27"/>
      <c r="K980" s="15"/>
      <c r="L980" s="15">
        <v>4.66</v>
      </c>
      <c r="M980" s="53" t="e">
        <v>#NAME?</v>
      </c>
      <c r="N980" s="15"/>
      <c r="O980" s="15"/>
      <c r="P980" s="15"/>
    </row>
    <row r="981" spans="10:16" s="21" customFormat="1" ht="14.25" x14ac:dyDescent="0.45">
      <c r="J981" s="27"/>
      <c r="K981" s="15"/>
      <c r="L981" s="15">
        <v>4.67</v>
      </c>
      <c r="M981" s="53" t="e">
        <v>#NAME?</v>
      </c>
      <c r="N981" s="15"/>
      <c r="O981" s="15"/>
      <c r="P981" s="15"/>
    </row>
    <row r="982" spans="10:16" s="21" customFormat="1" ht="14.25" x14ac:dyDescent="0.45">
      <c r="J982" s="27"/>
      <c r="K982" s="15"/>
      <c r="L982" s="15">
        <v>4.68</v>
      </c>
      <c r="M982" s="53" t="e">
        <v>#NAME?</v>
      </c>
      <c r="N982" s="15"/>
      <c r="O982" s="15"/>
      <c r="P982" s="15"/>
    </row>
    <row r="983" spans="10:16" s="21" customFormat="1" ht="14.25" x14ac:dyDescent="0.45">
      <c r="J983" s="27"/>
      <c r="K983" s="15"/>
      <c r="L983" s="15">
        <v>4.6899999999999995</v>
      </c>
      <c r="M983" s="53" t="e">
        <v>#NAME?</v>
      </c>
      <c r="N983" s="15"/>
      <c r="O983" s="15"/>
      <c r="P983" s="15"/>
    </row>
    <row r="984" spans="10:16" s="21" customFormat="1" ht="14.25" x14ac:dyDescent="0.45">
      <c r="J984" s="27"/>
      <c r="K984" s="15"/>
      <c r="L984" s="15">
        <v>4.7000000000000011</v>
      </c>
      <c r="M984" s="53" t="e">
        <v>#NAME?</v>
      </c>
      <c r="N984" s="15"/>
      <c r="O984" s="15"/>
      <c r="P984" s="15"/>
    </row>
    <row r="985" spans="10:16" s="21" customFormat="1" ht="14.25" x14ac:dyDescent="0.45">
      <c r="J985" s="27"/>
      <c r="K985" s="15"/>
      <c r="L985" s="15">
        <v>4.7100000000000009</v>
      </c>
      <c r="M985" s="53" t="e">
        <v>#NAME?</v>
      </c>
      <c r="N985" s="15"/>
      <c r="O985" s="15"/>
      <c r="P985" s="15"/>
    </row>
    <row r="986" spans="10:16" s="21" customFormat="1" ht="14.25" x14ac:dyDescent="0.45">
      <c r="J986" s="27"/>
      <c r="K986" s="15"/>
      <c r="L986" s="15">
        <v>4.7200000000000006</v>
      </c>
      <c r="M986" s="53" t="e">
        <v>#NAME?</v>
      </c>
      <c r="N986" s="15"/>
      <c r="O986" s="15"/>
      <c r="P986" s="15"/>
    </row>
    <row r="987" spans="10:16" s="21" customFormat="1" ht="14.25" x14ac:dyDescent="0.45">
      <c r="J987" s="27"/>
      <c r="K987" s="15"/>
      <c r="L987" s="15">
        <v>4.7300000000000004</v>
      </c>
      <c r="M987" s="53" t="e">
        <v>#NAME?</v>
      </c>
      <c r="N987" s="15"/>
      <c r="O987" s="15"/>
      <c r="P987" s="15"/>
    </row>
    <row r="988" spans="10:16" s="21" customFormat="1" ht="14.25" x14ac:dyDescent="0.45">
      <c r="J988" s="27"/>
      <c r="K988" s="15"/>
      <c r="L988" s="15">
        <v>4.74</v>
      </c>
      <c r="M988" s="53" t="e">
        <v>#NAME?</v>
      </c>
      <c r="N988" s="15"/>
      <c r="O988" s="15"/>
      <c r="P988" s="15"/>
    </row>
    <row r="989" spans="10:16" s="21" customFormat="1" ht="14.25" x14ac:dyDescent="0.45">
      <c r="J989" s="27"/>
      <c r="K989" s="15"/>
      <c r="L989" s="15">
        <v>4.75</v>
      </c>
      <c r="M989" s="53" t="e">
        <v>#NAME?</v>
      </c>
      <c r="N989" s="15"/>
      <c r="O989" s="15"/>
      <c r="P989" s="15"/>
    </row>
    <row r="990" spans="10:16" s="21" customFormat="1" ht="14.25" x14ac:dyDescent="0.45">
      <c r="J990" s="27"/>
      <c r="K990" s="15"/>
      <c r="L990" s="15">
        <v>4.76</v>
      </c>
      <c r="M990" s="53" t="e">
        <v>#NAME?</v>
      </c>
      <c r="N990" s="15"/>
      <c r="O990" s="15"/>
      <c r="P990" s="15"/>
    </row>
    <row r="991" spans="10:16" s="21" customFormat="1" ht="14.25" x14ac:dyDescent="0.45">
      <c r="J991" s="27"/>
      <c r="K991" s="15"/>
      <c r="L991" s="15">
        <v>4.7699999999999996</v>
      </c>
      <c r="M991" s="53" t="e">
        <v>#NAME?</v>
      </c>
      <c r="N991" s="15"/>
      <c r="O991" s="15"/>
      <c r="P991" s="15"/>
    </row>
    <row r="992" spans="10:16" s="21" customFormat="1" ht="14.25" x14ac:dyDescent="0.45">
      <c r="J992" s="27"/>
      <c r="K992" s="15"/>
      <c r="L992" s="15">
        <v>4.7799999999999994</v>
      </c>
      <c r="M992" s="53" t="e">
        <v>#NAME?</v>
      </c>
      <c r="N992" s="15"/>
      <c r="O992" s="15"/>
      <c r="P992" s="15"/>
    </row>
    <row r="993" spans="10:16" s="21" customFormat="1" ht="14.25" x14ac:dyDescent="0.45">
      <c r="J993" s="27"/>
      <c r="K993" s="15"/>
      <c r="L993" s="15">
        <v>4.7900000000000009</v>
      </c>
      <c r="M993" s="53" t="e">
        <v>#NAME?</v>
      </c>
      <c r="N993" s="15"/>
      <c r="O993" s="15"/>
      <c r="P993" s="15"/>
    </row>
    <row r="994" spans="10:16" s="21" customFormat="1" ht="14.25" x14ac:dyDescent="0.45">
      <c r="J994" s="27"/>
      <c r="K994" s="15"/>
      <c r="L994" s="15">
        <v>4.8000000000000007</v>
      </c>
      <c r="M994" s="53" t="e">
        <v>#NAME?</v>
      </c>
      <c r="N994" s="15"/>
      <c r="O994" s="15"/>
      <c r="P994" s="15"/>
    </row>
    <row r="995" spans="10:16" s="21" customFormat="1" ht="14.25" x14ac:dyDescent="0.45">
      <c r="J995" s="27"/>
      <c r="K995" s="15"/>
      <c r="L995" s="15">
        <v>4.8100000000000005</v>
      </c>
      <c r="M995" s="53" t="e">
        <v>#NAME?</v>
      </c>
      <c r="N995" s="15"/>
      <c r="O995" s="15"/>
      <c r="P995" s="15"/>
    </row>
    <row r="996" spans="10:16" s="21" customFormat="1" ht="14.25" x14ac:dyDescent="0.45">
      <c r="J996" s="27"/>
      <c r="K996" s="15"/>
      <c r="L996" s="15">
        <v>4.82</v>
      </c>
      <c r="M996" s="53" t="e">
        <v>#NAME?</v>
      </c>
      <c r="N996" s="15"/>
      <c r="O996" s="15"/>
      <c r="P996" s="15"/>
    </row>
    <row r="997" spans="10:16" s="21" customFormat="1" ht="14.25" x14ac:dyDescent="0.45">
      <c r="J997" s="27"/>
      <c r="K997" s="15"/>
      <c r="L997" s="15">
        <v>4.83</v>
      </c>
      <c r="M997" s="53" t="e">
        <v>#NAME?</v>
      </c>
      <c r="N997" s="15"/>
      <c r="O997" s="15"/>
      <c r="P997" s="15"/>
    </row>
    <row r="998" spans="10:16" s="21" customFormat="1" ht="14.25" x14ac:dyDescent="0.45">
      <c r="J998" s="27"/>
      <c r="K998" s="15"/>
      <c r="L998" s="15">
        <v>4.84</v>
      </c>
      <c r="M998" s="53" t="e">
        <v>#NAME?</v>
      </c>
      <c r="N998" s="15"/>
      <c r="O998" s="15"/>
      <c r="P998" s="15"/>
    </row>
    <row r="999" spans="10:16" s="21" customFormat="1" ht="14.25" x14ac:dyDescent="0.45">
      <c r="J999" s="27"/>
      <c r="K999" s="15"/>
      <c r="L999" s="15">
        <v>4.8499999999999996</v>
      </c>
      <c r="M999" s="53" t="e">
        <v>#NAME?</v>
      </c>
      <c r="N999" s="15"/>
      <c r="O999" s="15"/>
      <c r="P999" s="15"/>
    </row>
    <row r="1000" spans="10:16" s="21" customFormat="1" ht="14.25" x14ac:dyDescent="0.45">
      <c r="J1000" s="27"/>
      <c r="K1000" s="15"/>
      <c r="L1000" s="15">
        <v>4.8599999999999994</v>
      </c>
      <c r="M1000" s="53" t="e">
        <v>#NAME?</v>
      </c>
      <c r="N1000" s="15"/>
      <c r="O1000" s="15"/>
      <c r="P1000" s="15"/>
    </row>
    <row r="1001" spans="10:16" s="21" customFormat="1" ht="14.25" x14ac:dyDescent="0.45">
      <c r="J1001" s="27"/>
      <c r="K1001" s="15"/>
      <c r="L1001" s="15">
        <v>4.870000000000001</v>
      </c>
      <c r="M1001" s="53" t="e">
        <v>#NAME?</v>
      </c>
      <c r="N1001" s="15"/>
      <c r="O1001" s="15"/>
      <c r="P1001" s="15"/>
    </row>
    <row r="1002" spans="10:16" s="21" customFormat="1" ht="14.25" x14ac:dyDescent="0.45">
      <c r="J1002" s="27"/>
      <c r="K1002" s="15"/>
      <c r="L1002" s="15">
        <v>4.8800000000000008</v>
      </c>
      <c r="M1002" s="53" t="e">
        <v>#NAME?</v>
      </c>
      <c r="N1002" s="15"/>
      <c r="O1002" s="15"/>
      <c r="P1002" s="15"/>
    </row>
    <row r="1003" spans="10:16" s="21" customFormat="1" ht="14.25" x14ac:dyDescent="0.45">
      <c r="J1003" s="27"/>
      <c r="K1003" s="15"/>
      <c r="L1003" s="15">
        <v>4.8900000000000006</v>
      </c>
      <c r="M1003" s="53" t="e">
        <v>#NAME?</v>
      </c>
      <c r="N1003" s="15"/>
      <c r="O1003" s="15"/>
      <c r="P1003" s="15"/>
    </row>
    <row r="1004" spans="10:16" s="21" customFormat="1" ht="14.25" x14ac:dyDescent="0.45">
      <c r="J1004" s="27"/>
      <c r="K1004" s="15"/>
      <c r="L1004" s="15">
        <v>4.9000000000000004</v>
      </c>
      <c r="M1004" s="53" t="e">
        <v>#NAME?</v>
      </c>
      <c r="N1004" s="15"/>
      <c r="O1004" s="15"/>
      <c r="P1004" s="15"/>
    </row>
    <row r="1005" spans="10:16" s="21" customFormat="1" ht="14.25" x14ac:dyDescent="0.45">
      <c r="J1005" s="27"/>
      <c r="K1005" s="15"/>
      <c r="L1005" s="15">
        <v>4.91</v>
      </c>
      <c r="M1005" s="53" t="e">
        <v>#NAME?</v>
      </c>
      <c r="N1005" s="15"/>
      <c r="O1005" s="15"/>
      <c r="P1005" s="15"/>
    </row>
    <row r="1006" spans="10:16" s="21" customFormat="1" ht="14.25" x14ac:dyDescent="0.45">
      <c r="J1006" s="27"/>
      <c r="K1006" s="15"/>
      <c r="L1006" s="15">
        <v>4.92</v>
      </c>
      <c r="M1006" s="53" t="e">
        <v>#NAME?</v>
      </c>
      <c r="N1006" s="15"/>
      <c r="O1006" s="15"/>
      <c r="P1006" s="15"/>
    </row>
    <row r="1007" spans="10:16" s="21" customFormat="1" ht="14.25" x14ac:dyDescent="0.45">
      <c r="J1007" s="27"/>
      <c r="K1007" s="15"/>
      <c r="L1007" s="15">
        <v>4.93</v>
      </c>
      <c r="M1007" s="53" t="e">
        <v>#NAME?</v>
      </c>
      <c r="N1007" s="15"/>
      <c r="O1007" s="15"/>
      <c r="P1007" s="15"/>
    </row>
    <row r="1008" spans="10:16" s="21" customFormat="1" ht="14.25" x14ac:dyDescent="0.45">
      <c r="J1008" s="27"/>
      <c r="K1008" s="15"/>
      <c r="L1008" s="15">
        <v>4.9399999999999995</v>
      </c>
      <c r="M1008" s="53" t="e">
        <v>#NAME?</v>
      </c>
      <c r="N1008" s="15"/>
      <c r="O1008" s="15"/>
      <c r="P1008" s="15"/>
    </row>
    <row r="1009" spans="10:16" s="21" customFormat="1" ht="14.25" x14ac:dyDescent="0.45">
      <c r="J1009" s="27"/>
      <c r="K1009" s="15"/>
      <c r="L1009" s="15">
        <v>4.9500000000000011</v>
      </c>
      <c r="M1009" s="53" t="e">
        <v>#NAME?</v>
      </c>
      <c r="N1009" s="15"/>
      <c r="O1009" s="15"/>
      <c r="P1009" s="15"/>
    </row>
    <row r="1010" spans="10:16" s="21" customFormat="1" ht="14.25" x14ac:dyDescent="0.45">
      <c r="J1010" s="27"/>
      <c r="K1010" s="15"/>
      <c r="L1010" s="15">
        <v>4.9600000000000009</v>
      </c>
      <c r="M1010" s="53" t="e">
        <v>#NAME?</v>
      </c>
      <c r="N1010" s="15"/>
      <c r="O1010" s="15"/>
      <c r="P1010" s="15"/>
    </row>
    <row r="1011" spans="10:16" s="21" customFormat="1" ht="14.25" x14ac:dyDescent="0.45">
      <c r="J1011" s="27"/>
      <c r="K1011" s="15"/>
      <c r="L1011" s="15">
        <v>4.9700000000000006</v>
      </c>
      <c r="M1011" s="53" t="e">
        <v>#NAME?</v>
      </c>
      <c r="N1011" s="15"/>
      <c r="O1011" s="15"/>
      <c r="P1011" s="15"/>
    </row>
    <row r="1012" spans="10:16" s="21" customFormat="1" ht="14.25" x14ac:dyDescent="0.45">
      <c r="J1012" s="27"/>
      <c r="K1012" s="15"/>
      <c r="L1012" s="15">
        <v>4.9800000000000004</v>
      </c>
      <c r="M1012" s="53" t="e">
        <v>#NAME?</v>
      </c>
      <c r="N1012" s="15"/>
      <c r="O1012" s="15"/>
      <c r="P1012" s="15"/>
    </row>
    <row r="1013" spans="10:16" s="21" customFormat="1" ht="14.25" x14ac:dyDescent="0.45">
      <c r="J1013" s="27"/>
      <c r="K1013" s="15"/>
      <c r="L1013" s="15">
        <v>4.99</v>
      </c>
      <c r="M1013" s="53" t="e">
        <v>#NAME?</v>
      </c>
      <c r="N1013" s="15"/>
      <c r="O1013" s="15"/>
      <c r="P1013" s="15"/>
    </row>
    <row r="1014" spans="10:16" s="21" customFormat="1" ht="14.25" x14ac:dyDescent="0.45">
      <c r="J1014" s="27"/>
      <c r="K1014" s="15"/>
      <c r="L1014" s="15">
        <v>5</v>
      </c>
      <c r="M1014" s="53" t="e">
        <v>#NAME?</v>
      </c>
      <c r="N1014" s="15"/>
      <c r="O1014" s="15"/>
      <c r="P1014" s="15"/>
    </row>
  </sheetData>
  <mergeCells count="3">
    <mergeCell ref="F14:H14"/>
    <mergeCell ref="F25:H25"/>
    <mergeCell ref="A11:H11"/>
  </mergeCells>
  <pageMargins left="0.511811024" right="0.511811024" top="0.78740157499999996" bottom="0.78740157499999996" header="0.31496062000000002" footer="0.31496062000000002"/>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037D9-72BB-4233-9058-351C214C502B}">
  <sheetPr codeName="Planilha66">
    <tabColor theme="9" tint="0.59999389629810485"/>
  </sheetPr>
  <dimension ref="A1:X525"/>
  <sheetViews>
    <sheetView showGridLines="0" zoomScale="85" zoomScaleNormal="85" workbookViewId="0">
      <selection activeCell="N8" sqref="N8"/>
    </sheetView>
  </sheetViews>
  <sheetFormatPr defaultColWidth="8.796875" defaultRowHeight="18" x14ac:dyDescent="0.55000000000000004"/>
  <cols>
    <col min="1" max="1" width="18.6640625" style="17" customWidth="1"/>
    <col min="2" max="2" width="49" customWidth="1"/>
    <col min="4" max="4" width="8.6640625" bestFit="1" customWidth="1"/>
    <col min="5" max="5" width="4.6640625" customWidth="1"/>
    <col min="6" max="6" width="8.6640625" bestFit="1" customWidth="1"/>
    <col min="7" max="10" width="17" bestFit="1" customWidth="1"/>
    <col min="11" max="11" width="12.796875" bestFit="1" customWidth="1"/>
    <col min="13" max="15" width="9" style="15" customWidth="1"/>
    <col min="16" max="24" width="8.796875" style="15"/>
  </cols>
  <sheetData>
    <row r="1" spans="1:24" x14ac:dyDescent="0.55000000000000004">
      <c r="A1" s="16" t="s">
        <v>648</v>
      </c>
      <c r="M1" s="14"/>
      <c r="N1" s="14"/>
      <c r="O1" s="14"/>
      <c r="P1" s="14"/>
      <c r="Q1" s="14"/>
      <c r="R1" s="14"/>
      <c r="S1" s="14"/>
      <c r="T1" s="14"/>
      <c r="U1" s="14"/>
      <c r="V1" s="14"/>
      <c r="W1" s="14"/>
      <c r="X1" s="14"/>
    </row>
    <row r="2" spans="1:24" x14ac:dyDescent="0.55000000000000004">
      <c r="A2" s="17" t="s">
        <v>649</v>
      </c>
      <c r="M2" s="14"/>
      <c r="N2" s="14"/>
      <c r="O2" s="14"/>
      <c r="P2" s="14"/>
      <c r="Q2" s="14"/>
      <c r="R2" s="14"/>
      <c r="S2" s="14"/>
      <c r="T2" s="14"/>
      <c r="U2" s="14"/>
      <c r="V2" s="14"/>
      <c r="W2" s="14"/>
      <c r="X2" s="14"/>
    </row>
    <row r="3" spans="1:24" ht="14.25" x14ac:dyDescent="0.45">
      <c r="A3" s="118" t="s">
        <v>634</v>
      </c>
    </row>
    <row r="4" spans="1:24" ht="14.25" x14ac:dyDescent="0.45">
      <c r="A4" s="118" t="s">
        <v>632</v>
      </c>
    </row>
    <row r="5" spans="1:24" ht="14.25" x14ac:dyDescent="0.45">
      <c r="A5" s="118" t="s">
        <v>633</v>
      </c>
    </row>
    <row r="6" spans="1:24" ht="14.25" x14ac:dyDescent="0.45">
      <c r="A6" s="118" t="s">
        <v>647</v>
      </c>
    </row>
    <row r="7" spans="1:24" ht="14.25" x14ac:dyDescent="0.45">
      <c r="A7" s="118"/>
    </row>
    <row r="8" spans="1:24" x14ac:dyDescent="0.55000000000000004">
      <c r="A8" s="17" t="s">
        <v>1051</v>
      </c>
    </row>
    <row r="10" spans="1:24" ht="15.75" x14ac:dyDescent="0.5">
      <c r="A10" s="2" t="s">
        <v>15</v>
      </c>
      <c r="B10" s="2" t="s">
        <v>16</v>
      </c>
    </row>
    <row r="11" spans="1:24" ht="15.75" x14ac:dyDescent="0.5">
      <c r="A11" s="23" t="s">
        <v>636</v>
      </c>
      <c r="B11" s="24" t="s">
        <v>640</v>
      </c>
    </row>
    <row r="12" spans="1:24" ht="15.75" x14ac:dyDescent="0.5">
      <c r="A12" s="23" t="s">
        <v>637</v>
      </c>
      <c r="B12" s="24" t="s">
        <v>641</v>
      </c>
    </row>
    <row r="13" spans="1:24" ht="15.75" x14ac:dyDescent="0.5">
      <c r="A13" s="23" t="s">
        <v>638</v>
      </c>
      <c r="B13" s="24" t="s">
        <v>642</v>
      </c>
    </row>
    <row r="14" spans="1:24" ht="15.75" x14ac:dyDescent="0.5">
      <c r="A14" s="23" t="s">
        <v>639</v>
      </c>
      <c r="B14" s="24" t="s">
        <v>643</v>
      </c>
    </row>
    <row r="15" spans="1:24" ht="31.5" x14ac:dyDescent="0.5">
      <c r="A15" s="23" t="s">
        <v>242</v>
      </c>
      <c r="B15" s="24" t="s">
        <v>804</v>
      </c>
    </row>
    <row r="16" spans="1:24" ht="15.75" x14ac:dyDescent="0.5">
      <c r="A16" s="23"/>
      <c r="B16" s="24"/>
      <c r="I16" t="s">
        <v>629</v>
      </c>
      <c r="J16" t="s">
        <v>630</v>
      </c>
    </row>
    <row r="17" spans="4:24" x14ac:dyDescent="0.55000000000000004">
      <c r="D17" s="1" t="s">
        <v>17</v>
      </c>
      <c r="G17" s="1" t="s">
        <v>627</v>
      </c>
      <c r="H17" s="1" t="s">
        <v>628</v>
      </c>
      <c r="I17" s="13" t="s">
        <v>636</v>
      </c>
      <c r="J17" s="13" t="s">
        <v>637</v>
      </c>
      <c r="K17" s="13" t="s">
        <v>242</v>
      </c>
      <c r="M17" s="15" t="s">
        <v>645</v>
      </c>
      <c r="O17" s="15" t="s">
        <v>646</v>
      </c>
    </row>
    <row r="18" spans="4:24" x14ac:dyDescent="0.55000000000000004">
      <c r="F18" s="119">
        <v>43465</v>
      </c>
      <c r="G18" s="52">
        <v>233.81840500000001</v>
      </c>
      <c r="H18" s="52">
        <v>88.142380000000003</v>
      </c>
      <c r="I18" s="101"/>
      <c r="J18" s="101"/>
      <c r="K18" s="54" t="b">
        <v>0</v>
      </c>
      <c r="M18" s="121"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_xlpm.zStat, (1 / 2 * LN((1 + _xlpm.corrCrisisAdj) / (1 - _xlpm.corrCrisisAdj)) - 1 / 2 * LN((1 + _xlpm.corrNonCrisis) / (1 - _xlpm.corrNonCrisis))) / (SQRT(1 / (_xlpm.nCrisis_1 - 3) + 1 / (_xlpm.nNonCrisis_1 - 3))), _xlpm.pTest, 2 * (1 - _xlfn.NORM.S.DIST(ABS(_xlpm.zStat), 1)), IF(_xlpm.returnPValue, _xlpm.pTest, _xlpm.zStat)))(I19:I317,J19:J317,I320:I525,J320:J525,K18)</f>
        <v>0.1681552498416696</v>
      </c>
      <c r="N18" s="53"/>
      <c r="O18" s="27" cm="1">
        <f t="array" ref="O18">CONTAGION_FORBESRIGOBON(I19:I317,J19:J317,I320:I525,J320:J525,K18)</f>
        <v>0.1681552498416696</v>
      </c>
    </row>
    <row r="19" spans="4:24" x14ac:dyDescent="0.55000000000000004">
      <c r="F19" s="119">
        <v>43467</v>
      </c>
      <c r="G19" s="52">
        <v>234.0616</v>
      </c>
      <c r="H19" s="52">
        <v>88.132744000000002</v>
      </c>
      <c r="I19" s="120">
        <f>G19/G18-1</f>
        <v>1.0401020398713712E-3</v>
      </c>
      <c r="J19" s="120">
        <f>H19/H18-1</f>
        <v>-1.0932312016076473E-4</v>
      </c>
      <c r="M19" s="53"/>
      <c r="N19" s="53"/>
      <c r="O19" s="53"/>
    </row>
    <row r="20" spans="4:24" x14ac:dyDescent="0.55000000000000004">
      <c r="F20" s="119">
        <v>43468</v>
      </c>
      <c r="G20" s="52">
        <v>228.476257</v>
      </c>
      <c r="H20" s="52">
        <v>88.161666999999994</v>
      </c>
      <c r="I20" s="120">
        <f t="shared" ref="I20:J83" si="0">G20/G19-1</f>
        <v>-2.3862705373286275E-2</v>
      </c>
      <c r="J20" s="120">
        <f t="shared" si="0"/>
        <v>3.2817541684604379E-4</v>
      </c>
      <c r="M20" s="53"/>
      <c r="N20" s="53"/>
      <c r="O20" s="53"/>
    </row>
    <row r="21" spans="4:24" ht="18.75" customHeight="1" x14ac:dyDescent="0.55000000000000004">
      <c r="D21" s="173"/>
      <c r="F21" s="119">
        <v>43469</v>
      </c>
      <c r="G21" s="52">
        <v>236.129257</v>
      </c>
      <c r="H21" s="52">
        <v>88.171302999999995</v>
      </c>
      <c r="I21" s="120">
        <f t="shared" si="0"/>
        <v>3.3495821843755103E-2</v>
      </c>
      <c r="J21" s="120">
        <f t="shared" si="0"/>
        <v>1.0929920370039703E-4</v>
      </c>
      <c r="M21" s="53"/>
      <c r="N21" s="53"/>
      <c r="O21" s="53"/>
    </row>
    <row r="22" spans="4:24" x14ac:dyDescent="0.55000000000000004">
      <c r="D22" s="173"/>
      <c r="F22" s="119">
        <v>43472</v>
      </c>
      <c r="G22" s="52">
        <v>237.991028</v>
      </c>
      <c r="H22" s="52">
        <v>88.171302999999995</v>
      </c>
      <c r="I22" s="120">
        <f t="shared" si="0"/>
        <v>7.8845418126225475E-3</v>
      </c>
      <c r="J22" s="120">
        <f t="shared" si="0"/>
        <v>0</v>
      </c>
      <c r="M22" s="53"/>
      <c r="N22" s="53"/>
      <c r="O22" s="53"/>
    </row>
    <row r="23" spans="4:24" x14ac:dyDescent="0.55000000000000004">
      <c r="D23" s="46"/>
      <c r="F23" s="119">
        <v>43473</v>
      </c>
      <c r="G23" s="52">
        <v>240.22705099999999</v>
      </c>
      <c r="H23" s="52">
        <v>88.171302999999995</v>
      </c>
      <c r="I23" s="120">
        <f t="shared" si="0"/>
        <v>9.3954088050747231E-3</v>
      </c>
      <c r="J23" s="120">
        <f t="shared" si="0"/>
        <v>0</v>
      </c>
      <c r="M23" s="53"/>
      <c r="N23" s="53"/>
      <c r="O23" s="53"/>
    </row>
    <row r="24" spans="4:24" x14ac:dyDescent="0.55000000000000004">
      <c r="F24" s="119">
        <v>43474</v>
      </c>
      <c r="G24" s="52">
        <v>241.349762</v>
      </c>
      <c r="H24" s="52">
        <v>88.171302999999995</v>
      </c>
      <c r="I24" s="120">
        <f t="shared" si="0"/>
        <v>4.6735411159004592E-3</v>
      </c>
      <c r="J24" s="120">
        <f t="shared" si="0"/>
        <v>0</v>
      </c>
      <c r="M24" s="53"/>
      <c r="N24" s="53"/>
      <c r="O24" s="53"/>
    </row>
    <row r="25" spans="4:24" x14ac:dyDescent="0.55000000000000004">
      <c r="F25" s="119">
        <v>43475</v>
      </c>
      <c r="G25" s="52">
        <v>242.20112599999999</v>
      </c>
      <c r="H25" s="52">
        <v>88.180938999999995</v>
      </c>
      <c r="I25" s="120">
        <f t="shared" si="0"/>
        <v>3.5275112473489578E-3</v>
      </c>
      <c r="J25" s="120">
        <f t="shared" si="0"/>
        <v>1.0928725869008282E-4</v>
      </c>
      <c r="M25" s="53"/>
      <c r="N25" s="53"/>
      <c r="O25" s="53"/>
    </row>
    <row r="26" spans="4:24" x14ac:dyDescent="0.55000000000000004">
      <c r="F26" s="119">
        <v>43476</v>
      </c>
      <c r="G26" s="52">
        <v>242.294647</v>
      </c>
      <c r="H26" s="52">
        <v>88.200203000000002</v>
      </c>
      <c r="I26" s="120">
        <f t="shared" si="0"/>
        <v>3.8612950131367008E-4</v>
      </c>
      <c r="J26" s="120">
        <f t="shared" si="0"/>
        <v>2.1845991002655829E-4</v>
      </c>
      <c r="M26" s="53"/>
      <c r="N26" s="53"/>
      <c r="O26" s="53"/>
    </row>
    <row r="27" spans="4:24" s="21" customFormat="1" ht="14.25" x14ac:dyDescent="0.45">
      <c r="D27"/>
      <c r="E27"/>
      <c r="F27" s="119">
        <v>43479</v>
      </c>
      <c r="G27" s="52">
        <v>240.816452</v>
      </c>
      <c r="H27" s="52">
        <v>88.190574999999995</v>
      </c>
      <c r="I27" s="120">
        <f t="shared" si="0"/>
        <v>-6.1008157559502285E-3</v>
      </c>
      <c r="J27" s="120">
        <f t="shared" si="0"/>
        <v>-1.0916074648947838E-4</v>
      </c>
      <c r="K27"/>
      <c r="L27"/>
      <c r="M27" s="53"/>
      <c r="N27" s="53"/>
      <c r="O27" s="53"/>
      <c r="P27" s="15"/>
      <c r="Q27" s="15"/>
      <c r="R27" s="15"/>
      <c r="S27" s="15"/>
      <c r="T27" s="15"/>
      <c r="U27" s="15"/>
      <c r="V27" s="15"/>
      <c r="W27" s="15"/>
      <c r="X27" s="15"/>
    </row>
    <row r="28" spans="4:24" s="21" customFormat="1" ht="14.25" x14ac:dyDescent="0.45">
      <c r="D28"/>
      <c r="E28"/>
      <c r="F28" s="119">
        <v>43480</v>
      </c>
      <c r="G28" s="52">
        <v>243.57638499999999</v>
      </c>
      <c r="H28" s="52">
        <v>88.209868999999998</v>
      </c>
      <c r="I28" s="120">
        <f t="shared" si="0"/>
        <v>1.146073275757753E-2</v>
      </c>
      <c r="J28" s="120">
        <f t="shared" si="0"/>
        <v>2.1877621276433779E-4</v>
      </c>
      <c r="K28"/>
      <c r="L28"/>
      <c r="M28" s="53"/>
      <c r="N28" s="53"/>
      <c r="O28" s="53"/>
      <c r="P28" s="15"/>
      <c r="Q28" s="15"/>
      <c r="R28" s="15"/>
      <c r="S28" s="15"/>
      <c r="T28" s="15"/>
      <c r="U28" s="15"/>
      <c r="V28" s="15"/>
      <c r="W28" s="15"/>
      <c r="X28" s="15"/>
    </row>
    <row r="29" spans="4:24" s="21" customFormat="1" ht="14.25" x14ac:dyDescent="0.45">
      <c r="D29"/>
      <c r="E29"/>
      <c r="F29" s="119">
        <v>43481</v>
      </c>
      <c r="G29" s="52">
        <v>244.16583299999999</v>
      </c>
      <c r="H29" s="52">
        <v>88.219466999999995</v>
      </c>
      <c r="I29" s="120">
        <f t="shared" si="0"/>
        <v>2.4199718704258633E-3</v>
      </c>
      <c r="J29" s="120">
        <f t="shared" si="0"/>
        <v>1.0880868670137822E-4</v>
      </c>
      <c r="K29"/>
      <c r="L29"/>
      <c r="M29" s="53"/>
      <c r="N29" s="53"/>
      <c r="O29" s="53"/>
      <c r="P29" s="15"/>
      <c r="Q29" s="15"/>
      <c r="R29" s="15"/>
      <c r="S29" s="15"/>
      <c r="T29" s="15"/>
      <c r="U29" s="15"/>
      <c r="V29" s="15"/>
      <c r="W29" s="15"/>
      <c r="X29" s="15"/>
    </row>
    <row r="30" spans="4:24" s="21" customFormat="1" ht="14.25" x14ac:dyDescent="0.45">
      <c r="D30"/>
      <c r="E30"/>
      <c r="F30" s="119">
        <v>43482</v>
      </c>
      <c r="G30" s="52">
        <v>246.01823400000001</v>
      </c>
      <c r="H30" s="52">
        <v>88.238761999999994</v>
      </c>
      <c r="I30" s="120">
        <f t="shared" si="0"/>
        <v>7.5866511593374319E-3</v>
      </c>
      <c r="J30" s="120">
        <f t="shared" si="0"/>
        <v>2.1871589861222063E-4</v>
      </c>
      <c r="K30"/>
      <c r="L30"/>
      <c r="M30" s="53"/>
      <c r="N30" s="53"/>
      <c r="O30" s="53"/>
      <c r="P30" s="15"/>
      <c r="Q30" s="15"/>
      <c r="R30" s="15"/>
      <c r="S30" s="15"/>
      <c r="T30" s="15"/>
      <c r="U30" s="15"/>
      <c r="V30" s="15"/>
      <c r="W30" s="15"/>
      <c r="X30" s="15"/>
    </row>
    <row r="31" spans="4:24" s="21" customFormat="1" ht="14.25" x14ac:dyDescent="0.45">
      <c r="D31"/>
      <c r="E31"/>
      <c r="F31" s="119">
        <v>43483</v>
      </c>
      <c r="G31" s="52">
        <v>249.29276999999999</v>
      </c>
      <c r="H31" s="52">
        <v>88.238761999999994</v>
      </c>
      <c r="I31" s="120">
        <f t="shared" si="0"/>
        <v>1.3310135378014287E-2</v>
      </c>
      <c r="J31" s="120">
        <f t="shared" si="0"/>
        <v>0</v>
      </c>
      <c r="K31"/>
      <c r="L31"/>
      <c r="M31" s="53"/>
      <c r="N31" s="53"/>
      <c r="O31" s="53"/>
      <c r="P31" s="15"/>
      <c r="Q31" s="15"/>
      <c r="R31" s="15"/>
      <c r="S31" s="15"/>
      <c r="T31" s="15"/>
      <c r="U31" s="15"/>
      <c r="V31" s="15"/>
      <c r="W31" s="15"/>
      <c r="X31" s="15"/>
    </row>
    <row r="32" spans="4:24" s="21" customFormat="1" ht="14.25" x14ac:dyDescent="0.45">
      <c r="D32"/>
      <c r="E32"/>
      <c r="F32" s="119">
        <v>43487</v>
      </c>
      <c r="G32" s="52">
        <v>245.92463699999999</v>
      </c>
      <c r="H32" s="52">
        <v>88.248405000000005</v>
      </c>
      <c r="I32" s="120">
        <f t="shared" si="0"/>
        <v>-1.3510752838921114E-2</v>
      </c>
      <c r="J32" s="120">
        <f t="shared" si="0"/>
        <v>1.0928303821855501E-4</v>
      </c>
      <c r="K32"/>
      <c r="L32"/>
      <c r="M32" s="53"/>
      <c r="N32" s="53"/>
      <c r="O32" s="53"/>
      <c r="P32" s="15"/>
      <c r="Q32" s="15"/>
      <c r="R32" s="15"/>
      <c r="S32" s="15"/>
      <c r="T32" s="15"/>
      <c r="U32" s="15"/>
      <c r="V32" s="15"/>
      <c r="W32" s="15"/>
      <c r="X32" s="15"/>
    </row>
    <row r="33" spans="6:24" s="21" customFormat="1" ht="14.25" x14ac:dyDescent="0.45">
      <c r="F33" s="119">
        <v>43488</v>
      </c>
      <c r="G33" s="52">
        <v>246.439255</v>
      </c>
      <c r="H33" s="52">
        <v>88.248405000000005</v>
      </c>
      <c r="I33" s="120">
        <f t="shared" si="0"/>
        <v>2.0925841602441597E-3</v>
      </c>
      <c r="J33" s="120">
        <f t="shared" si="0"/>
        <v>0</v>
      </c>
      <c r="K33"/>
      <c r="M33" s="15"/>
      <c r="N33" s="15"/>
      <c r="O33" s="15"/>
      <c r="P33" s="15"/>
      <c r="Q33" s="15"/>
      <c r="R33" s="15"/>
      <c r="S33" s="15"/>
      <c r="T33" s="15"/>
      <c r="U33" s="15"/>
      <c r="V33" s="15"/>
      <c r="W33" s="15"/>
      <c r="X33" s="15"/>
    </row>
    <row r="34" spans="6:24" s="21" customFormat="1" ht="14.25" x14ac:dyDescent="0.45">
      <c r="F34" s="119">
        <v>43489</v>
      </c>
      <c r="G34" s="52">
        <v>246.57023599999999</v>
      </c>
      <c r="H34" s="52">
        <v>88.277289999999994</v>
      </c>
      <c r="I34" s="120">
        <f t="shared" si="0"/>
        <v>5.3149405925601023E-4</v>
      </c>
      <c r="J34" s="120">
        <f t="shared" si="0"/>
        <v>3.2731469764235577E-4</v>
      </c>
      <c r="K34"/>
      <c r="M34" s="15"/>
      <c r="N34" s="15"/>
      <c r="O34" s="15"/>
      <c r="P34" s="15"/>
      <c r="Q34" s="15"/>
      <c r="R34" s="15"/>
      <c r="S34" s="15"/>
      <c r="T34" s="15"/>
      <c r="U34" s="15"/>
      <c r="V34" s="15"/>
      <c r="W34" s="15"/>
      <c r="X34" s="15"/>
    </row>
    <row r="35" spans="6:24" s="21" customFormat="1" ht="14.25" x14ac:dyDescent="0.45">
      <c r="F35" s="119">
        <v>43490</v>
      </c>
      <c r="G35" s="52">
        <v>248.65656999999999</v>
      </c>
      <c r="H35" s="52">
        <v>88.267669999999995</v>
      </c>
      <c r="I35" s="120">
        <f t="shared" si="0"/>
        <v>8.4614186766645005E-3</v>
      </c>
      <c r="J35" s="120">
        <f t="shared" si="0"/>
        <v>-1.0897479974747437E-4</v>
      </c>
      <c r="K35"/>
      <c r="M35" s="15"/>
      <c r="N35" s="15"/>
      <c r="O35" s="15"/>
      <c r="P35" s="15"/>
      <c r="Q35" s="15"/>
      <c r="R35" s="15"/>
      <c r="S35" s="15"/>
      <c r="T35" s="15"/>
      <c r="U35" s="15"/>
      <c r="V35" s="15"/>
      <c r="W35" s="15"/>
      <c r="X35" s="15"/>
    </row>
    <row r="36" spans="6:24" s="21" customFormat="1" ht="14.25" x14ac:dyDescent="0.45">
      <c r="F36" s="119">
        <v>43493</v>
      </c>
      <c r="G36" s="52">
        <v>246.76676900000001</v>
      </c>
      <c r="H36" s="52">
        <v>88.277289999999994</v>
      </c>
      <c r="I36" s="120">
        <f t="shared" si="0"/>
        <v>-7.6000445111905623E-3</v>
      </c>
      <c r="J36" s="120">
        <f t="shared" si="0"/>
        <v>1.0898667654868355E-4</v>
      </c>
      <c r="K36"/>
      <c r="M36" s="15"/>
      <c r="N36" s="15"/>
      <c r="O36" s="15"/>
      <c r="P36" s="15"/>
      <c r="Q36" s="15"/>
      <c r="R36" s="15"/>
      <c r="S36" s="15"/>
      <c r="T36" s="15"/>
      <c r="U36" s="15"/>
      <c r="V36" s="15"/>
      <c r="W36" s="15"/>
      <c r="X36" s="15"/>
    </row>
    <row r="37" spans="6:24" s="21" customFormat="1" ht="14.25" x14ac:dyDescent="0.45">
      <c r="F37" s="119">
        <v>43494</v>
      </c>
      <c r="G37" s="52">
        <v>246.439255</v>
      </c>
      <c r="H37" s="52">
        <v>88.277289999999994</v>
      </c>
      <c r="I37" s="120">
        <f t="shared" si="0"/>
        <v>-1.3272208463369628E-3</v>
      </c>
      <c r="J37" s="120">
        <f t="shared" si="0"/>
        <v>0</v>
      </c>
      <c r="K37"/>
      <c r="M37" s="15"/>
      <c r="N37" s="15"/>
      <c r="O37" s="15"/>
      <c r="P37" s="15"/>
      <c r="Q37" s="15"/>
      <c r="R37" s="15"/>
      <c r="S37" s="15"/>
      <c r="T37" s="15"/>
      <c r="U37" s="15"/>
      <c r="V37" s="15"/>
      <c r="W37" s="15"/>
      <c r="X37" s="15"/>
    </row>
    <row r="38" spans="6:24" s="21" customFormat="1" ht="14.25" x14ac:dyDescent="0.45">
      <c r="F38" s="119">
        <v>43495</v>
      </c>
      <c r="G38" s="52">
        <v>250.34056100000001</v>
      </c>
      <c r="H38" s="52">
        <v>88.296570000000003</v>
      </c>
      <c r="I38" s="120">
        <f t="shared" si="0"/>
        <v>1.5830700348449023E-2</v>
      </c>
      <c r="J38" s="120">
        <f t="shared" si="0"/>
        <v>2.1840271716544457E-4</v>
      </c>
      <c r="K38"/>
      <c r="M38" s="15"/>
      <c r="N38" s="15"/>
      <c r="O38" s="15"/>
      <c r="P38" s="15"/>
      <c r="Q38" s="15"/>
      <c r="R38" s="15"/>
      <c r="S38" s="15"/>
      <c r="T38" s="15"/>
      <c r="U38" s="15"/>
      <c r="V38" s="15"/>
      <c r="W38" s="15"/>
      <c r="X38" s="15"/>
    </row>
    <row r="39" spans="6:24" s="21" customFormat="1" ht="14.25" x14ac:dyDescent="0.45">
      <c r="F39" s="119">
        <v>43496</v>
      </c>
      <c r="G39" s="52">
        <v>252.539185</v>
      </c>
      <c r="H39" s="52">
        <v>88.296570000000003</v>
      </c>
      <c r="I39" s="120">
        <f t="shared" si="0"/>
        <v>8.7825320484122837E-3</v>
      </c>
      <c r="J39" s="120">
        <f t="shared" si="0"/>
        <v>0</v>
      </c>
      <c r="K39"/>
      <c r="M39" s="15"/>
      <c r="N39" s="15"/>
      <c r="O39" s="15"/>
      <c r="P39" s="15"/>
      <c r="Q39" s="15"/>
      <c r="R39" s="15"/>
      <c r="S39" s="15"/>
      <c r="T39" s="15"/>
      <c r="U39" s="15"/>
      <c r="V39" s="15"/>
      <c r="W39" s="15"/>
      <c r="X39" s="15"/>
    </row>
    <row r="40" spans="6:24" s="21" customFormat="1" ht="14.25" x14ac:dyDescent="0.45">
      <c r="F40" s="119">
        <v>43497</v>
      </c>
      <c r="G40" s="52">
        <v>252.660751</v>
      </c>
      <c r="H40" s="52">
        <v>88.305267000000001</v>
      </c>
      <c r="I40" s="120">
        <f t="shared" si="0"/>
        <v>4.8137480130061583E-4</v>
      </c>
      <c r="J40" s="120">
        <f t="shared" si="0"/>
        <v>9.8497597358582212E-5</v>
      </c>
      <c r="K40"/>
      <c r="M40" s="15"/>
      <c r="N40" s="15"/>
      <c r="O40" s="15"/>
      <c r="P40" s="15"/>
      <c r="Q40" s="15"/>
      <c r="R40" s="15"/>
      <c r="S40" s="15"/>
      <c r="T40" s="15"/>
      <c r="U40" s="15"/>
      <c r="V40" s="15"/>
      <c r="W40" s="15"/>
      <c r="X40" s="15"/>
    </row>
    <row r="41" spans="6:24" s="21" customFormat="1" ht="14.25" x14ac:dyDescent="0.45">
      <c r="F41" s="119">
        <v>43500</v>
      </c>
      <c r="G41" s="52">
        <v>254.43838500000001</v>
      </c>
      <c r="H41" s="52">
        <v>88.314933999999994</v>
      </c>
      <c r="I41" s="120">
        <f t="shared" si="0"/>
        <v>7.0356554904722479E-3</v>
      </c>
      <c r="J41" s="120">
        <f t="shared" si="0"/>
        <v>1.094725187795742E-4</v>
      </c>
      <c r="K41"/>
      <c r="M41" s="15"/>
      <c r="N41" s="15"/>
      <c r="O41" s="15"/>
      <c r="P41" s="15"/>
      <c r="Q41" s="15"/>
      <c r="R41" s="15"/>
      <c r="S41" s="15"/>
      <c r="T41" s="15"/>
      <c r="U41" s="15"/>
      <c r="V41" s="15"/>
      <c r="W41" s="15"/>
      <c r="X41" s="15"/>
    </row>
    <row r="42" spans="6:24" s="21" customFormat="1" ht="14.25" x14ac:dyDescent="0.45">
      <c r="F42" s="119">
        <v>43501</v>
      </c>
      <c r="G42" s="52">
        <v>255.504974</v>
      </c>
      <c r="H42" s="52">
        <v>88.314933999999994</v>
      </c>
      <c r="I42" s="120">
        <f t="shared" si="0"/>
        <v>4.191934326261304E-3</v>
      </c>
      <c r="J42" s="120">
        <f t="shared" si="0"/>
        <v>0</v>
      </c>
      <c r="K42"/>
      <c r="M42" s="15"/>
      <c r="N42" s="15"/>
      <c r="O42" s="15"/>
      <c r="P42" s="15"/>
      <c r="Q42" s="15"/>
      <c r="R42" s="15"/>
      <c r="S42" s="15"/>
      <c r="T42" s="15"/>
      <c r="U42" s="15"/>
      <c r="V42" s="15"/>
      <c r="W42" s="15"/>
      <c r="X42" s="15"/>
    </row>
    <row r="43" spans="6:24" s="21" customFormat="1" ht="14.25" x14ac:dyDescent="0.45">
      <c r="F43" s="119">
        <v>43502</v>
      </c>
      <c r="G43" s="52">
        <v>255.16816700000001</v>
      </c>
      <c r="H43" s="52">
        <v>88.334259000000003</v>
      </c>
      <c r="I43" s="120">
        <f t="shared" si="0"/>
        <v>-1.3182013435087958E-3</v>
      </c>
      <c r="J43" s="120">
        <f t="shared" si="0"/>
        <v>2.1881916369892451E-4</v>
      </c>
      <c r="K43"/>
      <c r="M43" s="15"/>
      <c r="N43" s="15"/>
      <c r="O43" s="15"/>
      <c r="P43" s="15"/>
      <c r="Q43" s="15"/>
      <c r="R43" s="15"/>
      <c r="S43" s="15"/>
      <c r="T43" s="15"/>
      <c r="U43" s="15"/>
      <c r="V43" s="15"/>
      <c r="W43" s="15"/>
      <c r="X43" s="15"/>
    </row>
    <row r="44" spans="6:24" s="21" customFormat="1" ht="14.25" x14ac:dyDescent="0.45">
      <c r="F44" s="119">
        <v>43503</v>
      </c>
      <c r="G44" s="52">
        <v>252.735657</v>
      </c>
      <c r="H44" s="52">
        <v>88.334259000000003</v>
      </c>
      <c r="I44" s="120">
        <f t="shared" si="0"/>
        <v>-9.5329681151019585E-3</v>
      </c>
      <c r="J44" s="120">
        <f t="shared" si="0"/>
        <v>0</v>
      </c>
      <c r="K44"/>
      <c r="M44" s="15"/>
      <c r="N44" s="15"/>
      <c r="O44" s="15"/>
      <c r="P44" s="15"/>
      <c r="Q44" s="15"/>
      <c r="R44" s="15"/>
      <c r="S44" s="15"/>
      <c r="T44" s="15"/>
      <c r="U44" s="15"/>
      <c r="V44" s="15"/>
      <c r="W44" s="15"/>
      <c r="X44" s="15"/>
    </row>
    <row r="45" spans="6:24" s="21" customFormat="1" ht="14.25" x14ac:dyDescent="0.45">
      <c r="F45" s="119">
        <v>43504</v>
      </c>
      <c r="G45" s="52">
        <v>253.04437300000001</v>
      </c>
      <c r="H45" s="52">
        <v>88.353545999999994</v>
      </c>
      <c r="I45" s="120">
        <f t="shared" si="0"/>
        <v>1.22149760609358E-3</v>
      </c>
      <c r="J45" s="120">
        <f t="shared" si="0"/>
        <v>2.18341108176201E-4</v>
      </c>
      <c r="K45"/>
      <c r="M45" s="15"/>
      <c r="N45" s="15"/>
      <c r="O45" s="15"/>
      <c r="P45" s="15"/>
      <c r="Q45" s="15"/>
      <c r="R45" s="15"/>
      <c r="S45" s="15"/>
      <c r="T45" s="15"/>
      <c r="U45" s="15"/>
      <c r="V45" s="15"/>
      <c r="W45" s="15"/>
      <c r="X45" s="15"/>
    </row>
    <row r="46" spans="6:24" s="21" customFormat="1" ht="14.25" x14ac:dyDescent="0.45">
      <c r="F46" s="119">
        <v>43507</v>
      </c>
      <c r="G46" s="52">
        <v>253.184753</v>
      </c>
      <c r="H46" s="52">
        <v>88.343886999999995</v>
      </c>
      <c r="I46" s="120">
        <f t="shared" si="0"/>
        <v>5.5476436142676278E-4</v>
      </c>
      <c r="J46" s="120">
        <f t="shared" si="0"/>
        <v>-1.0932215442716053E-4</v>
      </c>
      <c r="K46"/>
      <c r="M46" s="15"/>
      <c r="N46" s="15"/>
      <c r="O46" s="15"/>
      <c r="P46" s="15"/>
      <c r="Q46" s="15"/>
      <c r="R46" s="15"/>
      <c r="S46" s="15"/>
      <c r="T46" s="15"/>
      <c r="U46" s="15"/>
      <c r="V46" s="15"/>
      <c r="W46" s="15"/>
      <c r="X46" s="15"/>
    </row>
    <row r="47" spans="6:24" s="21" customFormat="1" ht="14.25" x14ac:dyDescent="0.45">
      <c r="F47" s="119">
        <v>43508</v>
      </c>
      <c r="G47" s="52">
        <v>256.44058200000001</v>
      </c>
      <c r="H47" s="52">
        <v>88.363213000000002</v>
      </c>
      <c r="I47" s="120">
        <f t="shared" si="0"/>
        <v>1.2859498691850657E-2</v>
      </c>
      <c r="J47" s="120">
        <f t="shared" si="0"/>
        <v>2.1875876935339988E-4</v>
      </c>
      <c r="K47"/>
      <c r="M47" s="15"/>
      <c r="N47" s="15"/>
      <c r="O47" s="15"/>
      <c r="P47" s="15"/>
      <c r="Q47" s="15"/>
      <c r="R47" s="15"/>
      <c r="S47" s="15"/>
      <c r="T47" s="15"/>
      <c r="U47" s="15"/>
      <c r="V47" s="15"/>
      <c r="W47" s="15"/>
      <c r="X47" s="15"/>
    </row>
    <row r="48" spans="6:24" s="21" customFormat="1" ht="14.25" x14ac:dyDescent="0.45">
      <c r="F48" s="119">
        <v>43509</v>
      </c>
      <c r="G48" s="52">
        <v>257.27319299999999</v>
      </c>
      <c r="H48" s="52">
        <v>88.363213000000002</v>
      </c>
      <c r="I48" s="120">
        <f t="shared" si="0"/>
        <v>3.2467989017432863E-3</v>
      </c>
      <c r="J48" s="120">
        <f t="shared" si="0"/>
        <v>0</v>
      </c>
      <c r="K48"/>
      <c r="M48" s="15"/>
      <c r="N48" s="15"/>
      <c r="O48" s="15"/>
      <c r="P48" s="15"/>
      <c r="Q48" s="15"/>
      <c r="R48" s="15"/>
      <c r="S48" s="15"/>
      <c r="T48" s="15"/>
      <c r="U48" s="15"/>
      <c r="V48" s="15"/>
      <c r="W48" s="15"/>
      <c r="X48" s="15"/>
    </row>
    <row r="49" spans="6:24" s="21" customFormat="1" ht="14.25" x14ac:dyDescent="0.45">
      <c r="F49" s="119">
        <v>43510</v>
      </c>
      <c r="G49" s="52">
        <v>256.70248400000003</v>
      </c>
      <c r="H49" s="52">
        <v>88.382544999999993</v>
      </c>
      <c r="I49" s="120">
        <f t="shared" si="0"/>
        <v>-2.2182995178979814E-3</v>
      </c>
      <c r="J49" s="120">
        <f t="shared" si="0"/>
        <v>2.1877882598042575E-4</v>
      </c>
      <c r="K49"/>
      <c r="M49" s="15"/>
      <c r="N49" s="15"/>
      <c r="O49" s="15"/>
      <c r="P49" s="15"/>
      <c r="Q49" s="15"/>
      <c r="R49" s="15"/>
      <c r="S49" s="15"/>
      <c r="T49" s="15"/>
      <c r="U49" s="15"/>
      <c r="V49" s="15"/>
      <c r="W49" s="15"/>
      <c r="X49" s="15"/>
    </row>
    <row r="50" spans="6:24" s="21" customFormat="1" ht="14.25" x14ac:dyDescent="0.45">
      <c r="F50" s="119">
        <v>43511</v>
      </c>
      <c r="G50" s="52">
        <v>259.49987800000002</v>
      </c>
      <c r="H50" s="52">
        <v>88.382544999999993</v>
      </c>
      <c r="I50" s="120">
        <f t="shared" si="0"/>
        <v>1.0897416949031236E-2</v>
      </c>
      <c r="J50" s="120">
        <f t="shared" si="0"/>
        <v>0</v>
      </c>
      <c r="K50"/>
      <c r="M50" s="15"/>
      <c r="N50" s="15"/>
      <c r="O50" s="15"/>
      <c r="P50" s="15"/>
      <c r="Q50" s="15"/>
      <c r="R50" s="15"/>
      <c r="S50" s="15"/>
      <c r="T50" s="15"/>
      <c r="U50" s="15"/>
      <c r="V50" s="15"/>
      <c r="W50" s="15"/>
      <c r="X50" s="15"/>
    </row>
    <row r="51" spans="6:24" s="21" customFormat="1" ht="14.25" x14ac:dyDescent="0.45">
      <c r="F51" s="119">
        <v>43515</v>
      </c>
      <c r="G51" s="52">
        <v>259.94894399999998</v>
      </c>
      <c r="H51" s="52">
        <v>88.401840000000007</v>
      </c>
      <c r="I51" s="120">
        <f t="shared" si="0"/>
        <v>1.7305056305265687E-3</v>
      </c>
      <c r="J51" s="120">
        <f t="shared" si="0"/>
        <v>2.183123375776308E-4</v>
      </c>
      <c r="K51"/>
      <c r="M51" s="15"/>
      <c r="N51" s="15"/>
      <c r="O51" s="15"/>
      <c r="P51" s="15"/>
      <c r="Q51" s="15"/>
      <c r="R51" s="15"/>
      <c r="S51" s="15"/>
      <c r="T51" s="15"/>
      <c r="U51" s="15"/>
      <c r="V51" s="15"/>
      <c r="W51" s="15"/>
      <c r="X51" s="15"/>
    </row>
    <row r="52" spans="6:24" s="21" customFormat="1" ht="14.25" x14ac:dyDescent="0.45">
      <c r="F52" s="119">
        <v>43516</v>
      </c>
      <c r="G52" s="52">
        <v>260.47283900000002</v>
      </c>
      <c r="H52" s="52">
        <v>88.401840000000007</v>
      </c>
      <c r="I52" s="120">
        <f t="shared" si="0"/>
        <v>2.0153765271693214E-3</v>
      </c>
      <c r="J52" s="120">
        <f t="shared" si="0"/>
        <v>0</v>
      </c>
      <c r="K52"/>
      <c r="M52" s="15"/>
      <c r="N52" s="15"/>
      <c r="O52" s="15"/>
      <c r="P52" s="15"/>
      <c r="Q52" s="15"/>
      <c r="R52" s="15"/>
      <c r="S52" s="15"/>
      <c r="T52" s="15"/>
      <c r="U52" s="15"/>
      <c r="V52" s="15"/>
      <c r="W52" s="15"/>
      <c r="X52" s="15"/>
    </row>
    <row r="53" spans="6:24" s="21" customFormat="1" ht="14.25" x14ac:dyDescent="0.45">
      <c r="F53" s="119">
        <v>43517</v>
      </c>
      <c r="G53" s="52">
        <v>259.54660000000001</v>
      </c>
      <c r="H53" s="52">
        <v>88.411484000000002</v>
      </c>
      <c r="I53" s="120">
        <f t="shared" si="0"/>
        <v>-3.5559907265417801E-3</v>
      </c>
      <c r="J53" s="120">
        <f t="shared" si="0"/>
        <v>1.0909275191561818E-4</v>
      </c>
      <c r="K53"/>
      <c r="M53" s="15"/>
      <c r="N53" s="15"/>
      <c r="O53" s="15"/>
      <c r="P53" s="15"/>
      <c r="Q53" s="15"/>
      <c r="R53" s="15"/>
      <c r="S53" s="15"/>
      <c r="T53" s="15"/>
      <c r="U53" s="15"/>
      <c r="V53" s="15"/>
      <c r="W53" s="15"/>
      <c r="X53" s="15"/>
    </row>
    <row r="54" spans="6:24" s="21" customFormat="1" ht="14.25" x14ac:dyDescent="0.45">
      <c r="F54" s="119">
        <v>43518</v>
      </c>
      <c r="G54" s="52">
        <v>261.155823</v>
      </c>
      <c r="H54" s="52">
        <v>88.430817000000005</v>
      </c>
      <c r="I54" s="120">
        <f t="shared" si="0"/>
        <v>6.2001313059003582E-3</v>
      </c>
      <c r="J54" s="120">
        <f t="shared" si="0"/>
        <v>2.1867068762237984E-4</v>
      </c>
      <c r="K54"/>
      <c r="M54" s="15"/>
      <c r="N54" s="15"/>
      <c r="O54" s="15"/>
      <c r="P54" s="15"/>
      <c r="Q54" s="15"/>
      <c r="R54" s="15"/>
      <c r="S54" s="15"/>
      <c r="T54" s="15"/>
      <c r="U54" s="15"/>
      <c r="V54" s="15"/>
      <c r="W54" s="15"/>
      <c r="X54" s="15"/>
    </row>
    <row r="55" spans="6:24" s="21" customFormat="1" ht="14.25" x14ac:dyDescent="0.45">
      <c r="F55" s="119">
        <v>43521</v>
      </c>
      <c r="G55" s="52">
        <v>261.51129200000003</v>
      </c>
      <c r="H55" s="52">
        <v>88.421149999999997</v>
      </c>
      <c r="I55" s="120">
        <f t="shared" si="0"/>
        <v>1.3611375611564114E-3</v>
      </c>
      <c r="J55" s="120">
        <f t="shared" si="0"/>
        <v>-1.0931709474093498E-4</v>
      </c>
      <c r="K55"/>
      <c r="M55" s="15"/>
      <c r="N55" s="15"/>
      <c r="O55" s="15"/>
      <c r="P55" s="15"/>
      <c r="Q55" s="15"/>
      <c r="R55" s="15"/>
      <c r="S55" s="15"/>
      <c r="T55" s="15"/>
      <c r="U55" s="15"/>
      <c r="V55" s="15"/>
      <c r="W55" s="15"/>
      <c r="X55" s="15"/>
    </row>
    <row r="56" spans="6:24" s="21" customFormat="1" ht="14.25" x14ac:dyDescent="0.45">
      <c r="F56" s="119">
        <v>43522</v>
      </c>
      <c r="G56" s="52">
        <v>261.32421900000003</v>
      </c>
      <c r="H56" s="52">
        <v>88.430817000000005</v>
      </c>
      <c r="I56" s="120">
        <f t="shared" si="0"/>
        <v>-7.1535343108619642E-4</v>
      </c>
      <c r="J56" s="120">
        <f t="shared" si="0"/>
        <v>1.0932904627458662E-4</v>
      </c>
      <c r="K56"/>
      <c r="M56" s="15"/>
      <c r="N56" s="15"/>
      <c r="O56" s="15"/>
      <c r="P56" s="15"/>
      <c r="Q56" s="15"/>
      <c r="R56" s="15"/>
      <c r="S56" s="15"/>
      <c r="T56" s="15"/>
      <c r="U56" s="15"/>
      <c r="V56" s="15"/>
      <c r="W56" s="15"/>
      <c r="X56" s="15"/>
    </row>
    <row r="57" spans="6:24" s="21" customFormat="1" ht="14.25" x14ac:dyDescent="0.45">
      <c r="F57" s="119">
        <v>43523</v>
      </c>
      <c r="G57" s="52">
        <v>261.21200599999997</v>
      </c>
      <c r="H57" s="52">
        <v>88.440453000000005</v>
      </c>
      <c r="I57" s="120">
        <f t="shared" si="0"/>
        <v>-4.2940145551551012E-4</v>
      </c>
      <c r="J57" s="120">
        <f t="shared" si="0"/>
        <v>1.0896653821479418E-4</v>
      </c>
      <c r="K57"/>
      <c r="M57" s="15"/>
      <c r="N57" s="15"/>
      <c r="O57" s="15"/>
      <c r="P57" s="15"/>
      <c r="Q57" s="15"/>
      <c r="R57" s="15"/>
      <c r="S57" s="15"/>
      <c r="T57" s="15"/>
      <c r="U57" s="15"/>
      <c r="V57" s="15"/>
      <c r="W57" s="15"/>
      <c r="X57" s="15"/>
    </row>
    <row r="58" spans="6:24" s="21" customFormat="1" ht="14.25" x14ac:dyDescent="0.45">
      <c r="F58" s="119">
        <v>43524</v>
      </c>
      <c r="G58" s="52">
        <v>260.72543300000001</v>
      </c>
      <c r="H58" s="52">
        <v>88.459770000000006</v>
      </c>
      <c r="I58" s="120">
        <f t="shared" si="0"/>
        <v>-1.8627512856356221E-3</v>
      </c>
      <c r="J58" s="120">
        <f t="shared" si="0"/>
        <v>2.1841814853673647E-4</v>
      </c>
      <c r="K58"/>
      <c r="M58" s="15"/>
      <c r="N58" s="15"/>
      <c r="O58" s="15"/>
      <c r="P58" s="15"/>
      <c r="Q58" s="15"/>
      <c r="R58" s="15"/>
      <c r="S58" s="15"/>
      <c r="T58" s="15"/>
      <c r="U58" s="15"/>
      <c r="V58" s="15"/>
      <c r="W58" s="15"/>
      <c r="X58" s="15"/>
    </row>
    <row r="59" spans="6:24" s="21" customFormat="1" ht="14.25" x14ac:dyDescent="0.45">
      <c r="F59" s="119">
        <v>43525</v>
      </c>
      <c r="G59" s="52">
        <v>262.35327100000001</v>
      </c>
      <c r="H59" s="52">
        <v>88.469436999999999</v>
      </c>
      <c r="I59" s="120">
        <f t="shared" si="0"/>
        <v>6.2434952404508692E-3</v>
      </c>
      <c r="J59" s="120">
        <f t="shared" si="0"/>
        <v>1.092813151106764E-4</v>
      </c>
      <c r="K59"/>
      <c r="M59" s="15"/>
      <c r="N59" s="15"/>
      <c r="O59" s="15"/>
      <c r="P59" s="15"/>
      <c r="Q59" s="15"/>
      <c r="R59" s="15"/>
      <c r="S59" s="15"/>
      <c r="T59" s="15"/>
      <c r="U59" s="15"/>
      <c r="V59" s="15"/>
      <c r="W59" s="15"/>
      <c r="X59" s="15"/>
    </row>
    <row r="60" spans="6:24" s="21" customFormat="1" ht="14.25" x14ac:dyDescent="0.45">
      <c r="F60" s="119">
        <v>43528</v>
      </c>
      <c r="G60" s="52">
        <v>261.39904799999999</v>
      </c>
      <c r="H60" s="52">
        <v>88.459762999999995</v>
      </c>
      <c r="I60" s="120">
        <f t="shared" si="0"/>
        <v>-3.6371682973985742E-3</v>
      </c>
      <c r="J60" s="120">
        <f t="shared" si="0"/>
        <v>-1.0934849737997965E-4</v>
      </c>
      <c r="K60"/>
      <c r="M60" s="15"/>
      <c r="N60" s="15"/>
      <c r="O60" s="15"/>
      <c r="P60" s="15"/>
      <c r="Q60" s="15"/>
      <c r="R60" s="15"/>
      <c r="S60" s="15"/>
      <c r="T60" s="15"/>
      <c r="U60" s="15"/>
      <c r="V60" s="15"/>
      <c r="W60" s="15"/>
      <c r="X60" s="15"/>
    </row>
    <row r="61" spans="6:24" s="21" customFormat="1" ht="14.25" x14ac:dyDescent="0.45">
      <c r="F61" s="119">
        <v>43529</v>
      </c>
      <c r="G61" s="52">
        <v>261.04351800000001</v>
      </c>
      <c r="H61" s="52">
        <v>88.469436999999999</v>
      </c>
      <c r="I61" s="120">
        <f t="shared" si="0"/>
        <v>-1.3601044178247479E-3</v>
      </c>
      <c r="J61" s="120">
        <f t="shared" si="0"/>
        <v>1.0936045578158193E-4</v>
      </c>
      <c r="K61"/>
      <c r="M61" s="15"/>
      <c r="N61" s="15"/>
      <c r="O61" s="15"/>
      <c r="P61" s="15"/>
      <c r="Q61" s="15"/>
      <c r="R61" s="15"/>
      <c r="S61" s="15"/>
      <c r="T61" s="15"/>
      <c r="U61" s="15"/>
      <c r="V61" s="15"/>
      <c r="W61" s="15"/>
      <c r="X61" s="15"/>
    </row>
    <row r="62" spans="6:24" s="21" customFormat="1" ht="14.25" x14ac:dyDescent="0.45">
      <c r="F62" s="119">
        <v>43530</v>
      </c>
      <c r="G62" s="52">
        <v>259.46246300000001</v>
      </c>
      <c r="H62" s="52">
        <v>88.479111000000003</v>
      </c>
      <c r="I62" s="120">
        <f t="shared" si="0"/>
        <v>-6.0566721292807379E-3</v>
      </c>
      <c r="J62" s="120">
        <f t="shared" si="0"/>
        <v>1.0934849737997965E-4</v>
      </c>
      <c r="K62"/>
      <c r="M62" s="15"/>
      <c r="N62" s="15"/>
      <c r="O62" s="15"/>
      <c r="P62" s="15"/>
      <c r="Q62" s="15"/>
      <c r="R62" s="15"/>
      <c r="S62" s="15"/>
      <c r="T62" s="15"/>
      <c r="U62" s="15"/>
      <c r="V62" s="15"/>
      <c r="W62" s="15"/>
      <c r="X62" s="15"/>
    </row>
    <row r="63" spans="6:24" s="21" customFormat="1" ht="14.25" x14ac:dyDescent="0.45">
      <c r="F63" s="119">
        <v>43531</v>
      </c>
      <c r="G63" s="52">
        <v>257.29187000000002</v>
      </c>
      <c r="H63" s="52">
        <v>88.498474000000002</v>
      </c>
      <c r="I63" s="120">
        <f t="shared" si="0"/>
        <v>-8.3657303445855424E-3</v>
      </c>
      <c r="J63" s="120">
        <f t="shared" si="0"/>
        <v>2.1884261472737698E-4</v>
      </c>
      <c r="K63"/>
      <c r="M63" s="15"/>
      <c r="N63" s="15"/>
      <c r="O63" s="15"/>
      <c r="P63" s="15"/>
      <c r="Q63" s="15"/>
      <c r="R63" s="15"/>
      <c r="S63" s="15"/>
      <c r="T63" s="15"/>
      <c r="U63" s="15"/>
      <c r="V63" s="15"/>
      <c r="W63" s="15"/>
      <c r="X63" s="15"/>
    </row>
    <row r="64" spans="6:24" s="21" customFormat="1" ht="14.25" x14ac:dyDescent="0.45">
      <c r="F64" s="119">
        <v>43532</v>
      </c>
      <c r="G64" s="52">
        <v>256.77737400000001</v>
      </c>
      <c r="H64" s="52">
        <v>88.508156</v>
      </c>
      <c r="I64" s="120">
        <f t="shared" si="0"/>
        <v>-1.9996589865043379E-3</v>
      </c>
      <c r="J64" s="120">
        <f t="shared" si="0"/>
        <v>1.0940301637285543E-4</v>
      </c>
      <c r="K64"/>
      <c r="M64" s="15"/>
      <c r="N64" s="15"/>
      <c r="O64" s="15"/>
      <c r="P64" s="15"/>
      <c r="Q64" s="15"/>
      <c r="R64" s="15"/>
      <c r="S64" s="15"/>
      <c r="T64" s="15"/>
      <c r="U64" s="15"/>
      <c r="V64" s="15"/>
      <c r="W64" s="15"/>
      <c r="X64" s="15"/>
    </row>
    <row r="65" spans="6:24" s="21" customFormat="1" ht="14.25" x14ac:dyDescent="0.45">
      <c r="F65" s="119">
        <v>43535</v>
      </c>
      <c r="G65" s="52">
        <v>260.50091600000002</v>
      </c>
      <c r="H65" s="52">
        <v>88.508156</v>
      </c>
      <c r="I65" s="120">
        <f t="shared" si="0"/>
        <v>1.4501051794384434E-2</v>
      </c>
      <c r="J65" s="120">
        <f t="shared" si="0"/>
        <v>0</v>
      </c>
      <c r="K65"/>
      <c r="M65" s="15"/>
      <c r="N65" s="15"/>
      <c r="O65" s="15"/>
      <c r="P65" s="15"/>
      <c r="Q65" s="15"/>
      <c r="R65" s="15"/>
      <c r="S65" s="15"/>
      <c r="T65" s="15"/>
      <c r="U65" s="15"/>
      <c r="V65" s="15"/>
      <c r="W65" s="15"/>
      <c r="X65" s="15"/>
    </row>
    <row r="66" spans="6:24" s="21" customFormat="1" ht="14.25" x14ac:dyDescent="0.45">
      <c r="F66" s="119">
        <v>43536</v>
      </c>
      <c r="G66" s="52">
        <v>261.48327599999999</v>
      </c>
      <c r="H66" s="52">
        <v>88.517821999999995</v>
      </c>
      <c r="I66" s="120">
        <f t="shared" si="0"/>
        <v>3.7710424020158673E-3</v>
      </c>
      <c r="J66" s="120">
        <f t="shared" si="0"/>
        <v>1.0921027436161523E-4</v>
      </c>
      <c r="K66"/>
      <c r="M66" s="15"/>
      <c r="N66" s="15"/>
      <c r="O66" s="15"/>
      <c r="P66" s="15"/>
      <c r="Q66" s="15"/>
      <c r="R66" s="15"/>
      <c r="S66" s="15"/>
      <c r="T66" s="15"/>
      <c r="U66" s="15"/>
      <c r="V66" s="15"/>
      <c r="W66" s="15"/>
      <c r="X66" s="15"/>
    </row>
    <row r="67" spans="6:24" s="21" customFormat="1" ht="14.25" x14ac:dyDescent="0.45">
      <c r="F67" s="119">
        <v>43537</v>
      </c>
      <c r="G67" s="52">
        <v>263.214111</v>
      </c>
      <c r="H67" s="52">
        <v>88.527495999999999</v>
      </c>
      <c r="I67" s="120">
        <f t="shared" si="0"/>
        <v>6.6192952240662351E-3</v>
      </c>
      <c r="J67" s="120">
        <f t="shared" si="0"/>
        <v>1.0928872606030815E-4</v>
      </c>
      <c r="K67"/>
      <c r="M67" s="15"/>
      <c r="N67" s="15"/>
      <c r="O67" s="15"/>
      <c r="P67" s="15"/>
      <c r="Q67" s="15"/>
      <c r="R67" s="15"/>
      <c r="S67" s="15"/>
      <c r="T67" s="15"/>
      <c r="U67" s="15"/>
      <c r="V67" s="15"/>
      <c r="W67" s="15"/>
      <c r="X67" s="15"/>
    </row>
    <row r="68" spans="6:24" s="21" customFormat="1" ht="14.25" x14ac:dyDescent="0.45">
      <c r="F68" s="119">
        <v>43538</v>
      </c>
      <c r="G68" s="52">
        <v>263.04562399999998</v>
      </c>
      <c r="H68" s="52">
        <v>88.527495999999999</v>
      </c>
      <c r="I68" s="120">
        <f t="shared" si="0"/>
        <v>-6.4011385772566598E-4</v>
      </c>
      <c r="J68" s="120">
        <f t="shared" si="0"/>
        <v>0</v>
      </c>
      <c r="K68"/>
      <c r="M68" s="15"/>
      <c r="N68" s="15"/>
      <c r="O68" s="15"/>
      <c r="P68" s="15"/>
      <c r="Q68" s="15"/>
      <c r="R68" s="15"/>
      <c r="S68" s="15"/>
      <c r="T68" s="15"/>
      <c r="U68" s="15"/>
      <c r="V68" s="15"/>
      <c r="W68" s="15"/>
      <c r="X68" s="15"/>
    </row>
    <row r="69" spans="6:24" s="21" customFormat="1" ht="14.25" x14ac:dyDescent="0.45">
      <c r="F69" s="119">
        <v>43539</v>
      </c>
      <c r="G69" s="52">
        <v>264.34527600000001</v>
      </c>
      <c r="H69" s="52">
        <v>88.537139999999994</v>
      </c>
      <c r="I69" s="120">
        <f t="shared" si="0"/>
        <v>4.9407854813812158E-3</v>
      </c>
      <c r="J69" s="120">
        <f t="shared" si="0"/>
        <v>1.0893790557453542E-4</v>
      </c>
      <c r="K69"/>
      <c r="M69" s="15"/>
      <c r="N69" s="15"/>
      <c r="O69" s="15"/>
      <c r="P69" s="15"/>
      <c r="Q69" s="15"/>
      <c r="R69" s="15"/>
      <c r="S69" s="15"/>
      <c r="T69" s="15"/>
      <c r="U69" s="15"/>
      <c r="V69" s="15"/>
      <c r="W69" s="15"/>
      <c r="X69" s="15"/>
    </row>
    <row r="70" spans="6:24" s="21" customFormat="1" ht="14.25" x14ac:dyDescent="0.45">
      <c r="F70" s="119">
        <v>43542</v>
      </c>
      <c r="G70" s="52">
        <v>265.30377199999998</v>
      </c>
      <c r="H70" s="52">
        <v>88.546852000000001</v>
      </c>
      <c r="I70" s="120">
        <f t="shared" si="0"/>
        <v>3.6259244519276645E-3</v>
      </c>
      <c r="J70" s="120">
        <f t="shared" si="0"/>
        <v>1.0969407866578962E-4</v>
      </c>
      <c r="K70"/>
      <c r="M70" s="15"/>
      <c r="N70" s="15"/>
      <c r="O70" s="15"/>
      <c r="P70" s="15"/>
      <c r="Q70" s="15"/>
      <c r="R70" s="15"/>
      <c r="S70" s="15"/>
      <c r="T70" s="15"/>
      <c r="U70" s="15"/>
      <c r="V70" s="15"/>
      <c r="W70" s="15"/>
      <c r="X70" s="15"/>
    </row>
    <row r="71" spans="6:24" s="21" customFormat="1" ht="14.25" x14ac:dyDescent="0.45">
      <c r="F71" s="119">
        <v>43543</v>
      </c>
      <c r="G71" s="52">
        <v>265.369507</v>
      </c>
      <c r="H71" s="52">
        <v>88.546852000000001</v>
      </c>
      <c r="I71" s="120">
        <f t="shared" si="0"/>
        <v>2.4777257972807831E-4</v>
      </c>
      <c r="J71" s="120">
        <f t="shared" si="0"/>
        <v>0</v>
      </c>
      <c r="K71"/>
      <c r="M71" s="15"/>
      <c r="N71" s="15"/>
      <c r="O71" s="15"/>
      <c r="P71" s="15"/>
      <c r="Q71" s="15"/>
      <c r="R71" s="15"/>
      <c r="S71" s="15"/>
      <c r="T71" s="15"/>
      <c r="U71" s="15"/>
      <c r="V71" s="15"/>
      <c r="W71" s="15"/>
      <c r="X71" s="15"/>
    </row>
    <row r="72" spans="6:24" s="21" customFormat="1" ht="14.25" x14ac:dyDescent="0.45">
      <c r="F72" s="119">
        <v>43544</v>
      </c>
      <c r="G72" s="52">
        <v>264.57080100000002</v>
      </c>
      <c r="H72" s="52">
        <v>88.546852000000001</v>
      </c>
      <c r="I72" s="120">
        <f t="shared" si="0"/>
        <v>-3.0097881592702214E-3</v>
      </c>
      <c r="J72" s="120">
        <f t="shared" si="0"/>
        <v>0</v>
      </c>
      <c r="K72"/>
      <c r="M72" s="15"/>
      <c r="N72" s="15"/>
      <c r="O72" s="15"/>
      <c r="P72" s="15"/>
      <c r="Q72" s="15"/>
      <c r="R72" s="15"/>
      <c r="S72" s="15"/>
      <c r="T72" s="15"/>
      <c r="U72" s="15"/>
      <c r="V72" s="15"/>
      <c r="W72" s="15"/>
      <c r="X72" s="15"/>
    </row>
    <row r="73" spans="6:24" s="21" customFormat="1" ht="14.25" x14ac:dyDescent="0.45">
      <c r="F73" s="119">
        <v>43545</v>
      </c>
      <c r="G73" s="52">
        <v>267.55898999999999</v>
      </c>
      <c r="H73" s="52">
        <v>88.575858999999994</v>
      </c>
      <c r="I73" s="120">
        <f t="shared" si="0"/>
        <v>1.1294477654773205E-2</v>
      </c>
      <c r="J73" s="120">
        <f t="shared" si="0"/>
        <v>3.27589285726404E-4</v>
      </c>
      <c r="K73"/>
      <c r="M73" s="15"/>
      <c r="N73" s="15"/>
      <c r="O73" s="15"/>
      <c r="P73" s="15"/>
      <c r="Q73" s="15"/>
      <c r="R73" s="15"/>
      <c r="S73" s="15"/>
      <c r="T73" s="15"/>
      <c r="U73" s="15"/>
      <c r="V73" s="15"/>
      <c r="W73" s="15"/>
      <c r="X73" s="15"/>
    </row>
    <row r="74" spans="6:24" s="21" customFormat="1" ht="14.25" x14ac:dyDescent="0.45">
      <c r="F74" s="119">
        <v>43546</v>
      </c>
      <c r="G74" s="52">
        <v>262.40948500000002</v>
      </c>
      <c r="H74" s="52">
        <v>88.575858999999994</v>
      </c>
      <c r="I74" s="120">
        <f t="shared" si="0"/>
        <v>-1.9246241735327185E-2</v>
      </c>
      <c r="J74" s="120">
        <f t="shared" si="0"/>
        <v>0</v>
      </c>
      <c r="K74"/>
      <c r="M74" s="15"/>
      <c r="N74" s="15"/>
      <c r="O74" s="15"/>
      <c r="P74" s="15"/>
      <c r="Q74" s="15"/>
      <c r="R74" s="15"/>
      <c r="S74" s="15"/>
      <c r="T74" s="15"/>
      <c r="U74" s="15"/>
      <c r="V74" s="15"/>
      <c r="W74" s="15"/>
      <c r="X74" s="15"/>
    </row>
    <row r="75" spans="6:24" s="21" customFormat="1" ht="14.25" x14ac:dyDescent="0.45">
      <c r="F75" s="119">
        <v>43549</v>
      </c>
      <c r="G75" s="52">
        <v>262.21212800000001</v>
      </c>
      <c r="H75" s="52">
        <v>88.575858999999994</v>
      </c>
      <c r="I75" s="120">
        <f t="shared" si="0"/>
        <v>-7.520955273396801E-4</v>
      </c>
      <c r="J75" s="120">
        <f t="shared" si="0"/>
        <v>0</v>
      </c>
      <c r="K75"/>
      <c r="M75" s="15"/>
      <c r="N75" s="15"/>
      <c r="O75" s="15"/>
      <c r="P75" s="15"/>
      <c r="Q75" s="15"/>
      <c r="R75" s="15"/>
      <c r="S75" s="15"/>
      <c r="T75" s="15"/>
      <c r="U75" s="15"/>
      <c r="V75" s="15"/>
      <c r="W75" s="15"/>
      <c r="X75" s="15"/>
    </row>
    <row r="76" spans="6:24" s="21" customFormat="1" ht="14.25" x14ac:dyDescent="0.45">
      <c r="F76" s="119">
        <v>43550</v>
      </c>
      <c r="G76" s="52">
        <v>264.16674799999998</v>
      </c>
      <c r="H76" s="52">
        <v>88.585548000000003</v>
      </c>
      <c r="I76" s="120">
        <f t="shared" si="0"/>
        <v>7.4543462764620205E-3</v>
      </c>
      <c r="J76" s="120">
        <f t="shared" si="0"/>
        <v>1.0938646386726703E-4</v>
      </c>
      <c r="K76"/>
      <c r="M76" s="15"/>
      <c r="N76" s="15"/>
      <c r="O76" s="15"/>
      <c r="P76" s="15"/>
      <c r="Q76" s="15"/>
      <c r="R76" s="15"/>
      <c r="S76" s="15"/>
      <c r="T76" s="15"/>
      <c r="U76" s="15"/>
      <c r="V76" s="15"/>
      <c r="W76" s="15"/>
      <c r="X76" s="15"/>
    </row>
    <row r="77" spans="6:24" s="21" customFormat="1" ht="14.25" x14ac:dyDescent="0.45">
      <c r="F77" s="119">
        <v>43551</v>
      </c>
      <c r="G77" s="52">
        <v>262.78539999999998</v>
      </c>
      <c r="H77" s="52">
        <v>88.595191999999997</v>
      </c>
      <c r="I77" s="120">
        <f t="shared" si="0"/>
        <v>-5.22907599256206E-3</v>
      </c>
      <c r="J77" s="120">
        <f t="shared" si="0"/>
        <v>1.0886651624031352E-4</v>
      </c>
      <c r="K77"/>
      <c r="M77" s="15"/>
      <c r="N77" s="15"/>
      <c r="O77" s="15"/>
      <c r="P77" s="15"/>
      <c r="Q77" s="15"/>
      <c r="R77" s="15"/>
      <c r="S77" s="15"/>
      <c r="T77" s="15"/>
      <c r="U77" s="15"/>
      <c r="V77" s="15"/>
      <c r="W77" s="15"/>
      <c r="X77" s="15"/>
    </row>
    <row r="78" spans="6:24" s="21" customFormat="1" ht="14.25" x14ac:dyDescent="0.45">
      <c r="F78" s="119">
        <v>43552</v>
      </c>
      <c r="G78" s="52">
        <v>263.78146400000003</v>
      </c>
      <c r="H78" s="52">
        <v>88.614554999999996</v>
      </c>
      <c r="I78" s="120">
        <f t="shared" si="0"/>
        <v>3.7904084473492361E-3</v>
      </c>
      <c r="J78" s="120">
        <f t="shared" si="0"/>
        <v>2.1855587829189282E-4</v>
      </c>
      <c r="K78"/>
      <c r="M78" s="15"/>
      <c r="N78" s="15"/>
      <c r="O78" s="15"/>
      <c r="P78" s="15"/>
      <c r="Q78" s="15"/>
      <c r="R78" s="15"/>
      <c r="S78" s="15"/>
      <c r="T78" s="15"/>
      <c r="U78" s="15"/>
      <c r="V78" s="15"/>
      <c r="W78" s="15"/>
      <c r="X78" s="15"/>
    </row>
    <row r="79" spans="6:24" s="21" customFormat="1" ht="14.25" x14ac:dyDescent="0.45">
      <c r="F79" s="119">
        <v>43553</v>
      </c>
      <c r="G79" s="52">
        <v>265.44473299999999</v>
      </c>
      <c r="H79" s="52">
        <v>88.614554999999996</v>
      </c>
      <c r="I79" s="120">
        <f t="shared" si="0"/>
        <v>6.3054809643483534E-3</v>
      </c>
      <c r="J79" s="120">
        <f t="shared" si="0"/>
        <v>0</v>
      </c>
      <c r="K79"/>
      <c r="M79" s="15"/>
      <c r="N79" s="15"/>
      <c r="O79" s="15"/>
      <c r="P79" s="15"/>
      <c r="Q79" s="15"/>
      <c r="R79" s="15"/>
      <c r="S79" s="15"/>
      <c r="T79" s="15"/>
      <c r="U79" s="15"/>
      <c r="V79" s="15"/>
      <c r="W79" s="15"/>
      <c r="X79" s="15"/>
    </row>
    <row r="80" spans="6:24" s="21" customFormat="1" ht="14.25" x14ac:dyDescent="0.45">
      <c r="F80" s="119">
        <v>43556</v>
      </c>
      <c r="G80" s="52">
        <v>268.59265099999999</v>
      </c>
      <c r="H80" s="52">
        <v>88.630081000000004</v>
      </c>
      <c r="I80" s="120">
        <f t="shared" si="0"/>
        <v>1.1859033571406385E-2</v>
      </c>
      <c r="J80" s="120">
        <f t="shared" si="0"/>
        <v>1.7520823751815406E-4</v>
      </c>
      <c r="K80"/>
      <c r="M80" s="15"/>
      <c r="N80" s="15"/>
      <c r="O80" s="15"/>
      <c r="P80" s="15"/>
      <c r="Q80" s="15"/>
      <c r="R80" s="15"/>
      <c r="S80" s="15"/>
      <c r="T80" s="15"/>
      <c r="U80" s="15"/>
      <c r="V80" s="15"/>
      <c r="W80" s="15"/>
      <c r="X80" s="15"/>
    </row>
    <row r="81" spans="6:24" s="21" customFormat="1" ht="14.25" x14ac:dyDescent="0.45">
      <c r="F81" s="119">
        <v>43557</v>
      </c>
      <c r="G81" s="52">
        <v>268.724243</v>
      </c>
      <c r="H81" s="52">
        <v>88.620377000000005</v>
      </c>
      <c r="I81" s="120">
        <f t="shared" si="0"/>
        <v>4.8993149853537865E-4</v>
      </c>
      <c r="J81" s="120">
        <f t="shared" si="0"/>
        <v>-1.0948878631844572E-4</v>
      </c>
      <c r="K81"/>
      <c r="M81" s="15"/>
      <c r="N81" s="15"/>
      <c r="O81" s="15"/>
      <c r="P81" s="15"/>
      <c r="Q81" s="15"/>
      <c r="R81" s="15"/>
      <c r="S81" s="15"/>
      <c r="T81" s="15"/>
      <c r="U81" s="15"/>
      <c r="V81" s="15"/>
      <c r="W81" s="15"/>
      <c r="X81" s="15"/>
    </row>
    <row r="82" spans="6:24" s="21" customFormat="1" ht="14.25" x14ac:dyDescent="0.45">
      <c r="F82" s="119">
        <v>43558</v>
      </c>
      <c r="G82" s="52">
        <v>269.14718599999998</v>
      </c>
      <c r="H82" s="52">
        <v>88.630081000000004</v>
      </c>
      <c r="I82" s="120">
        <f t="shared" si="0"/>
        <v>1.5738922371808517E-3</v>
      </c>
      <c r="J82" s="120">
        <f t="shared" si="0"/>
        <v>1.095007754254862E-4</v>
      </c>
      <c r="K82"/>
      <c r="M82" s="15"/>
      <c r="N82" s="15"/>
      <c r="O82" s="15"/>
      <c r="P82" s="15"/>
      <c r="Q82" s="15"/>
      <c r="R82" s="15"/>
      <c r="S82" s="15"/>
      <c r="T82" s="15"/>
      <c r="U82" s="15"/>
      <c r="V82" s="15"/>
      <c r="W82" s="15"/>
      <c r="X82" s="15"/>
    </row>
    <row r="83" spans="6:24" s="21" customFormat="1" ht="14.25" x14ac:dyDescent="0.45">
      <c r="F83" s="119">
        <v>43559</v>
      </c>
      <c r="G83" s="52">
        <v>269.861267</v>
      </c>
      <c r="H83" s="52">
        <v>88.659142000000003</v>
      </c>
      <c r="I83" s="120">
        <f t="shared" si="0"/>
        <v>2.6531245249579172E-3</v>
      </c>
      <c r="J83" s="120">
        <f t="shared" si="0"/>
        <v>3.2789093355334309E-4</v>
      </c>
      <c r="K83"/>
      <c r="M83" s="15"/>
      <c r="N83" s="15"/>
      <c r="O83" s="15"/>
      <c r="P83" s="15"/>
      <c r="Q83" s="15"/>
      <c r="R83" s="15"/>
      <c r="S83" s="15"/>
      <c r="T83" s="15"/>
      <c r="U83" s="15"/>
      <c r="V83" s="15"/>
      <c r="W83" s="15"/>
      <c r="X83" s="15"/>
    </row>
    <row r="84" spans="6:24" s="21" customFormat="1" ht="14.25" x14ac:dyDescent="0.45">
      <c r="F84" s="119">
        <v>43560</v>
      </c>
      <c r="G84" s="52">
        <v>271.16744999999997</v>
      </c>
      <c r="H84" s="52">
        <v>88.659142000000003</v>
      </c>
      <c r="I84" s="120">
        <f t="shared" ref="I84:J147" si="1">G84/G83-1</f>
        <v>4.8402018360047538E-3</v>
      </c>
      <c r="J84" s="120">
        <f t="shared" si="1"/>
        <v>0</v>
      </c>
      <c r="K84"/>
      <c r="M84" s="15"/>
      <c r="N84" s="15"/>
      <c r="O84" s="15"/>
      <c r="P84" s="15"/>
      <c r="Q84" s="15"/>
      <c r="R84" s="15"/>
      <c r="S84" s="15"/>
      <c r="T84" s="15"/>
      <c r="U84" s="15"/>
      <c r="V84" s="15"/>
      <c r="W84" s="15"/>
      <c r="X84" s="15"/>
    </row>
    <row r="85" spans="6:24" s="21" customFormat="1" ht="14.25" x14ac:dyDescent="0.45">
      <c r="F85" s="119">
        <v>43563</v>
      </c>
      <c r="G85" s="52">
        <v>271.374146</v>
      </c>
      <c r="H85" s="52">
        <v>88.659142000000003</v>
      </c>
      <c r="I85" s="120">
        <f t="shared" si="1"/>
        <v>7.6224487857978751E-4</v>
      </c>
      <c r="J85" s="120">
        <f t="shared" si="1"/>
        <v>0</v>
      </c>
      <c r="K85"/>
      <c r="M85" s="15"/>
      <c r="N85" s="15"/>
      <c r="O85" s="15"/>
      <c r="P85" s="15"/>
      <c r="Q85" s="15"/>
      <c r="R85" s="15"/>
      <c r="S85" s="15"/>
      <c r="T85" s="15"/>
      <c r="U85" s="15"/>
      <c r="V85" s="15"/>
      <c r="W85" s="15"/>
      <c r="X85" s="15"/>
    </row>
    <row r="86" spans="6:24" s="21" customFormat="1" ht="14.25" x14ac:dyDescent="0.45">
      <c r="F86" s="119">
        <v>43564</v>
      </c>
      <c r="G86" s="52">
        <v>269.98345899999998</v>
      </c>
      <c r="H86" s="52">
        <v>88.668846000000002</v>
      </c>
      <c r="I86" s="120">
        <f t="shared" si="1"/>
        <v>-5.1246112442856484E-3</v>
      </c>
      <c r="J86" s="120">
        <f t="shared" si="1"/>
        <v>1.0945289770569744E-4</v>
      </c>
      <c r="K86"/>
      <c r="M86" s="15"/>
      <c r="N86" s="15"/>
      <c r="O86" s="15"/>
      <c r="P86" s="15"/>
      <c r="Q86" s="15"/>
      <c r="R86" s="15"/>
      <c r="S86" s="15"/>
      <c r="T86" s="15"/>
      <c r="U86" s="15"/>
      <c r="V86" s="15"/>
      <c r="W86" s="15"/>
      <c r="X86" s="15"/>
    </row>
    <row r="87" spans="6:24" s="21" customFormat="1" ht="14.25" x14ac:dyDescent="0.45">
      <c r="F87" s="119">
        <v>43565</v>
      </c>
      <c r="G87" s="52">
        <v>270.904358</v>
      </c>
      <c r="H87" s="52">
        <v>88.668846000000002</v>
      </c>
      <c r="I87" s="120">
        <f t="shared" si="1"/>
        <v>3.4109460016957804E-3</v>
      </c>
      <c r="J87" s="120">
        <f t="shared" si="1"/>
        <v>0</v>
      </c>
      <c r="K87"/>
      <c r="M87" s="15"/>
      <c r="N87" s="15"/>
      <c r="O87" s="15"/>
      <c r="P87" s="15"/>
      <c r="Q87" s="15"/>
      <c r="R87" s="15"/>
      <c r="S87" s="15"/>
      <c r="T87" s="15"/>
      <c r="U87" s="15"/>
      <c r="V87" s="15"/>
      <c r="W87" s="15"/>
      <c r="X87" s="15"/>
    </row>
    <row r="88" spans="6:24" s="21" customFormat="1" ht="14.25" x14ac:dyDescent="0.45">
      <c r="F88" s="119">
        <v>43566</v>
      </c>
      <c r="G88" s="52">
        <v>270.82913200000002</v>
      </c>
      <c r="H88" s="52">
        <v>88.697906000000003</v>
      </c>
      <c r="I88" s="120">
        <f t="shared" si="1"/>
        <v>-2.7768471705424957E-4</v>
      </c>
      <c r="J88" s="120">
        <f t="shared" si="1"/>
        <v>3.2773630548876831E-4</v>
      </c>
      <c r="K88"/>
      <c r="M88" s="15"/>
      <c r="N88" s="15"/>
      <c r="O88" s="15"/>
      <c r="P88" s="15"/>
      <c r="Q88" s="15"/>
      <c r="R88" s="15"/>
      <c r="S88" s="15"/>
      <c r="T88" s="15"/>
      <c r="U88" s="15"/>
      <c r="V88" s="15"/>
      <c r="W88" s="15"/>
      <c r="X88" s="15"/>
    </row>
    <row r="89" spans="6:24" s="21" customFormat="1" ht="14.25" x14ac:dyDescent="0.45">
      <c r="F89" s="119">
        <v>43567</v>
      </c>
      <c r="G89" s="52">
        <v>272.66162100000003</v>
      </c>
      <c r="H89" s="52">
        <v>88.697906000000003</v>
      </c>
      <c r="I89" s="120">
        <f t="shared" si="1"/>
        <v>6.7662181925096654E-3</v>
      </c>
      <c r="J89" s="120">
        <f t="shared" si="1"/>
        <v>0</v>
      </c>
      <c r="K89"/>
      <c r="M89" s="15"/>
      <c r="N89" s="15"/>
      <c r="O89" s="15"/>
      <c r="P89" s="15"/>
      <c r="Q89" s="15"/>
      <c r="R89" s="15"/>
      <c r="S89" s="15"/>
      <c r="T89" s="15"/>
      <c r="U89" s="15"/>
      <c r="V89" s="15"/>
      <c r="W89" s="15"/>
      <c r="X89" s="15"/>
    </row>
    <row r="90" spans="6:24" s="21" customFormat="1" ht="14.25" x14ac:dyDescent="0.45">
      <c r="F90" s="119">
        <v>43570</v>
      </c>
      <c r="G90" s="52">
        <v>272.48303199999998</v>
      </c>
      <c r="H90" s="52">
        <v>88.707611</v>
      </c>
      <c r="I90" s="120">
        <f t="shared" si="1"/>
        <v>-6.5498400304764282E-4</v>
      </c>
      <c r="J90" s="120">
        <f t="shared" si="1"/>
        <v>1.0941633729211198E-4</v>
      </c>
      <c r="K90"/>
      <c r="M90" s="15"/>
      <c r="N90" s="15"/>
      <c r="O90" s="15"/>
      <c r="P90" s="15"/>
      <c r="Q90" s="15"/>
      <c r="R90" s="15"/>
      <c r="S90" s="15"/>
      <c r="T90" s="15"/>
      <c r="U90" s="15"/>
      <c r="V90" s="15"/>
      <c r="W90" s="15"/>
      <c r="X90" s="15"/>
    </row>
    <row r="91" spans="6:24" s="21" customFormat="1" ht="14.25" x14ac:dyDescent="0.45">
      <c r="F91" s="119">
        <v>43571</v>
      </c>
      <c r="G91" s="52">
        <v>272.66162100000003</v>
      </c>
      <c r="H91" s="52">
        <v>88.707611</v>
      </c>
      <c r="I91" s="120">
        <f t="shared" si="1"/>
        <v>6.554132882667929E-4</v>
      </c>
      <c r="J91" s="120">
        <f t="shared" si="1"/>
        <v>0</v>
      </c>
      <c r="K91"/>
      <c r="M91" s="15"/>
      <c r="N91" s="15"/>
      <c r="O91" s="15"/>
      <c r="P91" s="15"/>
      <c r="Q91" s="15"/>
      <c r="R91" s="15"/>
      <c r="S91" s="15"/>
      <c r="T91" s="15"/>
      <c r="U91" s="15"/>
      <c r="V91" s="15"/>
      <c r="W91" s="15"/>
      <c r="X91" s="15"/>
    </row>
    <row r="92" spans="6:24" s="21" customFormat="1" ht="14.25" x14ac:dyDescent="0.45">
      <c r="F92" s="119">
        <v>43572</v>
      </c>
      <c r="G92" s="52">
        <v>271.99438500000002</v>
      </c>
      <c r="H92" s="52">
        <v>88.726982000000007</v>
      </c>
      <c r="I92" s="120">
        <f t="shared" si="1"/>
        <v>-2.4471210783273412E-3</v>
      </c>
      <c r="J92" s="120">
        <f t="shared" si="1"/>
        <v>2.1836908672923094E-4</v>
      </c>
      <c r="K92"/>
      <c r="M92" s="15"/>
      <c r="N92" s="15"/>
      <c r="O92" s="15"/>
      <c r="P92" s="15"/>
      <c r="Q92" s="15"/>
      <c r="R92" s="15"/>
      <c r="S92" s="15"/>
      <c r="T92" s="15"/>
      <c r="U92" s="15"/>
      <c r="V92" s="15"/>
      <c r="W92" s="15"/>
      <c r="X92" s="15"/>
    </row>
    <row r="93" spans="6:24" s="21" customFormat="1" ht="14.25" x14ac:dyDescent="0.45">
      <c r="F93" s="119">
        <v>43573</v>
      </c>
      <c r="G93" s="52">
        <v>272.529968</v>
      </c>
      <c r="H93" s="52">
        <v>88.736716999999999</v>
      </c>
      <c r="I93" s="120">
        <f t="shared" si="1"/>
        <v>1.969095795856024E-3</v>
      </c>
      <c r="J93" s="120">
        <f t="shared" si="1"/>
        <v>1.0971859721320421E-4</v>
      </c>
      <c r="K93"/>
      <c r="M93" s="15"/>
      <c r="N93" s="15"/>
      <c r="O93" s="15"/>
      <c r="P93" s="15"/>
      <c r="Q93" s="15"/>
      <c r="R93" s="15"/>
      <c r="S93" s="15"/>
      <c r="T93" s="15"/>
      <c r="U93" s="15"/>
      <c r="V93" s="15"/>
      <c r="W93" s="15"/>
      <c r="X93" s="15"/>
    </row>
    <row r="94" spans="6:24" s="21" customFormat="1" ht="14.25" x14ac:dyDescent="0.45">
      <c r="F94" s="119">
        <v>43577</v>
      </c>
      <c r="G94" s="52">
        <v>272.76492300000001</v>
      </c>
      <c r="H94" s="52">
        <v>88.736716999999999</v>
      </c>
      <c r="I94" s="120">
        <f t="shared" si="1"/>
        <v>8.6212537184171545E-4</v>
      </c>
      <c r="J94" s="120">
        <f t="shared" si="1"/>
        <v>0</v>
      </c>
      <c r="K94"/>
      <c r="M94" s="15"/>
      <c r="N94" s="15"/>
      <c r="O94" s="15"/>
      <c r="P94" s="15"/>
      <c r="Q94" s="15"/>
      <c r="R94" s="15"/>
      <c r="S94" s="15"/>
      <c r="T94" s="15"/>
      <c r="U94" s="15"/>
      <c r="V94" s="15"/>
      <c r="W94" s="15"/>
      <c r="X94" s="15"/>
    </row>
    <row r="95" spans="6:24" s="21" customFormat="1" ht="14.25" x14ac:dyDescent="0.45">
      <c r="F95" s="119">
        <v>43578</v>
      </c>
      <c r="G95" s="52">
        <v>275.21755999999999</v>
      </c>
      <c r="H95" s="52">
        <v>88.736716999999999</v>
      </c>
      <c r="I95" s="120">
        <f t="shared" si="1"/>
        <v>8.9917610117338231E-3</v>
      </c>
      <c r="J95" s="120">
        <f t="shared" si="1"/>
        <v>0</v>
      </c>
      <c r="K95"/>
      <c r="M95" s="15"/>
      <c r="N95" s="15"/>
      <c r="O95" s="15"/>
      <c r="P95" s="15"/>
      <c r="Q95" s="15"/>
      <c r="R95" s="15"/>
      <c r="S95" s="15"/>
      <c r="T95" s="15"/>
      <c r="U95" s="15"/>
      <c r="V95" s="15"/>
      <c r="W95" s="15"/>
      <c r="X95" s="15"/>
    </row>
    <row r="96" spans="6:24" s="21" customFormat="1" ht="14.25" x14ac:dyDescent="0.45">
      <c r="F96" s="119">
        <v>43579</v>
      </c>
      <c r="G96" s="52">
        <v>274.60674999999998</v>
      </c>
      <c r="H96" s="52">
        <v>88.756073000000001</v>
      </c>
      <c r="I96" s="120">
        <f t="shared" si="1"/>
        <v>-2.2193714674311193E-3</v>
      </c>
      <c r="J96" s="120">
        <f t="shared" si="1"/>
        <v>2.1812842140644939E-4</v>
      </c>
      <c r="K96"/>
      <c r="M96" s="15"/>
      <c r="N96" s="15"/>
      <c r="O96" s="15"/>
      <c r="P96" s="15"/>
      <c r="Q96" s="15"/>
      <c r="R96" s="15"/>
      <c r="S96" s="15"/>
      <c r="T96" s="15"/>
      <c r="U96" s="15"/>
      <c r="V96" s="15"/>
      <c r="W96" s="15"/>
      <c r="X96" s="15"/>
    </row>
    <row r="97" spans="6:24" s="21" customFormat="1" ht="14.25" x14ac:dyDescent="0.45">
      <c r="F97" s="119">
        <v>43580</v>
      </c>
      <c r="G97" s="52">
        <v>274.43753099999998</v>
      </c>
      <c r="H97" s="52">
        <v>88.775435999999999</v>
      </c>
      <c r="I97" s="120">
        <f t="shared" si="1"/>
        <v>-6.1622301709629568E-4</v>
      </c>
      <c r="J97" s="120">
        <f t="shared" si="1"/>
        <v>2.181597196171392E-4</v>
      </c>
      <c r="K97"/>
      <c r="M97" s="15"/>
      <c r="N97" s="15"/>
      <c r="O97" s="15"/>
      <c r="P97" s="15"/>
      <c r="Q97" s="15"/>
      <c r="R97" s="15"/>
      <c r="S97" s="15"/>
      <c r="T97" s="15"/>
      <c r="U97" s="15"/>
      <c r="V97" s="15"/>
      <c r="W97" s="15"/>
      <c r="X97" s="15"/>
    </row>
    <row r="98" spans="6:24" s="21" customFormat="1" ht="14.25" x14ac:dyDescent="0.45">
      <c r="F98" s="119">
        <v>43581</v>
      </c>
      <c r="G98" s="52">
        <v>275.71554600000002</v>
      </c>
      <c r="H98" s="52">
        <v>88.765761999999995</v>
      </c>
      <c r="I98" s="120">
        <f t="shared" si="1"/>
        <v>4.6568521271241892E-3</v>
      </c>
      <c r="J98" s="120">
        <f t="shared" si="1"/>
        <v>-1.0897158533818008E-4</v>
      </c>
      <c r="K98"/>
      <c r="M98" s="15"/>
      <c r="N98" s="15"/>
      <c r="O98" s="15"/>
      <c r="P98" s="15"/>
      <c r="Q98" s="15"/>
      <c r="R98" s="15"/>
      <c r="S98" s="15"/>
      <c r="T98" s="15"/>
      <c r="U98" s="15"/>
      <c r="V98" s="15"/>
      <c r="W98" s="15"/>
      <c r="X98" s="15"/>
    </row>
    <row r="99" spans="6:24" s="21" customFormat="1" ht="14.25" x14ac:dyDescent="0.45">
      <c r="F99" s="119">
        <v>43584</v>
      </c>
      <c r="G99" s="52">
        <v>276.14782700000001</v>
      </c>
      <c r="H99" s="52">
        <v>88.775435999999999</v>
      </c>
      <c r="I99" s="120">
        <f t="shared" si="1"/>
        <v>1.5678513825985174E-3</v>
      </c>
      <c r="J99" s="120">
        <f t="shared" si="1"/>
        <v>1.089834614387275E-4</v>
      </c>
      <c r="K99"/>
      <c r="M99" s="15"/>
      <c r="N99" s="15"/>
      <c r="O99" s="15"/>
      <c r="P99" s="15"/>
      <c r="Q99" s="15"/>
      <c r="R99" s="15"/>
      <c r="S99" s="15"/>
      <c r="T99" s="15"/>
      <c r="U99" s="15"/>
      <c r="V99" s="15"/>
      <c r="W99" s="15"/>
      <c r="X99" s="15"/>
    </row>
    <row r="100" spans="6:24" s="21" customFormat="1" ht="14.25" x14ac:dyDescent="0.45">
      <c r="F100" s="119">
        <v>43585</v>
      </c>
      <c r="G100" s="52">
        <v>276.28872699999999</v>
      </c>
      <c r="H100" s="52">
        <v>88.785149000000004</v>
      </c>
      <c r="I100" s="120">
        <f t="shared" si="1"/>
        <v>5.1023396247829034E-4</v>
      </c>
      <c r="J100" s="120">
        <f t="shared" si="1"/>
        <v>1.0941089605021048E-4</v>
      </c>
      <c r="K100"/>
      <c r="M100" s="15"/>
      <c r="N100" s="15"/>
      <c r="O100" s="15"/>
      <c r="P100" s="15"/>
      <c r="Q100" s="15"/>
      <c r="R100" s="15"/>
      <c r="S100" s="15"/>
      <c r="T100" s="15"/>
      <c r="U100" s="15"/>
      <c r="V100" s="15"/>
      <c r="W100" s="15"/>
      <c r="X100" s="15"/>
    </row>
    <row r="101" spans="6:24" s="21" customFormat="1" ht="14.25" x14ac:dyDescent="0.45">
      <c r="F101" s="119">
        <v>43586</v>
      </c>
      <c r="G101" s="52">
        <v>274.21206699999999</v>
      </c>
      <c r="H101" s="52">
        <v>88.789023999999998</v>
      </c>
      <c r="I101" s="120">
        <f t="shared" si="1"/>
        <v>-7.5162675746810459E-3</v>
      </c>
      <c r="J101" s="120">
        <f t="shared" si="1"/>
        <v>4.3644686567922975E-5</v>
      </c>
      <c r="K101"/>
      <c r="M101" s="15"/>
      <c r="N101" s="15"/>
      <c r="O101" s="15"/>
      <c r="P101" s="15"/>
      <c r="Q101" s="15"/>
      <c r="R101" s="15"/>
      <c r="S101" s="15"/>
      <c r="T101" s="15"/>
      <c r="U101" s="15"/>
      <c r="V101" s="15"/>
      <c r="W101" s="15"/>
      <c r="X101" s="15"/>
    </row>
    <row r="102" spans="6:24" s="21" customFormat="1" ht="14.25" x14ac:dyDescent="0.45">
      <c r="F102" s="119">
        <v>43587</v>
      </c>
      <c r="G102" s="52">
        <v>273.620026</v>
      </c>
      <c r="H102" s="52">
        <v>88.798766999999998</v>
      </c>
      <c r="I102" s="120">
        <f t="shared" si="1"/>
        <v>-2.1590625331597835E-3</v>
      </c>
      <c r="J102" s="120">
        <f t="shared" si="1"/>
        <v>1.0973203174291513E-4</v>
      </c>
      <c r="K102"/>
      <c r="M102" s="15"/>
      <c r="N102" s="15"/>
      <c r="O102" s="15"/>
      <c r="P102" s="15"/>
      <c r="Q102" s="15"/>
      <c r="R102" s="15"/>
      <c r="S102" s="15"/>
      <c r="T102" s="15"/>
      <c r="U102" s="15"/>
      <c r="V102" s="15"/>
      <c r="W102" s="15"/>
      <c r="X102" s="15"/>
    </row>
    <row r="103" spans="6:24" s="21" customFormat="1" ht="14.25" x14ac:dyDescent="0.45">
      <c r="F103" s="119">
        <v>43588</v>
      </c>
      <c r="G103" s="52">
        <v>276.29818699999998</v>
      </c>
      <c r="H103" s="52">
        <v>88.808456000000007</v>
      </c>
      <c r="I103" s="120">
        <f t="shared" si="1"/>
        <v>9.7878837274871788E-3</v>
      </c>
      <c r="J103" s="120">
        <f t="shared" si="1"/>
        <v>1.0911187539353051E-4</v>
      </c>
      <c r="K103"/>
      <c r="M103" s="15"/>
      <c r="N103" s="15"/>
      <c r="O103" s="15"/>
      <c r="P103" s="15"/>
      <c r="Q103" s="15"/>
      <c r="R103" s="15"/>
      <c r="S103" s="15"/>
      <c r="T103" s="15"/>
      <c r="U103" s="15"/>
      <c r="V103" s="15"/>
      <c r="W103" s="15"/>
      <c r="X103" s="15"/>
    </row>
    <row r="104" spans="6:24" s="21" customFormat="1" ht="14.25" x14ac:dyDescent="0.45">
      <c r="F104" s="119">
        <v>43591</v>
      </c>
      <c r="G104" s="52">
        <v>275.16110200000003</v>
      </c>
      <c r="H104" s="52">
        <v>88.818152999999995</v>
      </c>
      <c r="I104" s="120">
        <f t="shared" si="1"/>
        <v>-4.1154269318457448E-3</v>
      </c>
      <c r="J104" s="120">
        <f t="shared" si="1"/>
        <v>1.0919005280296545E-4</v>
      </c>
      <c r="K104"/>
      <c r="M104" s="15"/>
      <c r="N104" s="15"/>
      <c r="O104" s="15"/>
      <c r="P104" s="15"/>
      <c r="Q104" s="15"/>
      <c r="R104" s="15"/>
      <c r="S104" s="15"/>
      <c r="T104" s="15"/>
      <c r="U104" s="15"/>
      <c r="V104" s="15"/>
      <c r="W104" s="15"/>
      <c r="X104" s="15"/>
    </row>
    <row r="105" spans="6:24" s="21" customFormat="1" ht="14.25" x14ac:dyDescent="0.45">
      <c r="F105" s="119">
        <v>43592</v>
      </c>
      <c r="G105" s="52">
        <v>270.56607100000002</v>
      </c>
      <c r="H105" s="52">
        <v>88.827866</v>
      </c>
      <c r="I105" s="120">
        <f t="shared" si="1"/>
        <v>-1.6699420690646893E-2</v>
      </c>
      <c r="J105" s="120">
        <f t="shared" si="1"/>
        <v>1.0935827499136686E-4</v>
      </c>
      <c r="K105"/>
      <c r="M105" s="15"/>
      <c r="N105" s="15"/>
      <c r="O105" s="15"/>
      <c r="P105" s="15"/>
      <c r="Q105" s="15"/>
      <c r="R105" s="15"/>
      <c r="S105" s="15"/>
      <c r="T105" s="15"/>
      <c r="U105" s="15"/>
      <c r="V105" s="15"/>
      <c r="W105" s="15"/>
      <c r="X105" s="15"/>
    </row>
    <row r="106" spans="6:24" s="21" customFormat="1" ht="14.25" x14ac:dyDescent="0.45">
      <c r="F106" s="119">
        <v>43593</v>
      </c>
      <c r="G106" s="52">
        <v>270.190155</v>
      </c>
      <c r="H106" s="52">
        <v>88.827866</v>
      </c>
      <c r="I106" s="120">
        <f t="shared" si="1"/>
        <v>-1.3893685879040607E-3</v>
      </c>
      <c r="J106" s="120">
        <f t="shared" si="1"/>
        <v>0</v>
      </c>
      <c r="K106"/>
      <c r="M106" s="15"/>
      <c r="N106" s="15"/>
      <c r="O106" s="15"/>
      <c r="P106" s="15"/>
      <c r="Q106" s="15"/>
      <c r="R106" s="15"/>
      <c r="S106" s="15"/>
      <c r="T106" s="15"/>
      <c r="U106" s="15"/>
      <c r="V106" s="15"/>
      <c r="W106" s="15"/>
      <c r="X106" s="15"/>
    </row>
    <row r="107" spans="6:24" s="21" customFormat="1" ht="14.25" x14ac:dyDescent="0.45">
      <c r="F107" s="119">
        <v>43594</v>
      </c>
      <c r="G107" s="52">
        <v>269.372589</v>
      </c>
      <c r="H107" s="52">
        <v>88.837585000000004</v>
      </c>
      <c r="I107" s="120">
        <f t="shared" si="1"/>
        <v>-3.0258911543242784E-3</v>
      </c>
      <c r="J107" s="120">
        <f t="shared" si="1"/>
        <v>1.094138634378794E-4</v>
      </c>
      <c r="K107"/>
      <c r="M107" s="15"/>
      <c r="N107" s="15"/>
      <c r="O107" s="15"/>
      <c r="P107" s="15"/>
      <c r="Q107" s="15"/>
      <c r="R107" s="15"/>
      <c r="S107" s="15"/>
      <c r="T107" s="15"/>
      <c r="U107" s="15"/>
      <c r="V107" s="15"/>
      <c r="W107" s="15"/>
      <c r="X107" s="15"/>
    </row>
    <row r="108" spans="6:24" s="21" customFormat="1" ht="14.25" x14ac:dyDescent="0.45">
      <c r="F108" s="119">
        <v>43595</v>
      </c>
      <c r="G108" s="52">
        <v>270.72582999999997</v>
      </c>
      <c r="H108" s="52">
        <v>88.857017999999997</v>
      </c>
      <c r="I108" s="120">
        <f t="shared" si="1"/>
        <v>5.0236774462599776E-3</v>
      </c>
      <c r="J108" s="120">
        <f t="shared" si="1"/>
        <v>2.187475042234599E-4</v>
      </c>
      <c r="K108"/>
      <c r="M108" s="15"/>
      <c r="N108" s="15"/>
      <c r="O108" s="15"/>
      <c r="P108" s="15"/>
      <c r="Q108" s="15"/>
      <c r="R108" s="15"/>
      <c r="S108" s="15"/>
      <c r="T108" s="15"/>
      <c r="U108" s="15"/>
      <c r="V108" s="15"/>
      <c r="W108" s="15"/>
      <c r="X108" s="15"/>
    </row>
    <row r="109" spans="6:24" s="21" customFormat="1" ht="14.25" x14ac:dyDescent="0.45">
      <c r="F109" s="119">
        <v>43598</v>
      </c>
      <c r="G109" s="52">
        <v>263.92233299999998</v>
      </c>
      <c r="H109" s="52">
        <v>88.847282000000007</v>
      </c>
      <c r="I109" s="120">
        <f t="shared" si="1"/>
        <v>-2.5130579523941265E-2</v>
      </c>
      <c r="J109" s="120">
        <f t="shared" si="1"/>
        <v>-1.0956928579342051E-4</v>
      </c>
      <c r="K109"/>
      <c r="M109" s="15"/>
      <c r="N109" s="15"/>
      <c r="O109" s="15"/>
      <c r="P109" s="15"/>
      <c r="Q109" s="15"/>
      <c r="R109" s="15"/>
      <c r="S109" s="15"/>
      <c r="T109" s="15"/>
      <c r="U109" s="15"/>
      <c r="V109" s="15"/>
      <c r="W109" s="15"/>
      <c r="X109" s="15"/>
    </row>
    <row r="110" spans="6:24" s="21" customFormat="1" ht="14.25" x14ac:dyDescent="0.45">
      <c r="F110" s="119">
        <v>43599</v>
      </c>
      <c r="G110" s="52">
        <v>266.309235</v>
      </c>
      <c r="H110" s="52">
        <v>88.857017999999997</v>
      </c>
      <c r="I110" s="120">
        <f t="shared" si="1"/>
        <v>9.0439561247741551E-3</v>
      </c>
      <c r="J110" s="120">
        <f t="shared" si="1"/>
        <v>1.0958129253735294E-4</v>
      </c>
      <c r="K110"/>
      <c r="M110" s="15"/>
      <c r="N110" s="15"/>
      <c r="O110" s="15"/>
      <c r="P110" s="15"/>
      <c r="Q110" s="15"/>
      <c r="R110" s="15"/>
      <c r="S110" s="15"/>
      <c r="T110" s="15"/>
      <c r="U110" s="15"/>
      <c r="V110" s="15"/>
      <c r="W110" s="15"/>
      <c r="X110" s="15"/>
    </row>
    <row r="111" spans="6:24" s="21" customFormat="1" ht="14.25" x14ac:dyDescent="0.45">
      <c r="F111" s="119">
        <v>43600</v>
      </c>
      <c r="G111" s="52">
        <v>267.86910999999998</v>
      </c>
      <c r="H111" s="52">
        <v>88.866721999999996</v>
      </c>
      <c r="I111" s="120">
        <f t="shared" si="1"/>
        <v>5.8573823021945692E-3</v>
      </c>
      <c r="J111" s="120">
        <f t="shared" si="1"/>
        <v>1.0920915667012032E-4</v>
      </c>
      <c r="K111"/>
      <c r="M111" s="15"/>
      <c r="N111" s="15"/>
      <c r="O111" s="15"/>
      <c r="P111" s="15"/>
      <c r="Q111" s="15"/>
      <c r="R111" s="15"/>
      <c r="S111" s="15"/>
      <c r="T111" s="15"/>
      <c r="U111" s="15"/>
      <c r="V111" s="15"/>
      <c r="W111" s="15"/>
      <c r="X111" s="15"/>
    </row>
    <row r="112" spans="6:24" s="21" customFormat="1" ht="14.25" x14ac:dyDescent="0.45">
      <c r="F112" s="119">
        <v>43601</v>
      </c>
      <c r="G112" s="52">
        <v>270.34988399999997</v>
      </c>
      <c r="H112" s="52">
        <v>88.876434000000003</v>
      </c>
      <c r="I112" s="120">
        <f t="shared" si="1"/>
        <v>9.2611425035160622E-3</v>
      </c>
      <c r="J112" s="120">
        <f t="shared" si="1"/>
        <v>1.0928725378223092E-4</v>
      </c>
      <c r="K112"/>
      <c r="M112" s="15"/>
      <c r="N112" s="15"/>
      <c r="O112" s="15"/>
      <c r="P112" s="15"/>
      <c r="Q112" s="15"/>
      <c r="R112" s="15"/>
      <c r="S112" s="15"/>
      <c r="T112" s="15"/>
      <c r="U112" s="15"/>
      <c r="V112" s="15"/>
      <c r="W112" s="15"/>
      <c r="X112" s="15"/>
    </row>
    <row r="113" spans="6:24" s="21" customFormat="1" ht="14.25" x14ac:dyDescent="0.45">
      <c r="F113" s="119">
        <v>43602</v>
      </c>
      <c r="G113" s="52">
        <v>268.602081</v>
      </c>
      <c r="H113" s="52">
        <v>88.886168999999995</v>
      </c>
      <c r="I113" s="120">
        <f t="shared" si="1"/>
        <v>-6.4649667095842966E-3</v>
      </c>
      <c r="J113" s="120">
        <f t="shared" si="1"/>
        <v>1.0953409764380417E-4</v>
      </c>
      <c r="K113"/>
      <c r="M113" s="15"/>
      <c r="N113" s="15"/>
      <c r="O113" s="15"/>
      <c r="P113" s="15"/>
      <c r="Q113" s="15"/>
      <c r="R113" s="15"/>
      <c r="S113" s="15"/>
      <c r="T113" s="15"/>
      <c r="U113" s="15"/>
      <c r="V113" s="15"/>
      <c r="W113" s="15"/>
      <c r="X113" s="15"/>
    </row>
    <row r="114" spans="6:24" s="21" customFormat="1" ht="14.25" x14ac:dyDescent="0.45">
      <c r="F114" s="119">
        <v>43605</v>
      </c>
      <c r="G114" s="52">
        <v>266.82607999999999</v>
      </c>
      <c r="H114" s="52">
        <v>88.895843999999997</v>
      </c>
      <c r="I114" s="120">
        <f t="shared" si="1"/>
        <v>-6.6120150424300306E-3</v>
      </c>
      <c r="J114" s="120">
        <f t="shared" si="1"/>
        <v>1.0884708058456205E-4</v>
      </c>
      <c r="K114"/>
      <c r="M114" s="15"/>
      <c r="N114" s="15"/>
      <c r="O114" s="15"/>
      <c r="P114" s="15"/>
      <c r="Q114" s="15"/>
      <c r="R114" s="15"/>
      <c r="S114" s="15"/>
      <c r="T114" s="15"/>
      <c r="U114" s="15"/>
      <c r="V114" s="15"/>
      <c r="W114" s="15"/>
      <c r="X114" s="15"/>
    </row>
    <row r="115" spans="6:24" s="21" customFormat="1" ht="14.25" x14ac:dyDescent="0.45">
      <c r="F115" s="119">
        <v>43606</v>
      </c>
      <c r="G115" s="52">
        <v>269.23172</v>
      </c>
      <c r="H115" s="52">
        <v>88.895843999999997</v>
      </c>
      <c r="I115" s="120">
        <f t="shared" si="1"/>
        <v>9.0157603784457585E-3</v>
      </c>
      <c r="J115" s="120">
        <f t="shared" si="1"/>
        <v>0</v>
      </c>
      <c r="K115"/>
      <c r="M115" s="15"/>
      <c r="N115" s="15"/>
      <c r="O115" s="15"/>
      <c r="P115" s="15"/>
      <c r="Q115" s="15"/>
      <c r="R115" s="15"/>
      <c r="S115" s="15"/>
      <c r="T115" s="15"/>
      <c r="U115" s="15"/>
      <c r="V115" s="15"/>
      <c r="W115" s="15"/>
      <c r="X115" s="15"/>
    </row>
    <row r="116" spans="6:24" s="21" customFormat="1" ht="14.25" x14ac:dyDescent="0.45">
      <c r="F116" s="119">
        <v>43607</v>
      </c>
      <c r="G116" s="52">
        <v>268.404785</v>
      </c>
      <c r="H116" s="52">
        <v>88.915276000000006</v>
      </c>
      <c r="I116" s="120">
        <f t="shared" si="1"/>
        <v>-3.0714620104941304E-3</v>
      </c>
      <c r="J116" s="120">
        <f t="shared" si="1"/>
        <v>2.185928961988548E-4</v>
      </c>
      <c r="K116"/>
      <c r="M116" s="15"/>
      <c r="N116" s="15"/>
      <c r="O116" s="15"/>
      <c r="P116" s="15"/>
      <c r="Q116" s="15"/>
      <c r="R116" s="15"/>
      <c r="S116" s="15"/>
      <c r="T116" s="15"/>
      <c r="U116" s="15"/>
      <c r="V116" s="15"/>
      <c r="W116" s="15"/>
      <c r="X116" s="15"/>
    </row>
    <row r="117" spans="6:24" s="21" customFormat="1" ht="14.25" x14ac:dyDescent="0.45">
      <c r="F117" s="119">
        <v>43608</v>
      </c>
      <c r="G117" s="52">
        <v>265.12527499999999</v>
      </c>
      <c r="H117" s="52">
        <v>88.934700000000007</v>
      </c>
      <c r="I117" s="120">
        <f t="shared" si="1"/>
        <v>-1.221852285532099E-2</v>
      </c>
      <c r="J117" s="120">
        <f t="shared" si="1"/>
        <v>2.1845515049623287E-4</v>
      </c>
      <c r="K117"/>
      <c r="M117" s="15"/>
      <c r="N117" s="15"/>
      <c r="O117" s="15"/>
      <c r="P117" s="15"/>
      <c r="Q117" s="15"/>
      <c r="R117" s="15"/>
      <c r="S117" s="15"/>
      <c r="T117" s="15"/>
      <c r="U117" s="15"/>
      <c r="V117" s="15"/>
      <c r="W117" s="15"/>
      <c r="X117" s="15"/>
    </row>
    <row r="118" spans="6:24" s="21" customFormat="1" ht="14.25" x14ac:dyDescent="0.45">
      <c r="F118" s="119">
        <v>43609</v>
      </c>
      <c r="G118" s="52">
        <v>265.726563</v>
      </c>
      <c r="H118" s="52">
        <v>88.934700000000007</v>
      </c>
      <c r="I118" s="120">
        <f t="shared" si="1"/>
        <v>2.2679391845987773E-3</v>
      </c>
      <c r="J118" s="120">
        <f t="shared" si="1"/>
        <v>0</v>
      </c>
      <c r="K118"/>
      <c r="M118" s="15"/>
      <c r="N118" s="15"/>
      <c r="O118" s="15"/>
      <c r="P118" s="15"/>
      <c r="Q118" s="15"/>
      <c r="R118" s="15"/>
      <c r="S118" s="15"/>
      <c r="T118" s="15"/>
      <c r="U118" s="15"/>
      <c r="V118" s="15"/>
      <c r="W118" s="15"/>
      <c r="X118" s="15"/>
    </row>
    <row r="119" spans="6:24" s="21" customFormat="1" ht="14.25" x14ac:dyDescent="0.45">
      <c r="F119" s="119">
        <v>43613</v>
      </c>
      <c r="G119" s="52">
        <v>263.25521900000001</v>
      </c>
      <c r="H119" s="52">
        <v>88.944382000000004</v>
      </c>
      <c r="I119" s="120">
        <f t="shared" si="1"/>
        <v>-9.3003272691258854E-3</v>
      </c>
      <c r="J119" s="120">
        <f t="shared" si="1"/>
        <v>1.0886639298268719E-4</v>
      </c>
      <c r="K119"/>
      <c r="M119" s="15"/>
      <c r="N119" s="15"/>
      <c r="O119" s="15"/>
      <c r="P119" s="15"/>
      <c r="Q119" s="15"/>
      <c r="R119" s="15"/>
      <c r="S119" s="15"/>
      <c r="T119" s="15"/>
      <c r="U119" s="15"/>
      <c r="V119" s="15"/>
      <c r="W119" s="15"/>
      <c r="X119" s="15"/>
    </row>
    <row r="120" spans="6:24" s="21" customFormat="1" ht="14.25" x14ac:dyDescent="0.45">
      <c r="F120" s="119">
        <v>43614</v>
      </c>
      <c r="G120" s="52">
        <v>261.488586</v>
      </c>
      <c r="H120" s="52">
        <v>88.944382000000004</v>
      </c>
      <c r="I120" s="120">
        <f t="shared" si="1"/>
        <v>-6.7107235583429015E-3</v>
      </c>
      <c r="J120" s="120">
        <f t="shared" si="1"/>
        <v>0</v>
      </c>
      <c r="K120"/>
      <c r="M120" s="15"/>
      <c r="N120" s="15"/>
      <c r="O120" s="15"/>
      <c r="P120" s="15"/>
      <c r="Q120" s="15"/>
      <c r="R120" s="15"/>
      <c r="S120" s="15"/>
      <c r="T120" s="15"/>
      <c r="U120" s="15"/>
      <c r="V120" s="15"/>
      <c r="W120" s="15"/>
      <c r="X120" s="15"/>
    </row>
    <row r="121" spans="6:24" s="21" customFormat="1" ht="14.25" x14ac:dyDescent="0.45">
      <c r="F121" s="119">
        <v>43615</v>
      </c>
      <c r="G121" s="52">
        <v>262.20281999999997</v>
      </c>
      <c r="H121" s="52">
        <v>88.973549000000006</v>
      </c>
      <c r="I121" s="120">
        <f t="shared" si="1"/>
        <v>2.7314155884416991E-3</v>
      </c>
      <c r="J121" s="120">
        <f t="shared" si="1"/>
        <v>3.279240278493134E-4</v>
      </c>
      <c r="K121"/>
      <c r="M121" s="15"/>
      <c r="N121" s="15"/>
      <c r="O121" s="15"/>
      <c r="P121" s="15"/>
      <c r="Q121" s="15"/>
      <c r="R121" s="15"/>
      <c r="S121" s="15"/>
      <c r="T121" s="15"/>
      <c r="U121" s="15"/>
      <c r="V121" s="15"/>
      <c r="W121" s="15"/>
      <c r="X121" s="15"/>
    </row>
    <row r="122" spans="6:24" s="21" customFormat="1" ht="14.25" x14ac:dyDescent="0.45">
      <c r="F122" s="119">
        <v>43616</v>
      </c>
      <c r="G122" s="52">
        <v>258.669556</v>
      </c>
      <c r="H122" s="52">
        <v>88.973549000000006</v>
      </c>
      <c r="I122" s="120">
        <f t="shared" si="1"/>
        <v>-1.3475308923069473E-2</v>
      </c>
      <c r="J122" s="120">
        <f t="shared" si="1"/>
        <v>0</v>
      </c>
      <c r="K122"/>
      <c r="M122" s="15"/>
      <c r="N122" s="15"/>
      <c r="O122" s="15"/>
      <c r="P122" s="15"/>
      <c r="Q122" s="15"/>
      <c r="R122" s="15"/>
      <c r="S122" s="15"/>
      <c r="T122" s="15"/>
      <c r="U122" s="15"/>
      <c r="V122" s="15"/>
      <c r="W122" s="15"/>
      <c r="X122" s="15"/>
    </row>
    <row r="123" spans="6:24" s="21" customFormat="1" ht="14.25" x14ac:dyDescent="0.45">
      <c r="F123" s="119">
        <v>43619</v>
      </c>
      <c r="G123" s="52">
        <v>258.01174900000001</v>
      </c>
      <c r="H123" s="52">
        <v>88.969673</v>
      </c>
      <c r="I123" s="120">
        <f t="shared" si="1"/>
        <v>-2.5430398929512377E-3</v>
      </c>
      <c r="J123" s="120">
        <f t="shared" si="1"/>
        <v>-4.3563508970612119E-5</v>
      </c>
      <c r="K123"/>
      <c r="M123" s="15"/>
      <c r="N123" s="15"/>
      <c r="O123" s="15"/>
      <c r="P123" s="15"/>
      <c r="Q123" s="15"/>
      <c r="R123" s="15"/>
      <c r="S123" s="15"/>
      <c r="T123" s="15"/>
      <c r="U123" s="15"/>
      <c r="V123" s="15"/>
      <c r="W123" s="15"/>
      <c r="X123" s="15"/>
    </row>
    <row r="124" spans="6:24" s="21" customFormat="1" ht="14.25" x14ac:dyDescent="0.45">
      <c r="F124" s="119">
        <v>43620</v>
      </c>
      <c r="G124" s="52">
        <v>263.61230499999999</v>
      </c>
      <c r="H124" s="52">
        <v>88.989104999999995</v>
      </c>
      <c r="I124" s="120">
        <f t="shared" si="1"/>
        <v>2.1706592904030764E-2</v>
      </c>
      <c r="J124" s="120">
        <f t="shared" si="1"/>
        <v>2.184115029848499E-4</v>
      </c>
      <c r="K124"/>
      <c r="M124" s="15"/>
      <c r="N124" s="15"/>
      <c r="O124" s="15"/>
      <c r="P124" s="15"/>
      <c r="Q124" s="15"/>
      <c r="R124" s="15"/>
      <c r="S124" s="15"/>
      <c r="T124" s="15"/>
      <c r="U124" s="15"/>
      <c r="V124" s="15"/>
      <c r="W124" s="15"/>
      <c r="X124" s="15"/>
    </row>
    <row r="125" spans="6:24" s="21" customFormat="1" ht="14.25" x14ac:dyDescent="0.45">
      <c r="F125" s="119">
        <v>43621</v>
      </c>
      <c r="G125" s="52">
        <v>265.89575200000002</v>
      </c>
      <c r="H125" s="52">
        <v>88.989104999999995</v>
      </c>
      <c r="I125" s="120">
        <f t="shared" si="1"/>
        <v>8.6621411697758166E-3</v>
      </c>
      <c r="J125" s="120">
        <f t="shared" si="1"/>
        <v>0</v>
      </c>
      <c r="K125"/>
      <c r="M125" s="15"/>
      <c r="N125" s="15"/>
      <c r="O125" s="15"/>
      <c r="P125" s="15"/>
      <c r="Q125" s="15"/>
      <c r="R125" s="15"/>
      <c r="S125" s="15"/>
      <c r="T125" s="15"/>
      <c r="U125" s="15"/>
      <c r="V125" s="15"/>
      <c r="W125" s="15"/>
      <c r="X125" s="15"/>
    </row>
    <row r="126" spans="6:24" s="21" customFormat="1" ht="14.25" x14ac:dyDescent="0.45">
      <c r="F126" s="119">
        <v>43622</v>
      </c>
      <c r="G126" s="52">
        <v>267.62481700000001</v>
      </c>
      <c r="H126" s="52">
        <v>89.018294999999995</v>
      </c>
      <c r="I126" s="120">
        <f t="shared" si="1"/>
        <v>6.5027928689886938E-3</v>
      </c>
      <c r="J126" s="120">
        <f t="shared" si="1"/>
        <v>3.2801768261414566E-4</v>
      </c>
      <c r="K126"/>
      <c r="M126" s="15"/>
      <c r="N126" s="15"/>
      <c r="O126" s="15"/>
      <c r="P126" s="15"/>
      <c r="Q126" s="15"/>
      <c r="R126" s="15"/>
      <c r="S126" s="15"/>
      <c r="T126" s="15"/>
      <c r="U126" s="15"/>
      <c r="V126" s="15"/>
      <c r="W126" s="15"/>
      <c r="X126" s="15"/>
    </row>
    <row r="127" spans="6:24" s="21" customFormat="1" ht="14.25" x14ac:dyDescent="0.45">
      <c r="F127" s="119">
        <v>43623</v>
      </c>
      <c r="G127" s="52">
        <v>270.30291699999998</v>
      </c>
      <c r="H127" s="52">
        <v>89.008567999999997</v>
      </c>
      <c r="I127" s="120">
        <f t="shared" si="1"/>
        <v>1.0006919500294309E-2</v>
      </c>
      <c r="J127" s="120">
        <f t="shared" si="1"/>
        <v>-1.0926967316093883E-4</v>
      </c>
      <c r="K127"/>
      <c r="M127" s="15"/>
      <c r="N127" s="15"/>
      <c r="O127" s="15"/>
      <c r="P127" s="15"/>
      <c r="Q127" s="15"/>
      <c r="R127" s="15"/>
      <c r="S127" s="15"/>
      <c r="T127" s="15"/>
      <c r="U127" s="15"/>
      <c r="V127" s="15"/>
      <c r="W127" s="15"/>
      <c r="X127" s="15"/>
    </row>
    <row r="128" spans="6:24" s="21" customFormat="1" ht="14.25" x14ac:dyDescent="0.45">
      <c r="F128" s="119">
        <v>43626</v>
      </c>
      <c r="G128" s="52">
        <v>271.54330399999998</v>
      </c>
      <c r="H128" s="52">
        <v>89.028037999999995</v>
      </c>
      <c r="I128" s="120">
        <f t="shared" si="1"/>
        <v>4.5888775961673289E-3</v>
      </c>
      <c r="J128" s="120">
        <f t="shared" si="1"/>
        <v>2.1874298663027147E-4</v>
      </c>
      <c r="K128"/>
      <c r="M128" s="15"/>
      <c r="N128" s="15"/>
      <c r="O128" s="15"/>
      <c r="P128" s="15"/>
      <c r="Q128" s="15"/>
      <c r="R128" s="15"/>
      <c r="S128" s="15"/>
      <c r="T128" s="15"/>
      <c r="U128" s="15"/>
      <c r="V128" s="15"/>
      <c r="W128" s="15"/>
      <c r="X128" s="15"/>
    </row>
    <row r="129" spans="6:24" s="21" customFormat="1" ht="14.25" x14ac:dyDescent="0.45">
      <c r="F129" s="119">
        <v>43627</v>
      </c>
      <c r="G129" s="52">
        <v>271.47757000000001</v>
      </c>
      <c r="H129" s="52">
        <v>89.018294999999995</v>
      </c>
      <c r="I129" s="120">
        <f t="shared" si="1"/>
        <v>-2.4207556964828125E-4</v>
      </c>
      <c r="J129" s="120">
        <f t="shared" si="1"/>
        <v>-1.0943743363189817E-4</v>
      </c>
      <c r="K129"/>
      <c r="M129" s="15"/>
      <c r="N129" s="15"/>
      <c r="O129" s="15"/>
      <c r="P129" s="15"/>
      <c r="Q129" s="15"/>
      <c r="R129" s="15"/>
      <c r="S129" s="15"/>
      <c r="T129" s="15"/>
      <c r="U129" s="15"/>
      <c r="V129" s="15"/>
      <c r="W129" s="15"/>
      <c r="X129" s="15"/>
    </row>
    <row r="130" spans="6:24" s="21" customFormat="1" ht="14.25" x14ac:dyDescent="0.45">
      <c r="F130" s="119">
        <v>43628</v>
      </c>
      <c r="G130" s="52">
        <v>270.99829099999999</v>
      </c>
      <c r="H130" s="52">
        <v>89.028037999999995</v>
      </c>
      <c r="I130" s="120">
        <f t="shared" si="1"/>
        <v>-1.7654460366652858E-3</v>
      </c>
      <c r="J130" s="120">
        <f t="shared" si="1"/>
        <v>1.0944941149459986E-4</v>
      </c>
      <c r="K130"/>
      <c r="M130" s="15"/>
      <c r="N130" s="15"/>
      <c r="O130" s="15"/>
      <c r="P130" s="15"/>
      <c r="Q130" s="15"/>
      <c r="R130" s="15"/>
      <c r="S130" s="15"/>
      <c r="T130" s="15"/>
      <c r="U130" s="15"/>
      <c r="V130" s="15"/>
      <c r="W130" s="15"/>
      <c r="X130" s="15"/>
    </row>
    <row r="131" spans="6:24" s="21" customFormat="1" ht="14.25" x14ac:dyDescent="0.45">
      <c r="F131" s="119">
        <v>43629</v>
      </c>
      <c r="G131" s="52">
        <v>272.11648600000001</v>
      </c>
      <c r="H131" s="52">
        <v>89.057243</v>
      </c>
      <c r="I131" s="120">
        <f t="shared" si="1"/>
        <v>4.1262068327951873E-3</v>
      </c>
      <c r="J131" s="120">
        <f t="shared" si="1"/>
        <v>3.2804272290043457E-4</v>
      </c>
      <c r="K131"/>
      <c r="M131" s="15"/>
      <c r="N131" s="15"/>
      <c r="O131" s="15"/>
      <c r="P131" s="15"/>
      <c r="Q131" s="15"/>
      <c r="R131" s="15"/>
      <c r="S131" s="15"/>
      <c r="T131" s="15"/>
      <c r="U131" s="15"/>
      <c r="V131" s="15"/>
      <c r="W131" s="15"/>
      <c r="X131" s="15"/>
    </row>
    <row r="132" spans="6:24" s="21" customFormat="1" ht="14.25" x14ac:dyDescent="0.45">
      <c r="F132" s="119">
        <v>43630</v>
      </c>
      <c r="G132" s="52">
        <v>271.81585699999999</v>
      </c>
      <c r="H132" s="52">
        <v>89.066940000000002</v>
      </c>
      <c r="I132" s="120">
        <f t="shared" si="1"/>
        <v>-1.1047805460784321E-3</v>
      </c>
      <c r="J132" s="120">
        <f t="shared" si="1"/>
        <v>1.0888502353489926E-4</v>
      </c>
      <c r="K132"/>
      <c r="M132" s="15"/>
      <c r="N132" s="15"/>
      <c r="O132" s="15"/>
      <c r="P132" s="15"/>
      <c r="Q132" s="15"/>
      <c r="R132" s="15"/>
      <c r="S132" s="15"/>
      <c r="T132" s="15"/>
      <c r="U132" s="15"/>
      <c r="V132" s="15"/>
      <c r="W132" s="15"/>
      <c r="X132" s="15"/>
    </row>
    <row r="133" spans="6:24" s="21" customFormat="1" ht="14.25" x14ac:dyDescent="0.45">
      <c r="F133" s="119">
        <v>43633</v>
      </c>
      <c r="G133" s="52">
        <v>271.91915899999998</v>
      </c>
      <c r="H133" s="52">
        <v>89.066940000000002</v>
      </c>
      <c r="I133" s="120">
        <f t="shared" si="1"/>
        <v>3.8004405313252221E-4</v>
      </c>
      <c r="J133" s="120">
        <f t="shared" si="1"/>
        <v>0</v>
      </c>
      <c r="K133"/>
      <c r="M133" s="15"/>
      <c r="N133" s="15"/>
      <c r="O133" s="15"/>
      <c r="P133" s="15"/>
      <c r="Q133" s="15"/>
      <c r="R133" s="15"/>
      <c r="S133" s="15"/>
      <c r="T133" s="15"/>
      <c r="U133" s="15"/>
      <c r="V133" s="15"/>
      <c r="W133" s="15"/>
      <c r="X133" s="15"/>
    </row>
    <row r="134" spans="6:24" s="21" customFormat="1" ht="14.25" x14ac:dyDescent="0.45">
      <c r="F134" s="119">
        <v>43634</v>
      </c>
      <c r="G134" s="52">
        <v>274.76641799999999</v>
      </c>
      <c r="H134" s="52">
        <v>89.066940000000002</v>
      </c>
      <c r="I134" s="120">
        <f t="shared" si="1"/>
        <v>1.0470976044758995E-2</v>
      </c>
      <c r="J134" s="120">
        <f t="shared" si="1"/>
        <v>0</v>
      </c>
      <c r="K134"/>
      <c r="M134" s="15"/>
      <c r="N134" s="15"/>
      <c r="O134" s="15"/>
      <c r="P134" s="15"/>
      <c r="Q134" s="15"/>
      <c r="R134" s="15"/>
      <c r="S134" s="15"/>
      <c r="T134" s="15"/>
      <c r="U134" s="15"/>
      <c r="V134" s="15"/>
      <c r="W134" s="15"/>
      <c r="X134" s="15"/>
    </row>
    <row r="135" spans="6:24" s="21" customFormat="1" ht="14.25" x14ac:dyDescent="0.45">
      <c r="F135" s="119">
        <v>43635</v>
      </c>
      <c r="G135" s="52">
        <v>275.38662699999998</v>
      </c>
      <c r="H135" s="52">
        <v>89.086417999999995</v>
      </c>
      <c r="I135" s="120">
        <f t="shared" si="1"/>
        <v>2.2572227148951463E-3</v>
      </c>
      <c r="J135" s="120">
        <f t="shared" si="1"/>
        <v>2.1868944863268069E-4</v>
      </c>
      <c r="K135"/>
      <c r="M135" s="15"/>
      <c r="N135" s="15"/>
      <c r="O135" s="15"/>
      <c r="P135" s="15"/>
      <c r="Q135" s="15"/>
      <c r="R135" s="15"/>
      <c r="S135" s="15"/>
      <c r="T135" s="15"/>
      <c r="U135" s="15"/>
      <c r="V135" s="15"/>
      <c r="W135" s="15"/>
      <c r="X135" s="15"/>
    </row>
    <row r="136" spans="6:24" s="21" customFormat="1" ht="14.25" x14ac:dyDescent="0.45">
      <c r="F136" s="119">
        <v>43636</v>
      </c>
      <c r="G136" s="52">
        <v>278.01776100000001</v>
      </c>
      <c r="H136" s="52">
        <v>89.096130000000002</v>
      </c>
      <c r="I136" s="120">
        <f t="shared" si="1"/>
        <v>9.5543274147442681E-3</v>
      </c>
      <c r="J136" s="120">
        <f t="shared" si="1"/>
        <v>1.0901774050453561E-4</v>
      </c>
      <c r="K136"/>
      <c r="M136" s="15"/>
      <c r="N136" s="15"/>
      <c r="O136" s="15"/>
      <c r="P136" s="15"/>
      <c r="Q136" s="15"/>
      <c r="R136" s="15"/>
      <c r="S136" s="15"/>
      <c r="T136" s="15"/>
      <c r="U136" s="15"/>
      <c r="V136" s="15"/>
      <c r="W136" s="15"/>
      <c r="X136" s="15"/>
    </row>
    <row r="137" spans="6:24" s="21" customFormat="1" ht="14.25" x14ac:dyDescent="0.45">
      <c r="F137" s="119">
        <v>43637</v>
      </c>
      <c r="G137" s="52">
        <v>277.61370799999997</v>
      </c>
      <c r="H137" s="52">
        <v>89.096130000000002</v>
      </c>
      <c r="I137" s="120">
        <f t="shared" si="1"/>
        <v>-1.4533352061634197E-3</v>
      </c>
      <c r="J137" s="120">
        <f t="shared" si="1"/>
        <v>0</v>
      </c>
      <c r="K137"/>
      <c r="M137" s="15"/>
      <c r="N137" s="15"/>
      <c r="O137" s="15"/>
      <c r="P137" s="15"/>
      <c r="Q137" s="15"/>
      <c r="R137" s="15"/>
      <c r="S137" s="15"/>
      <c r="T137" s="15"/>
      <c r="U137" s="15"/>
      <c r="V137" s="15"/>
      <c r="W137" s="15"/>
      <c r="X137" s="15"/>
    </row>
    <row r="138" spans="6:24" s="21" customFormat="1" ht="14.25" x14ac:dyDescent="0.45">
      <c r="F138" s="119">
        <v>43640</v>
      </c>
      <c r="G138" s="52">
        <v>277.27377300000001</v>
      </c>
      <c r="H138" s="52">
        <v>89.105864999999994</v>
      </c>
      <c r="I138" s="120">
        <f t="shared" si="1"/>
        <v>-1.2244892460424595E-3</v>
      </c>
      <c r="J138" s="120">
        <f t="shared" si="1"/>
        <v>1.0926400506949818E-4</v>
      </c>
      <c r="K138"/>
      <c r="M138" s="15"/>
      <c r="N138" s="15"/>
      <c r="O138" s="15"/>
      <c r="P138" s="15"/>
      <c r="Q138" s="15"/>
      <c r="R138" s="15"/>
      <c r="S138" s="15"/>
      <c r="T138" s="15"/>
      <c r="U138" s="15"/>
      <c r="V138" s="15"/>
      <c r="W138" s="15"/>
      <c r="X138" s="15"/>
    </row>
    <row r="139" spans="6:24" s="21" customFormat="1" ht="14.25" x14ac:dyDescent="0.45">
      <c r="F139" s="119">
        <v>43641</v>
      </c>
      <c r="G139" s="52">
        <v>274.55429099999998</v>
      </c>
      <c r="H139" s="52">
        <v>89.105864999999994</v>
      </c>
      <c r="I139" s="120">
        <f t="shared" si="1"/>
        <v>-9.8079308784824182E-3</v>
      </c>
      <c r="J139" s="120">
        <f t="shared" si="1"/>
        <v>0</v>
      </c>
      <c r="K139"/>
      <c r="M139" s="15"/>
      <c r="N139" s="15"/>
      <c r="O139" s="15"/>
      <c r="P139" s="15"/>
      <c r="Q139" s="15"/>
      <c r="R139" s="15"/>
      <c r="S139" s="15"/>
      <c r="T139" s="15"/>
      <c r="U139" s="15"/>
      <c r="V139" s="15"/>
      <c r="W139" s="15"/>
      <c r="X139" s="15"/>
    </row>
    <row r="140" spans="6:24" s="21" customFormat="1" ht="14.25" x14ac:dyDescent="0.45">
      <c r="F140" s="119">
        <v>43642</v>
      </c>
      <c r="G140" s="52">
        <v>274.28042599999998</v>
      </c>
      <c r="H140" s="52">
        <v>89.125327999999996</v>
      </c>
      <c r="I140" s="120">
        <f t="shared" si="1"/>
        <v>-9.9748941822219717E-4</v>
      </c>
      <c r="J140" s="120">
        <f t="shared" si="1"/>
        <v>2.1842557726148293E-4</v>
      </c>
      <c r="K140"/>
      <c r="M140" s="15"/>
      <c r="N140" s="15"/>
      <c r="O140" s="15"/>
      <c r="P140" s="15"/>
      <c r="Q140" s="15"/>
      <c r="R140" s="15"/>
      <c r="S140" s="15"/>
      <c r="T140" s="15"/>
      <c r="U140" s="15"/>
      <c r="V140" s="15"/>
      <c r="W140" s="15"/>
      <c r="X140" s="15"/>
    </row>
    <row r="141" spans="6:24" s="21" customFormat="1" ht="14.25" x14ac:dyDescent="0.45">
      <c r="F141" s="119">
        <v>43643</v>
      </c>
      <c r="G141" s="52">
        <v>275.25302099999999</v>
      </c>
      <c r="H141" s="52">
        <v>89.125327999999996</v>
      </c>
      <c r="I141" s="120">
        <f t="shared" si="1"/>
        <v>3.5459876382137878E-3</v>
      </c>
      <c r="J141" s="120">
        <f t="shared" si="1"/>
        <v>0</v>
      </c>
      <c r="K141"/>
      <c r="M141" s="15"/>
      <c r="N141" s="15"/>
      <c r="O141" s="15"/>
      <c r="P141" s="15"/>
      <c r="Q141" s="15"/>
      <c r="R141" s="15"/>
      <c r="S141" s="15"/>
      <c r="T141" s="15"/>
      <c r="U141" s="15"/>
      <c r="V141" s="15"/>
      <c r="W141" s="15"/>
      <c r="X141" s="15"/>
    </row>
    <row r="142" spans="6:24" s="21" customFormat="1" ht="14.25" x14ac:dyDescent="0.45">
      <c r="F142" s="119">
        <v>43644</v>
      </c>
      <c r="G142" s="52">
        <v>276.669464</v>
      </c>
      <c r="H142" s="52">
        <v>89.135047999999998</v>
      </c>
      <c r="I142" s="120">
        <f t="shared" si="1"/>
        <v>5.1459671354525671E-3</v>
      </c>
      <c r="J142" s="120">
        <f t="shared" si="1"/>
        <v>1.0905990719045633E-4</v>
      </c>
      <c r="K142"/>
      <c r="M142" s="15"/>
      <c r="N142" s="15"/>
      <c r="O142" s="15"/>
      <c r="P142" s="15"/>
      <c r="Q142" s="15"/>
      <c r="R142" s="15"/>
      <c r="S142" s="15"/>
      <c r="T142" s="15"/>
      <c r="U142" s="15"/>
      <c r="V142" s="15"/>
      <c r="W142" s="15"/>
      <c r="X142" s="15"/>
    </row>
    <row r="143" spans="6:24" s="21" customFormat="1" ht="14.25" x14ac:dyDescent="0.45">
      <c r="F143" s="119">
        <v>43647</v>
      </c>
      <c r="G143" s="52">
        <v>279.181152</v>
      </c>
      <c r="H143" s="52">
        <v>89.130211000000003</v>
      </c>
      <c r="I143" s="120">
        <f t="shared" si="1"/>
        <v>9.0782985721908904E-3</v>
      </c>
      <c r="J143" s="120">
        <f t="shared" si="1"/>
        <v>-5.4265971786926492E-5</v>
      </c>
      <c r="K143"/>
      <c r="M143" s="15"/>
      <c r="N143" s="15"/>
      <c r="O143" s="15"/>
      <c r="P143" s="15"/>
      <c r="Q143" s="15"/>
      <c r="R143" s="15"/>
      <c r="S143" s="15"/>
      <c r="T143" s="15"/>
      <c r="U143" s="15"/>
      <c r="V143" s="15"/>
      <c r="W143" s="15"/>
      <c r="X143" s="15"/>
    </row>
    <row r="144" spans="6:24" s="21" customFormat="1" ht="14.25" x14ac:dyDescent="0.45">
      <c r="F144" s="119">
        <v>43648</v>
      </c>
      <c r="G144" s="52">
        <v>279.90823399999999</v>
      </c>
      <c r="H144" s="52">
        <v>89.139938000000001</v>
      </c>
      <c r="I144" s="120">
        <f t="shared" si="1"/>
        <v>2.6043377025681824E-3</v>
      </c>
      <c r="J144" s="120">
        <f t="shared" si="1"/>
        <v>1.0913246912425123E-4</v>
      </c>
      <c r="K144"/>
      <c r="M144" s="15"/>
      <c r="N144" s="15"/>
      <c r="O144" s="15"/>
      <c r="P144" s="15"/>
      <c r="Q144" s="15"/>
      <c r="R144" s="15"/>
      <c r="S144" s="15"/>
      <c r="T144" s="15"/>
      <c r="U144" s="15"/>
      <c r="V144" s="15"/>
      <c r="W144" s="15"/>
      <c r="X144" s="15"/>
    </row>
    <row r="145" spans="6:24" s="21" customFormat="1" ht="14.25" x14ac:dyDescent="0.45">
      <c r="F145" s="119">
        <v>43649</v>
      </c>
      <c r="G145" s="52">
        <v>282.14605699999998</v>
      </c>
      <c r="H145" s="52">
        <v>89.169182000000006</v>
      </c>
      <c r="I145" s="120">
        <f t="shared" si="1"/>
        <v>7.9948451963010037E-3</v>
      </c>
      <c r="J145" s="120">
        <f t="shared" si="1"/>
        <v>3.2806843549759712E-4</v>
      </c>
      <c r="K145"/>
      <c r="M145" s="15"/>
      <c r="N145" s="15"/>
      <c r="O145" s="15"/>
      <c r="P145" s="15"/>
      <c r="Q145" s="15"/>
      <c r="R145" s="15"/>
      <c r="S145" s="15"/>
      <c r="T145" s="15"/>
      <c r="U145" s="15"/>
      <c r="V145" s="15"/>
      <c r="W145" s="15"/>
      <c r="X145" s="15"/>
    </row>
    <row r="146" spans="6:24" s="21" customFormat="1" ht="14.25" x14ac:dyDescent="0.45">
      <c r="F146" s="119">
        <v>43651</v>
      </c>
      <c r="G146" s="52">
        <v>281.82510400000001</v>
      </c>
      <c r="H146" s="52">
        <v>89.159415999999993</v>
      </c>
      <c r="I146" s="120">
        <f t="shared" si="1"/>
        <v>-1.1375420355421717E-3</v>
      </c>
      <c r="J146" s="120">
        <f t="shared" si="1"/>
        <v>-1.0952214409698513E-4</v>
      </c>
      <c r="K146"/>
      <c r="M146" s="15"/>
      <c r="N146" s="15"/>
      <c r="O146" s="15"/>
      <c r="P146" s="15"/>
      <c r="Q146" s="15"/>
      <c r="R146" s="15"/>
      <c r="S146" s="15"/>
      <c r="T146" s="15"/>
      <c r="U146" s="15"/>
      <c r="V146" s="15"/>
      <c r="W146" s="15"/>
      <c r="X146" s="15"/>
    </row>
    <row r="147" spans="6:24" s="21" customFormat="1" ht="14.25" x14ac:dyDescent="0.45">
      <c r="F147" s="119">
        <v>43654</v>
      </c>
      <c r="G147" s="52">
        <v>280.27648900000003</v>
      </c>
      <c r="H147" s="52">
        <v>89.159415999999993</v>
      </c>
      <c r="I147" s="120">
        <f t="shared" si="1"/>
        <v>-5.4949505137057431E-3</v>
      </c>
      <c r="J147" s="120">
        <f t="shared" si="1"/>
        <v>0</v>
      </c>
      <c r="K147"/>
      <c r="M147" s="15"/>
      <c r="N147" s="15"/>
      <c r="O147" s="15"/>
      <c r="P147" s="15"/>
      <c r="Q147" s="15"/>
      <c r="R147" s="15"/>
      <c r="S147" s="15"/>
      <c r="T147" s="15"/>
      <c r="U147" s="15"/>
      <c r="V147" s="15"/>
      <c r="W147" s="15"/>
      <c r="X147" s="15"/>
    </row>
    <row r="148" spans="6:24" s="21" customFormat="1" ht="14.25" x14ac:dyDescent="0.45">
      <c r="F148" s="119">
        <v>43655</v>
      </c>
      <c r="G148" s="52">
        <v>280.625854</v>
      </c>
      <c r="H148" s="52">
        <v>89.169182000000006</v>
      </c>
      <c r="I148" s="120">
        <f t="shared" ref="I148:J211" si="2">G148/G147-1</f>
        <v>1.2465012718207991E-3</v>
      </c>
      <c r="J148" s="120">
        <f t="shared" si="2"/>
        <v>1.0953414051084742E-4</v>
      </c>
      <c r="K148"/>
      <c r="M148" s="15"/>
      <c r="N148" s="15"/>
      <c r="O148" s="15"/>
      <c r="P148" s="15"/>
      <c r="Q148" s="15"/>
      <c r="R148" s="15"/>
      <c r="S148" s="15"/>
      <c r="T148" s="15"/>
      <c r="U148" s="15"/>
      <c r="V148" s="15"/>
      <c r="W148" s="15"/>
      <c r="X148" s="15"/>
    </row>
    <row r="149" spans="6:24" s="21" customFormat="1" ht="14.25" x14ac:dyDescent="0.45">
      <c r="F149" s="119">
        <v>43656</v>
      </c>
      <c r="G149" s="52">
        <v>281.96673600000003</v>
      </c>
      <c r="H149" s="52">
        <v>89.178932000000003</v>
      </c>
      <c r="I149" s="120">
        <f t="shared" si="2"/>
        <v>4.7781841226932631E-3</v>
      </c>
      <c r="J149" s="120">
        <f t="shared" si="2"/>
        <v>1.0934270990614614E-4</v>
      </c>
      <c r="K149"/>
      <c r="M149" s="15"/>
      <c r="N149" s="15"/>
      <c r="O149" s="15"/>
      <c r="P149" s="15"/>
      <c r="Q149" s="15"/>
      <c r="R149" s="15"/>
      <c r="S149" s="15"/>
      <c r="T149" s="15"/>
      <c r="U149" s="15"/>
      <c r="V149" s="15"/>
      <c r="W149" s="15"/>
      <c r="X149" s="15"/>
    </row>
    <row r="150" spans="6:24" s="21" customFormat="1" ht="14.25" x14ac:dyDescent="0.45">
      <c r="F150" s="119">
        <v>43657</v>
      </c>
      <c r="G150" s="52">
        <v>282.627655</v>
      </c>
      <c r="H150" s="52">
        <v>89.198409999999996</v>
      </c>
      <c r="I150" s="120">
        <f t="shared" si="2"/>
        <v>2.3439608848043747E-3</v>
      </c>
      <c r="J150" s="120">
        <f t="shared" si="2"/>
        <v>2.1841481573248167E-4</v>
      </c>
      <c r="K150"/>
      <c r="M150" s="15"/>
      <c r="N150" s="15"/>
      <c r="O150" s="15"/>
      <c r="P150" s="15"/>
      <c r="Q150" s="15"/>
      <c r="R150" s="15"/>
      <c r="S150" s="15"/>
      <c r="T150" s="15"/>
      <c r="U150" s="15"/>
      <c r="V150" s="15"/>
      <c r="W150" s="15"/>
      <c r="X150" s="15"/>
    </row>
    <row r="151" spans="6:24" s="21" customFormat="1" ht="14.25" x14ac:dyDescent="0.45">
      <c r="F151" s="119">
        <v>43658</v>
      </c>
      <c r="G151" s="52">
        <v>283.89306599999998</v>
      </c>
      <c r="H151" s="52">
        <v>89.208175999999995</v>
      </c>
      <c r="I151" s="120">
        <f t="shared" si="2"/>
        <v>4.477307785043072E-3</v>
      </c>
      <c r="J151" s="120">
        <f t="shared" si="2"/>
        <v>1.0948625653761646E-4</v>
      </c>
      <c r="K151"/>
      <c r="M151" s="15"/>
      <c r="N151" s="15"/>
      <c r="O151" s="15"/>
      <c r="P151" s="15"/>
      <c r="Q151" s="15"/>
      <c r="R151" s="15"/>
      <c r="S151" s="15"/>
      <c r="T151" s="15"/>
      <c r="U151" s="15"/>
      <c r="V151" s="15"/>
      <c r="W151" s="15"/>
      <c r="X151" s="15"/>
    </row>
    <row r="152" spans="6:24" s="21" customFormat="1" ht="14.25" x14ac:dyDescent="0.45">
      <c r="F152" s="119">
        <v>43661</v>
      </c>
      <c r="G152" s="52">
        <v>283.98748799999998</v>
      </c>
      <c r="H152" s="52">
        <v>89.208175999999995</v>
      </c>
      <c r="I152" s="120">
        <f t="shared" si="2"/>
        <v>3.3259706314914261E-4</v>
      </c>
      <c r="J152" s="120">
        <f t="shared" si="2"/>
        <v>0</v>
      </c>
      <c r="K152"/>
      <c r="M152" s="15"/>
      <c r="N152" s="15"/>
      <c r="O152" s="15"/>
      <c r="P152" s="15"/>
      <c r="Q152" s="15"/>
      <c r="R152" s="15"/>
      <c r="S152" s="15"/>
      <c r="T152" s="15"/>
      <c r="U152" s="15"/>
      <c r="V152" s="15"/>
      <c r="W152" s="15"/>
      <c r="X152" s="15"/>
    </row>
    <row r="153" spans="6:24" s="21" customFormat="1" ht="14.25" x14ac:dyDescent="0.45">
      <c r="F153" s="119">
        <v>43662</v>
      </c>
      <c r="G153" s="52">
        <v>283.07153299999999</v>
      </c>
      <c r="H153" s="52">
        <v>89.217934</v>
      </c>
      <c r="I153" s="120">
        <f t="shared" si="2"/>
        <v>-3.2253357584542952E-3</v>
      </c>
      <c r="J153" s="120">
        <f t="shared" si="2"/>
        <v>1.0938459273068801E-4</v>
      </c>
      <c r="K153"/>
      <c r="M153" s="15"/>
      <c r="N153" s="15"/>
      <c r="O153" s="15"/>
      <c r="P153" s="15"/>
      <c r="Q153" s="15"/>
      <c r="R153" s="15"/>
      <c r="S153" s="15"/>
      <c r="T153" s="15"/>
      <c r="U153" s="15"/>
      <c r="V153" s="15"/>
      <c r="W153" s="15"/>
      <c r="X153" s="15"/>
    </row>
    <row r="154" spans="6:24" s="21" customFormat="1" ht="14.25" x14ac:dyDescent="0.45">
      <c r="F154" s="119">
        <v>43663</v>
      </c>
      <c r="G154" s="52">
        <v>281.14520299999998</v>
      </c>
      <c r="H154" s="52">
        <v>89.217934</v>
      </c>
      <c r="I154" s="120">
        <f t="shared" si="2"/>
        <v>-6.8050996848206813E-3</v>
      </c>
      <c r="J154" s="120">
        <f t="shared" si="2"/>
        <v>0</v>
      </c>
      <c r="K154"/>
      <c r="M154" s="15"/>
      <c r="N154" s="15"/>
      <c r="O154" s="15"/>
      <c r="P154" s="15"/>
      <c r="Q154" s="15"/>
      <c r="R154" s="15"/>
      <c r="S154" s="15"/>
      <c r="T154" s="15"/>
      <c r="U154" s="15"/>
      <c r="V154" s="15"/>
      <c r="W154" s="15"/>
      <c r="X154" s="15"/>
    </row>
    <row r="155" spans="6:24" s="21" customFormat="1" ht="14.25" x14ac:dyDescent="0.45">
      <c r="F155" s="119">
        <v>43664</v>
      </c>
      <c r="G155" s="52">
        <v>282.17446899999999</v>
      </c>
      <c r="H155" s="52">
        <v>89.247153999999995</v>
      </c>
      <c r="I155" s="120">
        <f t="shared" si="2"/>
        <v>3.6609765666177907E-3</v>
      </c>
      <c r="J155" s="120">
        <f t="shared" si="2"/>
        <v>3.2751262767405365E-4</v>
      </c>
      <c r="K155"/>
      <c r="M155" s="15"/>
      <c r="N155" s="15"/>
      <c r="O155" s="15"/>
      <c r="P155" s="15"/>
      <c r="Q155" s="15"/>
      <c r="R155" s="15"/>
      <c r="S155" s="15"/>
      <c r="T155" s="15"/>
      <c r="U155" s="15"/>
      <c r="V155" s="15"/>
      <c r="W155" s="15"/>
      <c r="X155" s="15"/>
    </row>
    <row r="156" spans="6:24" s="21" customFormat="1" ht="14.25" x14ac:dyDescent="0.45">
      <c r="F156" s="119">
        <v>43665</v>
      </c>
      <c r="G156" s="52">
        <v>280.60699499999998</v>
      </c>
      <c r="H156" s="52">
        <v>89.247153999999995</v>
      </c>
      <c r="I156" s="120">
        <f t="shared" si="2"/>
        <v>-5.5549816592371792E-3</v>
      </c>
      <c r="J156" s="120">
        <f t="shared" si="2"/>
        <v>0</v>
      </c>
      <c r="K156"/>
      <c r="M156" s="15"/>
      <c r="N156" s="15"/>
      <c r="O156" s="15"/>
      <c r="P156" s="15"/>
      <c r="Q156" s="15"/>
      <c r="R156" s="15"/>
      <c r="S156" s="15"/>
      <c r="T156" s="15"/>
      <c r="U156" s="15"/>
      <c r="V156" s="15"/>
      <c r="W156" s="15"/>
      <c r="X156" s="15"/>
    </row>
    <row r="157" spans="6:24" s="21" customFormat="1" ht="14.25" x14ac:dyDescent="0.45">
      <c r="F157" s="119">
        <v>43668</v>
      </c>
      <c r="G157" s="52">
        <v>281.29629499999999</v>
      </c>
      <c r="H157" s="52">
        <v>89.247153999999995</v>
      </c>
      <c r="I157" s="120">
        <f t="shared" si="2"/>
        <v>2.4564605027042052E-3</v>
      </c>
      <c r="J157" s="120">
        <f t="shared" si="2"/>
        <v>0</v>
      </c>
      <c r="K157"/>
      <c r="M157" s="15"/>
      <c r="N157" s="15"/>
      <c r="O157" s="15"/>
      <c r="P157" s="15"/>
      <c r="Q157" s="15"/>
      <c r="R157" s="15"/>
      <c r="S157" s="15"/>
      <c r="T157" s="15"/>
      <c r="U157" s="15"/>
      <c r="V157" s="15"/>
      <c r="W157" s="15"/>
      <c r="X157" s="15"/>
    </row>
    <row r="158" spans="6:24" s="21" customFormat="1" ht="14.25" x14ac:dyDescent="0.45">
      <c r="F158" s="119">
        <v>43669</v>
      </c>
      <c r="G158" s="52">
        <v>283.30755599999998</v>
      </c>
      <c r="H158" s="52">
        <v>89.237426999999997</v>
      </c>
      <c r="I158" s="120">
        <f t="shared" si="2"/>
        <v>7.149973304838575E-3</v>
      </c>
      <c r="J158" s="120">
        <f t="shared" si="2"/>
        <v>-1.0898946984905233E-4</v>
      </c>
      <c r="K158"/>
      <c r="M158" s="15"/>
      <c r="N158" s="15"/>
      <c r="O158" s="15"/>
      <c r="P158" s="15"/>
      <c r="Q158" s="15"/>
      <c r="R158" s="15"/>
      <c r="S158" s="15"/>
      <c r="T158" s="15"/>
      <c r="U158" s="15"/>
      <c r="V158" s="15"/>
      <c r="W158" s="15"/>
      <c r="X158" s="15"/>
    </row>
    <row r="159" spans="6:24" s="21" customFormat="1" ht="14.25" x14ac:dyDescent="0.45">
      <c r="F159" s="119">
        <v>43670</v>
      </c>
      <c r="G159" s="52">
        <v>284.63897700000001</v>
      </c>
      <c r="H159" s="52">
        <v>89.256889000000001</v>
      </c>
      <c r="I159" s="120">
        <f t="shared" si="2"/>
        <v>4.6995605016622033E-3</v>
      </c>
      <c r="J159" s="120">
        <f t="shared" si="2"/>
        <v>2.1809234818026546E-4</v>
      </c>
      <c r="K159"/>
      <c r="M159" s="15"/>
      <c r="N159" s="15"/>
      <c r="O159" s="15"/>
      <c r="P159" s="15"/>
      <c r="Q159" s="15"/>
      <c r="R159" s="15"/>
      <c r="S159" s="15"/>
      <c r="T159" s="15"/>
      <c r="U159" s="15"/>
      <c r="V159" s="15"/>
      <c r="W159" s="15"/>
      <c r="X159" s="15"/>
    </row>
    <row r="160" spans="6:24" s="21" customFormat="1" ht="14.25" x14ac:dyDescent="0.45">
      <c r="F160" s="119">
        <v>43671</v>
      </c>
      <c r="G160" s="52">
        <v>283.27926600000001</v>
      </c>
      <c r="H160" s="52">
        <v>89.276381999999998</v>
      </c>
      <c r="I160" s="120">
        <f t="shared" si="2"/>
        <v>-4.7769669998497521E-3</v>
      </c>
      <c r="J160" s="120">
        <f t="shared" si="2"/>
        <v>2.1839210640650641E-4</v>
      </c>
      <c r="K160"/>
      <c r="M160" s="15"/>
      <c r="N160" s="15"/>
      <c r="O160" s="15"/>
      <c r="P160" s="15"/>
      <c r="Q160" s="15"/>
      <c r="R160" s="15"/>
      <c r="S160" s="15"/>
      <c r="T160" s="15"/>
      <c r="U160" s="15"/>
      <c r="V160" s="15"/>
      <c r="W160" s="15"/>
      <c r="X160" s="15"/>
    </row>
    <row r="161" spans="6:24" s="21" customFormat="1" ht="14.25" x14ac:dyDescent="0.45">
      <c r="F161" s="119">
        <v>43672</v>
      </c>
      <c r="G161" s="52">
        <v>285.17721599999999</v>
      </c>
      <c r="H161" s="52">
        <v>89.266655</v>
      </c>
      <c r="I161" s="120">
        <f t="shared" si="2"/>
        <v>6.6999255780335609E-3</v>
      </c>
      <c r="J161" s="120">
        <f t="shared" si="2"/>
        <v>-1.0895378802422417E-4</v>
      </c>
      <c r="K161"/>
      <c r="M161" s="15"/>
      <c r="N161" s="15"/>
      <c r="O161" s="15"/>
      <c r="P161" s="15"/>
      <c r="Q161" s="15"/>
      <c r="R161" s="15"/>
      <c r="S161" s="15"/>
      <c r="T161" s="15"/>
      <c r="U161" s="15"/>
      <c r="V161" s="15"/>
      <c r="W161" s="15"/>
      <c r="X161" s="15"/>
    </row>
    <row r="162" spans="6:24" s="21" customFormat="1" ht="14.25" x14ac:dyDescent="0.45">
      <c r="F162" s="119">
        <v>43675</v>
      </c>
      <c r="G162" s="52">
        <v>284.65789799999999</v>
      </c>
      <c r="H162" s="52">
        <v>89.286140000000003</v>
      </c>
      <c r="I162" s="120">
        <f t="shared" si="2"/>
        <v>-1.8210360816482973E-3</v>
      </c>
      <c r="J162" s="120">
        <f t="shared" si="2"/>
        <v>2.1827859462186794E-4</v>
      </c>
      <c r="K162"/>
      <c r="M162" s="15"/>
      <c r="N162" s="15"/>
      <c r="O162" s="15"/>
      <c r="P162" s="15"/>
      <c r="Q162" s="15"/>
      <c r="R162" s="15"/>
      <c r="S162" s="15"/>
      <c r="T162" s="15"/>
      <c r="U162" s="15"/>
      <c r="V162" s="15"/>
      <c r="W162" s="15"/>
      <c r="X162" s="15"/>
    </row>
    <row r="163" spans="6:24" s="21" customFormat="1" ht="14.25" x14ac:dyDescent="0.45">
      <c r="F163" s="119">
        <v>43676</v>
      </c>
      <c r="G163" s="52">
        <v>283.959137</v>
      </c>
      <c r="H163" s="52">
        <v>89.286140000000003</v>
      </c>
      <c r="I163" s="120">
        <f t="shared" si="2"/>
        <v>-2.4547395484526557E-3</v>
      </c>
      <c r="J163" s="120">
        <f t="shared" si="2"/>
        <v>0</v>
      </c>
      <c r="K163"/>
      <c r="M163" s="15"/>
      <c r="N163" s="15"/>
      <c r="O163" s="15"/>
      <c r="P163" s="15"/>
      <c r="Q163" s="15"/>
      <c r="R163" s="15"/>
      <c r="S163" s="15"/>
      <c r="T163" s="15"/>
      <c r="U163" s="15"/>
      <c r="V163" s="15"/>
      <c r="W163" s="15"/>
      <c r="X163" s="15"/>
    </row>
    <row r="164" spans="6:24" s="21" customFormat="1" ht="14.25" x14ac:dyDescent="0.45">
      <c r="F164" s="119">
        <v>43677</v>
      </c>
      <c r="G164" s="52">
        <v>280.852509</v>
      </c>
      <c r="H164" s="52">
        <v>89.295876000000007</v>
      </c>
      <c r="I164" s="120">
        <f t="shared" si="2"/>
        <v>-1.0940405133010422E-2</v>
      </c>
      <c r="J164" s="120">
        <f t="shared" si="2"/>
        <v>1.0904268008449236E-4</v>
      </c>
      <c r="K164"/>
      <c r="M164" s="15"/>
      <c r="N164" s="15"/>
      <c r="O164" s="15"/>
      <c r="P164" s="15"/>
      <c r="Q164" s="15"/>
      <c r="R164" s="15"/>
      <c r="S164" s="15"/>
      <c r="T164" s="15"/>
      <c r="U164" s="15"/>
      <c r="V164" s="15"/>
      <c r="W164" s="15"/>
      <c r="X164" s="15"/>
    </row>
    <row r="165" spans="6:24" s="21" customFormat="1" ht="14.25" x14ac:dyDescent="0.45">
      <c r="F165" s="119">
        <v>43678</v>
      </c>
      <c r="G165" s="52">
        <v>278.40683000000001</v>
      </c>
      <c r="H165" s="52">
        <v>89.320312999999999</v>
      </c>
      <c r="I165" s="120">
        <f t="shared" si="2"/>
        <v>-8.7080546608183651E-3</v>
      </c>
      <c r="J165" s="120">
        <f t="shared" si="2"/>
        <v>2.7366325405653313E-4</v>
      </c>
      <c r="K165"/>
      <c r="M165" s="15"/>
      <c r="N165" s="15"/>
      <c r="O165" s="15"/>
      <c r="P165" s="15"/>
      <c r="Q165" s="15"/>
      <c r="R165" s="15"/>
      <c r="S165" s="15"/>
      <c r="T165" s="15"/>
      <c r="U165" s="15"/>
      <c r="V165" s="15"/>
      <c r="W165" s="15"/>
      <c r="X165" s="15"/>
    </row>
    <row r="166" spans="6:24" s="21" customFormat="1" ht="14.25" x14ac:dyDescent="0.45">
      <c r="F166" s="119">
        <v>43679</v>
      </c>
      <c r="G166" s="52">
        <v>276.31057700000002</v>
      </c>
      <c r="H166" s="52">
        <v>89.320312999999999</v>
      </c>
      <c r="I166" s="120">
        <f t="shared" si="2"/>
        <v>-7.5294596759712951E-3</v>
      </c>
      <c r="J166" s="120">
        <f t="shared" si="2"/>
        <v>0</v>
      </c>
      <c r="K166"/>
      <c r="M166" s="15"/>
      <c r="N166" s="15"/>
      <c r="O166" s="15"/>
      <c r="P166" s="15"/>
      <c r="Q166" s="15"/>
      <c r="R166" s="15"/>
      <c r="S166" s="15"/>
      <c r="T166" s="15"/>
      <c r="U166" s="15"/>
      <c r="V166" s="15"/>
      <c r="W166" s="15"/>
      <c r="X166" s="15"/>
    </row>
    <row r="167" spans="6:24" s="21" customFormat="1" ht="14.25" x14ac:dyDescent="0.45">
      <c r="F167" s="119">
        <v>43682</v>
      </c>
      <c r="G167" s="52">
        <v>268.00100700000002</v>
      </c>
      <c r="H167" s="52">
        <v>89.310531999999995</v>
      </c>
      <c r="I167" s="120">
        <f t="shared" si="2"/>
        <v>-3.0073296832209273E-2</v>
      </c>
      <c r="J167" s="120">
        <f t="shared" si="2"/>
        <v>-1.0950476628990291E-4</v>
      </c>
      <c r="K167"/>
      <c r="M167" s="15"/>
      <c r="N167" s="15"/>
      <c r="O167" s="15"/>
      <c r="P167" s="15"/>
      <c r="Q167" s="15"/>
      <c r="R167" s="15"/>
      <c r="S167" s="15"/>
      <c r="T167" s="15"/>
      <c r="U167" s="15"/>
      <c r="V167" s="15"/>
      <c r="W167" s="15"/>
      <c r="X167" s="15"/>
    </row>
    <row r="168" spans="6:24" s="21" customFormat="1" ht="14.25" x14ac:dyDescent="0.45">
      <c r="F168" s="119">
        <v>43683</v>
      </c>
      <c r="G168" s="52">
        <v>271.75924700000002</v>
      </c>
      <c r="H168" s="52">
        <v>89.320312999999999</v>
      </c>
      <c r="I168" s="120">
        <f t="shared" si="2"/>
        <v>1.4023230890322758E-2</v>
      </c>
      <c r="J168" s="120">
        <f t="shared" si="2"/>
        <v>1.0951675889692147E-4</v>
      </c>
      <c r="K168"/>
      <c r="M168" s="15"/>
      <c r="N168" s="15"/>
      <c r="O168" s="15"/>
      <c r="P168" s="15"/>
      <c r="Q168" s="15"/>
      <c r="R168" s="15"/>
      <c r="S168" s="15"/>
      <c r="T168" s="15"/>
      <c r="U168" s="15"/>
      <c r="V168" s="15"/>
      <c r="W168" s="15"/>
      <c r="X168" s="15"/>
    </row>
    <row r="169" spans="6:24" s="21" customFormat="1" ht="14.25" x14ac:dyDescent="0.45">
      <c r="F169" s="119">
        <v>43684</v>
      </c>
      <c r="G169" s="52">
        <v>271.91970800000001</v>
      </c>
      <c r="H169" s="52">
        <v>89.339827999999997</v>
      </c>
      <c r="I169" s="120">
        <f t="shared" si="2"/>
        <v>5.9045276939562186E-4</v>
      </c>
      <c r="J169" s="120">
        <f t="shared" si="2"/>
        <v>2.1848333648355478E-4</v>
      </c>
      <c r="K169"/>
      <c r="M169" s="15"/>
      <c r="N169" s="15"/>
      <c r="O169" s="15"/>
      <c r="P169" s="15"/>
      <c r="Q169" s="15"/>
      <c r="R169" s="15"/>
      <c r="S169" s="15"/>
      <c r="T169" s="15"/>
      <c r="U169" s="15"/>
      <c r="V169" s="15"/>
      <c r="W169" s="15"/>
      <c r="X169" s="15"/>
    </row>
    <row r="170" spans="6:24" s="21" customFormat="1" ht="14.25" x14ac:dyDescent="0.45">
      <c r="F170" s="119">
        <v>43685</v>
      </c>
      <c r="G170" s="52">
        <v>277.25491299999999</v>
      </c>
      <c r="H170" s="52">
        <v>89.349586000000002</v>
      </c>
      <c r="I170" s="120">
        <f t="shared" si="2"/>
        <v>1.9620516067926808E-2</v>
      </c>
      <c r="J170" s="120">
        <f t="shared" si="2"/>
        <v>1.0922340257923935E-4</v>
      </c>
      <c r="K170"/>
      <c r="M170" s="15"/>
      <c r="N170" s="15"/>
      <c r="O170" s="15"/>
      <c r="P170" s="15"/>
      <c r="Q170" s="15"/>
      <c r="R170" s="15"/>
      <c r="S170" s="15"/>
      <c r="T170" s="15"/>
      <c r="U170" s="15"/>
      <c r="V170" s="15"/>
      <c r="W170" s="15"/>
      <c r="X170" s="15"/>
    </row>
    <row r="171" spans="6:24" s="21" customFormat="1" ht="14.25" x14ac:dyDescent="0.45">
      <c r="F171" s="119">
        <v>43686</v>
      </c>
      <c r="G171" s="52">
        <v>275.366333</v>
      </c>
      <c r="H171" s="52">
        <v>89.339827999999997</v>
      </c>
      <c r="I171" s="120">
        <f t="shared" si="2"/>
        <v>-6.8117097712169228E-3</v>
      </c>
      <c r="J171" s="120">
        <f t="shared" si="2"/>
        <v>-1.0921147413045507E-4</v>
      </c>
      <c r="K171"/>
      <c r="M171" s="15"/>
      <c r="N171" s="15"/>
      <c r="O171" s="15"/>
      <c r="P171" s="15"/>
      <c r="Q171" s="15"/>
      <c r="R171" s="15"/>
      <c r="S171" s="15"/>
      <c r="T171" s="15"/>
      <c r="U171" s="15"/>
      <c r="V171" s="15"/>
      <c r="W171" s="15"/>
      <c r="X171" s="15"/>
    </row>
    <row r="172" spans="6:24" s="21" customFormat="1" ht="14.25" x14ac:dyDescent="0.45">
      <c r="F172" s="119">
        <v>43689</v>
      </c>
      <c r="G172" s="52">
        <v>272.01416</v>
      </c>
      <c r="H172" s="52">
        <v>89.359367000000006</v>
      </c>
      <c r="I172" s="120">
        <f t="shared" si="2"/>
        <v>-1.2173503432607369E-2</v>
      </c>
      <c r="J172" s="120">
        <f t="shared" si="2"/>
        <v>2.1870424912839859E-4</v>
      </c>
      <c r="K172"/>
      <c r="M172" s="15"/>
      <c r="N172" s="15"/>
      <c r="O172" s="15"/>
      <c r="P172" s="15"/>
      <c r="Q172" s="15"/>
      <c r="R172" s="15"/>
      <c r="S172" s="15"/>
      <c r="T172" s="15"/>
      <c r="U172" s="15"/>
      <c r="V172" s="15"/>
      <c r="W172" s="15"/>
      <c r="X172" s="15"/>
    </row>
    <row r="173" spans="6:24" s="21" customFormat="1" ht="14.25" x14ac:dyDescent="0.45">
      <c r="F173" s="119">
        <v>43690</v>
      </c>
      <c r="G173" s="52">
        <v>276.244415</v>
      </c>
      <c r="H173" s="52">
        <v>89.369140999999999</v>
      </c>
      <c r="I173" s="120">
        <f t="shared" si="2"/>
        <v>1.5551598490313845E-2</v>
      </c>
      <c r="J173" s="120">
        <f t="shared" si="2"/>
        <v>1.0937857247794724E-4</v>
      </c>
      <c r="K173"/>
      <c r="M173" s="15"/>
      <c r="N173" s="15"/>
      <c r="O173" s="15"/>
      <c r="P173" s="15"/>
      <c r="Q173" s="15"/>
      <c r="R173" s="15"/>
      <c r="S173" s="15"/>
      <c r="T173" s="15"/>
      <c r="U173" s="15"/>
      <c r="V173" s="15"/>
      <c r="W173" s="15"/>
      <c r="X173" s="15"/>
    </row>
    <row r="174" spans="6:24" s="21" customFormat="1" ht="14.25" x14ac:dyDescent="0.45">
      <c r="F174" s="119">
        <v>43691</v>
      </c>
      <c r="G174" s="52">
        <v>268.07656900000001</v>
      </c>
      <c r="H174" s="52">
        <v>89.359367000000006</v>
      </c>
      <c r="I174" s="120">
        <f t="shared" si="2"/>
        <v>-2.956746111953068E-2</v>
      </c>
      <c r="J174" s="120">
        <f t="shared" si="2"/>
        <v>-1.0936661011429205E-4</v>
      </c>
      <c r="K174"/>
      <c r="M174" s="15"/>
      <c r="N174" s="15"/>
      <c r="O174" s="15"/>
      <c r="P174" s="15"/>
      <c r="Q174" s="15"/>
      <c r="R174" s="15"/>
      <c r="S174" s="15"/>
      <c r="T174" s="15"/>
      <c r="U174" s="15"/>
      <c r="V174" s="15"/>
      <c r="W174" s="15"/>
      <c r="X174" s="15"/>
    </row>
    <row r="175" spans="6:24" s="21" customFormat="1" ht="14.25" x14ac:dyDescent="0.45">
      <c r="F175" s="119">
        <v>43692</v>
      </c>
      <c r="G175" s="52">
        <v>268.78478999999999</v>
      </c>
      <c r="H175" s="52">
        <v>89.398398999999998</v>
      </c>
      <c r="I175" s="120">
        <f t="shared" si="2"/>
        <v>2.6418608781879627E-3</v>
      </c>
      <c r="J175" s="120">
        <f t="shared" si="2"/>
        <v>4.3679808072050186E-4</v>
      </c>
      <c r="K175"/>
      <c r="M175" s="15"/>
      <c r="N175" s="15"/>
      <c r="O175" s="15"/>
      <c r="P175" s="15"/>
      <c r="Q175" s="15"/>
      <c r="R175" s="15"/>
      <c r="S175" s="15"/>
      <c r="T175" s="15"/>
      <c r="U175" s="15"/>
      <c r="V175" s="15"/>
      <c r="W175" s="15"/>
      <c r="X175" s="15"/>
    </row>
    <row r="176" spans="6:24" s="21" customFormat="1" ht="14.25" x14ac:dyDescent="0.45">
      <c r="F176" s="119">
        <v>43693</v>
      </c>
      <c r="G176" s="52">
        <v>272.75070199999999</v>
      </c>
      <c r="H176" s="52">
        <v>89.388656999999995</v>
      </c>
      <c r="I176" s="120">
        <f t="shared" si="2"/>
        <v>1.4754971812207085E-2</v>
      </c>
      <c r="J176" s="120">
        <f t="shared" si="2"/>
        <v>-1.089728687423408E-4</v>
      </c>
      <c r="K176"/>
      <c r="M176" s="15"/>
      <c r="N176" s="15"/>
      <c r="O176" s="15"/>
      <c r="P176" s="15"/>
      <c r="Q176" s="15"/>
      <c r="R176" s="15"/>
      <c r="S176" s="15"/>
      <c r="T176" s="15"/>
      <c r="U176" s="15"/>
      <c r="V176" s="15"/>
      <c r="W176" s="15"/>
      <c r="X176" s="15"/>
    </row>
    <row r="177" spans="6:24" s="21" customFormat="1" ht="14.25" x14ac:dyDescent="0.45">
      <c r="F177" s="119">
        <v>43696</v>
      </c>
      <c r="G177" s="52">
        <v>276.03668199999998</v>
      </c>
      <c r="H177" s="52">
        <v>89.388656999999995</v>
      </c>
      <c r="I177" s="120">
        <f t="shared" si="2"/>
        <v>1.2047558359721489E-2</v>
      </c>
      <c r="J177" s="120">
        <f t="shared" si="2"/>
        <v>0</v>
      </c>
      <c r="K177"/>
      <c r="M177" s="15"/>
      <c r="N177" s="15"/>
      <c r="O177" s="15"/>
      <c r="P177" s="15"/>
      <c r="Q177" s="15"/>
      <c r="R177" s="15"/>
      <c r="S177" s="15"/>
      <c r="T177" s="15"/>
      <c r="U177" s="15"/>
      <c r="V177" s="15"/>
      <c r="W177" s="15"/>
      <c r="X177" s="15"/>
    </row>
    <row r="178" spans="6:24" s="21" customFormat="1" ht="14.25" x14ac:dyDescent="0.45">
      <c r="F178" s="119">
        <v>43697</v>
      </c>
      <c r="G178" s="52">
        <v>273.92156999999997</v>
      </c>
      <c r="H178" s="52">
        <v>89.398398999999998</v>
      </c>
      <c r="I178" s="120">
        <f t="shared" si="2"/>
        <v>-7.6624308938766372E-3</v>
      </c>
      <c r="J178" s="120">
        <f t="shared" si="2"/>
        <v>1.0898474512277545E-4</v>
      </c>
      <c r="K178"/>
      <c r="M178" s="15"/>
      <c r="N178" s="15"/>
      <c r="O178" s="15"/>
      <c r="P178" s="15"/>
      <c r="Q178" s="15"/>
      <c r="R178" s="15"/>
      <c r="S178" s="15"/>
      <c r="T178" s="15"/>
      <c r="U178" s="15"/>
      <c r="V178" s="15"/>
      <c r="W178" s="15"/>
      <c r="X178" s="15"/>
    </row>
    <row r="179" spans="6:24" s="21" customFormat="1" ht="14.25" x14ac:dyDescent="0.45">
      <c r="F179" s="119">
        <v>43698</v>
      </c>
      <c r="G179" s="52">
        <v>276.15011600000003</v>
      </c>
      <c r="H179" s="52">
        <v>89.388656999999995</v>
      </c>
      <c r="I179" s="120">
        <f t="shared" si="2"/>
        <v>8.1357083343238656E-3</v>
      </c>
      <c r="J179" s="120">
        <f t="shared" si="2"/>
        <v>-1.089728687423408E-4</v>
      </c>
      <c r="K179"/>
      <c r="M179" s="15"/>
      <c r="N179" s="15"/>
      <c r="O179" s="15"/>
      <c r="P179" s="15"/>
      <c r="Q179" s="15"/>
      <c r="R179" s="15"/>
      <c r="S179" s="15"/>
      <c r="T179" s="15"/>
      <c r="U179" s="15"/>
      <c r="V179" s="15"/>
      <c r="W179" s="15"/>
      <c r="X179" s="15"/>
    </row>
    <row r="180" spans="6:24" s="21" customFormat="1" ht="14.25" x14ac:dyDescent="0.45">
      <c r="F180" s="119">
        <v>43699</v>
      </c>
      <c r="G180" s="52">
        <v>276.06506300000001</v>
      </c>
      <c r="H180" s="52">
        <v>89.417946000000001</v>
      </c>
      <c r="I180" s="120">
        <f t="shared" si="2"/>
        <v>-3.0799552515858863E-4</v>
      </c>
      <c r="J180" s="120">
        <f t="shared" si="2"/>
        <v>3.2765902277742676E-4</v>
      </c>
      <c r="K180"/>
      <c r="M180" s="15"/>
      <c r="N180" s="15"/>
      <c r="O180" s="15"/>
      <c r="P180" s="15"/>
      <c r="Q180" s="15"/>
      <c r="R180" s="15"/>
      <c r="S180" s="15"/>
      <c r="T180" s="15"/>
      <c r="U180" s="15"/>
      <c r="V180" s="15"/>
      <c r="W180" s="15"/>
      <c r="X180" s="15"/>
    </row>
    <row r="181" spans="6:24" s="21" customFormat="1" ht="14.25" x14ac:dyDescent="0.45">
      <c r="F181" s="119">
        <v>43700</v>
      </c>
      <c r="G181" s="52">
        <v>268.97363300000001</v>
      </c>
      <c r="H181" s="52">
        <v>89.408173000000005</v>
      </c>
      <c r="I181" s="120">
        <f t="shared" si="2"/>
        <v>-2.5687531493255311E-2</v>
      </c>
      <c r="J181" s="120">
        <f t="shared" si="2"/>
        <v>-1.0929573354323541E-4</v>
      </c>
      <c r="K181"/>
      <c r="M181" s="15"/>
      <c r="N181" s="15"/>
      <c r="O181" s="15"/>
      <c r="P181" s="15"/>
      <c r="Q181" s="15"/>
      <c r="R181" s="15"/>
      <c r="S181" s="15"/>
      <c r="T181" s="15"/>
      <c r="U181" s="15"/>
      <c r="V181" s="15"/>
      <c r="W181" s="15"/>
      <c r="X181" s="15"/>
    </row>
    <row r="182" spans="6:24" s="21" customFormat="1" ht="14.25" x14ac:dyDescent="0.45">
      <c r="F182" s="119">
        <v>43703</v>
      </c>
      <c r="G182" s="52">
        <v>271.94802900000002</v>
      </c>
      <c r="H182" s="52">
        <v>89.417946000000001</v>
      </c>
      <c r="I182" s="120">
        <f t="shared" si="2"/>
        <v>1.1058318121464294E-2</v>
      </c>
      <c r="J182" s="120">
        <f t="shared" si="2"/>
        <v>1.0930768040640082E-4</v>
      </c>
      <c r="K182"/>
      <c r="M182" s="15"/>
      <c r="N182" s="15"/>
      <c r="O182" s="15"/>
      <c r="P182" s="15"/>
      <c r="Q182" s="15"/>
      <c r="R182" s="15"/>
      <c r="S182" s="15"/>
      <c r="T182" s="15"/>
      <c r="U182" s="15"/>
      <c r="V182" s="15"/>
      <c r="W182" s="15"/>
      <c r="X182" s="15"/>
    </row>
    <row r="183" spans="6:24" s="21" customFormat="1" ht="14.25" x14ac:dyDescent="0.45">
      <c r="F183" s="119">
        <v>43704</v>
      </c>
      <c r="G183" s="52">
        <v>270.88110399999999</v>
      </c>
      <c r="H183" s="52">
        <v>89.427689000000001</v>
      </c>
      <c r="I183" s="120">
        <f t="shared" si="2"/>
        <v>-3.9232680005929499E-3</v>
      </c>
      <c r="J183" s="120">
        <f t="shared" si="2"/>
        <v>1.0896023042183955E-4</v>
      </c>
      <c r="K183"/>
      <c r="M183" s="15"/>
      <c r="N183" s="15"/>
      <c r="O183" s="15"/>
      <c r="P183" s="15"/>
      <c r="Q183" s="15"/>
      <c r="R183" s="15"/>
      <c r="S183" s="15"/>
      <c r="T183" s="15"/>
      <c r="U183" s="15"/>
      <c r="V183" s="15"/>
      <c r="W183" s="15"/>
      <c r="X183" s="15"/>
    </row>
    <row r="184" spans="6:24" s="21" customFormat="1" ht="14.25" x14ac:dyDescent="0.45">
      <c r="F184" s="119">
        <v>43705</v>
      </c>
      <c r="G184" s="52">
        <v>272.78851300000002</v>
      </c>
      <c r="H184" s="52">
        <v>89.417946000000001</v>
      </c>
      <c r="I184" s="120">
        <f t="shared" si="2"/>
        <v>7.0414989153324559E-3</v>
      </c>
      <c r="J184" s="120">
        <f t="shared" si="2"/>
        <v>-1.0894835938346503E-4</v>
      </c>
      <c r="K184"/>
      <c r="M184" s="15"/>
      <c r="N184" s="15"/>
      <c r="O184" s="15"/>
      <c r="P184" s="15"/>
      <c r="Q184" s="15"/>
      <c r="R184" s="15"/>
      <c r="S184" s="15"/>
      <c r="T184" s="15"/>
      <c r="U184" s="15"/>
      <c r="V184" s="15"/>
      <c r="W184" s="15"/>
      <c r="X184" s="15"/>
    </row>
    <row r="185" spans="6:24" s="21" customFormat="1" ht="14.25" x14ac:dyDescent="0.45">
      <c r="F185" s="119">
        <v>43706</v>
      </c>
      <c r="G185" s="52">
        <v>276.27279700000003</v>
      </c>
      <c r="H185" s="52">
        <v>89.437461999999996</v>
      </c>
      <c r="I185" s="120">
        <f t="shared" si="2"/>
        <v>1.2772839888606224E-2</v>
      </c>
      <c r="J185" s="120">
        <f t="shared" si="2"/>
        <v>2.1825596396496394E-4</v>
      </c>
      <c r="K185"/>
      <c r="M185" s="15"/>
      <c r="N185" s="15"/>
      <c r="O185" s="15"/>
      <c r="P185" s="15"/>
      <c r="Q185" s="15"/>
      <c r="R185" s="15"/>
      <c r="S185" s="15"/>
      <c r="T185" s="15"/>
      <c r="U185" s="15"/>
      <c r="V185" s="15"/>
      <c r="W185" s="15"/>
      <c r="X185" s="15"/>
    </row>
    <row r="186" spans="6:24" s="21" customFormat="1" ht="14.25" x14ac:dyDescent="0.45">
      <c r="F186" s="119">
        <v>43707</v>
      </c>
      <c r="G186" s="52">
        <v>276.15011600000003</v>
      </c>
      <c r="H186" s="52">
        <v>89.447211999999993</v>
      </c>
      <c r="I186" s="120">
        <f t="shared" si="2"/>
        <v>-4.4405747265807705E-4</v>
      </c>
      <c r="J186" s="120">
        <f t="shared" si="2"/>
        <v>1.0901472137025969E-4</v>
      </c>
      <c r="K186"/>
      <c r="M186" s="15"/>
      <c r="N186" s="15"/>
      <c r="O186" s="15"/>
      <c r="P186" s="15"/>
      <c r="Q186" s="15"/>
      <c r="R186" s="15"/>
      <c r="S186" s="15"/>
      <c r="T186" s="15"/>
      <c r="U186" s="15"/>
      <c r="V186" s="15"/>
      <c r="W186" s="15"/>
      <c r="X186" s="15"/>
    </row>
    <row r="187" spans="6:24" s="21" customFormat="1" ht="14.25" x14ac:dyDescent="0.45">
      <c r="F187" s="119">
        <v>43711</v>
      </c>
      <c r="G187" s="52">
        <v>274.53533900000002</v>
      </c>
      <c r="H187" s="52">
        <v>89.464850999999996</v>
      </c>
      <c r="I187" s="120">
        <f t="shared" si="2"/>
        <v>-5.8474608788504634E-3</v>
      </c>
      <c r="J187" s="120">
        <f t="shared" si="2"/>
        <v>1.9720010949031419E-4</v>
      </c>
      <c r="K187"/>
      <c r="M187" s="15"/>
      <c r="N187" s="15"/>
      <c r="O187" s="15"/>
      <c r="P187" s="15"/>
      <c r="Q187" s="15"/>
      <c r="R187" s="15"/>
      <c r="S187" s="15"/>
      <c r="T187" s="15"/>
      <c r="U187" s="15"/>
      <c r="V187" s="15"/>
      <c r="W187" s="15"/>
      <c r="X187" s="15"/>
    </row>
    <row r="188" spans="6:24" s="21" customFormat="1" ht="14.25" x14ac:dyDescent="0.45">
      <c r="F188" s="119">
        <v>43712</v>
      </c>
      <c r="G188" s="52">
        <v>277.65145899999999</v>
      </c>
      <c r="H188" s="52">
        <v>89.455062999999996</v>
      </c>
      <c r="I188" s="120">
        <f t="shared" si="2"/>
        <v>1.1350524166945153E-2</v>
      </c>
      <c r="J188" s="120">
        <f t="shared" si="2"/>
        <v>-1.0940609513787614E-4</v>
      </c>
      <c r="K188"/>
      <c r="M188" s="15"/>
      <c r="N188" s="15"/>
      <c r="O188" s="15"/>
      <c r="P188" s="15"/>
      <c r="Q188" s="15"/>
      <c r="R188" s="15"/>
      <c r="S188" s="15"/>
      <c r="T188" s="15"/>
      <c r="U188" s="15"/>
      <c r="V188" s="15"/>
      <c r="W188" s="15"/>
      <c r="X188" s="15"/>
    </row>
    <row r="189" spans="6:24" s="21" customFormat="1" ht="14.25" x14ac:dyDescent="0.45">
      <c r="F189" s="119">
        <v>43713</v>
      </c>
      <c r="G189" s="52">
        <v>281.22076399999997</v>
      </c>
      <c r="H189" s="52">
        <v>89.464850999999996</v>
      </c>
      <c r="I189" s="120">
        <f t="shared" si="2"/>
        <v>1.2855343936802432E-2</v>
      </c>
      <c r="J189" s="120">
        <f t="shared" si="2"/>
        <v>1.0941806614117588E-4</v>
      </c>
      <c r="K189"/>
      <c r="M189" s="15"/>
      <c r="N189" s="15"/>
      <c r="O189" s="15"/>
      <c r="P189" s="15"/>
      <c r="Q189" s="15"/>
      <c r="R189" s="15"/>
      <c r="S189" s="15"/>
      <c r="T189" s="15"/>
      <c r="U189" s="15"/>
      <c r="V189" s="15"/>
      <c r="W189" s="15"/>
      <c r="X189" s="15"/>
    </row>
    <row r="190" spans="6:24" s="21" customFormat="1" ht="14.25" x14ac:dyDescent="0.45">
      <c r="F190" s="119">
        <v>43714</v>
      </c>
      <c r="G190" s="52">
        <v>281.43789700000002</v>
      </c>
      <c r="H190" s="52">
        <v>89.474632</v>
      </c>
      <c r="I190" s="120">
        <f t="shared" si="2"/>
        <v>7.7210870531607689E-4</v>
      </c>
      <c r="J190" s="120">
        <f t="shared" si="2"/>
        <v>1.0932785211936746E-4</v>
      </c>
      <c r="K190"/>
      <c r="M190" s="15"/>
      <c r="N190" s="15"/>
      <c r="O190" s="15"/>
      <c r="P190" s="15"/>
      <c r="Q190" s="15"/>
      <c r="R190" s="15"/>
      <c r="S190" s="15"/>
      <c r="T190" s="15"/>
      <c r="U190" s="15"/>
      <c r="V190" s="15"/>
      <c r="W190" s="15"/>
      <c r="X190" s="15"/>
    </row>
    <row r="191" spans="6:24" s="21" customFormat="1" ht="14.25" x14ac:dyDescent="0.45">
      <c r="F191" s="119">
        <v>43717</v>
      </c>
      <c r="G191" s="52">
        <v>281.579498</v>
      </c>
      <c r="H191" s="52">
        <v>89.474632</v>
      </c>
      <c r="I191" s="120">
        <f t="shared" si="2"/>
        <v>5.0313408929425485E-4</v>
      </c>
      <c r="J191" s="120">
        <f t="shared" si="2"/>
        <v>0</v>
      </c>
      <c r="K191"/>
      <c r="M191" s="15"/>
      <c r="N191" s="15"/>
      <c r="O191" s="15"/>
      <c r="P191" s="15"/>
      <c r="Q191" s="15"/>
      <c r="R191" s="15"/>
      <c r="S191" s="15"/>
      <c r="T191" s="15"/>
      <c r="U191" s="15"/>
      <c r="V191" s="15"/>
      <c r="W191" s="15"/>
      <c r="X191" s="15"/>
    </row>
    <row r="192" spans="6:24" s="21" customFormat="1" ht="14.25" x14ac:dyDescent="0.45">
      <c r="F192" s="119">
        <v>43718</v>
      </c>
      <c r="G192" s="52">
        <v>281.51348899999999</v>
      </c>
      <c r="H192" s="52">
        <v>89.494193999999993</v>
      </c>
      <c r="I192" s="120">
        <f t="shared" si="2"/>
        <v>-2.3442402756190805E-4</v>
      </c>
      <c r="J192" s="120">
        <f t="shared" si="2"/>
        <v>2.1863180169323648E-4</v>
      </c>
      <c r="K192"/>
      <c r="M192" s="15"/>
      <c r="N192" s="15"/>
      <c r="O192" s="15"/>
      <c r="P192" s="15"/>
      <c r="Q192" s="15"/>
      <c r="R192" s="15"/>
      <c r="S192" s="15"/>
      <c r="T192" s="15"/>
      <c r="U192" s="15"/>
      <c r="V192" s="15"/>
      <c r="W192" s="15"/>
      <c r="X192" s="15"/>
    </row>
    <row r="193" spans="6:24" s="21" customFormat="1" ht="14.25" x14ac:dyDescent="0.45">
      <c r="F193" s="119">
        <v>43719</v>
      </c>
      <c r="G193" s="52">
        <v>283.51535000000001</v>
      </c>
      <c r="H193" s="52">
        <v>89.484413000000004</v>
      </c>
      <c r="I193" s="120">
        <f t="shared" si="2"/>
        <v>7.1110659993987024E-3</v>
      </c>
      <c r="J193" s="120">
        <f t="shared" si="2"/>
        <v>-1.0929200613829515E-4</v>
      </c>
      <c r="K193"/>
      <c r="M193" s="15"/>
      <c r="N193" s="15"/>
      <c r="O193" s="15"/>
      <c r="P193" s="15"/>
      <c r="Q193" s="15"/>
      <c r="R193" s="15"/>
      <c r="S193" s="15"/>
      <c r="T193" s="15"/>
      <c r="U193" s="15"/>
      <c r="V193" s="15"/>
      <c r="W193" s="15"/>
      <c r="X193" s="15"/>
    </row>
    <row r="194" spans="6:24" s="21" customFormat="1" ht="14.25" x14ac:dyDescent="0.45">
      <c r="F194" s="119">
        <v>43720</v>
      </c>
      <c r="G194" s="52">
        <v>284.497345</v>
      </c>
      <c r="H194" s="52">
        <v>89.503951999999998</v>
      </c>
      <c r="I194" s="120">
        <f t="shared" si="2"/>
        <v>3.4636396230398603E-3</v>
      </c>
      <c r="J194" s="120">
        <f t="shared" si="2"/>
        <v>2.1835087636978834E-4</v>
      </c>
      <c r="K194"/>
      <c r="M194" s="15"/>
      <c r="N194" s="15"/>
      <c r="O194" s="15"/>
      <c r="P194" s="15"/>
      <c r="Q194" s="15"/>
      <c r="R194" s="15"/>
      <c r="S194" s="15"/>
      <c r="T194" s="15"/>
      <c r="U194" s="15"/>
      <c r="V194" s="15"/>
      <c r="W194" s="15"/>
      <c r="X194" s="15"/>
    </row>
    <row r="195" spans="6:24" s="21" customFormat="1" ht="14.25" x14ac:dyDescent="0.45">
      <c r="F195" s="119">
        <v>43721</v>
      </c>
      <c r="G195" s="52">
        <v>284.30850199999998</v>
      </c>
      <c r="H195" s="52">
        <v>89.503951999999998</v>
      </c>
      <c r="I195" s="120">
        <f t="shared" si="2"/>
        <v>-6.6377772347936403E-4</v>
      </c>
      <c r="J195" s="120">
        <f t="shared" si="2"/>
        <v>0</v>
      </c>
      <c r="K195"/>
      <c r="M195" s="15"/>
      <c r="N195" s="15"/>
      <c r="O195" s="15"/>
      <c r="P195" s="15"/>
      <c r="Q195" s="15"/>
      <c r="R195" s="15"/>
      <c r="S195" s="15"/>
      <c r="T195" s="15"/>
      <c r="U195" s="15"/>
      <c r="V195" s="15"/>
      <c r="W195" s="15"/>
      <c r="X195" s="15"/>
    </row>
    <row r="196" spans="6:24" s="21" customFormat="1" ht="14.25" x14ac:dyDescent="0.45">
      <c r="F196" s="119">
        <v>43724</v>
      </c>
      <c r="G196" s="52">
        <v>283.43032799999997</v>
      </c>
      <c r="H196" s="52">
        <v>89.503951999999998</v>
      </c>
      <c r="I196" s="120">
        <f t="shared" si="2"/>
        <v>-3.0888066794428903E-3</v>
      </c>
      <c r="J196" s="120">
        <f t="shared" si="2"/>
        <v>0</v>
      </c>
      <c r="K196"/>
      <c r="M196" s="15"/>
      <c r="N196" s="15"/>
      <c r="O196" s="15"/>
      <c r="P196" s="15"/>
      <c r="Q196" s="15"/>
      <c r="R196" s="15"/>
      <c r="S196" s="15"/>
      <c r="T196" s="15"/>
      <c r="U196" s="15"/>
      <c r="V196" s="15"/>
      <c r="W196" s="15"/>
      <c r="X196" s="15"/>
    </row>
    <row r="197" spans="6:24" s="21" customFormat="1" ht="14.25" x14ac:dyDescent="0.45">
      <c r="F197" s="119">
        <v>43725</v>
      </c>
      <c r="G197" s="52">
        <v>284.14798000000002</v>
      </c>
      <c r="H197" s="52">
        <v>89.513756000000001</v>
      </c>
      <c r="I197" s="120">
        <f t="shared" si="2"/>
        <v>2.5320226140375102E-3</v>
      </c>
      <c r="J197" s="120">
        <f t="shared" si="2"/>
        <v>1.0953706267624597E-4</v>
      </c>
      <c r="K197"/>
      <c r="M197" s="15"/>
      <c r="N197" s="15"/>
      <c r="O197" s="15"/>
      <c r="P197" s="15"/>
      <c r="Q197" s="15"/>
      <c r="R197" s="15"/>
      <c r="S197" s="15"/>
      <c r="T197" s="15"/>
      <c r="U197" s="15"/>
      <c r="V197" s="15"/>
      <c r="W197" s="15"/>
      <c r="X197" s="15"/>
    </row>
    <row r="198" spans="6:24" s="21" customFormat="1" ht="14.25" x14ac:dyDescent="0.45">
      <c r="F198" s="119">
        <v>43726</v>
      </c>
      <c r="G198" s="52">
        <v>284.317993</v>
      </c>
      <c r="H198" s="52">
        <v>89.53331</v>
      </c>
      <c r="I198" s="120">
        <f t="shared" si="2"/>
        <v>5.9832556261696368E-4</v>
      </c>
      <c r="J198" s="120">
        <f t="shared" si="2"/>
        <v>2.1844687200922586E-4</v>
      </c>
      <c r="K198"/>
      <c r="M198" s="15"/>
      <c r="N198" s="15"/>
      <c r="O198" s="15"/>
      <c r="P198" s="15"/>
      <c r="Q198" s="15"/>
      <c r="R198" s="15"/>
      <c r="S198" s="15"/>
      <c r="T198" s="15"/>
      <c r="U198" s="15"/>
      <c r="V198" s="15"/>
      <c r="W198" s="15"/>
      <c r="X198" s="15"/>
    </row>
    <row r="199" spans="6:24" s="21" customFormat="1" ht="14.25" x14ac:dyDescent="0.45">
      <c r="F199" s="119">
        <v>43727</v>
      </c>
      <c r="G199" s="52">
        <v>284.29904199999999</v>
      </c>
      <c r="H199" s="52">
        <v>89.53331</v>
      </c>
      <c r="I199" s="120">
        <f t="shared" si="2"/>
        <v>-6.665424090834815E-5</v>
      </c>
      <c r="J199" s="120">
        <f t="shared" si="2"/>
        <v>0</v>
      </c>
      <c r="K199"/>
      <c r="M199" s="15"/>
      <c r="N199" s="15"/>
      <c r="O199" s="15"/>
      <c r="P199" s="15"/>
      <c r="Q199" s="15"/>
      <c r="R199" s="15"/>
      <c r="S199" s="15"/>
      <c r="T199" s="15"/>
      <c r="U199" s="15"/>
      <c r="V199" s="15"/>
      <c r="W199" s="15"/>
      <c r="X199" s="15"/>
    </row>
    <row r="200" spans="6:24" s="21" customFormat="1" ht="14.25" x14ac:dyDescent="0.45">
      <c r="F200" s="119">
        <v>43728</v>
      </c>
      <c r="G200" s="52">
        <v>282.95584100000002</v>
      </c>
      <c r="H200" s="52">
        <v>89.543098000000001</v>
      </c>
      <c r="I200" s="120">
        <f t="shared" si="2"/>
        <v>-4.7246061420072039E-3</v>
      </c>
      <c r="J200" s="120">
        <f t="shared" si="2"/>
        <v>1.0932244099981503E-4</v>
      </c>
      <c r="K200"/>
      <c r="M200" s="15"/>
      <c r="N200" s="15"/>
      <c r="O200" s="15"/>
      <c r="P200" s="15"/>
      <c r="Q200" s="15"/>
      <c r="R200" s="15"/>
      <c r="S200" s="15"/>
      <c r="T200" s="15"/>
      <c r="U200" s="15"/>
      <c r="V200" s="15"/>
      <c r="W200" s="15"/>
      <c r="X200" s="15"/>
    </row>
    <row r="201" spans="6:24" s="21" customFormat="1" ht="14.25" x14ac:dyDescent="0.45">
      <c r="F201" s="119">
        <v>43731</v>
      </c>
      <c r="G201" s="52">
        <v>282.88937399999998</v>
      </c>
      <c r="H201" s="52">
        <v>89.562652999999997</v>
      </c>
      <c r="I201" s="120">
        <f t="shared" si="2"/>
        <v>-2.3490237828327487E-4</v>
      </c>
      <c r="J201" s="120">
        <f t="shared" si="2"/>
        <v>2.1838645788196942E-4</v>
      </c>
      <c r="K201"/>
      <c r="M201" s="15"/>
      <c r="N201" s="15"/>
      <c r="O201" s="15"/>
      <c r="P201" s="15"/>
      <c r="Q201" s="15"/>
      <c r="R201" s="15"/>
      <c r="S201" s="15"/>
      <c r="T201" s="15"/>
      <c r="U201" s="15"/>
      <c r="V201" s="15"/>
      <c r="W201" s="15"/>
      <c r="X201" s="15"/>
    </row>
    <row r="202" spans="6:24" s="21" customFormat="1" ht="14.25" x14ac:dyDescent="0.45">
      <c r="F202" s="119">
        <v>43732</v>
      </c>
      <c r="G202" s="52">
        <v>280.66961700000002</v>
      </c>
      <c r="H202" s="52">
        <v>89.562652999999997</v>
      </c>
      <c r="I202" s="120">
        <f t="shared" si="2"/>
        <v>-7.8467316343948657E-3</v>
      </c>
      <c r="J202" s="120">
        <f t="shared" si="2"/>
        <v>0</v>
      </c>
      <c r="K202"/>
      <c r="M202" s="15"/>
      <c r="N202" s="15"/>
      <c r="O202" s="15"/>
      <c r="P202" s="15"/>
      <c r="Q202" s="15"/>
      <c r="R202" s="15"/>
      <c r="S202" s="15"/>
      <c r="T202" s="15"/>
      <c r="U202" s="15"/>
      <c r="V202" s="15"/>
      <c r="W202" s="15"/>
      <c r="X202" s="15"/>
    </row>
    <row r="203" spans="6:24" s="21" customFormat="1" ht="14.25" x14ac:dyDescent="0.45">
      <c r="F203" s="119">
        <v>43733</v>
      </c>
      <c r="G203" s="52">
        <v>282.32974200000001</v>
      </c>
      <c r="H203" s="52">
        <v>89.562652999999997</v>
      </c>
      <c r="I203" s="120">
        <f t="shared" si="2"/>
        <v>5.914872502925661E-3</v>
      </c>
      <c r="J203" s="120">
        <f t="shared" si="2"/>
        <v>0</v>
      </c>
      <c r="K203"/>
      <c r="M203" s="15"/>
      <c r="N203" s="15"/>
      <c r="O203" s="15"/>
      <c r="P203" s="15"/>
      <c r="Q203" s="15"/>
      <c r="R203" s="15"/>
      <c r="S203" s="15"/>
      <c r="T203" s="15"/>
      <c r="U203" s="15"/>
      <c r="V203" s="15"/>
      <c r="W203" s="15"/>
      <c r="X203" s="15"/>
    </row>
    <row r="204" spans="6:24" s="21" customFormat="1" ht="14.25" x14ac:dyDescent="0.45">
      <c r="F204" s="119">
        <v>43734</v>
      </c>
      <c r="G204" s="52">
        <v>281.74154700000003</v>
      </c>
      <c r="H204" s="52">
        <v>89.582222000000002</v>
      </c>
      <c r="I204" s="120">
        <f t="shared" si="2"/>
        <v>-2.0833618018182287E-3</v>
      </c>
      <c r="J204" s="120">
        <f t="shared" si="2"/>
        <v>2.1849509080529295E-4</v>
      </c>
      <c r="K204"/>
      <c r="M204" s="15"/>
      <c r="N204" s="15"/>
      <c r="O204" s="15"/>
      <c r="P204" s="15"/>
      <c r="Q204" s="15"/>
      <c r="R204" s="15"/>
      <c r="S204" s="15"/>
      <c r="T204" s="15"/>
      <c r="U204" s="15"/>
      <c r="V204" s="15"/>
      <c r="W204" s="15"/>
      <c r="X204" s="15"/>
    </row>
    <row r="205" spans="6:24" s="21" customFormat="1" ht="14.25" x14ac:dyDescent="0.45">
      <c r="F205" s="119">
        <v>43735</v>
      </c>
      <c r="G205" s="52">
        <v>280.223724</v>
      </c>
      <c r="H205" s="52">
        <v>89.582222000000002</v>
      </c>
      <c r="I205" s="120">
        <f t="shared" si="2"/>
        <v>-5.3872885137526971E-3</v>
      </c>
      <c r="J205" s="120">
        <f t="shared" si="2"/>
        <v>0</v>
      </c>
      <c r="K205"/>
      <c r="M205" s="15"/>
      <c r="N205" s="15"/>
      <c r="O205" s="15"/>
      <c r="P205" s="15"/>
      <c r="Q205" s="15"/>
      <c r="R205" s="15"/>
      <c r="S205" s="15"/>
      <c r="T205" s="15"/>
      <c r="U205" s="15"/>
      <c r="V205" s="15"/>
      <c r="W205" s="15"/>
      <c r="X205" s="15"/>
    </row>
    <row r="206" spans="6:24" s="21" customFormat="1" ht="14.25" x14ac:dyDescent="0.45">
      <c r="F206" s="119">
        <v>43738</v>
      </c>
      <c r="G206" s="52">
        <v>281.52337599999998</v>
      </c>
      <c r="H206" s="52">
        <v>89.591994999999997</v>
      </c>
      <c r="I206" s="120">
        <f t="shared" si="2"/>
        <v>4.6379085305425782E-3</v>
      </c>
      <c r="J206" s="120">
        <f t="shared" si="2"/>
        <v>1.0909530687897018E-4</v>
      </c>
      <c r="K206"/>
      <c r="M206" s="15"/>
      <c r="N206" s="15"/>
      <c r="O206" s="15"/>
      <c r="P206" s="15"/>
      <c r="Q206" s="15"/>
      <c r="R206" s="15"/>
      <c r="S206" s="15"/>
      <c r="T206" s="15"/>
      <c r="U206" s="15"/>
      <c r="V206" s="15"/>
      <c r="W206" s="15"/>
      <c r="X206" s="15"/>
    </row>
    <row r="207" spans="6:24" s="21" customFormat="1" ht="14.25" x14ac:dyDescent="0.45">
      <c r="F207" s="119">
        <v>43739</v>
      </c>
      <c r="G207" s="52">
        <v>278.17474399999998</v>
      </c>
      <c r="H207" s="52">
        <v>89.58905</v>
      </c>
      <c r="I207" s="120">
        <f t="shared" si="2"/>
        <v>-1.1894685434576502E-2</v>
      </c>
      <c r="J207" s="120">
        <f t="shared" si="2"/>
        <v>-3.2871240337906116E-5</v>
      </c>
      <c r="K207"/>
      <c r="M207" s="15"/>
      <c r="N207" s="15"/>
      <c r="O207" s="15"/>
      <c r="P207" s="15"/>
      <c r="Q207" s="15"/>
      <c r="R207" s="15"/>
      <c r="S207" s="15"/>
      <c r="T207" s="15"/>
      <c r="U207" s="15"/>
      <c r="V207" s="15"/>
      <c r="W207" s="15"/>
      <c r="X207" s="15"/>
    </row>
    <row r="208" spans="6:24" s="21" customFormat="1" ht="14.25" x14ac:dyDescent="0.45">
      <c r="F208" s="119">
        <v>43740</v>
      </c>
      <c r="G208" s="52">
        <v>273.26086400000003</v>
      </c>
      <c r="H208" s="52">
        <v>89.58905</v>
      </c>
      <c r="I208" s="120">
        <f t="shared" si="2"/>
        <v>-1.7664723724882592E-2</v>
      </c>
      <c r="J208" s="120">
        <f t="shared" si="2"/>
        <v>0</v>
      </c>
      <c r="K208"/>
      <c r="M208" s="15"/>
      <c r="N208" s="15"/>
      <c r="O208" s="15"/>
      <c r="P208" s="15"/>
      <c r="Q208" s="15"/>
      <c r="R208" s="15"/>
      <c r="S208" s="15"/>
      <c r="T208" s="15"/>
      <c r="U208" s="15"/>
      <c r="V208" s="15"/>
      <c r="W208" s="15"/>
      <c r="X208" s="15"/>
    </row>
    <row r="209" spans="6:24" s="21" customFormat="1" ht="14.25" x14ac:dyDescent="0.45">
      <c r="F209" s="119">
        <v>43741</v>
      </c>
      <c r="G209" s="52">
        <v>275.49960299999998</v>
      </c>
      <c r="H209" s="52">
        <v>89.618454</v>
      </c>
      <c r="I209" s="120">
        <f t="shared" si="2"/>
        <v>8.19268067600043E-3</v>
      </c>
      <c r="J209" s="120">
        <f t="shared" si="2"/>
        <v>3.2820975331238067E-4</v>
      </c>
      <c r="K209"/>
      <c r="M209" s="15"/>
      <c r="N209" s="15"/>
      <c r="O209" s="15"/>
      <c r="P209" s="15"/>
      <c r="Q209" s="15"/>
      <c r="R209" s="15"/>
      <c r="S209" s="15"/>
      <c r="T209" s="15"/>
      <c r="U209" s="15"/>
      <c r="V209" s="15"/>
      <c r="W209" s="15"/>
      <c r="X209" s="15"/>
    </row>
    <row r="210" spans="6:24" s="21" customFormat="1" ht="14.25" x14ac:dyDescent="0.45">
      <c r="F210" s="119">
        <v>43742</v>
      </c>
      <c r="G210" s="52">
        <v>279.22778299999999</v>
      </c>
      <c r="H210" s="52">
        <v>89.618454</v>
      </c>
      <c r="I210" s="120">
        <f t="shared" si="2"/>
        <v>1.3532433293560908E-2</v>
      </c>
      <c r="J210" s="120">
        <f t="shared" si="2"/>
        <v>0</v>
      </c>
      <c r="K210"/>
      <c r="M210" s="15"/>
      <c r="N210" s="15"/>
      <c r="O210" s="15"/>
      <c r="P210" s="15"/>
      <c r="Q210" s="15"/>
      <c r="R210" s="15"/>
      <c r="S210" s="15"/>
      <c r="T210" s="15"/>
      <c r="U210" s="15"/>
      <c r="V210" s="15"/>
      <c r="W210" s="15"/>
      <c r="X210" s="15"/>
    </row>
    <row r="211" spans="6:24" s="21" customFormat="1" ht="14.25" x14ac:dyDescent="0.45">
      <c r="F211" s="119">
        <v>43745</v>
      </c>
      <c r="G211" s="52">
        <v>278.022919</v>
      </c>
      <c r="H211" s="52">
        <v>89.628264999999999</v>
      </c>
      <c r="I211" s="120">
        <f t="shared" si="2"/>
        <v>-4.3149860914807325E-3</v>
      </c>
      <c r="J211" s="120">
        <f t="shared" si="2"/>
        <v>1.094752203603111E-4</v>
      </c>
      <c r="K211"/>
      <c r="M211" s="15"/>
      <c r="N211" s="15"/>
      <c r="O211" s="15"/>
      <c r="P211" s="15"/>
      <c r="Q211" s="15"/>
      <c r="R211" s="15"/>
      <c r="S211" s="15"/>
      <c r="T211" s="15"/>
      <c r="U211" s="15"/>
      <c r="V211" s="15"/>
      <c r="W211" s="15"/>
      <c r="X211" s="15"/>
    </row>
    <row r="212" spans="6:24" s="21" customFormat="1" ht="14.25" x14ac:dyDescent="0.45">
      <c r="F212" s="119">
        <v>43746</v>
      </c>
      <c r="G212" s="52">
        <v>273.706726</v>
      </c>
      <c r="H212" s="52">
        <v>89.628264999999999</v>
      </c>
      <c r="I212" s="120">
        <f t="shared" ref="I212:J275" si="3">G212/G211-1</f>
        <v>-1.5524594215198473E-2</v>
      </c>
      <c r="J212" s="120">
        <f t="shared" si="3"/>
        <v>0</v>
      </c>
      <c r="K212"/>
      <c r="M212" s="15"/>
      <c r="N212" s="15"/>
      <c r="O212" s="15"/>
      <c r="P212" s="15"/>
      <c r="Q212" s="15"/>
      <c r="R212" s="15"/>
      <c r="S212" s="15"/>
      <c r="T212" s="15"/>
      <c r="U212" s="15"/>
      <c r="V212" s="15"/>
      <c r="W212" s="15"/>
      <c r="X212" s="15"/>
    </row>
    <row r="213" spans="6:24" s="21" customFormat="1" ht="14.25" x14ac:dyDescent="0.45">
      <c r="F213" s="119">
        <v>43747</v>
      </c>
      <c r="G213" s="52">
        <v>276.30590799999999</v>
      </c>
      <c r="H213" s="52">
        <v>89.628264999999999</v>
      </c>
      <c r="I213" s="120">
        <f t="shared" si="3"/>
        <v>9.4962299172727249E-3</v>
      </c>
      <c r="J213" s="120">
        <f t="shared" si="3"/>
        <v>0</v>
      </c>
      <c r="K213"/>
      <c r="M213" s="15"/>
      <c r="N213" s="15"/>
      <c r="O213" s="15"/>
      <c r="P213" s="15"/>
      <c r="Q213" s="15"/>
      <c r="R213" s="15"/>
      <c r="S213" s="15"/>
      <c r="T213" s="15"/>
      <c r="U213" s="15"/>
      <c r="V213" s="15"/>
      <c r="W213" s="15"/>
      <c r="X213" s="15"/>
    </row>
    <row r="214" spans="6:24" s="21" customFormat="1" ht="14.25" x14ac:dyDescent="0.45">
      <c r="F214" s="119">
        <v>43748</v>
      </c>
      <c r="G214" s="52">
        <v>278.17474399999998</v>
      </c>
      <c r="H214" s="52">
        <v>89.647841999999997</v>
      </c>
      <c r="I214" s="120">
        <f t="shared" si="3"/>
        <v>6.7636483545621129E-3</v>
      </c>
      <c r="J214" s="120">
        <f t="shared" si="3"/>
        <v>2.1842439993680074E-4</v>
      </c>
      <c r="K214"/>
      <c r="M214" s="15"/>
      <c r="N214" s="15"/>
      <c r="O214" s="15"/>
      <c r="P214" s="15"/>
      <c r="Q214" s="15"/>
      <c r="R214" s="15"/>
      <c r="S214" s="15"/>
      <c r="T214" s="15"/>
      <c r="U214" s="15"/>
      <c r="V214" s="15"/>
      <c r="W214" s="15"/>
      <c r="X214" s="15"/>
    </row>
    <row r="215" spans="6:24" s="21" customFormat="1" ht="14.25" x14ac:dyDescent="0.45">
      <c r="F215" s="119">
        <v>43749</v>
      </c>
      <c r="G215" s="52">
        <v>281.05856299999999</v>
      </c>
      <c r="H215" s="52">
        <v>89.657639000000003</v>
      </c>
      <c r="I215" s="120">
        <f t="shared" si="3"/>
        <v>1.0366933239633003E-2</v>
      </c>
      <c r="J215" s="120">
        <f t="shared" si="3"/>
        <v>1.0928316601321875E-4</v>
      </c>
      <c r="K215"/>
      <c r="M215" s="15"/>
      <c r="N215" s="15"/>
      <c r="O215" s="15"/>
      <c r="P215" s="15"/>
      <c r="Q215" s="15"/>
      <c r="R215" s="15"/>
      <c r="S215" s="15"/>
      <c r="T215" s="15"/>
      <c r="U215" s="15"/>
      <c r="V215" s="15"/>
      <c r="W215" s="15"/>
      <c r="X215" s="15"/>
    </row>
    <row r="216" spans="6:24" s="21" customFormat="1" ht="14.25" x14ac:dyDescent="0.45">
      <c r="F216" s="119">
        <v>43752</v>
      </c>
      <c r="G216" s="52">
        <v>280.745544</v>
      </c>
      <c r="H216" s="52">
        <v>89.647841999999997</v>
      </c>
      <c r="I216" s="120">
        <f t="shared" si="3"/>
        <v>-1.1137145108082169E-3</v>
      </c>
      <c r="J216" s="120">
        <f t="shared" si="3"/>
        <v>-1.0927122450776761E-4</v>
      </c>
      <c r="K216"/>
      <c r="M216" s="15"/>
      <c r="N216" s="15"/>
      <c r="O216" s="15"/>
      <c r="P216" s="15"/>
      <c r="Q216" s="15"/>
      <c r="R216" s="15"/>
      <c r="S216" s="15"/>
      <c r="T216" s="15"/>
      <c r="U216" s="15"/>
      <c r="V216" s="15"/>
      <c r="W216" s="15"/>
      <c r="X216" s="15"/>
    </row>
    <row r="217" spans="6:24" s="21" customFormat="1" ht="14.25" x14ac:dyDescent="0.45">
      <c r="F217" s="119">
        <v>43753</v>
      </c>
      <c r="G217" s="52">
        <v>283.52499399999999</v>
      </c>
      <c r="H217" s="52">
        <v>89.657639000000003</v>
      </c>
      <c r="I217" s="120">
        <f t="shared" si="3"/>
        <v>9.9002461816455334E-3</v>
      </c>
      <c r="J217" s="120">
        <f t="shared" si="3"/>
        <v>1.0928316601321875E-4</v>
      </c>
      <c r="K217"/>
      <c r="M217" s="15"/>
      <c r="N217" s="15"/>
      <c r="O217" s="15"/>
      <c r="P217" s="15"/>
      <c r="Q217" s="15"/>
      <c r="R217" s="15"/>
      <c r="S217" s="15"/>
      <c r="T217" s="15"/>
      <c r="U217" s="15"/>
      <c r="V217" s="15"/>
      <c r="W217" s="15"/>
      <c r="X217" s="15"/>
    </row>
    <row r="218" spans="6:24" s="21" customFormat="1" ht="14.25" x14ac:dyDescent="0.45">
      <c r="F218" s="119">
        <v>43754</v>
      </c>
      <c r="G218" s="52">
        <v>283.06964099999999</v>
      </c>
      <c r="H218" s="52">
        <v>89.667434999999998</v>
      </c>
      <c r="I218" s="120">
        <f t="shared" si="3"/>
        <v>-1.6060418292435097E-3</v>
      </c>
      <c r="J218" s="120">
        <f t="shared" si="3"/>
        <v>1.0926007096845325E-4</v>
      </c>
      <c r="K218"/>
      <c r="M218" s="15"/>
      <c r="N218" s="15"/>
      <c r="O218" s="15"/>
      <c r="P218" s="15"/>
      <c r="Q218" s="15"/>
      <c r="R218" s="15"/>
      <c r="S218" s="15"/>
      <c r="T218" s="15"/>
      <c r="U218" s="15"/>
      <c r="V218" s="15"/>
      <c r="W218" s="15"/>
      <c r="X218" s="15"/>
    </row>
    <row r="219" spans="6:24" s="21" customFormat="1" ht="14.25" x14ac:dyDescent="0.45">
      <c r="F219" s="119">
        <v>43755</v>
      </c>
      <c r="G219" s="52">
        <v>283.904449</v>
      </c>
      <c r="H219" s="52">
        <v>89.677238000000003</v>
      </c>
      <c r="I219" s="120">
        <f t="shared" si="3"/>
        <v>2.9491258654614771E-3</v>
      </c>
      <c r="J219" s="120">
        <f t="shared" si="3"/>
        <v>1.0932620075521093E-4</v>
      </c>
      <c r="K219"/>
      <c r="M219" s="15"/>
      <c r="N219" s="15"/>
      <c r="O219" s="15"/>
      <c r="P219" s="15"/>
      <c r="Q219" s="15"/>
      <c r="R219" s="15"/>
      <c r="S219" s="15"/>
      <c r="T219" s="15"/>
      <c r="U219" s="15"/>
      <c r="V219" s="15"/>
      <c r="W219" s="15"/>
      <c r="X219" s="15"/>
    </row>
    <row r="220" spans="6:24" s="21" customFormat="1" ht="14.25" x14ac:dyDescent="0.45">
      <c r="F220" s="119">
        <v>43756</v>
      </c>
      <c r="G220" s="52">
        <v>282.66171300000002</v>
      </c>
      <c r="H220" s="52">
        <v>89.677238000000003</v>
      </c>
      <c r="I220" s="120">
        <f t="shared" si="3"/>
        <v>-4.377303717420733E-3</v>
      </c>
      <c r="J220" s="120">
        <f t="shared" si="3"/>
        <v>0</v>
      </c>
      <c r="K220"/>
      <c r="M220" s="15"/>
      <c r="N220" s="15"/>
      <c r="O220" s="15"/>
      <c r="P220" s="15"/>
      <c r="Q220" s="15"/>
      <c r="R220" s="15"/>
      <c r="S220" s="15"/>
      <c r="T220" s="15"/>
      <c r="U220" s="15"/>
      <c r="V220" s="15"/>
      <c r="W220" s="15"/>
      <c r="X220" s="15"/>
    </row>
    <row r="221" spans="6:24" s="21" customFormat="1" ht="14.25" x14ac:dyDescent="0.45">
      <c r="F221" s="119">
        <v>43759</v>
      </c>
      <c r="G221" s="52">
        <v>284.57794200000001</v>
      </c>
      <c r="H221" s="52">
        <v>89.687034999999995</v>
      </c>
      <c r="I221" s="120">
        <f t="shared" si="3"/>
        <v>6.7792308327232487E-3</v>
      </c>
      <c r="J221" s="120">
        <f t="shared" si="3"/>
        <v>1.0924734323314311E-4</v>
      </c>
      <c r="K221"/>
      <c r="M221" s="15"/>
      <c r="N221" s="15"/>
      <c r="O221" s="15"/>
      <c r="P221" s="15"/>
      <c r="Q221" s="15"/>
      <c r="R221" s="15"/>
      <c r="S221" s="15"/>
      <c r="T221" s="15"/>
      <c r="U221" s="15"/>
      <c r="V221" s="15"/>
      <c r="W221" s="15"/>
      <c r="X221" s="15"/>
    </row>
    <row r="222" spans="6:24" s="21" customFormat="1" ht="14.25" x14ac:dyDescent="0.45">
      <c r="F222" s="119">
        <v>43760</v>
      </c>
      <c r="G222" s="52">
        <v>283.64828499999999</v>
      </c>
      <c r="H222" s="52">
        <v>89.687034999999995</v>
      </c>
      <c r="I222" s="120">
        <f t="shared" si="3"/>
        <v>-3.2667921957212354E-3</v>
      </c>
      <c r="J222" s="120">
        <f t="shared" si="3"/>
        <v>0</v>
      </c>
      <c r="K222"/>
      <c r="M222" s="15"/>
      <c r="N222" s="15"/>
      <c r="O222" s="15"/>
      <c r="P222" s="15"/>
      <c r="Q222" s="15"/>
      <c r="R222" s="15"/>
      <c r="S222" s="15"/>
      <c r="T222" s="15"/>
      <c r="U222" s="15"/>
      <c r="V222" s="15"/>
      <c r="W222" s="15"/>
      <c r="X222" s="15"/>
    </row>
    <row r="223" spans="6:24" s="21" customFormat="1" ht="14.25" x14ac:dyDescent="0.45">
      <c r="F223" s="119">
        <v>43761</v>
      </c>
      <c r="G223" s="52">
        <v>284.47366299999999</v>
      </c>
      <c r="H223" s="52">
        <v>89.687034999999995</v>
      </c>
      <c r="I223" s="120">
        <f t="shared" si="3"/>
        <v>2.9098642355620541E-3</v>
      </c>
      <c r="J223" s="120">
        <f t="shared" si="3"/>
        <v>0</v>
      </c>
      <c r="K223"/>
      <c r="M223" s="15"/>
      <c r="N223" s="15"/>
      <c r="O223" s="15"/>
      <c r="P223" s="15"/>
      <c r="Q223" s="15"/>
      <c r="R223" s="15"/>
      <c r="S223" s="15"/>
      <c r="T223" s="15"/>
      <c r="U223" s="15"/>
      <c r="V223" s="15"/>
      <c r="W223" s="15"/>
      <c r="X223" s="15"/>
    </row>
    <row r="224" spans="6:24" s="21" customFormat="1" ht="14.25" x14ac:dyDescent="0.45">
      <c r="F224" s="119">
        <v>43762</v>
      </c>
      <c r="G224" s="52">
        <v>284.938446</v>
      </c>
      <c r="H224" s="52">
        <v>89.706619000000003</v>
      </c>
      <c r="I224" s="120">
        <f t="shared" si="3"/>
        <v>1.6338349044284772E-3</v>
      </c>
      <c r="J224" s="120">
        <f t="shared" si="3"/>
        <v>2.1835932027425287E-4</v>
      </c>
      <c r="K224"/>
      <c r="M224" s="15"/>
      <c r="N224" s="15"/>
      <c r="O224" s="15"/>
      <c r="P224" s="15"/>
      <c r="Q224" s="15"/>
      <c r="R224" s="15"/>
      <c r="S224" s="15"/>
      <c r="T224" s="15"/>
      <c r="U224" s="15"/>
      <c r="V224" s="15"/>
      <c r="W224" s="15"/>
      <c r="X224" s="15"/>
    </row>
    <row r="225" spans="6:24" s="21" customFormat="1" ht="14.25" x14ac:dyDescent="0.45">
      <c r="F225" s="119">
        <v>43763</v>
      </c>
      <c r="G225" s="52">
        <v>286.10519399999998</v>
      </c>
      <c r="H225" s="52">
        <v>89.706619000000003</v>
      </c>
      <c r="I225" s="120">
        <f t="shared" si="3"/>
        <v>4.0947370085677726E-3</v>
      </c>
      <c r="J225" s="120">
        <f t="shared" si="3"/>
        <v>0</v>
      </c>
      <c r="K225"/>
      <c r="M225" s="15"/>
      <c r="N225" s="15"/>
      <c r="O225" s="15"/>
      <c r="P225" s="15"/>
      <c r="Q225" s="15"/>
      <c r="R225" s="15"/>
      <c r="S225" s="15"/>
      <c r="T225" s="15"/>
      <c r="U225" s="15"/>
      <c r="V225" s="15"/>
      <c r="W225" s="15"/>
      <c r="X225" s="15"/>
    </row>
    <row r="226" spans="6:24" s="21" customFormat="1" ht="14.25" x14ac:dyDescent="0.45">
      <c r="F226" s="119">
        <v>43766</v>
      </c>
      <c r="G226" s="52">
        <v>287.71792599999998</v>
      </c>
      <c r="H226" s="52">
        <v>89.696815000000001</v>
      </c>
      <c r="I226" s="120">
        <f t="shared" si="3"/>
        <v>5.6368497805041606E-3</v>
      </c>
      <c r="J226" s="120">
        <f t="shared" si="3"/>
        <v>-1.0928959433864627E-4</v>
      </c>
      <c r="K226"/>
      <c r="M226" s="15"/>
      <c r="N226" s="15"/>
      <c r="O226" s="15"/>
      <c r="P226" s="15"/>
      <c r="Q226" s="15"/>
      <c r="R226" s="15"/>
      <c r="S226" s="15"/>
      <c r="T226" s="15"/>
      <c r="U226" s="15"/>
      <c r="V226" s="15"/>
      <c r="W226" s="15"/>
      <c r="X226" s="15"/>
    </row>
    <row r="227" spans="6:24" s="21" customFormat="1" ht="14.25" x14ac:dyDescent="0.45">
      <c r="F227" s="119">
        <v>43767</v>
      </c>
      <c r="G227" s="52">
        <v>287.63247699999999</v>
      </c>
      <c r="H227" s="52">
        <v>89.716431</v>
      </c>
      <c r="I227" s="120">
        <f t="shared" si="3"/>
        <v>-2.9698879450412718E-4</v>
      </c>
      <c r="J227" s="120">
        <f t="shared" si="3"/>
        <v>2.1869226906212624E-4</v>
      </c>
      <c r="K227"/>
      <c r="M227" s="15"/>
      <c r="N227" s="15"/>
      <c r="O227" s="15"/>
      <c r="P227" s="15"/>
      <c r="Q227" s="15"/>
      <c r="R227" s="15"/>
      <c r="S227" s="15"/>
      <c r="T227" s="15"/>
      <c r="U227" s="15"/>
      <c r="V227" s="15"/>
      <c r="W227" s="15"/>
      <c r="X227" s="15"/>
    </row>
    <row r="228" spans="6:24" s="21" customFormat="1" ht="14.25" x14ac:dyDescent="0.45">
      <c r="F228" s="119">
        <v>43768</v>
      </c>
      <c r="G228" s="52">
        <v>288.514771</v>
      </c>
      <c r="H228" s="52">
        <v>89.726212000000004</v>
      </c>
      <c r="I228" s="120">
        <f t="shared" si="3"/>
        <v>3.0674352534953986E-3</v>
      </c>
      <c r="J228" s="120">
        <f t="shared" si="3"/>
        <v>1.090212783876332E-4</v>
      </c>
      <c r="K228"/>
      <c r="M228" s="15"/>
      <c r="N228" s="15"/>
      <c r="O228" s="15"/>
      <c r="P228" s="15"/>
      <c r="Q228" s="15"/>
      <c r="R228" s="15"/>
      <c r="S228" s="15"/>
      <c r="T228" s="15"/>
      <c r="U228" s="15"/>
      <c r="V228" s="15"/>
      <c r="W228" s="15"/>
      <c r="X228" s="15"/>
    </row>
    <row r="229" spans="6:24" s="21" customFormat="1" ht="14.25" x14ac:dyDescent="0.45">
      <c r="F229" s="119">
        <v>43769</v>
      </c>
      <c r="G229" s="52">
        <v>287.74636800000002</v>
      </c>
      <c r="H229" s="52">
        <v>89.736007999999998</v>
      </c>
      <c r="I229" s="120">
        <f t="shared" si="3"/>
        <v>-2.6633055816749351E-3</v>
      </c>
      <c r="J229" s="120">
        <f t="shared" si="3"/>
        <v>1.0917656927267316E-4</v>
      </c>
      <c r="K229"/>
      <c r="M229" s="15"/>
      <c r="N229" s="15"/>
      <c r="O229" s="15"/>
      <c r="P229" s="15"/>
      <c r="Q229" s="15"/>
      <c r="R229" s="15"/>
      <c r="S229" s="15"/>
      <c r="T229" s="15"/>
      <c r="U229" s="15"/>
      <c r="V229" s="15"/>
      <c r="W229" s="15"/>
      <c r="X229" s="15"/>
    </row>
    <row r="230" spans="6:24" s="21" customFormat="1" ht="14.25" x14ac:dyDescent="0.45">
      <c r="F230" s="119">
        <v>43770</v>
      </c>
      <c r="G230" s="52">
        <v>290.41195699999997</v>
      </c>
      <c r="H230" s="52">
        <v>89.735039</v>
      </c>
      <c r="I230" s="120">
        <f t="shared" si="3"/>
        <v>9.2636755713975116E-3</v>
      </c>
      <c r="J230" s="120">
        <f t="shared" si="3"/>
        <v>-1.0798340839945908E-5</v>
      </c>
      <c r="K230"/>
      <c r="M230" s="15"/>
      <c r="N230" s="15"/>
      <c r="O230" s="15"/>
      <c r="P230" s="15"/>
      <c r="Q230" s="15"/>
      <c r="R230" s="15"/>
      <c r="S230" s="15"/>
      <c r="T230" s="15"/>
      <c r="U230" s="15"/>
      <c r="V230" s="15"/>
      <c r="W230" s="15"/>
      <c r="X230" s="15"/>
    </row>
    <row r="231" spans="6:24" s="21" customFormat="1" ht="14.25" x14ac:dyDescent="0.45">
      <c r="F231" s="119">
        <v>43773</v>
      </c>
      <c r="G231" s="52">
        <v>291.57879600000001</v>
      </c>
      <c r="H231" s="52">
        <v>89.74485</v>
      </c>
      <c r="I231" s="120">
        <f t="shared" si="3"/>
        <v>4.017875200641452E-3</v>
      </c>
      <c r="J231" s="120">
        <f t="shared" si="3"/>
        <v>1.0933298864457264E-4</v>
      </c>
      <c r="K231"/>
      <c r="M231" s="15"/>
      <c r="N231" s="15"/>
      <c r="O231" s="15"/>
      <c r="P231" s="15"/>
      <c r="Q231" s="15"/>
      <c r="R231" s="15"/>
      <c r="S231" s="15"/>
      <c r="T231" s="15"/>
      <c r="U231" s="15"/>
      <c r="V231" s="15"/>
      <c r="W231" s="15"/>
      <c r="X231" s="15"/>
    </row>
    <row r="232" spans="6:24" s="21" customFormat="1" ht="14.25" x14ac:dyDescent="0.45">
      <c r="F232" s="119">
        <v>43774</v>
      </c>
      <c r="G232" s="52">
        <v>291.25622600000003</v>
      </c>
      <c r="H232" s="52">
        <v>89.735039</v>
      </c>
      <c r="I232" s="120">
        <f t="shared" si="3"/>
        <v>-1.1062875779210835E-3</v>
      </c>
      <c r="J232" s="120">
        <f t="shared" si="3"/>
        <v>-1.0932103624883283E-4</v>
      </c>
      <c r="K232"/>
      <c r="M232" s="15"/>
      <c r="N232" s="15"/>
      <c r="O232" s="15"/>
      <c r="P232" s="15"/>
      <c r="Q232" s="15"/>
      <c r="R232" s="15"/>
      <c r="S232" s="15"/>
      <c r="T232" s="15"/>
      <c r="U232" s="15"/>
      <c r="V232" s="15"/>
      <c r="W232" s="15"/>
      <c r="X232" s="15"/>
    </row>
    <row r="233" spans="6:24" s="21" customFormat="1" ht="14.25" x14ac:dyDescent="0.45">
      <c r="F233" s="119">
        <v>43775</v>
      </c>
      <c r="G233" s="52">
        <v>291.322632</v>
      </c>
      <c r="H233" s="52">
        <v>89.74485</v>
      </c>
      <c r="I233" s="120">
        <f t="shared" si="3"/>
        <v>2.2799855959121373E-4</v>
      </c>
      <c r="J233" s="120">
        <f t="shared" si="3"/>
        <v>1.0933298864457264E-4</v>
      </c>
      <c r="K233"/>
      <c r="M233" s="15"/>
      <c r="N233" s="15"/>
      <c r="O233" s="15"/>
      <c r="P233" s="15"/>
      <c r="Q233" s="15"/>
      <c r="R233" s="15"/>
      <c r="S233" s="15"/>
      <c r="T233" s="15"/>
      <c r="U233" s="15"/>
      <c r="V233" s="15"/>
      <c r="W233" s="15"/>
      <c r="X233" s="15"/>
    </row>
    <row r="234" spans="6:24" s="21" customFormat="1" ht="14.25" x14ac:dyDescent="0.45">
      <c r="F234" s="119">
        <v>43776</v>
      </c>
      <c r="G234" s="52">
        <v>292.34716800000001</v>
      </c>
      <c r="H234" s="52">
        <v>89.764472999999995</v>
      </c>
      <c r="I234" s="120">
        <f t="shared" si="3"/>
        <v>3.5168431404257738E-3</v>
      </c>
      <c r="J234" s="120">
        <f t="shared" si="3"/>
        <v>2.1865321519842773E-4</v>
      </c>
      <c r="K234"/>
      <c r="M234" s="15"/>
      <c r="N234" s="15"/>
      <c r="O234" s="15"/>
      <c r="P234" s="15"/>
      <c r="Q234" s="15"/>
      <c r="R234" s="15"/>
      <c r="S234" s="15"/>
      <c r="T234" s="15"/>
      <c r="U234" s="15"/>
      <c r="V234" s="15"/>
      <c r="W234" s="15"/>
      <c r="X234" s="15"/>
    </row>
    <row r="235" spans="6:24" s="21" customFormat="1" ht="14.25" x14ac:dyDescent="0.45">
      <c r="F235" s="119">
        <v>43777</v>
      </c>
      <c r="G235" s="52">
        <v>293.06811499999998</v>
      </c>
      <c r="H235" s="52">
        <v>89.764472999999995</v>
      </c>
      <c r="I235" s="120">
        <f t="shared" si="3"/>
        <v>2.4660645934493353E-3</v>
      </c>
      <c r="J235" s="120">
        <f t="shared" si="3"/>
        <v>0</v>
      </c>
      <c r="K235"/>
      <c r="M235" s="15"/>
      <c r="N235" s="15"/>
      <c r="O235" s="15"/>
      <c r="P235" s="15"/>
      <c r="Q235" s="15"/>
      <c r="R235" s="15"/>
      <c r="S235" s="15"/>
      <c r="T235" s="15"/>
      <c r="U235" s="15"/>
      <c r="V235" s="15"/>
      <c r="W235" s="15"/>
      <c r="X235" s="15"/>
    </row>
    <row r="236" spans="6:24" s="21" customFormat="1" ht="14.25" x14ac:dyDescent="0.45">
      <c r="F236" s="119">
        <v>43780</v>
      </c>
      <c r="G236" s="52">
        <v>292.50845299999997</v>
      </c>
      <c r="H236" s="52">
        <v>89.764472999999995</v>
      </c>
      <c r="I236" s="120">
        <f t="shared" si="3"/>
        <v>-1.9096652667247582E-3</v>
      </c>
      <c r="J236" s="120">
        <f t="shared" si="3"/>
        <v>0</v>
      </c>
      <c r="K236"/>
      <c r="M236" s="15"/>
      <c r="N236" s="15"/>
      <c r="O236" s="15"/>
      <c r="P236" s="15"/>
      <c r="Q236" s="15"/>
      <c r="R236" s="15"/>
      <c r="S236" s="15"/>
      <c r="T236" s="15"/>
      <c r="U236" s="15"/>
      <c r="V236" s="15"/>
      <c r="W236" s="15"/>
      <c r="X236" s="15"/>
    </row>
    <row r="237" spans="6:24" s="21" customFormat="1" ht="14.25" x14ac:dyDescent="0.45">
      <c r="F237" s="119">
        <v>43781</v>
      </c>
      <c r="G237" s="52">
        <v>293.12506100000002</v>
      </c>
      <c r="H237" s="52">
        <v>89.774269000000004</v>
      </c>
      <c r="I237" s="120">
        <f t="shared" si="3"/>
        <v>2.1080006190454803E-3</v>
      </c>
      <c r="J237" s="120">
        <f t="shared" si="3"/>
        <v>1.0913003410606414E-4</v>
      </c>
      <c r="K237"/>
      <c r="M237" s="15"/>
      <c r="N237" s="15"/>
      <c r="O237" s="15"/>
      <c r="P237" s="15"/>
      <c r="Q237" s="15"/>
      <c r="R237" s="15"/>
      <c r="S237" s="15"/>
      <c r="T237" s="15"/>
      <c r="U237" s="15"/>
      <c r="V237" s="15"/>
      <c r="W237" s="15"/>
      <c r="X237" s="15"/>
    </row>
    <row r="238" spans="6:24" s="21" customFormat="1" ht="14.25" x14ac:dyDescent="0.45">
      <c r="F238" s="119">
        <v>43782</v>
      </c>
      <c r="G238" s="52">
        <v>293.21994000000001</v>
      </c>
      <c r="H238" s="52">
        <v>89.774269000000004</v>
      </c>
      <c r="I238" s="120">
        <f t="shared" si="3"/>
        <v>3.236809560953624E-4</v>
      </c>
      <c r="J238" s="120">
        <f t="shared" si="3"/>
        <v>0</v>
      </c>
      <c r="K238"/>
      <c r="M238" s="15"/>
      <c r="N238" s="15"/>
      <c r="O238" s="15"/>
      <c r="P238" s="15"/>
      <c r="Q238" s="15"/>
      <c r="R238" s="15"/>
      <c r="S238" s="15"/>
      <c r="T238" s="15"/>
      <c r="U238" s="15"/>
      <c r="V238" s="15"/>
      <c r="W238" s="15"/>
      <c r="X238" s="15"/>
    </row>
    <row r="239" spans="6:24" s="21" customFormat="1" ht="14.25" x14ac:dyDescent="0.45">
      <c r="F239" s="119">
        <v>43783</v>
      </c>
      <c r="G239" s="52">
        <v>293.64681999999999</v>
      </c>
      <c r="H239" s="52">
        <v>89.784087999999997</v>
      </c>
      <c r="I239" s="120">
        <f t="shared" si="3"/>
        <v>1.4558355069576034E-3</v>
      </c>
      <c r="J239" s="120">
        <f t="shared" si="3"/>
        <v>1.0937432417290616E-4</v>
      </c>
      <c r="K239"/>
      <c r="M239" s="15"/>
      <c r="N239" s="15"/>
      <c r="O239" s="15"/>
      <c r="P239" s="15"/>
      <c r="Q239" s="15"/>
      <c r="R239" s="15"/>
      <c r="S239" s="15"/>
      <c r="T239" s="15"/>
      <c r="U239" s="15"/>
      <c r="V239" s="15"/>
      <c r="W239" s="15"/>
      <c r="X239" s="15"/>
    </row>
    <row r="240" spans="6:24" s="21" customFormat="1" ht="14.25" x14ac:dyDescent="0.45">
      <c r="F240" s="119">
        <v>43784</v>
      </c>
      <c r="G240" s="52">
        <v>295.77172899999999</v>
      </c>
      <c r="H240" s="52">
        <v>89.774269000000004</v>
      </c>
      <c r="I240" s="120">
        <f t="shared" si="3"/>
        <v>7.236274515079133E-3</v>
      </c>
      <c r="J240" s="120">
        <f t="shared" si="3"/>
        <v>-1.0936236273839661E-4</v>
      </c>
      <c r="K240"/>
      <c r="M240" s="15"/>
      <c r="N240" s="15"/>
      <c r="O240" s="15"/>
      <c r="P240" s="15"/>
      <c r="Q240" s="15"/>
      <c r="R240" s="15"/>
      <c r="S240" s="15"/>
      <c r="T240" s="15"/>
      <c r="U240" s="15"/>
      <c r="V240" s="15"/>
      <c r="W240" s="15"/>
      <c r="X240" s="15"/>
    </row>
    <row r="241" spans="6:24" s="21" customFormat="1" ht="14.25" x14ac:dyDescent="0.45">
      <c r="F241" s="119">
        <v>43787</v>
      </c>
      <c r="G241" s="52">
        <v>295.989868</v>
      </c>
      <c r="H241" s="52">
        <v>89.793869000000001</v>
      </c>
      <c r="I241" s="120">
        <f t="shared" si="3"/>
        <v>7.3752484978029109E-4</v>
      </c>
      <c r="J241" s="120">
        <f t="shared" si="3"/>
        <v>2.1832536447607964E-4</v>
      </c>
      <c r="K241"/>
      <c r="M241" s="15"/>
      <c r="N241" s="15"/>
      <c r="O241" s="15"/>
      <c r="P241" s="15"/>
      <c r="Q241" s="15"/>
      <c r="R241" s="15"/>
      <c r="S241" s="15"/>
      <c r="T241" s="15"/>
      <c r="U241" s="15"/>
      <c r="V241" s="15"/>
      <c r="W241" s="15"/>
      <c r="X241" s="15"/>
    </row>
    <row r="242" spans="6:24" s="21" customFormat="1" ht="14.25" x14ac:dyDescent="0.45">
      <c r="F242" s="119">
        <v>43788</v>
      </c>
      <c r="G242" s="52">
        <v>295.90447999999998</v>
      </c>
      <c r="H242" s="52">
        <v>89.784087999999997</v>
      </c>
      <c r="I242" s="120">
        <f t="shared" si="3"/>
        <v>-2.8848284766291865E-4</v>
      </c>
      <c r="J242" s="120">
        <f t="shared" si="3"/>
        <v>-1.0892725871969322E-4</v>
      </c>
      <c r="K242"/>
      <c r="M242" s="15"/>
      <c r="N242" s="15"/>
      <c r="O242" s="15"/>
      <c r="P242" s="15"/>
      <c r="Q242" s="15"/>
      <c r="R242" s="15"/>
      <c r="S242" s="15"/>
      <c r="T242" s="15"/>
      <c r="U242" s="15"/>
      <c r="V242" s="15"/>
      <c r="W242" s="15"/>
      <c r="X242" s="15"/>
    </row>
    <row r="243" spans="6:24" s="21" customFormat="1" ht="14.25" x14ac:dyDescent="0.45">
      <c r="F243" s="119">
        <v>43789</v>
      </c>
      <c r="G243" s="52">
        <v>294.80413800000002</v>
      </c>
      <c r="H243" s="52">
        <v>89.793869000000001</v>
      </c>
      <c r="I243" s="120">
        <f t="shared" si="3"/>
        <v>-3.7185716147317693E-3</v>
      </c>
      <c r="J243" s="120">
        <f t="shared" si="3"/>
        <v>1.0893912515985704E-4</v>
      </c>
      <c r="K243"/>
      <c r="M243" s="15"/>
      <c r="N243" s="15"/>
      <c r="O243" s="15"/>
      <c r="P243" s="15"/>
      <c r="Q243" s="15"/>
      <c r="R243" s="15"/>
      <c r="S243" s="15"/>
      <c r="T243" s="15"/>
      <c r="U243" s="15"/>
      <c r="V243" s="15"/>
      <c r="W243" s="15"/>
      <c r="X243" s="15"/>
    </row>
    <row r="244" spans="6:24" s="21" customFormat="1" ht="14.25" x14ac:dyDescent="0.45">
      <c r="F244" s="119">
        <v>43790</v>
      </c>
      <c r="G244" s="52">
        <v>294.32986499999998</v>
      </c>
      <c r="H244" s="52">
        <v>89.793869000000001</v>
      </c>
      <c r="I244" s="120">
        <f t="shared" si="3"/>
        <v>-1.6087732119962617E-3</v>
      </c>
      <c r="J244" s="120">
        <f t="shared" si="3"/>
        <v>0</v>
      </c>
      <c r="K244"/>
      <c r="M244" s="15"/>
      <c r="N244" s="15"/>
      <c r="O244" s="15"/>
      <c r="P244" s="15"/>
      <c r="Q244" s="15"/>
      <c r="R244" s="15"/>
      <c r="S244" s="15"/>
      <c r="T244" s="15"/>
      <c r="U244" s="15"/>
      <c r="V244" s="15"/>
      <c r="W244" s="15"/>
      <c r="X244" s="15"/>
    </row>
    <row r="245" spans="6:24" s="21" customFormat="1" ht="14.25" x14ac:dyDescent="0.45">
      <c r="F245" s="119">
        <v>43791</v>
      </c>
      <c r="G245" s="52">
        <v>294.984375</v>
      </c>
      <c r="H245" s="52">
        <v>89.803711000000007</v>
      </c>
      <c r="I245" s="120">
        <f t="shared" si="3"/>
        <v>2.2237294880016467E-3</v>
      </c>
      <c r="J245" s="120">
        <f t="shared" si="3"/>
        <v>1.0960659240555337E-4</v>
      </c>
      <c r="K245"/>
      <c r="M245" s="15"/>
      <c r="N245" s="15"/>
      <c r="O245" s="15"/>
      <c r="P245" s="15"/>
      <c r="Q245" s="15"/>
      <c r="R245" s="15"/>
      <c r="S245" s="15"/>
      <c r="T245" s="15"/>
      <c r="U245" s="15"/>
      <c r="V245" s="15"/>
      <c r="W245" s="15"/>
      <c r="X245" s="15"/>
    </row>
    <row r="246" spans="6:24" s="21" customFormat="1" ht="14.25" x14ac:dyDescent="0.45">
      <c r="F246" s="119">
        <v>43794</v>
      </c>
      <c r="G246" s="52">
        <v>297.27050800000001</v>
      </c>
      <c r="H246" s="52">
        <v>89.803711000000007</v>
      </c>
      <c r="I246" s="120">
        <f t="shared" si="3"/>
        <v>7.7500138778536787E-3</v>
      </c>
      <c r="J246" s="120">
        <f t="shared" si="3"/>
        <v>0</v>
      </c>
      <c r="K246"/>
      <c r="M246" s="15"/>
      <c r="N246" s="15"/>
      <c r="O246" s="15"/>
      <c r="P246" s="15"/>
      <c r="Q246" s="15"/>
      <c r="R246" s="15"/>
      <c r="S246" s="15"/>
      <c r="T246" s="15"/>
      <c r="U246" s="15"/>
      <c r="V246" s="15"/>
      <c r="W246" s="15"/>
      <c r="X246" s="15"/>
    </row>
    <row r="247" spans="6:24" s="21" customFormat="1" ht="14.25" x14ac:dyDescent="0.45">
      <c r="F247" s="119">
        <v>43795</v>
      </c>
      <c r="G247" s="52">
        <v>297.94406099999998</v>
      </c>
      <c r="H247" s="52">
        <v>89.813522000000006</v>
      </c>
      <c r="I247" s="120">
        <f t="shared" si="3"/>
        <v>2.2657915328754274E-3</v>
      </c>
      <c r="J247" s="120">
        <f t="shared" si="3"/>
        <v>1.092493828012131E-4</v>
      </c>
      <c r="K247"/>
      <c r="M247" s="15"/>
      <c r="N247" s="15"/>
      <c r="O247" s="15"/>
      <c r="P247" s="15"/>
      <c r="Q247" s="15"/>
      <c r="R247" s="15"/>
      <c r="S247" s="15"/>
      <c r="T247" s="15"/>
      <c r="U247" s="15"/>
      <c r="V247" s="15"/>
      <c r="W247" s="15"/>
      <c r="X247" s="15"/>
    </row>
    <row r="248" spans="6:24" s="21" customFormat="1" ht="14.25" x14ac:dyDescent="0.45">
      <c r="F248" s="119">
        <v>43796</v>
      </c>
      <c r="G248" s="52">
        <v>299.272156</v>
      </c>
      <c r="H248" s="52">
        <v>89.833145000000002</v>
      </c>
      <c r="I248" s="120">
        <f t="shared" si="3"/>
        <v>4.4575313753276724E-3</v>
      </c>
      <c r="J248" s="120">
        <f t="shared" si="3"/>
        <v>2.1848603153529211E-4</v>
      </c>
      <c r="K248"/>
      <c r="M248" s="15"/>
      <c r="N248" s="15"/>
      <c r="O248" s="15"/>
      <c r="P248" s="15"/>
      <c r="Q248" s="15"/>
      <c r="R248" s="15"/>
      <c r="S248" s="15"/>
      <c r="T248" s="15"/>
      <c r="U248" s="15"/>
      <c r="V248" s="15"/>
      <c r="W248" s="15"/>
      <c r="X248" s="15"/>
    </row>
    <row r="249" spans="6:24" s="21" customFormat="1" ht="14.25" x14ac:dyDescent="0.45">
      <c r="F249" s="119">
        <v>43798</v>
      </c>
      <c r="G249" s="52">
        <v>298.16229199999998</v>
      </c>
      <c r="H249" s="52">
        <v>89.833145000000002</v>
      </c>
      <c r="I249" s="120">
        <f t="shared" si="3"/>
        <v>-3.7085441386669471E-3</v>
      </c>
      <c r="J249" s="120">
        <f t="shared" si="3"/>
        <v>0</v>
      </c>
      <c r="K249"/>
      <c r="M249" s="15"/>
      <c r="N249" s="15"/>
      <c r="O249" s="15"/>
      <c r="P249" s="15"/>
      <c r="Q249" s="15"/>
      <c r="R249" s="15"/>
      <c r="S249" s="15"/>
      <c r="T249" s="15"/>
      <c r="U249" s="15"/>
      <c r="V249" s="15"/>
      <c r="W249" s="15"/>
      <c r="X249" s="15"/>
    </row>
    <row r="250" spans="6:24" s="21" customFormat="1" ht="14.25" x14ac:dyDescent="0.45">
      <c r="F250" s="119">
        <v>43801</v>
      </c>
      <c r="G250" s="52">
        <v>295.62942500000003</v>
      </c>
      <c r="H250" s="52">
        <v>89.840012000000002</v>
      </c>
      <c r="I250" s="120">
        <f t="shared" si="3"/>
        <v>-8.4949273196489594E-3</v>
      </c>
      <c r="J250" s="120">
        <f t="shared" si="3"/>
        <v>7.6441718699804539E-5</v>
      </c>
      <c r="K250"/>
      <c r="M250" s="15"/>
      <c r="N250" s="15"/>
      <c r="O250" s="15"/>
      <c r="P250" s="15"/>
      <c r="Q250" s="15"/>
      <c r="R250" s="15"/>
      <c r="S250" s="15"/>
      <c r="T250" s="15"/>
      <c r="U250" s="15"/>
      <c r="V250" s="15"/>
      <c r="W250" s="15"/>
      <c r="X250" s="15"/>
    </row>
    <row r="251" spans="6:24" s="21" customFormat="1" ht="14.25" x14ac:dyDescent="0.45">
      <c r="F251" s="119">
        <v>43802</v>
      </c>
      <c r="G251" s="52">
        <v>293.64681999999999</v>
      </c>
      <c r="H251" s="52">
        <v>89.830214999999995</v>
      </c>
      <c r="I251" s="120">
        <f t="shared" si="3"/>
        <v>-6.7063858748162009E-3</v>
      </c>
      <c r="J251" s="120">
        <f t="shared" si="3"/>
        <v>-1.0904940662748164E-4</v>
      </c>
      <c r="K251"/>
      <c r="M251" s="15"/>
      <c r="N251" s="15"/>
      <c r="O251" s="15"/>
      <c r="P251" s="15"/>
      <c r="Q251" s="15"/>
      <c r="R251" s="15"/>
      <c r="S251" s="15"/>
      <c r="T251" s="15"/>
      <c r="U251" s="15"/>
      <c r="V251" s="15"/>
      <c r="W251" s="15"/>
      <c r="X251" s="15"/>
    </row>
    <row r="252" spans="6:24" s="21" customFormat="1" ht="14.25" x14ac:dyDescent="0.45">
      <c r="F252" s="119">
        <v>43803</v>
      </c>
      <c r="G252" s="52">
        <v>295.45867900000002</v>
      </c>
      <c r="H252" s="52">
        <v>89.840012000000002</v>
      </c>
      <c r="I252" s="120">
        <f t="shared" si="3"/>
        <v>6.1701979268837803E-3</v>
      </c>
      <c r="J252" s="120">
        <f t="shared" si="3"/>
        <v>1.0906129969745493E-4</v>
      </c>
      <c r="K252"/>
      <c r="M252" s="15"/>
      <c r="N252" s="15"/>
      <c r="O252" s="15"/>
      <c r="P252" s="15"/>
      <c r="Q252" s="15"/>
      <c r="R252" s="15"/>
      <c r="S252" s="15"/>
      <c r="T252" s="15"/>
      <c r="U252" s="15"/>
      <c r="V252" s="15"/>
      <c r="W252" s="15"/>
      <c r="X252" s="15"/>
    </row>
    <row r="253" spans="6:24" s="21" customFormat="1" ht="14.25" x14ac:dyDescent="0.45">
      <c r="F253" s="119">
        <v>43804</v>
      </c>
      <c r="G253" s="52">
        <v>295.989868</v>
      </c>
      <c r="H253" s="52">
        <v>89.859673000000001</v>
      </c>
      <c r="I253" s="120">
        <f t="shared" si="3"/>
        <v>1.7978453088527413E-3</v>
      </c>
      <c r="J253" s="120">
        <f t="shared" si="3"/>
        <v>2.1884458341348001E-4</v>
      </c>
      <c r="K253"/>
      <c r="M253" s="15"/>
      <c r="N253" s="15"/>
      <c r="O253" s="15"/>
      <c r="P253" s="15"/>
      <c r="Q253" s="15"/>
      <c r="R253" s="15"/>
      <c r="S253" s="15"/>
      <c r="T253" s="15"/>
      <c r="U253" s="15"/>
      <c r="V253" s="15"/>
      <c r="W253" s="15"/>
      <c r="X253" s="15"/>
    </row>
    <row r="254" spans="6:24" s="21" customFormat="1" ht="14.25" x14ac:dyDescent="0.45">
      <c r="F254" s="119">
        <v>43805</v>
      </c>
      <c r="G254" s="52">
        <v>298.69348100000002</v>
      </c>
      <c r="H254" s="52">
        <v>89.859673000000001</v>
      </c>
      <c r="I254" s="120">
        <f t="shared" si="3"/>
        <v>9.1341403618585559E-3</v>
      </c>
      <c r="J254" s="120">
        <f t="shared" si="3"/>
        <v>0</v>
      </c>
      <c r="K254"/>
      <c r="M254" s="15"/>
      <c r="N254" s="15"/>
      <c r="O254" s="15"/>
      <c r="P254" s="15"/>
      <c r="Q254" s="15"/>
      <c r="R254" s="15"/>
      <c r="S254" s="15"/>
      <c r="T254" s="15"/>
      <c r="U254" s="15"/>
      <c r="V254" s="15"/>
      <c r="W254" s="15"/>
      <c r="X254" s="15"/>
    </row>
    <row r="255" spans="6:24" s="21" customFormat="1" ht="14.25" x14ac:dyDescent="0.45">
      <c r="F255" s="119">
        <v>43808</v>
      </c>
      <c r="G255" s="52">
        <v>297.75433299999997</v>
      </c>
      <c r="H255" s="52">
        <v>89.869506999999999</v>
      </c>
      <c r="I255" s="120">
        <f t="shared" si="3"/>
        <v>-3.144186464518306E-3</v>
      </c>
      <c r="J255" s="120">
        <f t="shared" si="3"/>
        <v>1.094373000889437E-4</v>
      </c>
      <c r="K255"/>
      <c r="M255" s="15"/>
      <c r="N255" s="15"/>
      <c r="O255" s="15"/>
      <c r="P255" s="15"/>
      <c r="Q255" s="15"/>
      <c r="R255" s="15"/>
      <c r="S255" s="15"/>
      <c r="T255" s="15"/>
      <c r="U255" s="15"/>
      <c r="V255" s="15"/>
      <c r="W255" s="15"/>
      <c r="X255" s="15"/>
    </row>
    <row r="256" spans="6:24" s="21" customFormat="1" ht="14.25" x14ac:dyDescent="0.45">
      <c r="F256" s="119">
        <v>43809</v>
      </c>
      <c r="G256" s="52">
        <v>297.422302</v>
      </c>
      <c r="H256" s="52">
        <v>89.869506999999999</v>
      </c>
      <c r="I256" s="120">
        <f t="shared" si="3"/>
        <v>-1.1151172735409665E-3</v>
      </c>
      <c r="J256" s="120">
        <f t="shared" si="3"/>
        <v>0</v>
      </c>
      <c r="K256"/>
      <c r="M256" s="15"/>
      <c r="N256" s="15"/>
      <c r="O256" s="15"/>
      <c r="P256" s="15"/>
      <c r="Q256" s="15"/>
      <c r="R256" s="15"/>
      <c r="S256" s="15"/>
      <c r="T256" s="15"/>
      <c r="U256" s="15"/>
      <c r="V256" s="15"/>
      <c r="W256" s="15"/>
      <c r="X256" s="15"/>
    </row>
    <row r="257" spans="6:24" s="21" customFormat="1" ht="14.25" x14ac:dyDescent="0.45">
      <c r="F257" s="119">
        <v>43810</v>
      </c>
      <c r="G257" s="52">
        <v>298.26669299999998</v>
      </c>
      <c r="H257" s="52">
        <v>89.869506999999999</v>
      </c>
      <c r="I257" s="120">
        <f t="shared" si="3"/>
        <v>2.8390305445218367E-3</v>
      </c>
      <c r="J257" s="120">
        <f t="shared" si="3"/>
        <v>0</v>
      </c>
      <c r="K257"/>
      <c r="M257" s="15"/>
      <c r="N257" s="15"/>
      <c r="O257" s="15"/>
      <c r="P257" s="15"/>
      <c r="Q257" s="15"/>
      <c r="R257" s="15"/>
      <c r="S257" s="15"/>
      <c r="T257" s="15"/>
      <c r="U257" s="15"/>
      <c r="V257" s="15"/>
      <c r="W257" s="15"/>
      <c r="X257" s="15"/>
    </row>
    <row r="258" spans="6:24" s="21" customFormat="1" ht="14.25" x14ac:dyDescent="0.45">
      <c r="F258" s="119">
        <v>43811</v>
      </c>
      <c r="G258" s="52">
        <v>300.83737200000002</v>
      </c>
      <c r="H258" s="52">
        <v>89.889122</v>
      </c>
      <c r="I258" s="120">
        <f t="shared" si="3"/>
        <v>8.618726328923465E-3</v>
      </c>
      <c r="J258" s="120">
        <f t="shared" si="3"/>
        <v>2.1826090578191959E-4</v>
      </c>
      <c r="K258"/>
      <c r="M258" s="15"/>
      <c r="N258" s="15"/>
      <c r="O258" s="15"/>
      <c r="P258" s="15"/>
      <c r="Q258" s="15"/>
      <c r="R258" s="15"/>
      <c r="S258" s="15"/>
      <c r="T258" s="15"/>
      <c r="U258" s="15"/>
      <c r="V258" s="15"/>
      <c r="W258" s="15"/>
      <c r="X258" s="15"/>
    </row>
    <row r="259" spans="6:24" s="21" customFormat="1" ht="14.25" x14ac:dyDescent="0.45">
      <c r="F259" s="119">
        <v>43812</v>
      </c>
      <c r="G259" s="52">
        <v>301.01767000000001</v>
      </c>
      <c r="H259" s="52">
        <v>89.869506999999999</v>
      </c>
      <c r="I259" s="120">
        <f t="shared" si="3"/>
        <v>5.993204860199608E-4</v>
      </c>
      <c r="J259" s="120">
        <f t="shared" si="3"/>
        <v>-2.1821327835425119E-4</v>
      </c>
      <c r="K259"/>
      <c r="M259" s="15"/>
      <c r="N259" s="15"/>
      <c r="O259" s="15"/>
      <c r="P259" s="15"/>
      <c r="Q259" s="15"/>
      <c r="R259" s="15"/>
      <c r="S259" s="15"/>
      <c r="T259" s="15"/>
      <c r="U259" s="15"/>
      <c r="V259" s="15"/>
      <c r="W259" s="15"/>
      <c r="X259" s="15"/>
    </row>
    <row r="260" spans="6:24" s="21" customFormat="1" ht="14.25" x14ac:dyDescent="0.45">
      <c r="F260" s="119">
        <v>43815</v>
      </c>
      <c r="G260" s="52">
        <v>303.08563199999998</v>
      </c>
      <c r="H260" s="52">
        <v>89.889122</v>
      </c>
      <c r="I260" s="120">
        <f t="shared" si="3"/>
        <v>6.8699023549014804E-3</v>
      </c>
      <c r="J260" s="120">
        <f t="shared" si="3"/>
        <v>2.1826090578191959E-4</v>
      </c>
      <c r="K260"/>
      <c r="M260" s="15"/>
      <c r="N260" s="15"/>
      <c r="O260" s="15"/>
      <c r="P260" s="15"/>
      <c r="Q260" s="15"/>
      <c r="R260" s="15"/>
      <c r="S260" s="15"/>
      <c r="T260" s="15"/>
      <c r="U260" s="15"/>
      <c r="V260" s="15"/>
      <c r="W260" s="15"/>
      <c r="X260" s="15"/>
    </row>
    <row r="261" spans="6:24" s="21" customFormat="1" ht="14.25" x14ac:dyDescent="0.45">
      <c r="F261" s="119">
        <v>43816</v>
      </c>
      <c r="G261" s="52">
        <v>303.15200800000002</v>
      </c>
      <c r="H261" s="52">
        <v>89.879340999999997</v>
      </c>
      <c r="I261" s="120">
        <f t="shared" si="3"/>
        <v>2.1900081360515244E-4</v>
      </c>
      <c r="J261" s="120">
        <f t="shared" si="3"/>
        <v>-1.0881183153621521E-4</v>
      </c>
      <c r="K261"/>
      <c r="M261" s="15"/>
      <c r="N261" s="15"/>
      <c r="O261" s="15"/>
      <c r="P261" s="15"/>
      <c r="Q261" s="15"/>
      <c r="R261" s="15"/>
      <c r="S261" s="15"/>
      <c r="T261" s="15"/>
      <c r="U261" s="15"/>
      <c r="V261" s="15"/>
      <c r="W261" s="15"/>
      <c r="X261" s="15"/>
    </row>
    <row r="262" spans="6:24" s="21" customFormat="1" ht="14.25" x14ac:dyDescent="0.45">
      <c r="F262" s="119">
        <v>43817</v>
      </c>
      <c r="G262" s="52">
        <v>303.17095899999998</v>
      </c>
      <c r="H262" s="52">
        <v>89.898964000000007</v>
      </c>
      <c r="I262" s="120">
        <f t="shared" si="3"/>
        <v>6.2513193051172422E-5</v>
      </c>
      <c r="J262" s="120">
        <f t="shared" si="3"/>
        <v>2.1832603334304146E-4</v>
      </c>
      <c r="K262"/>
      <c r="M262" s="15"/>
      <c r="N262" s="15"/>
      <c r="O262" s="15"/>
      <c r="P262" s="15"/>
      <c r="Q262" s="15"/>
      <c r="R262" s="15"/>
      <c r="S262" s="15"/>
      <c r="T262" s="15"/>
      <c r="U262" s="15"/>
      <c r="V262" s="15"/>
      <c r="W262" s="15"/>
      <c r="X262" s="15"/>
    </row>
    <row r="263" spans="6:24" s="21" customFormat="1" ht="14.25" x14ac:dyDescent="0.45">
      <c r="F263" s="119">
        <v>43818</v>
      </c>
      <c r="G263" s="52">
        <v>304.41366599999998</v>
      </c>
      <c r="H263" s="52">
        <v>89.908783</v>
      </c>
      <c r="I263" s="120">
        <f t="shared" si="3"/>
        <v>4.0990304747494655E-3</v>
      </c>
      <c r="J263" s="120">
        <f t="shared" si="3"/>
        <v>1.0922261573553804E-4</v>
      </c>
      <c r="K263"/>
      <c r="M263" s="15"/>
      <c r="N263" s="15"/>
      <c r="O263" s="15"/>
      <c r="P263" s="15"/>
      <c r="Q263" s="15"/>
      <c r="R263" s="15"/>
      <c r="S263" s="15"/>
      <c r="T263" s="15"/>
      <c r="U263" s="15"/>
      <c r="V263" s="15"/>
      <c r="W263" s="15"/>
      <c r="X263" s="15"/>
    </row>
    <row r="264" spans="6:24" s="21" customFormat="1" ht="14.25" x14ac:dyDescent="0.45">
      <c r="F264" s="119">
        <v>43819</v>
      </c>
      <c r="G264" s="52">
        <v>305.74826000000002</v>
      </c>
      <c r="H264" s="52">
        <v>89.913703999999996</v>
      </c>
      <c r="I264" s="120">
        <f t="shared" si="3"/>
        <v>4.384146144083001E-3</v>
      </c>
      <c r="J264" s="120">
        <f t="shared" si="3"/>
        <v>5.4733251144023498E-5</v>
      </c>
      <c r="K264"/>
      <c r="M264" s="15"/>
      <c r="N264" s="15"/>
      <c r="O264" s="15"/>
      <c r="P264" s="15"/>
      <c r="Q264" s="15"/>
      <c r="R264" s="15"/>
      <c r="S264" s="15"/>
      <c r="T264" s="15"/>
      <c r="U264" s="15"/>
      <c r="V264" s="15"/>
      <c r="W264" s="15"/>
      <c r="X264" s="15"/>
    </row>
    <row r="265" spans="6:24" s="21" customFormat="1" ht="14.25" x14ac:dyDescent="0.45">
      <c r="F265" s="119">
        <v>43822</v>
      </c>
      <c r="G265" s="52">
        <v>306.21542399999998</v>
      </c>
      <c r="H265" s="52">
        <v>89.913703999999996</v>
      </c>
      <c r="I265" s="120">
        <f t="shared" si="3"/>
        <v>1.5279367411606959E-3</v>
      </c>
      <c r="J265" s="120">
        <f t="shared" si="3"/>
        <v>0</v>
      </c>
      <c r="K265"/>
      <c r="M265" s="15"/>
      <c r="N265" s="15"/>
      <c r="O265" s="15"/>
      <c r="P265" s="15"/>
      <c r="Q265" s="15"/>
      <c r="R265" s="15"/>
      <c r="S265" s="15"/>
      <c r="T265" s="15"/>
      <c r="U265" s="15"/>
      <c r="V265" s="15"/>
      <c r="W265" s="15"/>
      <c r="X265" s="15"/>
    </row>
    <row r="266" spans="6:24" s="21" customFormat="1" ht="14.25" x14ac:dyDescent="0.45">
      <c r="F266" s="119">
        <v>43823</v>
      </c>
      <c r="G266" s="52">
        <v>306.22500600000001</v>
      </c>
      <c r="H266" s="52">
        <v>89.923546000000002</v>
      </c>
      <c r="I266" s="120">
        <f t="shared" si="3"/>
        <v>3.1291696136248603E-5</v>
      </c>
      <c r="J266" s="120">
        <f t="shared" si="3"/>
        <v>1.0946051115867661E-4</v>
      </c>
      <c r="K266"/>
      <c r="M266" s="15"/>
      <c r="N266" s="15"/>
      <c r="O266" s="15"/>
      <c r="P266" s="15"/>
      <c r="Q266" s="15"/>
      <c r="R266" s="15"/>
      <c r="S266" s="15"/>
      <c r="T266" s="15"/>
      <c r="U266" s="15"/>
      <c r="V266" s="15"/>
      <c r="W266" s="15"/>
      <c r="X266" s="15"/>
    </row>
    <row r="267" spans="6:24" s="21" customFormat="1" ht="14.25" x14ac:dyDescent="0.45">
      <c r="F267" s="119">
        <v>43825</v>
      </c>
      <c r="G267" s="52">
        <v>307.85504200000003</v>
      </c>
      <c r="H267" s="52">
        <v>89.93338</v>
      </c>
      <c r="I267" s="120">
        <f t="shared" si="3"/>
        <v>5.3230009570153225E-3</v>
      </c>
      <c r="J267" s="120">
        <f t="shared" si="3"/>
        <v>1.0935956640323319E-4</v>
      </c>
      <c r="K267"/>
      <c r="M267" s="15"/>
      <c r="N267" s="15"/>
      <c r="O267" s="15"/>
      <c r="P267" s="15"/>
      <c r="Q267" s="15"/>
      <c r="R267" s="15"/>
      <c r="S267" s="15"/>
      <c r="T267" s="15"/>
      <c r="U267" s="15"/>
      <c r="V267" s="15"/>
      <c r="W267" s="15"/>
      <c r="X267" s="15"/>
    </row>
    <row r="268" spans="6:24" s="21" customFormat="1" ht="14.25" x14ac:dyDescent="0.45">
      <c r="F268" s="119">
        <v>43826</v>
      </c>
      <c r="G268" s="52">
        <v>307.77877799999999</v>
      </c>
      <c r="H268" s="52">
        <v>89.923546000000002</v>
      </c>
      <c r="I268" s="120">
        <f t="shared" si="3"/>
        <v>-2.477269805444271E-4</v>
      </c>
      <c r="J268" s="120">
        <f t="shared" si="3"/>
        <v>-1.0934760819614198E-4</v>
      </c>
      <c r="K268"/>
      <c r="M268" s="15"/>
      <c r="N268" s="15"/>
      <c r="O268" s="15"/>
      <c r="P268" s="15"/>
      <c r="Q268" s="15"/>
      <c r="R268" s="15"/>
      <c r="S268" s="15"/>
      <c r="T268" s="15"/>
      <c r="U268" s="15"/>
      <c r="V268" s="15"/>
      <c r="W268" s="15"/>
      <c r="X268" s="15"/>
    </row>
    <row r="269" spans="6:24" s="21" customFormat="1" ht="14.25" x14ac:dyDescent="0.45">
      <c r="F269" s="119">
        <v>43829</v>
      </c>
      <c r="G269" s="52">
        <v>306.08193999999997</v>
      </c>
      <c r="H269" s="52">
        <v>89.93338</v>
      </c>
      <c r="I269" s="120">
        <f t="shared" si="3"/>
        <v>-5.5131741409409907E-3</v>
      </c>
      <c r="J269" s="120">
        <f t="shared" si="3"/>
        <v>1.0935956640323319E-4</v>
      </c>
      <c r="K269"/>
      <c r="M269" s="15"/>
      <c r="N269" s="15"/>
      <c r="O269" s="15"/>
      <c r="P269" s="15"/>
      <c r="Q269" s="15"/>
      <c r="R269" s="15"/>
      <c r="S269" s="15"/>
      <c r="T269" s="15"/>
      <c r="U269" s="15"/>
      <c r="V269" s="15"/>
      <c r="W269" s="15"/>
      <c r="X269" s="15"/>
    </row>
    <row r="270" spans="6:24" s="21" customFormat="1" ht="14.25" x14ac:dyDescent="0.45">
      <c r="F270" s="119">
        <v>43830</v>
      </c>
      <c r="G270" s="52">
        <v>306.82549999999998</v>
      </c>
      <c r="H270" s="52">
        <v>89.93338</v>
      </c>
      <c r="I270" s="120">
        <f t="shared" si="3"/>
        <v>2.429284132216436E-3</v>
      </c>
      <c r="J270" s="120">
        <f t="shared" si="3"/>
        <v>0</v>
      </c>
      <c r="K270"/>
      <c r="M270" s="15"/>
      <c r="N270" s="15"/>
      <c r="O270" s="15"/>
      <c r="P270" s="15"/>
      <c r="Q270" s="15"/>
      <c r="R270" s="15"/>
      <c r="S270" s="15"/>
      <c r="T270" s="15"/>
      <c r="U270" s="15"/>
      <c r="V270" s="15"/>
      <c r="W270" s="15"/>
      <c r="X270" s="15"/>
    </row>
    <row r="271" spans="6:24" s="21" customFormat="1" ht="14.25" x14ac:dyDescent="0.45">
      <c r="F271" s="119">
        <v>43832</v>
      </c>
      <c r="G271" s="52">
        <v>309.69491599999998</v>
      </c>
      <c r="H271" s="52">
        <v>89.962897999999996</v>
      </c>
      <c r="I271" s="120">
        <f t="shared" si="3"/>
        <v>9.3519476053978146E-3</v>
      </c>
      <c r="J271" s="120">
        <f t="shared" si="3"/>
        <v>3.2822073405891494E-4</v>
      </c>
      <c r="K271"/>
      <c r="M271" s="15"/>
      <c r="N271" s="15"/>
      <c r="O271" s="15"/>
      <c r="P271" s="15"/>
      <c r="Q271" s="15"/>
      <c r="R271" s="15"/>
      <c r="S271" s="15"/>
      <c r="T271" s="15"/>
      <c r="U271" s="15"/>
      <c r="V271" s="15"/>
      <c r="W271" s="15"/>
      <c r="X271" s="15"/>
    </row>
    <row r="272" spans="6:24" s="21" customFormat="1" ht="14.25" x14ac:dyDescent="0.45">
      <c r="F272" s="119">
        <v>43833</v>
      </c>
      <c r="G272" s="52">
        <v>307.34979199999998</v>
      </c>
      <c r="H272" s="52">
        <v>89.962897999999996</v>
      </c>
      <c r="I272" s="120">
        <f t="shared" si="3"/>
        <v>-7.5723684143397252E-3</v>
      </c>
      <c r="J272" s="120">
        <f t="shared" si="3"/>
        <v>0</v>
      </c>
      <c r="K272"/>
      <c r="M272" s="15"/>
      <c r="N272" s="15"/>
      <c r="O272" s="15"/>
      <c r="P272" s="15"/>
      <c r="Q272" s="15"/>
      <c r="R272" s="15"/>
      <c r="S272" s="15"/>
      <c r="T272" s="15"/>
      <c r="U272" s="15"/>
      <c r="V272" s="15"/>
      <c r="W272" s="15"/>
      <c r="X272" s="15"/>
    </row>
    <row r="273" spans="6:24" s="21" customFormat="1" ht="14.25" x14ac:dyDescent="0.45">
      <c r="F273" s="119">
        <v>43836</v>
      </c>
      <c r="G273" s="52">
        <v>308.52236900000003</v>
      </c>
      <c r="H273" s="52">
        <v>89.953040999999999</v>
      </c>
      <c r="I273" s="120">
        <f t="shared" si="3"/>
        <v>3.8151221524171941E-3</v>
      </c>
      <c r="J273" s="120">
        <f t="shared" si="3"/>
        <v>-1.095673907702821E-4</v>
      </c>
      <c r="K273"/>
      <c r="M273" s="15"/>
      <c r="N273" s="15"/>
      <c r="O273" s="15"/>
      <c r="P273" s="15"/>
      <c r="Q273" s="15"/>
      <c r="R273" s="15"/>
      <c r="S273" s="15"/>
      <c r="T273" s="15"/>
      <c r="U273" s="15"/>
      <c r="V273" s="15"/>
      <c r="W273" s="15"/>
      <c r="X273" s="15"/>
    </row>
    <row r="274" spans="6:24" s="21" customFormat="1" ht="14.25" x14ac:dyDescent="0.45">
      <c r="F274" s="119">
        <v>43837</v>
      </c>
      <c r="G274" s="52">
        <v>307.65490699999998</v>
      </c>
      <c r="H274" s="52">
        <v>89.953040999999999</v>
      </c>
      <c r="I274" s="120">
        <f t="shared" si="3"/>
        <v>-2.8116664694741722E-3</v>
      </c>
      <c r="J274" s="120">
        <f t="shared" si="3"/>
        <v>0</v>
      </c>
      <c r="K274"/>
      <c r="M274" s="15"/>
      <c r="N274" s="15"/>
      <c r="O274" s="15"/>
      <c r="P274" s="15"/>
      <c r="Q274" s="15"/>
      <c r="R274" s="15"/>
      <c r="S274" s="15"/>
      <c r="T274" s="15"/>
      <c r="U274" s="15"/>
      <c r="V274" s="15"/>
      <c r="W274" s="15"/>
      <c r="X274" s="15"/>
    </row>
    <row r="275" spans="6:24" s="21" customFormat="1" ht="14.25" x14ac:dyDescent="0.45">
      <c r="F275" s="119">
        <v>43838</v>
      </c>
      <c r="G275" s="52">
        <v>309.29452500000002</v>
      </c>
      <c r="H275" s="52">
        <v>89.972740000000002</v>
      </c>
      <c r="I275" s="120">
        <f t="shared" si="3"/>
        <v>5.3294063013271664E-3</v>
      </c>
      <c r="J275" s="120">
        <f t="shared" si="3"/>
        <v>2.1899204052489019E-4</v>
      </c>
      <c r="K275"/>
      <c r="M275" s="15"/>
      <c r="N275" s="15"/>
      <c r="O275" s="15"/>
      <c r="P275" s="15"/>
      <c r="Q275" s="15"/>
      <c r="R275" s="15"/>
      <c r="S275" s="15"/>
      <c r="T275" s="15"/>
      <c r="U275" s="15"/>
      <c r="V275" s="15"/>
      <c r="W275" s="15"/>
      <c r="X275" s="15"/>
    </row>
    <row r="276" spans="6:24" s="21" customFormat="1" ht="14.25" x14ac:dyDescent="0.45">
      <c r="F276" s="119">
        <v>43839</v>
      </c>
      <c r="G276" s="52">
        <v>311.39172400000001</v>
      </c>
      <c r="H276" s="52">
        <v>89.982567000000003</v>
      </c>
      <c r="I276" s="120">
        <f t="shared" ref="I276:J341" si="4">G276/G275-1</f>
        <v>6.7805888254892643E-3</v>
      </c>
      <c r="J276" s="120">
        <f t="shared" si="4"/>
        <v>1.092219710103759E-4</v>
      </c>
      <c r="K276"/>
      <c r="M276" s="15"/>
      <c r="N276" s="15"/>
      <c r="O276" s="15"/>
      <c r="P276" s="15"/>
      <c r="Q276" s="15"/>
      <c r="R276" s="15"/>
      <c r="S276" s="15"/>
      <c r="T276" s="15"/>
      <c r="U276" s="15"/>
      <c r="V276" s="15"/>
      <c r="W276" s="15"/>
      <c r="X276" s="15"/>
    </row>
    <row r="277" spans="6:24" s="21" customFormat="1" ht="14.25" x14ac:dyDescent="0.45">
      <c r="F277" s="119">
        <v>43840</v>
      </c>
      <c r="G277" s="52">
        <v>310.49566700000003</v>
      </c>
      <c r="H277" s="52">
        <v>89.982567000000003</v>
      </c>
      <c r="I277" s="120">
        <f t="shared" si="4"/>
        <v>-2.8775877164930463E-3</v>
      </c>
      <c r="J277" s="120">
        <f t="shared" si="4"/>
        <v>0</v>
      </c>
      <c r="K277"/>
      <c r="M277" s="15"/>
      <c r="N277" s="15"/>
      <c r="O277" s="15"/>
      <c r="P277" s="15"/>
      <c r="Q277" s="15"/>
      <c r="R277" s="15"/>
      <c r="S277" s="15"/>
      <c r="T277" s="15"/>
      <c r="U277" s="15"/>
      <c r="V277" s="15"/>
      <c r="W277" s="15"/>
      <c r="X277" s="15"/>
    </row>
    <row r="278" spans="6:24" s="21" customFormat="1" ht="14.25" x14ac:dyDescent="0.45">
      <c r="F278" s="119">
        <v>43843</v>
      </c>
      <c r="G278" s="52">
        <v>312.63104199999998</v>
      </c>
      <c r="H278" s="52">
        <v>89.982567000000003</v>
      </c>
      <c r="I278" s="120">
        <f t="shared" si="4"/>
        <v>6.8773101429462358E-3</v>
      </c>
      <c r="J278" s="120">
        <f t="shared" si="4"/>
        <v>0</v>
      </c>
      <c r="K278"/>
      <c r="M278" s="15"/>
      <c r="N278" s="15"/>
      <c r="O278" s="15"/>
      <c r="P278" s="15"/>
      <c r="Q278" s="15"/>
      <c r="R278" s="15"/>
      <c r="S278" s="15"/>
      <c r="T278" s="15"/>
      <c r="U278" s="15"/>
      <c r="V278" s="15"/>
      <c r="W278" s="15"/>
      <c r="X278" s="15"/>
    </row>
    <row r="279" spans="6:24" s="21" customFormat="1" ht="14.25" x14ac:dyDescent="0.45">
      <c r="F279" s="119">
        <v>43844</v>
      </c>
      <c r="G279" s="52">
        <v>312.15441900000002</v>
      </c>
      <c r="H279" s="52">
        <v>89.982567000000003</v>
      </c>
      <c r="I279" s="120">
        <f t="shared" si="4"/>
        <v>-1.5245543019364316E-3</v>
      </c>
      <c r="J279" s="120">
        <f t="shared" si="4"/>
        <v>0</v>
      </c>
      <c r="K279"/>
      <c r="M279" s="15"/>
      <c r="N279" s="15"/>
      <c r="O279" s="15"/>
      <c r="P279" s="15"/>
      <c r="Q279" s="15"/>
      <c r="R279" s="15"/>
      <c r="S279" s="15"/>
      <c r="T279" s="15"/>
      <c r="U279" s="15"/>
      <c r="V279" s="15"/>
      <c r="W279" s="15"/>
      <c r="X279" s="15"/>
    </row>
    <row r="280" spans="6:24" s="21" customFormat="1" ht="14.25" x14ac:dyDescent="0.45">
      <c r="F280" s="119">
        <v>43845</v>
      </c>
      <c r="G280" s="52">
        <v>312.85983299999998</v>
      </c>
      <c r="H280" s="52">
        <v>89.992401000000001</v>
      </c>
      <c r="I280" s="120">
        <f t="shared" si="4"/>
        <v>2.2598238469915266E-3</v>
      </c>
      <c r="J280" s="120">
        <f t="shared" si="4"/>
        <v>1.0928783572050627E-4</v>
      </c>
      <c r="K280"/>
      <c r="M280" s="15"/>
      <c r="N280" s="15"/>
      <c r="O280" s="15"/>
      <c r="P280" s="15"/>
      <c r="Q280" s="15"/>
      <c r="R280" s="15"/>
      <c r="S280" s="15"/>
      <c r="T280" s="15"/>
      <c r="U280" s="15"/>
      <c r="V280" s="15"/>
      <c r="W280" s="15"/>
      <c r="X280" s="15"/>
    </row>
    <row r="281" spans="6:24" s="21" customFormat="1" ht="14.25" x14ac:dyDescent="0.45">
      <c r="F281" s="119">
        <v>43846</v>
      </c>
      <c r="G281" s="52">
        <v>315.462311</v>
      </c>
      <c r="H281" s="52">
        <v>90.012084999999999</v>
      </c>
      <c r="I281" s="120">
        <f t="shared" si="4"/>
        <v>8.3183513046241053E-3</v>
      </c>
      <c r="J281" s="120">
        <f t="shared" si="4"/>
        <v>2.1872957917845604E-4</v>
      </c>
      <c r="K281"/>
      <c r="M281" s="15"/>
      <c r="N281" s="15"/>
      <c r="O281" s="15"/>
      <c r="P281" s="15"/>
      <c r="Q281" s="15"/>
      <c r="R281" s="15"/>
      <c r="S281" s="15"/>
      <c r="T281" s="15"/>
      <c r="U281" s="15"/>
      <c r="V281" s="15"/>
      <c r="W281" s="15"/>
      <c r="X281" s="15"/>
    </row>
    <row r="282" spans="6:24" s="21" customFormat="1" ht="14.25" x14ac:dyDescent="0.45">
      <c r="F282" s="119">
        <v>43847</v>
      </c>
      <c r="G282" s="52">
        <v>316.44421399999999</v>
      </c>
      <c r="H282" s="52">
        <v>90.002228000000002</v>
      </c>
      <c r="I282" s="120">
        <f t="shared" si="4"/>
        <v>3.1125841844226176E-3</v>
      </c>
      <c r="J282" s="120">
        <f t="shared" si="4"/>
        <v>-1.0950751779603696E-4</v>
      </c>
      <c r="K282"/>
      <c r="M282" s="15"/>
      <c r="N282" s="15"/>
      <c r="O282" s="15"/>
      <c r="P282" s="15"/>
      <c r="Q282" s="15"/>
      <c r="R282" s="15"/>
      <c r="S282" s="15"/>
      <c r="T282" s="15"/>
      <c r="U282" s="15"/>
      <c r="V282" s="15"/>
      <c r="W282" s="15"/>
      <c r="X282" s="15"/>
    </row>
    <row r="283" spans="6:24" s="21" customFormat="1" ht="14.25" x14ac:dyDescent="0.45">
      <c r="F283" s="119">
        <v>43851</v>
      </c>
      <c r="G283" s="52">
        <v>315.824524</v>
      </c>
      <c r="H283" s="52">
        <v>90.012084999999999</v>
      </c>
      <c r="I283" s="120">
        <f t="shared" si="4"/>
        <v>-1.9582914541771412E-3</v>
      </c>
      <c r="J283" s="120">
        <f t="shared" si="4"/>
        <v>1.0951951100590662E-4</v>
      </c>
      <c r="K283"/>
      <c r="M283" s="15"/>
      <c r="N283" s="15"/>
      <c r="O283" s="15"/>
      <c r="P283" s="15"/>
      <c r="Q283" s="15"/>
      <c r="R283" s="15"/>
      <c r="S283" s="15"/>
      <c r="T283" s="15"/>
      <c r="U283" s="15"/>
      <c r="V283" s="15"/>
      <c r="W283" s="15"/>
      <c r="X283" s="15"/>
    </row>
    <row r="284" spans="6:24" s="21" customFormat="1" ht="14.25" x14ac:dyDescent="0.45">
      <c r="F284" s="119">
        <v>43852</v>
      </c>
      <c r="G284" s="52">
        <v>315.86270100000002</v>
      </c>
      <c r="H284" s="52">
        <v>90.012084999999999</v>
      </c>
      <c r="I284" s="120">
        <f t="shared" si="4"/>
        <v>1.2088041649360726E-4</v>
      </c>
      <c r="J284" s="120">
        <f t="shared" si="4"/>
        <v>0</v>
      </c>
      <c r="K284"/>
      <c r="M284" s="15"/>
      <c r="N284" s="15"/>
      <c r="O284" s="15"/>
      <c r="P284" s="15"/>
      <c r="Q284" s="15"/>
      <c r="R284" s="15"/>
      <c r="S284" s="15"/>
      <c r="T284" s="15"/>
      <c r="U284" s="15"/>
      <c r="V284" s="15"/>
      <c r="W284" s="15"/>
      <c r="X284" s="15"/>
    </row>
    <row r="285" spans="6:24" s="21" customFormat="1" ht="14.25" x14ac:dyDescent="0.45">
      <c r="F285" s="119">
        <v>43853</v>
      </c>
      <c r="G285" s="52">
        <v>316.22494499999999</v>
      </c>
      <c r="H285" s="52">
        <v>90.021904000000006</v>
      </c>
      <c r="I285" s="120">
        <f t="shared" si="4"/>
        <v>1.1468400632714815E-3</v>
      </c>
      <c r="J285" s="120">
        <f t="shared" si="4"/>
        <v>1.0908535226139549E-4</v>
      </c>
      <c r="K285"/>
      <c r="M285" s="15"/>
      <c r="N285" s="15"/>
      <c r="O285" s="15"/>
      <c r="P285" s="15"/>
      <c r="Q285" s="15"/>
      <c r="R285" s="15"/>
      <c r="S285" s="15"/>
      <c r="T285" s="15"/>
      <c r="U285" s="15"/>
      <c r="V285" s="15"/>
      <c r="W285" s="15"/>
      <c r="X285" s="15"/>
    </row>
    <row r="286" spans="6:24" s="21" customFormat="1" ht="14.25" x14ac:dyDescent="0.45">
      <c r="F286" s="119">
        <v>43854</v>
      </c>
      <c r="G286" s="52">
        <v>313.41275000000002</v>
      </c>
      <c r="H286" s="52">
        <v>90.021904000000006</v>
      </c>
      <c r="I286" s="120">
        <f t="shared" si="4"/>
        <v>-8.893020757739345E-3</v>
      </c>
      <c r="J286" s="120">
        <f t="shared" si="4"/>
        <v>0</v>
      </c>
      <c r="K286"/>
      <c r="M286" s="15"/>
      <c r="N286" s="15"/>
      <c r="O286" s="15"/>
      <c r="P286" s="15"/>
      <c r="Q286" s="15"/>
      <c r="R286" s="15"/>
      <c r="S286" s="15"/>
      <c r="T286" s="15"/>
      <c r="U286" s="15"/>
      <c r="V286" s="15"/>
      <c r="W286" s="15"/>
      <c r="X286" s="15"/>
    </row>
    <row r="287" spans="6:24" s="21" customFormat="1" ht="14.25" x14ac:dyDescent="0.45">
      <c r="F287" s="119">
        <v>43857</v>
      </c>
      <c r="G287" s="52">
        <v>308.38891599999999</v>
      </c>
      <c r="H287" s="52">
        <v>90.031745999999998</v>
      </c>
      <c r="I287" s="120">
        <f t="shared" si="4"/>
        <v>-1.6029449982491228E-2</v>
      </c>
      <c r="J287" s="120">
        <f t="shared" si="4"/>
        <v>1.0932894731929821E-4</v>
      </c>
      <c r="K287"/>
      <c r="M287" s="15"/>
      <c r="N287" s="15"/>
      <c r="O287" s="15"/>
      <c r="P287" s="15"/>
      <c r="Q287" s="15"/>
      <c r="R287" s="15"/>
      <c r="S287" s="15"/>
      <c r="T287" s="15"/>
      <c r="U287" s="15"/>
      <c r="V287" s="15"/>
      <c r="W287" s="15"/>
      <c r="X287" s="15"/>
    </row>
    <row r="288" spans="6:24" s="21" customFormat="1" ht="14.25" x14ac:dyDescent="0.45">
      <c r="F288" s="119">
        <v>43858</v>
      </c>
      <c r="G288" s="52">
        <v>311.62057499999997</v>
      </c>
      <c r="H288" s="52">
        <v>90.031745999999998</v>
      </c>
      <c r="I288" s="120">
        <f t="shared" si="4"/>
        <v>1.0479167156578262E-2</v>
      </c>
      <c r="J288" s="120">
        <f t="shared" si="4"/>
        <v>0</v>
      </c>
      <c r="K288"/>
      <c r="M288" s="15"/>
      <c r="N288" s="15"/>
      <c r="O288" s="15"/>
      <c r="P288" s="15"/>
      <c r="Q288" s="15"/>
      <c r="R288" s="15"/>
      <c r="S288" s="15"/>
      <c r="T288" s="15"/>
      <c r="U288" s="15"/>
      <c r="V288" s="15"/>
      <c r="W288" s="15"/>
      <c r="X288" s="15"/>
    </row>
    <row r="289" spans="6:24" s="21" customFormat="1" ht="14.25" x14ac:dyDescent="0.45">
      <c r="F289" s="119">
        <v>43859</v>
      </c>
      <c r="G289" s="52">
        <v>311.363159</v>
      </c>
      <c r="H289" s="52">
        <v>90.041579999999996</v>
      </c>
      <c r="I289" s="120">
        <f t="shared" si="4"/>
        <v>-8.2605585334016851E-4</v>
      </c>
      <c r="J289" s="120">
        <f t="shared" si="4"/>
        <v>1.0922813826130806E-4</v>
      </c>
      <c r="K289"/>
      <c r="M289" s="15"/>
      <c r="N289" s="15"/>
      <c r="O289" s="15"/>
      <c r="P289" s="15"/>
      <c r="Q289" s="15"/>
      <c r="R289" s="15"/>
      <c r="S289" s="15"/>
      <c r="T289" s="15"/>
      <c r="U289" s="15"/>
      <c r="V289" s="15"/>
      <c r="W289" s="15"/>
      <c r="X289" s="15"/>
    </row>
    <row r="290" spans="6:24" s="21" customFormat="1" ht="14.25" x14ac:dyDescent="0.45">
      <c r="F290" s="119">
        <v>43860</v>
      </c>
      <c r="G290" s="52">
        <v>312.373627</v>
      </c>
      <c r="H290" s="52">
        <v>90.041579999999996</v>
      </c>
      <c r="I290" s="120">
        <f t="shared" si="4"/>
        <v>3.2453036616320041E-3</v>
      </c>
      <c r="J290" s="120">
        <f t="shared" si="4"/>
        <v>0</v>
      </c>
      <c r="K290"/>
      <c r="M290" s="15"/>
      <c r="N290" s="15"/>
      <c r="O290" s="15"/>
      <c r="P290" s="15"/>
      <c r="Q290" s="15"/>
      <c r="R290" s="15"/>
      <c r="S290" s="15"/>
      <c r="T290" s="15"/>
      <c r="U290" s="15"/>
      <c r="V290" s="15"/>
      <c r="W290" s="15"/>
      <c r="X290" s="15"/>
    </row>
    <row r="291" spans="6:24" s="21" customFormat="1" ht="14.25" x14ac:dyDescent="0.45">
      <c r="F291" s="119">
        <v>43861</v>
      </c>
      <c r="G291" s="52">
        <v>306.70163000000002</v>
      </c>
      <c r="H291" s="52">
        <v>90.041579999999996</v>
      </c>
      <c r="I291" s="120">
        <f t="shared" si="4"/>
        <v>-1.8157733271125243E-2</v>
      </c>
      <c r="J291" s="120">
        <f t="shared" si="4"/>
        <v>0</v>
      </c>
      <c r="K291"/>
      <c r="M291" s="15"/>
      <c r="N291" s="15"/>
      <c r="O291" s="15"/>
      <c r="P291" s="15"/>
      <c r="Q291" s="15"/>
      <c r="R291" s="15"/>
      <c r="S291" s="15"/>
      <c r="T291" s="15"/>
      <c r="U291" s="15"/>
      <c r="V291" s="15"/>
      <c r="W291" s="15"/>
      <c r="X291" s="15"/>
    </row>
    <row r="292" spans="6:24" s="21" customFormat="1" ht="14.25" x14ac:dyDescent="0.45">
      <c r="F292" s="119">
        <v>43864</v>
      </c>
      <c r="G292" s="52">
        <v>308.979919</v>
      </c>
      <c r="H292" s="52">
        <v>90.049476999999996</v>
      </c>
      <c r="I292" s="120">
        <f t="shared" si="4"/>
        <v>7.4283563475028291E-3</v>
      </c>
      <c r="J292" s="120">
        <f t="shared" si="4"/>
        <v>8.7703925230941948E-5</v>
      </c>
      <c r="K292"/>
      <c r="M292" s="15"/>
      <c r="N292" s="15"/>
      <c r="O292" s="15"/>
      <c r="P292" s="15"/>
      <c r="Q292" s="15"/>
      <c r="R292" s="15"/>
      <c r="S292" s="15"/>
      <c r="T292" s="15"/>
      <c r="U292" s="15"/>
      <c r="V292" s="15"/>
      <c r="W292" s="15"/>
      <c r="X292" s="15"/>
    </row>
    <row r="293" spans="6:24" s="21" customFormat="1" ht="14.25" x14ac:dyDescent="0.45">
      <c r="F293" s="119">
        <v>43865</v>
      </c>
      <c r="G293" s="52">
        <v>313.68920900000001</v>
      </c>
      <c r="H293" s="52">
        <v>90.049476999999996</v>
      </c>
      <c r="I293" s="120">
        <f t="shared" si="4"/>
        <v>1.5241411206402766E-2</v>
      </c>
      <c r="J293" s="120">
        <f t="shared" si="4"/>
        <v>0</v>
      </c>
      <c r="K293"/>
      <c r="M293" s="15"/>
      <c r="N293" s="15"/>
      <c r="O293" s="15"/>
      <c r="P293" s="15"/>
      <c r="Q293" s="15"/>
      <c r="R293" s="15"/>
      <c r="S293" s="15"/>
      <c r="T293" s="15"/>
      <c r="U293" s="15"/>
      <c r="V293" s="15"/>
      <c r="W293" s="15"/>
      <c r="X293" s="15"/>
    </row>
    <row r="294" spans="6:24" s="21" customFormat="1" ht="14.25" x14ac:dyDescent="0.45">
      <c r="F294" s="119">
        <v>43866</v>
      </c>
      <c r="G294" s="52">
        <v>317.31167599999998</v>
      </c>
      <c r="H294" s="52">
        <v>90.069159999999997</v>
      </c>
      <c r="I294" s="120">
        <f t="shared" si="4"/>
        <v>1.1547949040223271E-2</v>
      </c>
      <c r="J294" s="120">
        <f t="shared" si="4"/>
        <v>2.1857983694895111E-4</v>
      </c>
      <c r="K294"/>
      <c r="M294" s="15"/>
      <c r="N294" s="15"/>
      <c r="O294" s="15"/>
      <c r="P294" s="15"/>
      <c r="Q294" s="15"/>
      <c r="R294" s="15"/>
      <c r="S294" s="15"/>
      <c r="T294" s="15"/>
      <c r="U294" s="15"/>
      <c r="V294" s="15"/>
      <c r="W294" s="15"/>
      <c r="X294" s="15"/>
    </row>
    <row r="295" spans="6:24" s="21" customFormat="1" ht="14.25" x14ac:dyDescent="0.45">
      <c r="F295" s="119">
        <v>43867</v>
      </c>
      <c r="G295" s="52">
        <v>318.37933299999997</v>
      </c>
      <c r="H295" s="52">
        <v>90.079018000000005</v>
      </c>
      <c r="I295" s="120">
        <f t="shared" si="4"/>
        <v>3.3646949694974282E-3</v>
      </c>
      <c r="J295" s="120">
        <f t="shared" si="4"/>
        <v>1.0944922768252319E-4</v>
      </c>
      <c r="K295"/>
      <c r="M295" s="15"/>
      <c r="N295" s="15"/>
      <c r="O295" s="15"/>
      <c r="P295" s="15"/>
      <c r="Q295" s="15"/>
      <c r="R295" s="15"/>
      <c r="S295" s="15"/>
      <c r="T295" s="15"/>
      <c r="U295" s="15"/>
      <c r="V295" s="15"/>
      <c r="W295" s="15"/>
      <c r="X295" s="15"/>
    </row>
    <row r="296" spans="6:24" s="21" customFormat="1" ht="14.25" x14ac:dyDescent="0.45">
      <c r="F296" s="119">
        <v>43868</v>
      </c>
      <c r="G296" s="52">
        <v>316.68255599999998</v>
      </c>
      <c r="H296" s="52">
        <v>90.079018000000005</v>
      </c>
      <c r="I296" s="120">
        <f t="shared" si="4"/>
        <v>-5.3294194193188593E-3</v>
      </c>
      <c r="J296" s="120">
        <f t="shared" si="4"/>
        <v>0</v>
      </c>
      <c r="K296"/>
      <c r="M296" s="15"/>
      <c r="N296" s="15"/>
      <c r="O296" s="15"/>
      <c r="P296" s="15"/>
      <c r="Q296" s="15"/>
      <c r="R296" s="15"/>
      <c r="S296" s="15"/>
      <c r="T296" s="15"/>
      <c r="U296" s="15"/>
      <c r="V296" s="15"/>
      <c r="W296" s="15"/>
      <c r="X296" s="15"/>
    </row>
    <row r="297" spans="6:24" s="21" customFormat="1" ht="14.25" x14ac:dyDescent="0.45">
      <c r="F297" s="119">
        <v>43871</v>
      </c>
      <c r="G297" s="52">
        <v>319.04669200000001</v>
      </c>
      <c r="H297" s="52">
        <v>90.069159999999997</v>
      </c>
      <c r="I297" s="120">
        <f t="shared" si="4"/>
        <v>7.4653180454942181E-3</v>
      </c>
      <c r="J297" s="120">
        <f t="shared" si="4"/>
        <v>-1.0943724986001158E-4</v>
      </c>
      <c r="K297"/>
      <c r="M297" s="15"/>
      <c r="N297" s="15"/>
      <c r="O297" s="15"/>
      <c r="P297" s="15"/>
      <c r="Q297" s="15"/>
      <c r="R297" s="15"/>
      <c r="S297" s="15"/>
      <c r="T297" s="15"/>
      <c r="U297" s="15"/>
      <c r="V297" s="15"/>
      <c r="W297" s="15"/>
      <c r="X297" s="15"/>
    </row>
    <row r="298" spans="6:24" s="21" customFormat="1" ht="14.25" x14ac:dyDescent="0.45">
      <c r="F298" s="119">
        <v>43872</v>
      </c>
      <c r="G298" s="52">
        <v>319.59957900000001</v>
      </c>
      <c r="H298" s="52">
        <v>90.079018000000005</v>
      </c>
      <c r="I298" s="120">
        <f t="shared" si="4"/>
        <v>1.7329344383234524E-3</v>
      </c>
      <c r="J298" s="120">
        <f t="shared" si="4"/>
        <v>1.0944922768252319E-4</v>
      </c>
      <c r="K298"/>
      <c r="M298" s="15"/>
      <c r="N298" s="15"/>
      <c r="O298" s="15"/>
      <c r="P298" s="15"/>
      <c r="Q298" s="15"/>
      <c r="R298" s="15"/>
      <c r="S298" s="15"/>
      <c r="T298" s="15"/>
      <c r="U298" s="15"/>
      <c r="V298" s="15"/>
      <c r="W298" s="15"/>
      <c r="X298" s="15"/>
    </row>
    <row r="299" spans="6:24" s="21" customFormat="1" ht="14.25" x14ac:dyDescent="0.45">
      <c r="F299" s="119">
        <v>43873</v>
      </c>
      <c r="G299" s="52">
        <v>321.65872200000001</v>
      </c>
      <c r="H299" s="52">
        <v>90.088866999999993</v>
      </c>
      <c r="I299" s="120">
        <f t="shared" si="4"/>
        <v>6.442883956364609E-3</v>
      </c>
      <c r="J299" s="120">
        <f t="shared" si="4"/>
        <v>1.0933733758045072E-4</v>
      </c>
      <c r="K299"/>
      <c r="M299" s="15"/>
      <c r="N299" s="15"/>
      <c r="O299" s="15"/>
      <c r="P299" s="15"/>
      <c r="Q299" s="15"/>
      <c r="R299" s="15"/>
      <c r="S299" s="15"/>
      <c r="T299" s="15"/>
      <c r="U299" s="15"/>
      <c r="V299" s="15"/>
      <c r="W299" s="15"/>
      <c r="X299" s="15"/>
    </row>
    <row r="300" spans="6:24" s="21" customFormat="1" ht="14.25" x14ac:dyDescent="0.45">
      <c r="F300" s="119">
        <v>43874</v>
      </c>
      <c r="G300" s="52">
        <v>321.31549100000001</v>
      </c>
      <c r="H300" s="52">
        <v>90.098708999999999</v>
      </c>
      <c r="I300" s="120">
        <f t="shared" si="4"/>
        <v>-1.067065733103334E-3</v>
      </c>
      <c r="J300" s="120">
        <f t="shared" si="4"/>
        <v>1.0924768317943645E-4</v>
      </c>
      <c r="K300"/>
      <c r="M300" s="15"/>
      <c r="N300" s="15"/>
      <c r="O300" s="15"/>
      <c r="P300" s="15"/>
      <c r="Q300" s="15"/>
      <c r="R300" s="15"/>
      <c r="S300" s="15"/>
      <c r="T300" s="15"/>
      <c r="U300" s="15"/>
      <c r="V300" s="15"/>
      <c r="W300" s="15"/>
      <c r="X300" s="15"/>
    </row>
    <row r="301" spans="6:24" s="21" customFormat="1" ht="14.25" x14ac:dyDescent="0.45">
      <c r="F301" s="119">
        <v>43875</v>
      </c>
      <c r="G301" s="52">
        <v>321.83023100000003</v>
      </c>
      <c r="H301" s="52">
        <v>90.098708999999999</v>
      </c>
      <c r="I301" s="120">
        <f t="shared" si="4"/>
        <v>1.6019769180690702E-3</v>
      </c>
      <c r="J301" s="120">
        <f t="shared" si="4"/>
        <v>0</v>
      </c>
      <c r="K301"/>
      <c r="M301" s="15"/>
      <c r="N301" s="15"/>
      <c r="O301" s="15"/>
      <c r="P301" s="15"/>
      <c r="Q301" s="15"/>
      <c r="R301" s="15"/>
      <c r="S301" s="15"/>
      <c r="T301" s="15"/>
      <c r="U301" s="15"/>
      <c r="V301" s="15"/>
      <c r="W301" s="15"/>
      <c r="X301" s="15"/>
    </row>
    <row r="302" spans="6:24" s="21" customFormat="1" ht="14.25" x14ac:dyDescent="0.45">
      <c r="F302" s="119">
        <v>43879</v>
      </c>
      <c r="G302" s="52">
        <v>321.00088499999998</v>
      </c>
      <c r="H302" s="52">
        <v>90.108542999999997</v>
      </c>
      <c r="I302" s="120">
        <f t="shared" si="4"/>
        <v>-2.5769673576750973E-3</v>
      </c>
      <c r="J302" s="120">
        <f t="shared" si="4"/>
        <v>1.0914695792152429E-4</v>
      </c>
      <c r="K302"/>
      <c r="M302" s="15"/>
      <c r="N302" s="15"/>
      <c r="O302" s="15"/>
      <c r="P302" s="15"/>
      <c r="Q302" s="15"/>
      <c r="R302" s="15"/>
      <c r="S302" s="15"/>
      <c r="T302" s="15"/>
      <c r="U302" s="15"/>
      <c r="V302" s="15"/>
      <c r="W302" s="15"/>
      <c r="X302" s="15"/>
    </row>
    <row r="303" spans="6:24" s="21" customFormat="1" ht="14.25" x14ac:dyDescent="0.45">
      <c r="F303" s="119">
        <v>43880</v>
      </c>
      <c r="G303" s="52">
        <v>322.535706</v>
      </c>
      <c r="H303" s="52">
        <v>90.108542999999997</v>
      </c>
      <c r="I303" s="120">
        <f t="shared" si="4"/>
        <v>4.7813606495197281E-3</v>
      </c>
      <c r="J303" s="120">
        <f t="shared" si="4"/>
        <v>0</v>
      </c>
      <c r="K303"/>
      <c r="M303" s="15"/>
      <c r="N303" s="15"/>
      <c r="O303" s="15"/>
      <c r="P303" s="15"/>
      <c r="Q303" s="15"/>
      <c r="R303" s="15"/>
      <c r="S303" s="15"/>
      <c r="T303" s="15"/>
      <c r="U303" s="15"/>
      <c r="V303" s="15"/>
      <c r="W303" s="15"/>
      <c r="X303" s="15"/>
    </row>
    <row r="304" spans="6:24" s="21" customFormat="1" ht="14.25" x14ac:dyDescent="0.45">
      <c r="F304" s="119">
        <v>43881</v>
      </c>
      <c r="G304" s="52">
        <v>321.21066300000001</v>
      </c>
      <c r="H304" s="52">
        <v>90.108542999999997</v>
      </c>
      <c r="I304" s="120">
        <f t="shared" si="4"/>
        <v>-4.1082056198763484E-3</v>
      </c>
      <c r="J304" s="120">
        <f t="shared" si="4"/>
        <v>0</v>
      </c>
      <c r="K304"/>
      <c r="M304" s="15"/>
      <c r="N304" s="15"/>
      <c r="O304" s="15"/>
      <c r="P304" s="15"/>
      <c r="Q304" s="15"/>
      <c r="R304" s="15"/>
      <c r="S304" s="15"/>
      <c r="T304" s="15"/>
      <c r="U304" s="15"/>
      <c r="V304" s="15"/>
      <c r="W304" s="15"/>
      <c r="X304" s="15"/>
    </row>
    <row r="305" spans="6:24" s="21" customFormat="1" ht="14.25" x14ac:dyDescent="0.45">
      <c r="F305" s="119">
        <v>43882</v>
      </c>
      <c r="G305" s="52">
        <v>317.90267899999998</v>
      </c>
      <c r="H305" s="52">
        <v>90.128249999999994</v>
      </c>
      <c r="I305" s="120">
        <f t="shared" si="4"/>
        <v>-1.0298487506935738E-2</v>
      </c>
      <c r="J305" s="120">
        <f t="shared" si="4"/>
        <v>2.1870290367465017E-4</v>
      </c>
      <c r="K305"/>
      <c r="M305" s="15"/>
      <c r="N305" s="15"/>
      <c r="O305" s="15"/>
      <c r="P305" s="15"/>
      <c r="Q305" s="15"/>
      <c r="R305" s="15"/>
      <c r="S305" s="15"/>
      <c r="T305" s="15"/>
      <c r="U305" s="15"/>
      <c r="V305" s="15"/>
      <c r="W305" s="15"/>
      <c r="X305" s="15"/>
    </row>
    <row r="306" spans="6:24" s="21" customFormat="1" ht="14.25" x14ac:dyDescent="0.45">
      <c r="F306" s="119">
        <v>43885</v>
      </c>
      <c r="G306" s="52">
        <v>307.35934400000002</v>
      </c>
      <c r="H306" s="52">
        <v>90.118401000000006</v>
      </c>
      <c r="I306" s="120">
        <f t="shared" si="4"/>
        <v>-3.316529144442959E-2</v>
      </c>
      <c r="J306" s="120">
        <f t="shared" si="4"/>
        <v>-1.092776127350481E-4</v>
      </c>
      <c r="K306"/>
      <c r="M306" s="15"/>
      <c r="N306" s="15"/>
      <c r="O306" s="15"/>
      <c r="P306" s="15"/>
      <c r="Q306" s="15"/>
      <c r="R306" s="15"/>
      <c r="S306" s="15"/>
      <c r="T306" s="15"/>
      <c r="U306" s="15"/>
      <c r="V306" s="15"/>
      <c r="W306" s="15"/>
      <c r="X306" s="15"/>
    </row>
    <row r="307" spans="6:24" s="21" customFormat="1" ht="14.25" x14ac:dyDescent="0.45">
      <c r="F307" s="119">
        <v>43886</v>
      </c>
      <c r="G307" s="52">
        <v>298.04568499999999</v>
      </c>
      <c r="H307" s="52">
        <v>90.118401000000006</v>
      </c>
      <c r="I307" s="120">
        <f t="shared" si="4"/>
        <v>-3.0302182711582137E-2</v>
      </c>
      <c r="J307" s="120">
        <f t="shared" si="4"/>
        <v>0</v>
      </c>
      <c r="K307"/>
      <c r="M307" s="15"/>
      <c r="N307" s="15"/>
      <c r="O307" s="15"/>
      <c r="P307" s="15"/>
      <c r="Q307" s="15"/>
      <c r="R307" s="15"/>
      <c r="S307" s="15"/>
      <c r="T307" s="15"/>
      <c r="U307" s="15"/>
      <c r="V307" s="15"/>
      <c r="W307" s="15"/>
      <c r="X307" s="15"/>
    </row>
    <row r="308" spans="6:24" x14ac:dyDescent="0.55000000000000004">
      <c r="F308" s="119">
        <v>43887</v>
      </c>
      <c r="G308" s="52">
        <v>296.94946299999998</v>
      </c>
      <c r="H308" s="52">
        <v>90.138084000000006</v>
      </c>
      <c r="I308" s="120">
        <f t="shared" si="4"/>
        <v>-3.67803345316009E-3</v>
      </c>
      <c r="J308" s="120">
        <f t="shared" si="4"/>
        <v>2.1841266358024747E-4</v>
      </c>
    </row>
    <row r="309" spans="6:24" x14ac:dyDescent="0.55000000000000004">
      <c r="F309" s="119">
        <v>43888</v>
      </c>
      <c r="G309" s="52">
        <v>283.61294600000002</v>
      </c>
      <c r="H309" s="52">
        <v>90.157791000000003</v>
      </c>
      <c r="I309" s="120">
        <f t="shared" si="4"/>
        <v>-4.49117397460993E-2</v>
      </c>
      <c r="J309" s="120">
        <f t="shared" si="4"/>
        <v>2.1863122806120572E-4</v>
      </c>
    </row>
    <row r="310" spans="6:24" x14ac:dyDescent="0.55000000000000004">
      <c r="F310" s="119">
        <v>43889</v>
      </c>
      <c r="G310" s="52">
        <v>282.421356</v>
      </c>
      <c r="H310" s="52">
        <v>90.147942</v>
      </c>
      <c r="I310" s="120">
        <f t="shared" si="4"/>
        <v>-4.2014654718900424E-3</v>
      </c>
      <c r="J310" s="120">
        <f t="shared" si="4"/>
        <v>-1.0924180695603969E-4</v>
      </c>
    </row>
    <row r="311" spans="6:24" x14ac:dyDescent="0.55000000000000004">
      <c r="F311" s="119">
        <v>43892</v>
      </c>
      <c r="G311" s="52">
        <v>294.652039</v>
      </c>
      <c r="H311" s="52">
        <v>90.174567999999994</v>
      </c>
      <c r="I311" s="120">
        <f t="shared" si="4"/>
        <v>4.3306509016265649E-2</v>
      </c>
      <c r="J311" s="120">
        <f t="shared" si="4"/>
        <v>2.953589334295792E-4</v>
      </c>
    </row>
    <row r="312" spans="6:24" x14ac:dyDescent="0.55000000000000004">
      <c r="F312" s="119">
        <v>43893</v>
      </c>
      <c r="G312" s="52">
        <v>286.21539300000001</v>
      </c>
      <c r="H312" s="52">
        <v>90.194282999999999</v>
      </c>
      <c r="I312" s="120">
        <f t="shared" si="4"/>
        <v>-2.863257294479471E-2</v>
      </c>
      <c r="J312" s="120">
        <f t="shared" si="4"/>
        <v>2.1863148820422396E-4</v>
      </c>
    </row>
    <row r="313" spans="6:24" x14ac:dyDescent="0.55000000000000004">
      <c r="F313" s="119">
        <v>43894</v>
      </c>
      <c r="G313" s="52">
        <v>298.24594100000002</v>
      </c>
      <c r="H313" s="52">
        <v>90.233704000000003</v>
      </c>
      <c r="I313" s="120">
        <f t="shared" si="4"/>
        <v>4.2033197005585166E-2</v>
      </c>
      <c r="J313" s="120">
        <f t="shared" si="4"/>
        <v>4.370676132543494E-4</v>
      </c>
    </row>
    <row r="314" spans="6:24" x14ac:dyDescent="0.55000000000000004">
      <c r="F314" s="119">
        <v>43895</v>
      </c>
      <c r="G314" s="52">
        <v>288.33175699999998</v>
      </c>
      <c r="H314" s="52">
        <v>90.253433000000001</v>
      </c>
      <c r="I314" s="120">
        <f t="shared" si="4"/>
        <v>-3.3241639322092342E-2</v>
      </c>
      <c r="J314" s="120">
        <f t="shared" si="4"/>
        <v>2.1864335747534547E-4</v>
      </c>
    </row>
    <row r="315" spans="6:24" x14ac:dyDescent="0.55000000000000004">
      <c r="F315" s="119">
        <v>43896</v>
      </c>
      <c r="G315" s="52">
        <v>283.56527699999998</v>
      </c>
      <c r="H315" s="52">
        <v>90.253433000000001</v>
      </c>
      <c r="I315" s="120">
        <f t="shared" si="4"/>
        <v>-1.6531234885791668E-2</v>
      </c>
      <c r="J315" s="120">
        <f t="shared" si="4"/>
        <v>0</v>
      </c>
    </row>
    <row r="316" spans="6:24" x14ac:dyDescent="0.55000000000000004">
      <c r="F316" s="119">
        <v>43899</v>
      </c>
      <c r="G316" s="52">
        <v>261.42044099999998</v>
      </c>
      <c r="H316" s="52">
        <v>90.292846999999995</v>
      </c>
      <c r="I316" s="120">
        <f t="shared" si="4"/>
        <v>-7.809431477042228E-2</v>
      </c>
      <c r="J316" s="120">
        <f t="shared" si="4"/>
        <v>4.3670360993353086E-4</v>
      </c>
    </row>
    <row r="317" spans="6:24" x14ac:dyDescent="0.55000000000000004">
      <c r="F317" s="119">
        <v>43900</v>
      </c>
      <c r="G317" s="52">
        <v>274.94754</v>
      </c>
      <c r="H317" s="52">
        <v>90.273148000000006</v>
      </c>
      <c r="I317" s="120">
        <f t="shared" si="4"/>
        <v>5.1744610896743204E-2</v>
      </c>
      <c r="J317" s="120">
        <f t="shared" si="4"/>
        <v>-2.1816789097350853E-4</v>
      </c>
    </row>
    <row r="319" spans="6:24" x14ac:dyDescent="0.55000000000000004">
      <c r="G319" s="1" t="s">
        <v>627</v>
      </c>
      <c r="H319" s="1" t="s">
        <v>628</v>
      </c>
      <c r="I319" s="13" t="s">
        <v>638</v>
      </c>
      <c r="J319" s="13" t="s">
        <v>639</v>
      </c>
    </row>
    <row r="320" spans="6:24" x14ac:dyDescent="0.55000000000000004">
      <c r="F320" s="119">
        <v>43901</v>
      </c>
      <c r="G320" s="52">
        <v>261.54422</v>
      </c>
      <c r="H320" s="52">
        <v>90.292846999999995</v>
      </c>
      <c r="I320" s="120">
        <f>G320/G317-1</f>
        <v>-4.8748644923318873E-2</v>
      </c>
      <c r="J320" s="120">
        <f>H320/H317-1</f>
        <v>2.1821549858858091E-4</v>
      </c>
    </row>
    <row r="321" spans="6:10" x14ac:dyDescent="0.55000000000000004">
      <c r="F321" s="119">
        <v>43902</v>
      </c>
      <c r="G321" s="52">
        <v>236.52046200000001</v>
      </c>
      <c r="H321" s="52">
        <v>90.302704000000006</v>
      </c>
      <c r="I321" s="120">
        <f t="shared" si="4"/>
        <v>-9.5676968124166484E-2</v>
      </c>
      <c r="J321" s="120">
        <f t="shared" si="4"/>
        <v>1.0916700854513017E-4</v>
      </c>
    </row>
    <row r="322" spans="6:10" x14ac:dyDescent="0.55000000000000004">
      <c r="F322" s="119">
        <v>43903</v>
      </c>
      <c r="G322" s="52">
        <v>256.73971599999999</v>
      </c>
      <c r="H322" s="52">
        <v>90.322449000000006</v>
      </c>
      <c r="I322" s="120">
        <f t="shared" si="4"/>
        <v>8.5486278138590777E-2</v>
      </c>
      <c r="J322" s="120">
        <f t="shared" si="4"/>
        <v>2.1865347465110929E-4</v>
      </c>
    </row>
    <row r="323" spans="6:10" x14ac:dyDescent="0.55000000000000004">
      <c r="F323" s="119">
        <v>43906</v>
      </c>
      <c r="G323" s="52">
        <v>228.64630099999999</v>
      </c>
      <c r="H323" s="52">
        <v>90.332283000000004</v>
      </c>
      <c r="I323" s="120">
        <f t="shared" si="4"/>
        <v>-0.10942372079277363</v>
      </c>
      <c r="J323" s="120">
        <f t="shared" si="4"/>
        <v>1.0887658725899918E-4</v>
      </c>
    </row>
    <row r="324" spans="6:10" x14ac:dyDescent="0.55000000000000004">
      <c r="F324" s="119">
        <v>43907</v>
      </c>
      <c r="G324" s="52">
        <v>240.99142499999999</v>
      </c>
      <c r="H324" s="52">
        <v>90.332283000000004</v>
      </c>
      <c r="I324" s="120">
        <f t="shared" si="4"/>
        <v>5.3992231433475091E-2</v>
      </c>
      <c r="J324" s="120">
        <f t="shared" si="4"/>
        <v>0</v>
      </c>
    </row>
    <row r="325" spans="6:10" x14ac:dyDescent="0.55000000000000004">
      <c r="F325" s="119">
        <v>43908</v>
      </c>
      <c r="G325" s="52">
        <v>228.789322</v>
      </c>
      <c r="H325" s="52">
        <v>90.352019999999996</v>
      </c>
      <c r="I325" s="120">
        <f t="shared" si="4"/>
        <v>-5.0632934346107938E-2</v>
      </c>
      <c r="J325" s="120">
        <f t="shared" si="4"/>
        <v>2.1849331539636196E-4</v>
      </c>
    </row>
    <row r="326" spans="6:10" x14ac:dyDescent="0.55000000000000004">
      <c r="F326" s="119">
        <v>43909</v>
      </c>
      <c r="G326" s="52">
        <v>229.27546699999999</v>
      </c>
      <c r="H326" s="52">
        <v>90.332283000000004</v>
      </c>
      <c r="I326" s="120">
        <f t="shared" si="4"/>
        <v>2.1248587816524722E-3</v>
      </c>
      <c r="J326" s="120">
        <f t="shared" si="4"/>
        <v>-2.1844558649597445E-4</v>
      </c>
    </row>
    <row r="327" spans="6:10" x14ac:dyDescent="0.55000000000000004">
      <c r="F327" s="119">
        <v>43910</v>
      </c>
      <c r="G327" s="52">
        <v>219.39503500000001</v>
      </c>
      <c r="H327" s="52">
        <v>90.361862000000002</v>
      </c>
      <c r="I327" s="120">
        <f t="shared" si="4"/>
        <v>-4.3094152764281524E-2</v>
      </c>
      <c r="J327" s="120">
        <f t="shared" si="4"/>
        <v>3.2744661174999301E-4</v>
      </c>
    </row>
    <row r="328" spans="6:10" x14ac:dyDescent="0.55000000000000004">
      <c r="F328" s="119">
        <v>43913</v>
      </c>
      <c r="G328" s="52">
        <v>213.785492</v>
      </c>
      <c r="H328" s="52">
        <v>90.342147999999995</v>
      </c>
      <c r="I328" s="120">
        <f t="shared" si="4"/>
        <v>-2.5568231295662658E-2</v>
      </c>
      <c r="J328" s="120">
        <f t="shared" si="4"/>
        <v>-2.1816726175927226E-4</v>
      </c>
    </row>
    <row r="329" spans="6:10" x14ac:dyDescent="0.55000000000000004">
      <c r="F329" s="119">
        <v>43914</v>
      </c>
      <c r="G329" s="52">
        <v>233.155136</v>
      </c>
      <c r="H329" s="52">
        <v>90.342147999999995</v>
      </c>
      <c r="I329" s="120">
        <f t="shared" si="4"/>
        <v>9.0603173390269021E-2</v>
      </c>
      <c r="J329" s="120">
        <f t="shared" si="4"/>
        <v>0</v>
      </c>
    </row>
    <row r="330" spans="6:10" x14ac:dyDescent="0.55000000000000004">
      <c r="F330" s="119">
        <v>43915</v>
      </c>
      <c r="G330" s="52">
        <v>236.645554</v>
      </c>
      <c r="H330" s="52">
        <v>90.342147999999995</v>
      </c>
      <c r="I330" s="120">
        <f t="shared" si="4"/>
        <v>1.4970367197915779E-2</v>
      </c>
      <c r="J330" s="120">
        <f t="shared" si="4"/>
        <v>0</v>
      </c>
    </row>
    <row r="331" spans="6:10" x14ac:dyDescent="0.55000000000000004">
      <c r="F331" s="119">
        <v>43916</v>
      </c>
      <c r="G331" s="52">
        <v>250.463211</v>
      </c>
      <c r="H331" s="52">
        <v>90.342147999999995</v>
      </c>
      <c r="I331" s="120">
        <f t="shared" si="4"/>
        <v>5.8389675049631329E-2</v>
      </c>
      <c r="J331" s="120">
        <f t="shared" si="4"/>
        <v>0</v>
      </c>
    </row>
    <row r="332" spans="6:10" x14ac:dyDescent="0.55000000000000004">
      <c r="F332" s="119">
        <v>43917</v>
      </c>
      <c r="G332" s="52">
        <v>243.003006</v>
      </c>
      <c r="H332" s="52">
        <v>90.322449000000006</v>
      </c>
      <c r="I332" s="120">
        <f t="shared" si="4"/>
        <v>-2.9785631870702156E-2</v>
      </c>
      <c r="J332" s="120">
        <f t="shared" si="4"/>
        <v>-2.1804883364062722E-4</v>
      </c>
    </row>
    <row r="333" spans="6:10" x14ac:dyDescent="0.55000000000000004">
      <c r="F333" s="119">
        <v>43920</v>
      </c>
      <c r="G333" s="52">
        <v>250.894699</v>
      </c>
      <c r="H333" s="52">
        <v>90.322449000000006</v>
      </c>
      <c r="I333" s="120">
        <f t="shared" si="4"/>
        <v>3.247570114420717E-2</v>
      </c>
      <c r="J333" s="120">
        <f t="shared" si="4"/>
        <v>0</v>
      </c>
    </row>
    <row r="334" spans="6:10" x14ac:dyDescent="0.55000000000000004">
      <c r="F334" s="119">
        <v>43921</v>
      </c>
      <c r="G334" s="52">
        <v>247.15501399999999</v>
      </c>
      <c r="H334" s="52">
        <v>90.332283000000004</v>
      </c>
      <c r="I334" s="120">
        <f t="shared" si="4"/>
        <v>-1.4905396626175849E-2</v>
      </c>
      <c r="J334" s="120">
        <f t="shared" si="4"/>
        <v>1.0887658725899918E-4</v>
      </c>
    </row>
    <row r="335" spans="6:10" x14ac:dyDescent="0.55000000000000004">
      <c r="F335" s="119">
        <v>43922</v>
      </c>
      <c r="G335" s="52">
        <v>236.03183000000001</v>
      </c>
      <c r="H335" s="52">
        <v>90.324402000000006</v>
      </c>
      <c r="I335" s="120">
        <f t="shared" si="4"/>
        <v>-4.5004889117887692E-2</v>
      </c>
      <c r="J335" s="120">
        <f t="shared" si="4"/>
        <v>-8.7244556854604305E-5</v>
      </c>
    </row>
    <row r="336" spans="6:10" x14ac:dyDescent="0.55000000000000004">
      <c r="F336" s="119">
        <v>43923</v>
      </c>
      <c r="G336" s="52">
        <v>241.478363</v>
      </c>
      <c r="H336" s="52">
        <v>90.334266999999997</v>
      </c>
      <c r="I336" s="120">
        <f t="shared" si="4"/>
        <v>2.3075417412981913E-2</v>
      </c>
      <c r="J336" s="120">
        <f t="shared" si="4"/>
        <v>1.0921744048730808E-4</v>
      </c>
    </row>
    <row r="337" spans="6:10" x14ac:dyDescent="0.55000000000000004">
      <c r="F337" s="119">
        <v>43924</v>
      </c>
      <c r="G337" s="52">
        <v>237.98799099999999</v>
      </c>
      <c r="H337" s="52">
        <v>90.304671999999997</v>
      </c>
      <c r="I337" s="120">
        <f t="shared" si="4"/>
        <v>-1.445418113920216E-2</v>
      </c>
      <c r="J337" s="120">
        <f t="shared" si="4"/>
        <v>-3.2761654002244622E-4</v>
      </c>
    </row>
    <row r="338" spans="6:10" x14ac:dyDescent="0.55000000000000004">
      <c r="F338" s="119">
        <v>43927</v>
      </c>
      <c r="G338" s="52">
        <v>253.97271699999999</v>
      </c>
      <c r="H338" s="52">
        <v>90.314537000000001</v>
      </c>
      <c r="I338" s="120">
        <f t="shared" si="4"/>
        <v>6.7166103351828266E-2</v>
      </c>
      <c r="J338" s="120">
        <f t="shared" si="4"/>
        <v>1.0924130259848397E-4</v>
      </c>
    </row>
    <row r="339" spans="6:10" x14ac:dyDescent="0.55000000000000004">
      <c r="F339" s="119">
        <v>43928</v>
      </c>
      <c r="G339" s="52">
        <v>254.23165900000001</v>
      </c>
      <c r="H339" s="52">
        <v>90.294807000000006</v>
      </c>
      <c r="I339" s="120">
        <f t="shared" si="4"/>
        <v>1.0195662079719447E-3</v>
      </c>
      <c r="J339" s="120">
        <f t="shared" si="4"/>
        <v>-2.1845874047932146E-4</v>
      </c>
    </row>
    <row r="340" spans="6:10" x14ac:dyDescent="0.55000000000000004">
      <c r="F340" s="119">
        <v>43929</v>
      </c>
      <c r="G340" s="52">
        <v>262.76577800000001</v>
      </c>
      <c r="H340" s="52">
        <v>90.304671999999997</v>
      </c>
      <c r="I340" s="120">
        <f t="shared" si="4"/>
        <v>3.3568277977527483E-2</v>
      </c>
      <c r="J340" s="120">
        <f t="shared" si="4"/>
        <v>1.0925323756416638E-4</v>
      </c>
    </row>
    <row r="341" spans="6:10" x14ac:dyDescent="0.55000000000000004">
      <c r="F341" s="119">
        <v>43930</v>
      </c>
      <c r="G341" s="52">
        <v>266.76443499999999</v>
      </c>
      <c r="H341" s="52">
        <v>90.284935000000004</v>
      </c>
      <c r="I341" s="120">
        <f t="shared" si="4"/>
        <v>1.521757144493896E-2</v>
      </c>
      <c r="J341" s="120">
        <f t="shared" si="4"/>
        <v>-2.185601205659804E-4</v>
      </c>
    </row>
    <row r="342" spans="6:10" x14ac:dyDescent="0.55000000000000004">
      <c r="F342" s="119">
        <v>43934</v>
      </c>
      <c r="G342" s="52">
        <v>264.32876599999997</v>
      </c>
      <c r="H342" s="52">
        <v>90.304671999999997</v>
      </c>
      <c r="I342" s="120">
        <f t="shared" ref="I342:J405" si="5">G342/G341-1</f>
        <v>-9.1304112559082995E-3</v>
      </c>
      <c r="J342" s="120">
        <f t="shared" si="5"/>
        <v>2.1860789953476178E-4</v>
      </c>
    </row>
    <row r="343" spans="6:10" x14ac:dyDescent="0.55000000000000004">
      <c r="F343" s="119">
        <v>43935</v>
      </c>
      <c r="G343" s="52">
        <v>272.124664</v>
      </c>
      <c r="H343" s="52">
        <v>90.314537000000001</v>
      </c>
      <c r="I343" s="120">
        <f t="shared" si="5"/>
        <v>2.949318803992762E-2</v>
      </c>
      <c r="J343" s="120">
        <f t="shared" si="5"/>
        <v>1.0924130259848397E-4</v>
      </c>
    </row>
    <row r="344" spans="6:10" x14ac:dyDescent="0.55000000000000004">
      <c r="F344" s="119">
        <v>43936</v>
      </c>
      <c r="G344" s="52">
        <v>266.342468</v>
      </c>
      <c r="H344" s="52">
        <v>90.304671999999997</v>
      </c>
      <c r="I344" s="120">
        <f t="shared" si="5"/>
        <v>-2.1248334917558176E-2</v>
      </c>
      <c r="J344" s="120">
        <f t="shared" si="5"/>
        <v>-1.0922937023971624E-4</v>
      </c>
    </row>
    <row r="345" spans="6:10" x14ac:dyDescent="0.55000000000000004">
      <c r="F345" s="119">
        <v>43937</v>
      </c>
      <c r="G345" s="52">
        <v>267.627411</v>
      </c>
      <c r="H345" s="52">
        <v>90.294807000000006</v>
      </c>
      <c r="I345" s="120">
        <f t="shared" si="5"/>
        <v>4.8244014919918143E-3</v>
      </c>
      <c r="J345" s="120">
        <f t="shared" si="5"/>
        <v>-1.0924130259826192E-4</v>
      </c>
    </row>
    <row r="346" spans="6:10" x14ac:dyDescent="0.55000000000000004">
      <c r="F346" s="119">
        <v>43938</v>
      </c>
      <c r="G346" s="52">
        <v>274.85745200000002</v>
      </c>
      <c r="H346" s="52">
        <v>90.314537000000001</v>
      </c>
      <c r="I346" s="120">
        <f t="shared" si="5"/>
        <v>2.7015323180031192E-2</v>
      </c>
      <c r="J346" s="120">
        <f t="shared" si="5"/>
        <v>2.1850647512877686E-4</v>
      </c>
    </row>
    <row r="347" spans="6:10" x14ac:dyDescent="0.55000000000000004">
      <c r="F347" s="119">
        <v>43941</v>
      </c>
      <c r="G347" s="52">
        <v>270.01504499999999</v>
      </c>
      <c r="H347" s="52">
        <v>90.304671999999997</v>
      </c>
      <c r="I347" s="120">
        <f t="shared" si="5"/>
        <v>-1.7617885070112749E-2</v>
      </c>
      <c r="J347" s="120">
        <f t="shared" si="5"/>
        <v>-1.0922937023971624E-4</v>
      </c>
    </row>
    <row r="348" spans="6:10" x14ac:dyDescent="0.55000000000000004">
      <c r="F348" s="119">
        <v>43942</v>
      </c>
      <c r="G348" s="52">
        <v>261.81652800000001</v>
      </c>
      <c r="H348" s="52">
        <v>90.304671999999997</v>
      </c>
      <c r="I348" s="120">
        <f t="shared" si="5"/>
        <v>-3.0363185873587106E-2</v>
      </c>
      <c r="J348" s="120">
        <f t="shared" si="5"/>
        <v>0</v>
      </c>
    </row>
    <row r="349" spans="6:10" x14ac:dyDescent="0.55000000000000004">
      <c r="F349" s="119">
        <v>43943</v>
      </c>
      <c r="G349" s="52">
        <v>267.627411</v>
      </c>
      <c r="H349" s="52">
        <v>90.304671999999997</v>
      </c>
      <c r="I349" s="120">
        <f t="shared" si="5"/>
        <v>2.2194484986830076E-2</v>
      </c>
      <c r="J349" s="120">
        <f t="shared" si="5"/>
        <v>0</v>
      </c>
    </row>
    <row r="350" spans="6:10" x14ac:dyDescent="0.55000000000000004">
      <c r="F350" s="119">
        <v>43944</v>
      </c>
      <c r="G350" s="52">
        <v>267.60824600000001</v>
      </c>
      <c r="H350" s="52">
        <v>90.314537000000001</v>
      </c>
      <c r="I350" s="120">
        <f t="shared" si="5"/>
        <v>-7.1610751411377294E-5</v>
      </c>
      <c r="J350" s="120">
        <f t="shared" si="5"/>
        <v>1.0924130259848397E-4</v>
      </c>
    </row>
    <row r="351" spans="6:10" x14ac:dyDescent="0.55000000000000004">
      <c r="F351" s="119">
        <v>43945</v>
      </c>
      <c r="G351" s="52">
        <v>271.338348</v>
      </c>
      <c r="H351" s="52">
        <v>90.304671999999997</v>
      </c>
      <c r="I351" s="120">
        <f t="shared" si="5"/>
        <v>1.3938666150070667E-2</v>
      </c>
      <c r="J351" s="120">
        <f t="shared" si="5"/>
        <v>-1.0922937023971624E-4</v>
      </c>
    </row>
    <row r="352" spans="6:10" x14ac:dyDescent="0.55000000000000004">
      <c r="F352" s="119">
        <v>43948</v>
      </c>
      <c r="G352" s="52">
        <v>275.25064099999997</v>
      </c>
      <c r="H352" s="52">
        <v>90.304671999999997</v>
      </c>
      <c r="I352" s="120">
        <f t="shared" si="5"/>
        <v>1.4418503793647286E-2</v>
      </c>
      <c r="J352" s="120">
        <f t="shared" si="5"/>
        <v>0</v>
      </c>
    </row>
    <row r="353" spans="6:10" x14ac:dyDescent="0.55000000000000004">
      <c r="F353" s="119">
        <v>43949</v>
      </c>
      <c r="G353" s="52">
        <v>273.98492399999998</v>
      </c>
      <c r="H353" s="52">
        <v>90.304671999999997</v>
      </c>
      <c r="I353" s="120">
        <f t="shared" si="5"/>
        <v>-4.5984161758955144E-3</v>
      </c>
      <c r="J353" s="120">
        <f t="shared" si="5"/>
        <v>0</v>
      </c>
    </row>
    <row r="354" spans="6:10" x14ac:dyDescent="0.55000000000000004">
      <c r="F354" s="119">
        <v>43950</v>
      </c>
      <c r="G354" s="52">
        <v>281.15741000000003</v>
      </c>
      <c r="H354" s="52">
        <v>90.294807000000006</v>
      </c>
      <c r="I354" s="120">
        <f t="shared" si="5"/>
        <v>2.6178396589441766E-2</v>
      </c>
      <c r="J354" s="120">
        <f t="shared" si="5"/>
        <v>-1.0924130259826192E-4</v>
      </c>
    </row>
    <row r="355" spans="6:10" x14ac:dyDescent="0.55000000000000004">
      <c r="F355" s="119">
        <v>43951</v>
      </c>
      <c r="G355" s="52">
        <v>278.53964200000001</v>
      </c>
      <c r="H355" s="52">
        <v>90.314537000000001</v>
      </c>
      <c r="I355" s="120">
        <f t="shared" si="5"/>
        <v>-9.3106847157256034E-3</v>
      </c>
      <c r="J355" s="120">
        <f t="shared" si="5"/>
        <v>2.1850647512877686E-4</v>
      </c>
    </row>
    <row r="356" spans="6:10" x14ac:dyDescent="0.55000000000000004">
      <c r="F356" s="119">
        <v>43952</v>
      </c>
      <c r="G356" s="52">
        <v>271.16574100000003</v>
      </c>
      <c r="H356" s="52">
        <v>90.298743999999999</v>
      </c>
      <c r="I356" s="120">
        <f t="shared" si="5"/>
        <v>-2.6473434614380675E-2</v>
      </c>
      <c r="J356" s="120">
        <f t="shared" si="5"/>
        <v>-1.7486664411514585E-4</v>
      </c>
    </row>
    <row r="357" spans="6:10" x14ac:dyDescent="0.55000000000000004">
      <c r="F357" s="119">
        <v>43955</v>
      </c>
      <c r="G357" s="52">
        <v>271.91366599999998</v>
      </c>
      <c r="H357" s="52">
        <v>90.298743999999999</v>
      </c>
      <c r="I357" s="120">
        <f t="shared" si="5"/>
        <v>2.7581839698547217E-3</v>
      </c>
      <c r="J357" s="120">
        <f t="shared" si="5"/>
        <v>0</v>
      </c>
    </row>
    <row r="358" spans="6:10" x14ac:dyDescent="0.55000000000000004">
      <c r="F358" s="119">
        <v>43956</v>
      </c>
      <c r="G358" s="52">
        <v>274.42596400000002</v>
      </c>
      <c r="H358" s="52">
        <v>90.298743999999999</v>
      </c>
      <c r="I358" s="120">
        <f t="shared" si="5"/>
        <v>9.2393223075446507E-3</v>
      </c>
      <c r="J358" s="120">
        <f t="shared" si="5"/>
        <v>0</v>
      </c>
    </row>
    <row r="359" spans="6:10" x14ac:dyDescent="0.55000000000000004">
      <c r="F359" s="119">
        <v>43957</v>
      </c>
      <c r="G359" s="52">
        <v>272.56573500000002</v>
      </c>
      <c r="H359" s="52">
        <v>90.308616999999998</v>
      </c>
      <c r="I359" s="120">
        <f t="shared" si="5"/>
        <v>-6.7786188044510753E-3</v>
      </c>
      <c r="J359" s="120">
        <f t="shared" si="5"/>
        <v>1.0933706896287809E-4</v>
      </c>
    </row>
    <row r="360" spans="6:10" x14ac:dyDescent="0.55000000000000004">
      <c r="F360" s="119">
        <v>43958</v>
      </c>
      <c r="G360" s="52">
        <v>275.85470600000002</v>
      </c>
      <c r="H360" s="52">
        <v>90.298743999999999</v>
      </c>
      <c r="I360" s="120">
        <f t="shared" si="5"/>
        <v>1.2066707504521768E-2</v>
      </c>
      <c r="J360" s="120">
        <f t="shared" si="5"/>
        <v>-1.0932511567529613E-4</v>
      </c>
    </row>
    <row r="361" spans="6:10" x14ac:dyDescent="0.55000000000000004">
      <c r="F361" s="119">
        <v>43959</v>
      </c>
      <c r="G361" s="52">
        <v>280.41906699999998</v>
      </c>
      <c r="H361" s="52">
        <v>90.298743999999999</v>
      </c>
      <c r="I361" s="120">
        <f t="shared" si="5"/>
        <v>1.6546250256828987E-2</v>
      </c>
      <c r="J361" s="120">
        <f t="shared" si="5"/>
        <v>0</v>
      </c>
    </row>
    <row r="362" spans="6:10" x14ac:dyDescent="0.55000000000000004">
      <c r="F362" s="119">
        <v>43962</v>
      </c>
      <c r="G362" s="52">
        <v>280.47662400000002</v>
      </c>
      <c r="H362" s="52">
        <v>90.308616999999998</v>
      </c>
      <c r="I362" s="120">
        <f t="shared" si="5"/>
        <v>2.0525351794287161E-4</v>
      </c>
      <c r="J362" s="120">
        <f t="shared" si="5"/>
        <v>1.0933706896287809E-4</v>
      </c>
    </row>
    <row r="363" spans="6:10" x14ac:dyDescent="0.55000000000000004">
      <c r="F363" s="119">
        <v>43963</v>
      </c>
      <c r="G363" s="52">
        <v>274.88623000000001</v>
      </c>
      <c r="H363" s="52">
        <v>90.308616999999998</v>
      </c>
      <c r="I363" s="120">
        <f t="shared" si="5"/>
        <v>-1.9931764438237076E-2</v>
      </c>
      <c r="J363" s="120">
        <f t="shared" si="5"/>
        <v>0</v>
      </c>
    </row>
    <row r="364" spans="6:10" x14ac:dyDescent="0.55000000000000004">
      <c r="F364" s="119">
        <v>43964</v>
      </c>
      <c r="G364" s="52">
        <v>270.02462800000001</v>
      </c>
      <c r="H364" s="52">
        <v>90.308616999999998</v>
      </c>
      <c r="I364" s="120">
        <f t="shared" si="5"/>
        <v>-1.7685869532278908E-2</v>
      </c>
      <c r="J364" s="120">
        <f t="shared" si="5"/>
        <v>0</v>
      </c>
    </row>
    <row r="365" spans="6:10" x14ac:dyDescent="0.55000000000000004">
      <c r="F365" s="119">
        <v>43965</v>
      </c>
      <c r="G365" s="52">
        <v>273.25613399999997</v>
      </c>
      <c r="H365" s="52">
        <v>90.318481000000006</v>
      </c>
      <c r="I365" s="120">
        <f t="shared" si="5"/>
        <v>1.1967449132084251E-2</v>
      </c>
      <c r="J365" s="120">
        <f t="shared" si="5"/>
        <v>1.0922545741132161E-4</v>
      </c>
    </row>
    <row r="366" spans="6:10" x14ac:dyDescent="0.55000000000000004">
      <c r="F366" s="119">
        <v>43966</v>
      </c>
      <c r="G366" s="52">
        <v>274.51226800000001</v>
      </c>
      <c r="H366" s="52">
        <v>90.298743999999999</v>
      </c>
      <c r="I366" s="120">
        <f t="shared" si="5"/>
        <v>4.5969105308356628E-3</v>
      </c>
      <c r="J366" s="120">
        <f t="shared" si="5"/>
        <v>-2.1852670440736244E-4</v>
      </c>
    </row>
    <row r="367" spans="6:10" x14ac:dyDescent="0.55000000000000004">
      <c r="F367" s="119">
        <v>43969</v>
      </c>
      <c r="G367" s="52">
        <v>282.87383999999997</v>
      </c>
      <c r="H367" s="52">
        <v>90.298743999999999</v>
      </c>
      <c r="I367" s="120">
        <f t="shared" si="5"/>
        <v>3.0459738870395325E-2</v>
      </c>
      <c r="J367" s="120">
        <f t="shared" si="5"/>
        <v>0</v>
      </c>
    </row>
    <row r="368" spans="6:10" x14ac:dyDescent="0.55000000000000004">
      <c r="F368" s="119">
        <v>43970</v>
      </c>
      <c r="G368" s="52">
        <v>279.968323</v>
      </c>
      <c r="H368" s="52">
        <v>90.298743999999999</v>
      </c>
      <c r="I368" s="120">
        <f t="shared" si="5"/>
        <v>-1.0271423472739571E-2</v>
      </c>
      <c r="J368" s="120">
        <f t="shared" si="5"/>
        <v>0</v>
      </c>
    </row>
    <row r="369" spans="6:10" x14ac:dyDescent="0.55000000000000004">
      <c r="F369" s="119">
        <v>43971</v>
      </c>
      <c r="G369" s="52">
        <v>284.72451799999999</v>
      </c>
      <c r="H369" s="52">
        <v>90.298743999999999</v>
      </c>
      <c r="I369" s="120">
        <f t="shared" si="5"/>
        <v>1.6988332640760939E-2</v>
      </c>
      <c r="J369" s="120">
        <f t="shared" si="5"/>
        <v>0</v>
      </c>
    </row>
    <row r="370" spans="6:10" x14ac:dyDescent="0.55000000000000004">
      <c r="F370" s="119">
        <v>43972</v>
      </c>
      <c r="G370" s="52">
        <v>282.75878899999998</v>
      </c>
      <c r="H370" s="52">
        <v>90.308616999999998</v>
      </c>
      <c r="I370" s="120">
        <f t="shared" si="5"/>
        <v>-6.9039681366674932E-3</v>
      </c>
      <c r="J370" s="120">
        <f t="shared" si="5"/>
        <v>1.0933706896287809E-4</v>
      </c>
    </row>
    <row r="371" spans="6:10" x14ac:dyDescent="0.55000000000000004">
      <c r="F371" s="119">
        <v>43973</v>
      </c>
      <c r="G371" s="52">
        <v>283.29580700000002</v>
      </c>
      <c r="H371" s="52">
        <v>90.298743999999999</v>
      </c>
      <c r="I371" s="120">
        <f t="shared" si="5"/>
        <v>1.8992088695075626E-3</v>
      </c>
      <c r="J371" s="120">
        <f t="shared" si="5"/>
        <v>-1.0932511567529613E-4</v>
      </c>
    </row>
    <row r="372" spans="6:10" x14ac:dyDescent="0.55000000000000004">
      <c r="F372" s="119">
        <v>43977</v>
      </c>
      <c r="G372" s="52">
        <v>286.78610200000003</v>
      </c>
      <c r="H372" s="52">
        <v>90.308616999999998</v>
      </c>
      <c r="I372" s="120">
        <f t="shared" si="5"/>
        <v>1.232032001094896E-2</v>
      </c>
      <c r="J372" s="120">
        <f t="shared" si="5"/>
        <v>1.0933706896287809E-4</v>
      </c>
    </row>
    <row r="373" spans="6:10" x14ac:dyDescent="0.55000000000000004">
      <c r="F373" s="119">
        <v>43978</v>
      </c>
      <c r="G373" s="52">
        <v>291.05319200000002</v>
      </c>
      <c r="H373" s="52">
        <v>90.298743999999999</v>
      </c>
      <c r="I373" s="120">
        <f t="shared" si="5"/>
        <v>1.4878998564581858E-2</v>
      </c>
      <c r="J373" s="120">
        <f t="shared" si="5"/>
        <v>-1.0932511567529613E-4</v>
      </c>
    </row>
    <row r="374" spans="6:10" x14ac:dyDescent="0.55000000000000004">
      <c r="F374" s="119">
        <v>43979</v>
      </c>
      <c r="G374" s="52">
        <v>290.51623499999999</v>
      </c>
      <c r="H374" s="52">
        <v>90.298743999999999</v>
      </c>
      <c r="I374" s="120">
        <f t="shared" si="5"/>
        <v>-1.84487583286852E-3</v>
      </c>
      <c r="J374" s="120">
        <f t="shared" si="5"/>
        <v>0</v>
      </c>
    </row>
    <row r="375" spans="6:10" x14ac:dyDescent="0.55000000000000004">
      <c r="F375" s="119">
        <v>43980</v>
      </c>
      <c r="G375" s="52">
        <v>291.810699</v>
      </c>
      <c r="H375" s="52">
        <v>90.298743999999999</v>
      </c>
      <c r="I375" s="120">
        <f t="shared" si="5"/>
        <v>4.4557372155122899E-3</v>
      </c>
      <c r="J375" s="120">
        <f t="shared" si="5"/>
        <v>0</v>
      </c>
    </row>
    <row r="376" spans="6:10" x14ac:dyDescent="0.55000000000000004">
      <c r="F376" s="119">
        <v>43983</v>
      </c>
      <c r="G376" s="52">
        <v>292.99017300000003</v>
      </c>
      <c r="H376" s="52">
        <v>90.308616999999998</v>
      </c>
      <c r="I376" s="120">
        <f t="shared" si="5"/>
        <v>4.0419148579609043E-3</v>
      </c>
      <c r="J376" s="120">
        <f t="shared" si="5"/>
        <v>1.0933706896287809E-4</v>
      </c>
    </row>
    <row r="377" spans="6:10" x14ac:dyDescent="0.55000000000000004">
      <c r="F377" s="119">
        <v>43984</v>
      </c>
      <c r="G377" s="52">
        <v>295.41610700000001</v>
      </c>
      <c r="H377" s="52">
        <v>90.308616999999998</v>
      </c>
      <c r="I377" s="120">
        <f t="shared" si="5"/>
        <v>8.279915927419168E-3</v>
      </c>
      <c r="J377" s="120">
        <f t="shared" si="5"/>
        <v>0</v>
      </c>
    </row>
    <row r="378" spans="6:10" x14ac:dyDescent="0.55000000000000004">
      <c r="F378" s="119">
        <v>43985</v>
      </c>
      <c r="G378" s="52">
        <v>299.34765599999997</v>
      </c>
      <c r="H378" s="52">
        <v>90.308616999999998</v>
      </c>
      <c r="I378" s="120">
        <f t="shared" si="5"/>
        <v>1.3308512660076266E-2</v>
      </c>
      <c r="J378" s="120">
        <f t="shared" si="5"/>
        <v>0</v>
      </c>
    </row>
    <row r="379" spans="6:10" x14ac:dyDescent="0.55000000000000004">
      <c r="F379" s="119">
        <v>43986</v>
      </c>
      <c r="G379" s="52">
        <v>298.56133999999997</v>
      </c>
      <c r="H379" s="52">
        <v>90.308616999999998</v>
      </c>
      <c r="I379" s="120">
        <f t="shared" si="5"/>
        <v>-2.6267651816855864E-3</v>
      </c>
      <c r="J379" s="120">
        <f t="shared" si="5"/>
        <v>0</v>
      </c>
    </row>
    <row r="380" spans="6:10" x14ac:dyDescent="0.55000000000000004">
      <c r="F380" s="119">
        <v>43987</v>
      </c>
      <c r="G380" s="52">
        <v>306.213348</v>
      </c>
      <c r="H380" s="52">
        <v>90.288887000000003</v>
      </c>
      <c r="I380" s="120">
        <f t="shared" si="5"/>
        <v>2.5629600938956276E-2</v>
      </c>
      <c r="J380" s="120">
        <f t="shared" si="5"/>
        <v>-2.1847306110334141E-4</v>
      </c>
    </row>
    <row r="381" spans="6:10" x14ac:dyDescent="0.55000000000000004">
      <c r="F381" s="119">
        <v>43990</v>
      </c>
      <c r="G381" s="52">
        <v>309.91467299999999</v>
      </c>
      <c r="H381" s="52">
        <v>90.298743999999999</v>
      </c>
      <c r="I381" s="120">
        <f t="shared" si="5"/>
        <v>1.2087405804400042E-2</v>
      </c>
      <c r="J381" s="120">
        <f t="shared" si="5"/>
        <v>1.0917179652469855E-4</v>
      </c>
    </row>
    <row r="382" spans="6:10" x14ac:dyDescent="0.55000000000000004">
      <c r="F382" s="119">
        <v>43991</v>
      </c>
      <c r="G382" s="52">
        <v>307.60376000000002</v>
      </c>
      <c r="H382" s="52">
        <v>90.298743999999999</v>
      </c>
      <c r="I382" s="120">
        <f t="shared" si="5"/>
        <v>-7.4566104845250614E-3</v>
      </c>
      <c r="J382" s="120">
        <f t="shared" si="5"/>
        <v>0</v>
      </c>
    </row>
    <row r="383" spans="6:10" x14ac:dyDescent="0.55000000000000004">
      <c r="F383" s="119">
        <v>43992</v>
      </c>
      <c r="G383" s="52">
        <v>305.88732900000002</v>
      </c>
      <c r="H383" s="52">
        <v>90.308616999999998</v>
      </c>
      <c r="I383" s="120">
        <f t="shared" si="5"/>
        <v>-5.5800065642890306E-3</v>
      </c>
      <c r="J383" s="120">
        <f t="shared" si="5"/>
        <v>1.0933706896287809E-4</v>
      </c>
    </row>
    <row r="384" spans="6:10" x14ac:dyDescent="0.55000000000000004">
      <c r="F384" s="119">
        <v>43993</v>
      </c>
      <c r="G384" s="52">
        <v>288.25320399999998</v>
      </c>
      <c r="H384" s="52">
        <v>90.288887000000003</v>
      </c>
      <c r="I384" s="120">
        <f t="shared" si="5"/>
        <v>-5.7649086209779044E-2</v>
      </c>
      <c r="J384" s="120">
        <f t="shared" si="5"/>
        <v>-2.1847306110334141E-4</v>
      </c>
    </row>
    <row r="385" spans="6:10" x14ac:dyDescent="0.55000000000000004">
      <c r="F385" s="119">
        <v>43994</v>
      </c>
      <c r="G385" s="52">
        <v>291.70526100000001</v>
      </c>
      <c r="H385" s="52">
        <v>90.308616999999998</v>
      </c>
      <c r="I385" s="120">
        <f t="shared" si="5"/>
        <v>1.1975780154728222E-2</v>
      </c>
      <c r="J385" s="120">
        <f t="shared" si="5"/>
        <v>2.1852080201179014E-4</v>
      </c>
    </row>
    <row r="386" spans="6:10" x14ac:dyDescent="0.55000000000000004">
      <c r="F386" s="119">
        <v>43997</v>
      </c>
      <c r="G386" s="52">
        <v>294.42852800000003</v>
      </c>
      <c r="H386" s="52">
        <v>90.308616999999998</v>
      </c>
      <c r="I386" s="120">
        <f t="shared" si="5"/>
        <v>9.3356800993726896E-3</v>
      </c>
      <c r="J386" s="120">
        <f t="shared" si="5"/>
        <v>0</v>
      </c>
    </row>
    <row r="387" spans="6:10" x14ac:dyDescent="0.55000000000000004">
      <c r="F387" s="119">
        <v>43998</v>
      </c>
      <c r="G387" s="52">
        <v>300.09558099999998</v>
      </c>
      <c r="H387" s="52">
        <v>90.308616999999998</v>
      </c>
      <c r="I387" s="120">
        <f t="shared" si="5"/>
        <v>1.92476355416209E-2</v>
      </c>
      <c r="J387" s="120">
        <f t="shared" si="5"/>
        <v>0</v>
      </c>
    </row>
    <row r="388" spans="6:10" x14ac:dyDescent="0.55000000000000004">
      <c r="F388" s="119">
        <v>43999</v>
      </c>
      <c r="G388" s="52">
        <v>298.84903000000003</v>
      </c>
      <c r="H388" s="52">
        <v>90.308616999999998</v>
      </c>
      <c r="I388" s="120">
        <f t="shared" si="5"/>
        <v>-4.1538465706363326E-3</v>
      </c>
      <c r="J388" s="120">
        <f t="shared" si="5"/>
        <v>0</v>
      </c>
    </row>
    <row r="389" spans="6:10" x14ac:dyDescent="0.55000000000000004">
      <c r="F389" s="119">
        <v>44000</v>
      </c>
      <c r="G389" s="52">
        <v>298.96404999999999</v>
      </c>
      <c r="H389" s="52">
        <v>90.298743999999999</v>
      </c>
      <c r="I389" s="120">
        <f t="shared" si="5"/>
        <v>3.8487660475250429E-4</v>
      </c>
      <c r="J389" s="120">
        <f t="shared" si="5"/>
        <v>-1.0932511567529613E-4</v>
      </c>
    </row>
    <row r="390" spans="6:10" x14ac:dyDescent="0.55000000000000004">
      <c r="F390" s="119">
        <v>44001</v>
      </c>
      <c r="G390" s="52">
        <v>297.25552399999998</v>
      </c>
      <c r="H390" s="52">
        <v>90.298743999999999</v>
      </c>
      <c r="I390" s="120">
        <f t="shared" si="5"/>
        <v>-5.7148208956896429E-3</v>
      </c>
      <c r="J390" s="120">
        <f t="shared" si="5"/>
        <v>0</v>
      </c>
    </row>
    <row r="391" spans="6:10" x14ac:dyDescent="0.55000000000000004">
      <c r="F391" s="119">
        <v>44004</v>
      </c>
      <c r="G391" s="52">
        <v>299.16253699999999</v>
      </c>
      <c r="H391" s="52">
        <v>90.298743999999999</v>
      </c>
      <c r="I391" s="120">
        <f t="shared" si="5"/>
        <v>6.4153997017057929E-3</v>
      </c>
      <c r="J391" s="120">
        <f t="shared" si="5"/>
        <v>0</v>
      </c>
    </row>
    <row r="392" spans="6:10" x14ac:dyDescent="0.55000000000000004">
      <c r="F392" s="119">
        <v>44005</v>
      </c>
      <c r="G392" s="52">
        <v>300.53970299999997</v>
      </c>
      <c r="H392" s="52">
        <v>90.298743999999999</v>
      </c>
      <c r="I392" s="120">
        <f t="shared" si="5"/>
        <v>4.6034039348983313E-3</v>
      </c>
      <c r="J392" s="120">
        <f t="shared" si="5"/>
        <v>0</v>
      </c>
    </row>
    <row r="393" spans="6:10" x14ac:dyDescent="0.55000000000000004">
      <c r="F393" s="119">
        <v>44006</v>
      </c>
      <c r="G393" s="52">
        <v>292.87329099999999</v>
      </c>
      <c r="H393" s="52">
        <v>90.298743999999999</v>
      </c>
      <c r="I393" s="120">
        <f t="shared" si="5"/>
        <v>-2.5508816051501793E-2</v>
      </c>
      <c r="J393" s="120">
        <f t="shared" si="5"/>
        <v>0</v>
      </c>
    </row>
    <row r="394" spans="6:10" x14ac:dyDescent="0.55000000000000004">
      <c r="F394" s="119">
        <v>44007</v>
      </c>
      <c r="G394" s="52">
        <v>296.01306199999999</v>
      </c>
      <c r="H394" s="52">
        <v>90.308616999999998</v>
      </c>
      <c r="I394" s="120">
        <f t="shared" si="5"/>
        <v>1.0720578135614334E-2</v>
      </c>
      <c r="J394" s="120">
        <f t="shared" si="5"/>
        <v>1.0933706896287809E-4</v>
      </c>
    </row>
    <row r="395" spans="6:10" x14ac:dyDescent="0.55000000000000004">
      <c r="F395" s="119">
        <v>44008</v>
      </c>
      <c r="G395" s="52">
        <v>288.98236100000003</v>
      </c>
      <c r="H395" s="52">
        <v>90.298743999999999</v>
      </c>
      <c r="I395" s="120">
        <f t="shared" si="5"/>
        <v>-2.375132013600123E-2</v>
      </c>
      <c r="J395" s="120">
        <f t="shared" si="5"/>
        <v>-1.0932511567529613E-4</v>
      </c>
    </row>
    <row r="396" spans="6:10" x14ac:dyDescent="0.55000000000000004">
      <c r="F396" s="119">
        <v>44011</v>
      </c>
      <c r="G396" s="52">
        <v>293.22967499999999</v>
      </c>
      <c r="H396" s="52">
        <v>90.298743999999999</v>
      </c>
      <c r="I396" s="120">
        <f t="shared" si="5"/>
        <v>1.4697485290460222E-2</v>
      </c>
      <c r="J396" s="120">
        <f t="shared" si="5"/>
        <v>0</v>
      </c>
    </row>
    <row r="397" spans="6:10" x14ac:dyDescent="0.55000000000000004">
      <c r="F397" s="119">
        <v>44012</v>
      </c>
      <c r="G397" s="52">
        <v>296.98577899999998</v>
      </c>
      <c r="H397" s="52">
        <v>90.298743999999999</v>
      </c>
      <c r="I397" s="120">
        <f t="shared" si="5"/>
        <v>1.2809426603906937E-2</v>
      </c>
      <c r="J397" s="120">
        <f t="shared" si="5"/>
        <v>0</v>
      </c>
    </row>
    <row r="398" spans="6:10" x14ac:dyDescent="0.55000000000000004">
      <c r="F398" s="119">
        <v>44013</v>
      </c>
      <c r="G398" s="52">
        <v>299.06616200000002</v>
      </c>
      <c r="H398" s="52">
        <v>90.298743999999999</v>
      </c>
      <c r="I398" s="120">
        <f t="shared" si="5"/>
        <v>7.0049919797676719E-3</v>
      </c>
      <c r="J398" s="120">
        <f t="shared" si="5"/>
        <v>0</v>
      </c>
    </row>
    <row r="399" spans="6:10" x14ac:dyDescent="0.55000000000000004">
      <c r="F399" s="119">
        <v>44014</v>
      </c>
      <c r="G399" s="52">
        <v>300.71310399999999</v>
      </c>
      <c r="H399" s="52">
        <v>90.308616999999998</v>
      </c>
      <c r="I399" s="120">
        <f t="shared" si="5"/>
        <v>5.5069486597416617E-3</v>
      </c>
      <c r="J399" s="120">
        <f t="shared" si="5"/>
        <v>1.0933706896287809E-4</v>
      </c>
    </row>
    <row r="400" spans="6:10" x14ac:dyDescent="0.55000000000000004">
      <c r="F400" s="119">
        <v>44018</v>
      </c>
      <c r="G400" s="52">
        <v>305.35528599999998</v>
      </c>
      <c r="H400" s="52">
        <v>90.298743999999999</v>
      </c>
      <c r="I400" s="120">
        <f t="shared" si="5"/>
        <v>1.5437245461707549E-2</v>
      </c>
      <c r="J400" s="120">
        <f t="shared" si="5"/>
        <v>-1.0932511567529613E-4</v>
      </c>
    </row>
    <row r="401" spans="6:10" x14ac:dyDescent="0.55000000000000004">
      <c r="F401" s="119">
        <v>44019</v>
      </c>
      <c r="G401" s="52">
        <v>302.20593300000002</v>
      </c>
      <c r="H401" s="52">
        <v>90.298743999999999</v>
      </c>
      <c r="I401" s="120">
        <f t="shared" si="5"/>
        <v>-1.0313733360423849E-2</v>
      </c>
      <c r="J401" s="120">
        <f t="shared" si="5"/>
        <v>0</v>
      </c>
    </row>
    <row r="402" spans="6:10" x14ac:dyDescent="0.55000000000000004">
      <c r="F402" s="119">
        <v>44020</v>
      </c>
      <c r="G402" s="52">
        <v>304.517426</v>
      </c>
      <c r="H402" s="52">
        <v>90.298743999999999</v>
      </c>
      <c r="I402" s="120">
        <f t="shared" si="5"/>
        <v>7.6487346792095678E-3</v>
      </c>
      <c r="J402" s="120">
        <f t="shared" si="5"/>
        <v>0</v>
      </c>
    </row>
    <row r="403" spans="6:10" x14ac:dyDescent="0.55000000000000004">
      <c r="F403" s="119">
        <v>44021</v>
      </c>
      <c r="G403" s="52">
        <v>302.78381300000001</v>
      </c>
      <c r="H403" s="52">
        <v>90.298743999999999</v>
      </c>
      <c r="I403" s="120">
        <f t="shared" si="5"/>
        <v>-5.6929845453245198E-3</v>
      </c>
      <c r="J403" s="120">
        <f t="shared" si="5"/>
        <v>0</v>
      </c>
    </row>
    <row r="404" spans="6:10" x14ac:dyDescent="0.55000000000000004">
      <c r="F404" s="119">
        <v>44022</v>
      </c>
      <c r="G404" s="52">
        <v>305.87536599999999</v>
      </c>
      <c r="H404" s="52">
        <v>90.308616999999998</v>
      </c>
      <c r="I404" s="120">
        <f t="shared" si="5"/>
        <v>1.0210430238554391E-2</v>
      </c>
      <c r="J404" s="120">
        <f t="shared" si="5"/>
        <v>1.0933706896287809E-4</v>
      </c>
    </row>
    <row r="405" spans="6:10" x14ac:dyDescent="0.55000000000000004">
      <c r="F405" s="119">
        <v>44025</v>
      </c>
      <c r="G405" s="52">
        <v>303.22680700000001</v>
      </c>
      <c r="H405" s="52">
        <v>90.308616999999998</v>
      </c>
      <c r="I405" s="120">
        <f t="shared" si="5"/>
        <v>-8.658948363955421E-3</v>
      </c>
      <c r="J405" s="120">
        <f t="shared" si="5"/>
        <v>0</v>
      </c>
    </row>
    <row r="406" spans="6:10" x14ac:dyDescent="0.55000000000000004">
      <c r="F406" s="119">
        <v>44026</v>
      </c>
      <c r="G406" s="52">
        <v>307.156342</v>
      </c>
      <c r="H406" s="52">
        <v>90.308616999999998</v>
      </c>
      <c r="I406" s="120">
        <f t="shared" ref="I406:J469" si="6">G406/G405-1</f>
        <v>1.295906202646524E-2</v>
      </c>
      <c r="J406" s="120">
        <f t="shared" si="6"/>
        <v>0</v>
      </c>
    </row>
    <row r="407" spans="6:10" x14ac:dyDescent="0.55000000000000004">
      <c r="F407" s="119">
        <v>44027</v>
      </c>
      <c r="G407" s="52">
        <v>309.97827100000001</v>
      </c>
      <c r="H407" s="52">
        <v>90.308616999999998</v>
      </c>
      <c r="I407" s="120">
        <f t="shared" si="6"/>
        <v>9.1872724542343409E-3</v>
      </c>
      <c r="J407" s="120">
        <f t="shared" si="6"/>
        <v>0</v>
      </c>
    </row>
    <row r="408" spans="6:10" x14ac:dyDescent="0.55000000000000004">
      <c r="F408" s="119">
        <v>44028</v>
      </c>
      <c r="G408" s="52">
        <v>308.95739700000001</v>
      </c>
      <c r="H408" s="52">
        <v>90.298743999999999</v>
      </c>
      <c r="I408" s="120">
        <f t="shared" si="6"/>
        <v>-3.2933727796681245E-3</v>
      </c>
      <c r="J408" s="120">
        <f t="shared" si="6"/>
        <v>-1.0932511567529613E-4</v>
      </c>
    </row>
    <row r="409" spans="6:10" x14ac:dyDescent="0.55000000000000004">
      <c r="F409" s="119">
        <v>44029</v>
      </c>
      <c r="G409" s="52">
        <v>309.853027</v>
      </c>
      <c r="H409" s="52">
        <v>90.308616999999998</v>
      </c>
      <c r="I409" s="120">
        <f t="shared" si="6"/>
        <v>2.8988786437762482E-3</v>
      </c>
      <c r="J409" s="120">
        <f t="shared" si="6"/>
        <v>1.0933706896287809E-4</v>
      </c>
    </row>
    <row r="410" spans="6:10" x14ac:dyDescent="0.55000000000000004">
      <c r="F410" s="119">
        <v>44032</v>
      </c>
      <c r="G410" s="52">
        <v>312.35711700000002</v>
      </c>
      <c r="H410" s="52">
        <v>90.308616999999998</v>
      </c>
      <c r="I410" s="120">
        <f t="shared" si="6"/>
        <v>8.0815411882357857E-3</v>
      </c>
      <c r="J410" s="120">
        <f t="shared" si="6"/>
        <v>0</v>
      </c>
    </row>
    <row r="411" spans="6:10" x14ac:dyDescent="0.55000000000000004">
      <c r="F411" s="119">
        <v>44033</v>
      </c>
      <c r="G411" s="52">
        <v>313.02175899999997</v>
      </c>
      <c r="H411" s="52">
        <v>90.308616999999998</v>
      </c>
      <c r="I411" s="120">
        <f t="shared" si="6"/>
        <v>2.1278272971125833E-3</v>
      </c>
      <c r="J411" s="120">
        <f t="shared" si="6"/>
        <v>0</v>
      </c>
    </row>
    <row r="412" spans="6:10" x14ac:dyDescent="0.55000000000000004">
      <c r="F412" s="119">
        <v>44034</v>
      </c>
      <c r="G412" s="52">
        <v>314.80343599999998</v>
      </c>
      <c r="H412" s="52">
        <v>90.298743999999999</v>
      </c>
      <c r="I412" s="120">
        <f t="shared" si="6"/>
        <v>5.6918631014402088E-3</v>
      </c>
      <c r="J412" s="120">
        <f t="shared" si="6"/>
        <v>-1.0932511567529613E-4</v>
      </c>
    </row>
    <row r="413" spans="6:10" x14ac:dyDescent="0.55000000000000004">
      <c r="F413" s="119">
        <v>44035</v>
      </c>
      <c r="G413" s="52">
        <v>311.047302</v>
      </c>
      <c r="H413" s="52">
        <v>90.308616999999998</v>
      </c>
      <c r="I413" s="120">
        <f t="shared" si="6"/>
        <v>-1.193168044074322E-2</v>
      </c>
      <c r="J413" s="120">
        <f t="shared" si="6"/>
        <v>1.0933706896287809E-4</v>
      </c>
    </row>
    <row r="414" spans="6:10" x14ac:dyDescent="0.55000000000000004">
      <c r="F414" s="119">
        <v>44036</v>
      </c>
      <c r="G414" s="52">
        <v>309.04406699999998</v>
      </c>
      <c r="H414" s="52">
        <v>90.298743999999999</v>
      </c>
      <c r="I414" s="120">
        <f t="shared" si="6"/>
        <v>-6.4402905510494435E-3</v>
      </c>
      <c r="J414" s="120">
        <f t="shared" si="6"/>
        <v>-1.0932511567529613E-4</v>
      </c>
    </row>
    <row r="415" spans="6:10" x14ac:dyDescent="0.55000000000000004">
      <c r="F415" s="119">
        <v>44039</v>
      </c>
      <c r="G415" s="52">
        <v>311.297729</v>
      </c>
      <c r="H415" s="52">
        <v>90.298743999999999</v>
      </c>
      <c r="I415" s="120">
        <f t="shared" si="6"/>
        <v>7.292364554599251E-3</v>
      </c>
      <c r="J415" s="120">
        <f t="shared" si="6"/>
        <v>0</v>
      </c>
    </row>
    <row r="416" spans="6:10" x14ac:dyDescent="0.55000000000000004">
      <c r="F416" s="119">
        <v>44040</v>
      </c>
      <c r="G416" s="52">
        <v>309.32330300000001</v>
      </c>
      <c r="H416" s="52">
        <v>90.308616999999998</v>
      </c>
      <c r="I416" s="120">
        <f t="shared" si="6"/>
        <v>-6.3425647412930219E-3</v>
      </c>
      <c r="J416" s="120">
        <f t="shared" si="6"/>
        <v>1.0933706896287809E-4</v>
      </c>
    </row>
    <row r="417" spans="6:10" x14ac:dyDescent="0.55000000000000004">
      <c r="F417" s="119">
        <v>44041</v>
      </c>
      <c r="G417" s="52">
        <v>313.12759399999999</v>
      </c>
      <c r="H417" s="52">
        <v>90.308616999999998</v>
      </c>
      <c r="I417" s="120">
        <f t="shared" si="6"/>
        <v>1.2298753320890254E-2</v>
      </c>
      <c r="J417" s="120">
        <f t="shared" si="6"/>
        <v>0</v>
      </c>
    </row>
    <row r="418" spans="6:10" x14ac:dyDescent="0.55000000000000004">
      <c r="F418" s="119">
        <v>44042</v>
      </c>
      <c r="G418" s="52">
        <v>312.01043700000002</v>
      </c>
      <c r="H418" s="52">
        <v>90.298743999999999</v>
      </c>
      <c r="I418" s="120">
        <f t="shared" si="6"/>
        <v>-3.5677373103053522E-3</v>
      </c>
      <c r="J418" s="120">
        <f t="shared" si="6"/>
        <v>-1.0932511567529613E-4</v>
      </c>
    </row>
    <row r="419" spans="6:10" x14ac:dyDescent="0.55000000000000004">
      <c r="F419" s="119">
        <v>44043</v>
      </c>
      <c r="G419" s="52">
        <v>314.47592200000003</v>
      </c>
      <c r="H419" s="52">
        <v>90.308616999999998</v>
      </c>
      <c r="I419" s="120">
        <f t="shared" si="6"/>
        <v>7.9019311780266221E-3</v>
      </c>
      <c r="J419" s="120">
        <f t="shared" si="6"/>
        <v>1.0933706896287809E-4</v>
      </c>
    </row>
    <row r="420" spans="6:10" x14ac:dyDescent="0.55000000000000004">
      <c r="F420" s="119">
        <v>44046</v>
      </c>
      <c r="G420" s="52">
        <v>316.66229199999998</v>
      </c>
      <c r="H420" s="52">
        <v>90.298743999999999</v>
      </c>
      <c r="I420" s="120">
        <f t="shared" si="6"/>
        <v>6.952424166833282E-3</v>
      </c>
      <c r="J420" s="120">
        <f t="shared" si="6"/>
        <v>-1.0932511567529613E-4</v>
      </c>
    </row>
    <row r="421" spans="6:10" x14ac:dyDescent="0.55000000000000004">
      <c r="F421" s="119">
        <v>44047</v>
      </c>
      <c r="G421" s="52">
        <v>317.88537600000001</v>
      </c>
      <c r="H421" s="52">
        <v>90.308616999999998</v>
      </c>
      <c r="I421" s="120">
        <f t="shared" si="6"/>
        <v>3.8624238846853842E-3</v>
      </c>
      <c r="J421" s="120">
        <f t="shared" si="6"/>
        <v>1.0933706896287809E-4</v>
      </c>
    </row>
    <row r="422" spans="6:10" x14ac:dyDescent="0.55000000000000004">
      <c r="F422" s="119">
        <v>44048</v>
      </c>
      <c r="G422" s="52">
        <v>319.85983299999998</v>
      </c>
      <c r="H422" s="52">
        <v>90.298743999999999</v>
      </c>
      <c r="I422" s="120">
        <f t="shared" si="6"/>
        <v>6.2112231296855835E-3</v>
      </c>
      <c r="J422" s="120">
        <f t="shared" si="6"/>
        <v>-1.0932511567529613E-4</v>
      </c>
    </row>
    <row r="423" spans="6:10" x14ac:dyDescent="0.55000000000000004">
      <c r="F423" s="119">
        <v>44049</v>
      </c>
      <c r="G423" s="52">
        <v>321.99789399999997</v>
      </c>
      <c r="H423" s="52">
        <v>90.298743999999999</v>
      </c>
      <c r="I423" s="120">
        <f t="shared" si="6"/>
        <v>6.6843685246342766E-3</v>
      </c>
      <c r="J423" s="120">
        <f t="shared" si="6"/>
        <v>0</v>
      </c>
    </row>
    <row r="424" spans="6:10" x14ac:dyDescent="0.55000000000000004">
      <c r="F424" s="119">
        <v>44050</v>
      </c>
      <c r="G424" s="52">
        <v>322.22903400000001</v>
      </c>
      <c r="H424" s="52">
        <v>90.308616999999998</v>
      </c>
      <c r="I424" s="120">
        <f t="shared" si="6"/>
        <v>7.1783078183740301E-4</v>
      </c>
      <c r="J424" s="120">
        <f t="shared" si="6"/>
        <v>1.0933706896287809E-4</v>
      </c>
    </row>
    <row r="425" spans="6:10" x14ac:dyDescent="0.55000000000000004">
      <c r="F425" s="119">
        <v>44053</v>
      </c>
      <c r="G425" s="52">
        <v>323.19216899999998</v>
      </c>
      <c r="H425" s="52">
        <v>90.308616999999998</v>
      </c>
      <c r="I425" s="120">
        <f t="shared" si="6"/>
        <v>2.9889764682098363E-3</v>
      </c>
      <c r="J425" s="120">
        <f t="shared" si="6"/>
        <v>0</v>
      </c>
    </row>
    <row r="426" spans="6:10" x14ac:dyDescent="0.55000000000000004">
      <c r="F426" s="119">
        <v>44054</v>
      </c>
      <c r="G426" s="52">
        <v>320.52435300000002</v>
      </c>
      <c r="H426" s="52">
        <v>90.298743999999999</v>
      </c>
      <c r="I426" s="120">
        <f t="shared" si="6"/>
        <v>-8.2545811931474811E-3</v>
      </c>
      <c r="J426" s="120">
        <f t="shared" si="6"/>
        <v>-1.0932511567529613E-4</v>
      </c>
    </row>
    <row r="427" spans="6:10" x14ac:dyDescent="0.55000000000000004">
      <c r="F427" s="119">
        <v>44055</v>
      </c>
      <c r="G427" s="52">
        <v>324.99316399999998</v>
      </c>
      <c r="H427" s="52">
        <v>90.298743999999999</v>
      </c>
      <c r="I427" s="120">
        <f t="shared" si="6"/>
        <v>1.3942188661090427E-2</v>
      </c>
      <c r="J427" s="120">
        <f t="shared" si="6"/>
        <v>0</v>
      </c>
    </row>
    <row r="428" spans="6:10" x14ac:dyDescent="0.55000000000000004">
      <c r="F428" s="119">
        <v>44056</v>
      </c>
      <c r="G428" s="52">
        <v>324.40566999999999</v>
      </c>
      <c r="H428" s="52">
        <v>90.308616999999998</v>
      </c>
      <c r="I428" s="120">
        <f t="shared" si="6"/>
        <v>-1.8077118692871874E-3</v>
      </c>
      <c r="J428" s="120">
        <f t="shared" si="6"/>
        <v>1.0933706896287809E-4</v>
      </c>
    </row>
    <row r="429" spans="6:10" x14ac:dyDescent="0.55000000000000004">
      <c r="F429" s="119">
        <v>44057</v>
      </c>
      <c r="G429" s="52">
        <v>324.41531400000002</v>
      </c>
      <c r="H429" s="52">
        <v>90.298743999999999</v>
      </c>
      <c r="I429" s="120">
        <f t="shared" si="6"/>
        <v>2.9728210360957519E-5</v>
      </c>
      <c r="J429" s="120">
        <f t="shared" si="6"/>
        <v>-1.0932511567529613E-4</v>
      </c>
    </row>
    <row r="430" spans="6:10" x14ac:dyDescent="0.55000000000000004">
      <c r="F430" s="119">
        <v>44060</v>
      </c>
      <c r="G430" s="52">
        <v>325.44589200000001</v>
      </c>
      <c r="H430" s="52">
        <v>90.298743999999999</v>
      </c>
      <c r="I430" s="120">
        <f t="shared" si="6"/>
        <v>3.1767242652422922E-3</v>
      </c>
      <c r="J430" s="120">
        <f t="shared" si="6"/>
        <v>0</v>
      </c>
    </row>
    <row r="431" spans="6:10" x14ac:dyDescent="0.55000000000000004">
      <c r="F431" s="119">
        <v>44061</v>
      </c>
      <c r="G431" s="52">
        <v>326.14898699999998</v>
      </c>
      <c r="H431" s="52">
        <v>90.308616999999998</v>
      </c>
      <c r="I431" s="120">
        <f t="shared" si="6"/>
        <v>2.1604052080028691E-3</v>
      </c>
      <c r="J431" s="120">
        <f t="shared" si="6"/>
        <v>1.0933706896287809E-4</v>
      </c>
    </row>
    <row r="432" spans="6:10" x14ac:dyDescent="0.55000000000000004">
      <c r="F432" s="119">
        <v>44062</v>
      </c>
      <c r="G432" s="52">
        <v>324.790955</v>
      </c>
      <c r="H432" s="52">
        <v>90.308616999999998</v>
      </c>
      <c r="I432" s="120">
        <f t="shared" si="6"/>
        <v>-4.1638393928231654E-3</v>
      </c>
      <c r="J432" s="120">
        <f t="shared" si="6"/>
        <v>0</v>
      </c>
    </row>
    <row r="433" spans="6:10" x14ac:dyDescent="0.55000000000000004">
      <c r="F433" s="119">
        <v>44063</v>
      </c>
      <c r="G433" s="52">
        <v>325.80221599999999</v>
      </c>
      <c r="H433" s="52">
        <v>90.308616999999998</v>
      </c>
      <c r="I433" s="120">
        <f t="shared" si="6"/>
        <v>3.1135750070379054E-3</v>
      </c>
      <c r="J433" s="120">
        <f t="shared" si="6"/>
        <v>0</v>
      </c>
    </row>
    <row r="434" spans="6:10" x14ac:dyDescent="0.55000000000000004">
      <c r="F434" s="119">
        <v>44064</v>
      </c>
      <c r="G434" s="52">
        <v>326.95794699999999</v>
      </c>
      <c r="H434" s="52">
        <v>90.308616999999998</v>
      </c>
      <c r="I434" s="120">
        <f t="shared" si="6"/>
        <v>3.5473392851324004E-3</v>
      </c>
      <c r="J434" s="120">
        <f t="shared" si="6"/>
        <v>0</v>
      </c>
    </row>
    <row r="435" spans="6:10" x14ac:dyDescent="0.55000000000000004">
      <c r="F435" s="119">
        <v>44067</v>
      </c>
      <c r="G435" s="52">
        <v>330.271118</v>
      </c>
      <c r="H435" s="52">
        <v>90.308616999999998</v>
      </c>
      <c r="I435" s="120">
        <f t="shared" si="6"/>
        <v>1.0133324577059399E-2</v>
      </c>
      <c r="J435" s="120">
        <f t="shared" si="6"/>
        <v>0</v>
      </c>
    </row>
    <row r="436" spans="6:10" x14ac:dyDescent="0.55000000000000004">
      <c r="F436" s="119">
        <v>44068</v>
      </c>
      <c r="G436" s="52">
        <v>331.42681900000002</v>
      </c>
      <c r="H436" s="52">
        <v>90.298743999999999</v>
      </c>
      <c r="I436" s="120">
        <f t="shared" si="6"/>
        <v>3.4992493651837542E-3</v>
      </c>
      <c r="J436" s="120">
        <f t="shared" si="6"/>
        <v>-1.0932511567529613E-4</v>
      </c>
    </row>
    <row r="437" spans="6:10" x14ac:dyDescent="0.55000000000000004">
      <c r="F437" s="119">
        <v>44069</v>
      </c>
      <c r="G437" s="52">
        <v>334.749573</v>
      </c>
      <c r="H437" s="52">
        <v>90.298743999999999</v>
      </c>
      <c r="I437" s="120">
        <f t="shared" si="6"/>
        <v>1.0025603872449329E-2</v>
      </c>
      <c r="J437" s="120">
        <f t="shared" si="6"/>
        <v>0</v>
      </c>
    </row>
    <row r="438" spans="6:10" x14ac:dyDescent="0.55000000000000004">
      <c r="F438" s="119">
        <v>44070</v>
      </c>
      <c r="G438" s="52">
        <v>335.48150600000002</v>
      </c>
      <c r="H438" s="52">
        <v>90.298743999999999</v>
      </c>
      <c r="I438" s="120">
        <f t="shared" si="6"/>
        <v>2.1865091370856238E-3</v>
      </c>
      <c r="J438" s="120">
        <f t="shared" si="6"/>
        <v>0</v>
      </c>
    </row>
    <row r="439" spans="6:10" x14ac:dyDescent="0.55000000000000004">
      <c r="F439" s="119">
        <v>44071</v>
      </c>
      <c r="G439" s="52">
        <v>337.64849900000002</v>
      </c>
      <c r="H439" s="52">
        <v>90.308616999999998</v>
      </c>
      <c r="I439" s="120">
        <f t="shared" si="6"/>
        <v>6.4593515923945244E-3</v>
      </c>
      <c r="J439" s="120">
        <f t="shared" si="6"/>
        <v>1.0933706896287809E-4</v>
      </c>
    </row>
    <row r="440" spans="6:10" x14ac:dyDescent="0.55000000000000004">
      <c r="F440" s="119">
        <v>44074</v>
      </c>
      <c r="G440" s="52">
        <v>336.42535400000003</v>
      </c>
      <c r="H440" s="52">
        <v>90.308616999999998</v>
      </c>
      <c r="I440" s="120">
        <f t="shared" si="6"/>
        <v>-3.6225394267189737E-3</v>
      </c>
      <c r="J440" s="120">
        <f t="shared" si="6"/>
        <v>0</v>
      </c>
    </row>
    <row r="441" spans="6:10" x14ac:dyDescent="0.55000000000000004">
      <c r="F441" s="119">
        <v>44075</v>
      </c>
      <c r="G441" s="52">
        <v>339.59396400000003</v>
      </c>
      <c r="H441" s="52">
        <v>90.308616999999998</v>
      </c>
      <c r="I441" s="120">
        <f t="shared" si="6"/>
        <v>9.4184637463441412E-3</v>
      </c>
      <c r="J441" s="120">
        <f t="shared" si="6"/>
        <v>0</v>
      </c>
    </row>
    <row r="442" spans="6:10" x14ac:dyDescent="0.55000000000000004">
      <c r="F442" s="119">
        <v>44076</v>
      </c>
      <c r="G442" s="52">
        <v>344.50589000000002</v>
      </c>
      <c r="H442" s="52">
        <v>90.308616999999998</v>
      </c>
      <c r="I442" s="120">
        <f t="shared" si="6"/>
        <v>1.4464114562413144E-2</v>
      </c>
      <c r="J442" s="120">
        <f t="shared" si="6"/>
        <v>0</v>
      </c>
    </row>
    <row r="443" spans="6:10" x14ac:dyDescent="0.55000000000000004">
      <c r="F443" s="119">
        <v>44077</v>
      </c>
      <c r="G443" s="52">
        <v>332.64996300000001</v>
      </c>
      <c r="H443" s="52">
        <v>90.298743999999999</v>
      </c>
      <c r="I443" s="120">
        <f t="shared" si="6"/>
        <v>-3.4414294048789706E-2</v>
      </c>
      <c r="J443" s="120">
        <f t="shared" si="6"/>
        <v>-1.0932511567529613E-4</v>
      </c>
    </row>
    <row r="444" spans="6:10" x14ac:dyDescent="0.55000000000000004">
      <c r="F444" s="119">
        <v>44078</v>
      </c>
      <c r="G444" s="52">
        <v>329.93396000000001</v>
      </c>
      <c r="H444" s="52">
        <v>90.308616999999998</v>
      </c>
      <c r="I444" s="120">
        <f t="shared" si="6"/>
        <v>-8.1647476389468121E-3</v>
      </c>
      <c r="J444" s="120">
        <f t="shared" si="6"/>
        <v>1.0933706896287809E-4</v>
      </c>
    </row>
    <row r="445" spans="6:10" x14ac:dyDescent="0.55000000000000004">
      <c r="F445" s="119">
        <v>44082</v>
      </c>
      <c r="G445" s="52">
        <v>320.91924999999998</v>
      </c>
      <c r="H445" s="52">
        <v>90.308616999999998</v>
      </c>
      <c r="I445" s="120">
        <f t="shared" si="6"/>
        <v>-2.7322770896333393E-2</v>
      </c>
      <c r="J445" s="120">
        <f t="shared" si="6"/>
        <v>0</v>
      </c>
    </row>
    <row r="446" spans="6:10" x14ac:dyDescent="0.55000000000000004">
      <c r="F446" s="119">
        <v>44083</v>
      </c>
      <c r="G446" s="52">
        <v>327.25650000000002</v>
      </c>
      <c r="H446" s="52">
        <v>90.298743999999999</v>
      </c>
      <c r="I446" s="120">
        <f t="shared" si="6"/>
        <v>1.9747179391700787E-2</v>
      </c>
      <c r="J446" s="120">
        <f t="shared" si="6"/>
        <v>-1.0932511567529613E-4</v>
      </c>
    </row>
    <row r="447" spans="6:10" x14ac:dyDescent="0.55000000000000004">
      <c r="F447" s="119">
        <v>44084</v>
      </c>
      <c r="G447" s="52">
        <v>321.57415800000001</v>
      </c>
      <c r="H447" s="52">
        <v>90.298743999999999</v>
      </c>
      <c r="I447" s="120">
        <f t="shared" si="6"/>
        <v>-1.7363572610475275E-2</v>
      </c>
      <c r="J447" s="120">
        <f t="shared" si="6"/>
        <v>0</v>
      </c>
    </row>
    <row r="448" spans="6:10" x14ac:dyDescent="0.55000000000000004">
      <c r="F448" s="119">
        <v>44085</v>
      </c>
      <c r="G448" s="52">
        <v>321.73791499999999</v>
      </c>
      <c r="H448" s="52">
        <v>90.288887000000003</v>
      </c>
      <c r="I448" s="120">
        <f t="shared" si="6"/>
        <v>5.0923557109960882E-4</v>
      </c>
      <c r="J448" s="120">
        <f t="shared" si="6"/>
        <v>-1.0915987934445592E-4</v>
      </c>
    </row>
    <row r="449" spans="6:10" x14ac:dyDescent="0.55000000000000004">
      <c r="F449" s="119">
        <v>44088</v>
      </c>
      <c r="G449" s="52">
        <v>325.97558600000002</v>
      </c>
      <c r="H449" s="52">
        <v>90.308616999999998</v>
      </c>
      <c r="I449" s="120">
        <f t="shared" si="6"/>
        <v>1.3171189351432355E-2</v>
      </c>
      <c r="J449" s="120">
        <f t="shared" si="6"/>
        <v>2.1852080201179014E-4</v>
      </c>
    </row>
    <row r="450" spans="6:10" x14ac:dyDescent="0.55000000000000004">
      <c r="F450" s="119">
        <v>44089</v>
      </c>
      <c r="G450" s="52">
        <v>327.622589</v>
      </c>
      <c r="H450" s="52">
        <v>90.288887000000003</v>
      </c>
      <c r="I450" s="120">
        <f t="shared" si="6"/>
        <v>5.0525348238807943E-3</v>
      </c>
      <c r="J450" s="120">
        <f t="shared" si="6"/>
        <v>-2.1847306110334141E-4</v>
      </c>
    </row>
    <row r="451" spans="6:10" x14ac:dyDescent="0.55000000000000004">
      <c r="F451" s="119">
        <v>44090</v>
      </c>
      <c r="G451" s="52">
        <v>326.32229599999999</v>
      </c>
      <c r="H451" s="52">
        <v>90.308616999999998</v>
      </c>
      <c r="I451" s="120">
        <f t="shared" si="6"/>
        <v>-3.9688746858660418E-3</v>
      </c>
      <c r="J451" s="120">
        <f t="shared" si="6"/>
        <v>2.1852080201179014E-4</v>
      </c>
    </row>
    <row r="452" spans="6:10" x14ac:dyDescent="0.55000000000000004">
      <c r="F452" s="119">
        <v>44091</v>
      </c>
      <c r="G452" s="52">
        <v>323.452179</v>
      </c>
      <c r="H452" s="52">
        <v>90.308616999999998</v>
      </c>
      <c r="I452" s="120">
        <f t="shared" si="6"/>
        <v>-8.79534446521546E-3</v>
      </c>
      <c r="J452" s="120">
        <f t="shared" si="6"/>
        <v>0</v>
      </c>
    </row>
    <row r="453" spans="6:10" x14ac:dyDescent="0.55000000000000004">
      <c r="F453" s="119">
        <v>44092</v>
      </c>
      <c r="G453" s="52">
        <v>319.72839399999998</v>
      </c>
      <c r="H453" s="52">
        <v>90.288887000000003</v>
      </c>
      <c r="I453" s="120">
        <f t="shared" si="6"/>
        <v>-1.151262919765339E-2</v>
      </c>
      <c r="J453" s="120">
        <f t="shared" si="6"/>
        <v>-2.1847306110334141E-4</v>
      </c>
    </row>
    <row r="454" spans="6:10" x14ac:dyDescent="0.55000000000000004">
      <c r="F454" s="119">
        <v>44095</v>
      </c>
      <c r="G454" s="52">
        <v>316.17001299999998</v>
      </c>
      <c r="H454" s="52">
        <v>90.288887000000003</v>
      </c>
      <c r="I454" s="120">
        <f t="shared" si="6"/>
        <v>-1.1129386900808003E-2</v>
      </c>
      <c r="J454" s="120">
        <f t="shared" si="6"/>
        <v>0</v>
      </c>
    </row>
    <row r="455" spans="6:10" x14ac:dyDescent="0.55000000000000004">
      <c r="F455" s="119">
        <v>44096</v>
      </c>
      <c r="G455" s="52">
        <v>319.38998400000003</v>
      </c>
      <c r="H455" s="52">
        <v>90.288887000000003</v>
      </c>
      <c r="I455" s="120">
        <f t="shared" si="6"/>
        <v>1.0184302329772299E-2</v>
      </c>
      <c r="J455" s="120">
        <f t="shared" si="6"/>
        <v>0</v>
      </c>
    </row>
    <row r="456" spans="6:10" x14ac:dyDescent="0.55000000000000004">
      <c r="F456" s="119">
        <v>44097</v>
      </c>
      <c r="G456" s="52">
        <v>311.98303199999998</v>
      </c>
      <c r="H456" s="52">
        <v>90.288887000000003</v>
      </c>
      <c r="I456" s="120">
        <f t="shared" si="6"/>
        <v>-2.3190933877250353E-2</v>
      </c>
      <c r="J456" s="120">
        <f t="shared" si="6"/>
        <v>0</v>
      </c>
    </row>
    <row r="457" spans="6:10" x14ac:dyDescent="0.55000000000000004">
      <c r="F457" s="119">
        <v>44098</v>
      </c>
      <c r="G457" s="52">
        <v>312.81454500000001</v>
      </c>
      <c r="H457" s="52">
        <v>90.298743999999999</v>
      </c>
      <c r="I457" s="120">
        <f t="shared" si="6"/>
        <v>2.6652507178661633E-3</v>
      </c>
      <c r="J457" s="120">
        <f t="shared" si="6"/>
        <v>1.0917179652469855E-4</v>
      </c>
    </row>
    <row r="458" spans="6:10" x14ac:dyDescent="0.55000000000000004">
      <c r="F458" s="119">
        <v>44099</v>
      </c>
      <c r="G458" s="52">
        <v>317.871826</v>
      </c>
      <c r="H458" s="52">
        <v>90.288887000000003</v>
      </c>
      <c r="I458" s="120">
        <f t="shared" si="6"/>
        <v>1.6167026376602722E-2</v>
      </c>
      <c r="J458" s="120">
        <f t="shared" si="6"/>
        <v>-1.0915987934445592E-4</v>
      </c>
    </row>
    <row r="459" spans="6:10" x14ac:dyDescent="0.55000000000000004">
      <c r="F459" s="119">
        <v>44102</v>
      </c>
      <c r="G459" s="52">
        <v>323.15145899999999</v>
      </c>
      <c r="H459" s="52">
        <v>90.298743999999999</v>
      </c>
      <c r="I459" s="120">
        <f t="shared" si="6"/>
        <v>1.6609314095046512E-2</v>
      </c>
      <c r="J459" s="120">
        <f t="shared" si="6"/>
        <v>1.0917179652469855E-4</v>
      </c>
    </row>
    <row r="460" spans="6:10" x14ac:dyDescent="0.55000000000000004">
      <c r="F460" s="119">
        <v>44103</v>
      </c>
      <c r="G460" s="52">
        <v>321.391571</v>
      </c>
      <c r="H460" s="52">
        <v>90.298743999999999</v>
      </c>
      <c r="I460" s="120">
        <f t="shared" si="6"/>
        <v>-5.4460159500625549E-3</v>
      </c>
      <c r="J460" s="120">
        <f t="shared" si="6"/>
        <v>0</v>
      </c>
    </row>
    <row r="461" spans="6:10" x14ac:dyDescent="0.55000000000000004">
      <c r="F461" s="119">
        <v>44104</v>
      </c>
      <c r="G461" s="52">
        <v>323.82833900000003</v>
      </c>
      <c r="H461" s="52">
        <v>90.288887000000003</v>
      </c>
      <c r="I461" s="120">
        <f t="shared" si="6"/>
        <v>7.581928774354818E-3</v>
      </c>
      <c r="J461" s="120">
        <f t="shared" si="6"/>
        <v>-1.0915987934445592E-4</v>
      </c>
    </row>
    <row r="462" spans="6:10" x14ac:dyDescent="0.55000000000000004">
      <c r="F462" s="119">
        <v>44105</v>
      </c>
      <c r="G462" s="52">
        <v>325.90731799999998</v>
      </c>
      <c r="H462" s="52">
        <v>90.288887000000003</v>
      </c>
      <c r="I462" s="120">
        <f t="shared" si="6"/>
        <v>6.4200032845178612E-3</v>
      </c>
      <c r="J462" s="120">
        <f t="shared" si="6"/>
        <v>0</v>
      </c>
    </row>
    <row r="463" spans="6:10" x14ac:dyDescent="0.55000000000000004">
      <c r="F463" s="119">
        <v>44106</v>
      </c>
      <c r="G463" s="52">
        <v>322.813019</v>
      </c>
      <c r="H463" s="52">
        <v>90.288887000000003</v>
      </c>
      <c r="I463" s="120">
        <f t="shared" si="6"/>
        <v>-9.4944139916489645E-3</v>
      </c>
      <c r="J463" s="120">
        <f t="shared" si="6"/>
        <v>0</v>
      </c>
    </row>
    <row r="464" spans="6:10" x14ac:dyDescent="0.55000000000000004">
      <c r="F464" s="119">
        <v>44109</v>
      </c>
      <c r="G464" s="52">
        <v>328.53750600000001</v>
      </c>
      <c r="H464" s="52">
        <v>90.288887000000003</v>
      </c>
      <c r="I464" s="120">
        <f t="shared" si="6"/>
        <v>1.7733135478033457E-2</v>
      </c>
      <c r="J464" s="120">
        <f t="shared" si="6"/>
        <v>0</v>
      </c>
    </row>
    <row r="465" spans="6:10" x14ac:dyDescent="0.55000000000000004">
      <c r="F465" s="119">
        <v>44110</v>
      </c>
      <c r="G465" s="52">
        <v>323.86706500000003</v>
      </c>
      <c r="H465" s="52">
        <v>90.298743999999999</v>
      </c>
      <c r="I465" s="120">
        <f t="shared" si="6"/>
        <v>-1.4215853333956918E-2</v>
      </c>
      <c r="J465" s="120">
        <f t="shared" si="6"/>
        <v>1.0917179652469855E-4</v>
      </c>
    </row>
    <row r="466" spans="6:10" x14ac:dyDescent="0.55000000000000004">
      <c r="F466" s="119">
        <v>44111</v>
      </c>
      <c r="G466" s="52">
        <v>329.504456</v>
      </c>
      <c r="H466" s="52">
        <v>90.288887000000003</v>
      </c>
      <c r="I466" s="120">
        <f t="shared" si="6"/>
        <v>1.740649670567751E-2</v>
      </c>
      <c r="J466" s="120">
        <f t="shared" si="6"/>
        <v>-1.0915987934445592E-4</v>
      </c>
    </row>
    <row r="467" spans="6:10" x14ac:dyDescent="0.55000000000000004">
      <c r="F467" s="119">
        <v>44112</v>
      </c>
      <c r="G467" s="52">
        <v>332.42477400000001</v>
      </c>
      <c r="H467" s="52">
        <v>90.288887000000003</v>
      </c>
      <c r="I467" s="120">
        <f t="shared" si="6"/>
        <v>8.8627572308157543E-3</v>
      </c>
      <c r="J467" s="120">
        <f t="shared" si="6"/>
        <v>0</v>
      </c>
    </row>
    <row r="468" spans="6:10" x14ac:dyDescent="0.55000000000000004">
      <c r="F468" s="119">
        <v>44113</v>
      </c>
      <c r="G468" s="52">
        <v>335.39328</v>
      </c>
      <c r="H468" s="52">
        <v>90.288887000000003</v>
      </c>
      <c r="I468" s="120">
        <f t="shared" si="6"/>
        <v>8.9298579172683024E-3</v>
      </c>
      <c r="J468" s="120">
        <f t="shared" si="6"/>
        <v>0</v>
      </c>
    </row>
    <row r="469" spans="6:10" x14ac:dyDescent="0.55000000000000004">
      <c r="F469" s="119">
        <v>44116</v>
      </c>
      <c r="G469" s="52">
        <v>340.788971</v>
      </c>
      <c r="H469" s="52">
        <v>90.298743999999999</v>
      </c>
      <c r="I469" s="120">
        <f t="shared" si="6"/>
        <v>1.608765387308897E-2</v>
      </c>
      <c r="J469" s="120">
        <f t="shared" si="6"/>
        <v>1.0917179652469855E-4</v>
      </c>
    </row>
    <row r="470" spans="6:10" x14ac:dyDescent="0.55000000000000004">
      <c r="F470" s="119">
        <v>44117</v>
      </c>
      <c r="G470" s="52">
        <v>338.56500199999999</v>
      </c>
      <c r="H470" s="52">
        <v>90.288887000000003</v>
      </c>
      <c r="I470" s="120">
        <f t="shared" ref="I470:J525" si="7">G470/G469-1</f>
        <v>-6.5259418269143499E-3</v>
      </c>
      <c r="J470" s="120">
        <f t="shared" si="7"/>
        <v>-1.0915987934445592E-4</v>
      </c>
    </row>
    <row r="471" spans="6:10" x14ac:dyDescent="0.55000000000000004">
      <c r="F471" s="119">
        <v>44118</v>
      </c>
      <c r="G471" s="52">
        <v>336.43765300000001</v>
      </c>
      <c r="H471" s="52">
        <v>90.288887000000003</v>
      </c>
      <c r="I471" s="120">
        <f t="shared" si="7"/>
        <v>-6.2834285511884636E-3</v>
      </c>
      <c r="J471" s="120">
        <f t="shared" si="7"/>
        <v>0</v>
      </c>
    </row>
    <row r="472" spans="6:10" x14ac:dyDescent="0.55000000000000004">
      <c r="F472" s="119">
        <v>44119</v>
      </c>
      <c r="G472" s="52">
        <v>336.02181999999999</v>
      </c>
      <c r="H472" s="52">
        <v>90.288887000000003</v>
      </c>
      <c r="I472" s="120">
        <f t="shared" si="7"/>
        <v>-1.2359882917148957E-3</v>
      </c>
      <c r="J472" s="120">
        <f t="shared" si="7"/>
        <v>0</v>
      </c>
    </row>
    <row r="473" spans="6:10" x14ac:dyDescent="0.55000000000000004">
      <c r="F473" s="119">
        <v>44120</v>
      </c>
      <c r="G473" s="52">
        <v>335.81875600000001</v>
      </c>
      <c r="H473" s="52">
        <v>90.298743999999999</v>
      </c>
      <c r="I473" s="120">
        <f t="shared" si="7"/>
        <v>-6.0431789816506321E-4</v>
      </c>
      <c r="J473" s="120">
        <f t="shared" si="7"/>
        <v>1.0917179652469855E-4</v>
      </c>
    </row>
    <row r="474" spans="6:10" x14ac:dyDescent="0.55000000000000004">
      <c r="F474" s="119">
        <v>44123</v>
      </c>
      <c r="G474" s="52">
        <v>330.71319599999998</v>
      </c>
      <c r="H474" s="52">
        <v>90.298743999999999</v>
      </c>
      <c r="I474" s="120">
        <f t="shared" si="7"/>
        <v>-1.5203319971800577E-2</v>
      </c>
      <c r="J474" s="120">
        <f t="shared" si="7"/>
        <v>0</v>
      </c>
    </row>
    <row r="475" spans="6:10" x14ac:dyDescent="0.55000000000000004">
      <c r="F475" s="119">
        <v>44124</v>
      </c>
      <c r="G475" s="52">
        <v>332.03793300000001</v>
      </c>
      <c r="H475" s="52">
        <v>90.288887000000003</v>
      </c>
      <c r="I475" s="120">
        <f t="shared" si="7"/>
        <v>4.0056974321642791E-3</v>
      </c>
      <c r="J475" s="120">
        <f t="shared" si="7"/>
        <v>-1.0915987934445592E-4</v>
      </c>
    </row>
    <row r="476" spans="6:10" x14ac:dyDescent="0.55000000000000004">
      <c r="F476" s="119">
        <v>44125</v>
      </c>
      <c r="G476" s="52">
        <v>331.40936299999998</v>
      </c>
      <c r="H476" s="52">
        <v>90.288887000000003</v>
      </c>
      <c r="I476" s="120">
        <f t="shared" si="7"/>
        <v>-1.8930668382398652E-3</v>
      </c>
      <c r="J476" s="120">
        <f t="shared" si="7"/>
        <v>0</v>
      </c>
    </row>
    <row r="477" spans="6:10" x14ac:dyDescent="0.55000000000000004">
      <c r="F477" s="119">
        <v>44126</v>
      </c>
      <c r="G477" s="52">
        <v>333.22726399999999</v>
      </c>
      <c r="H477" s="52">
        <v>90.298743999999999</v>
      </c>
      <c r="I477" s="120">
        <f t="shared" si="7"/>
        <v>5.4853640330010389E-3</v>
      </c>
      <c r="J477" s="120">
        <f t="shared" si="7"/>
        <v>1.0917179652469855E-4</v>
      </c>
    </row>
    <row r="478" spans="6:10" x14ac:dyDescent="0.55000000000000004">
      <c r="F478" s="119">
        <v>44127</v>
      </c>
      <c r="G478" s="52">
        <v>334.35870399999999</v>
      </c>
      <c r="H478" s="52">
        <v>90.298743999999999</v>
      </c>
      <c r="I478" s="120">
        <f t="shared" si="7"/>
        <v>3.3954004435843288E-3</v>
      </c>
      <c r="J478" s="120">
        <f t="shared" si="7"/>
        <v>0</v>
      </c>
    </row>
    <row r="479" spans="6:10" x14ac:dyDescent="0.55000000000000004">
      <c r="F479" s="119">
        <v>44130</v>
      </c>
      <c r="G479" s="52">
        <v>328.17974900000002</v>
      </c>
      <c r="H479" s="52">
        <v>90.298743999999999</v>
      </c>
      <c r="I479" s="120">
        <f t="shared" si="7"/>
        <v>-1.8480018393658981E-2</v>
      </c>
      <c r="J479" s="120">
        <f t="shared" si="7"/>
        <v>0</v>
      </c>
    </row>
    <row r="480" spans="6:10" x14ac:dyDescent="0.55000000000000004">
      <c r="F480" s="119">
        <v>44131</v>
      </c>
      <c r="G480" s="52">
        <v>327.04840100000001</v>
      </c>
      <c r="H480" s="52">
        <v>90.288887000000003</v>
      </c>
      <c r="I480" s="120">
        <f t="shared" si="7"/>
        <v>-3.4473425110700395E-3</v>
      </c>
      <c r="J480" s="120">
        <f t="shared" si="7"/>
        <v>-1.0915987934445592E-4</v>
      </c>
    </row>
    <row r="481" spans="6:10" x14ac:dyDescent="0.55000000000000004">
      <c r="F481" s="119">
        <v>44132</v>
      </c>
      <c r="G481" s="52">
        <v>315.87023900000003</v>
      </c>
      <c r="H481" s="52">
        <v>90.288887000000003</v>
      </c>
      <c r="I481" s="120">
        <f t="shared" si="7"/>
        <v>-3.4178922648210652E-2</v>
      </c>
      <c r="J481" s="120">
        <f t="shared" si="7"/>
        <v>0</v>
      </c>
    </row>
    <row r="482" spans="6:10" x14ac:dyDescent="0.55000000000000004">
      <c r="F482" s="119">
        <v>44133</v>
      </c>
      <c r="G482" s="52">
        <v>319.08056599999998</v>
      </c>
      <c r="H482" s="52">
        <v>90.298743999999999</v>
      </c>
      <c r="I482" s="120">
        <f t="shared" si="7"/>
        <v>1.0163436131759074E-2</v>
      </c>
      <c r="J482" s="120">
        <f t="shared" si="7"/>
        <v>1.0917179652469855E-4</v>
      </c>
    </row>
    <row r="483" spans="6:10" x14ac:dyDescent="0.55000000000000004">
      <c r="F483" s="119">
        <v>44134</v>
      </c>
      <c r="G483" s="52">
        <v>315.75418100000002</v>
      </c>
      <c r="H483" s="52">
        <v>90.298743999999999</v>
      </c>
      <c r="I483" s="120">
        <f t="shared" si="7"/>
        <v>-1.042490629153503E-2</v>
      </c>
      <c r="J483" s="120">
        <f t="shared" si="7"/>
        <v>0</v>
      </c>
    </row>
    <row r="484" spans="6:10" x14ac:dyDescent="0.55000000000000004">
      <c r="F484" s="119">
        <v>44137</v>
      </c>
      <c r="G484" s="52">
        <v>319.29330399999998</v>
      </c>
      <c r="H484" s="52">
        <v>90.298743999999999</v>
      </c>
      <c r="I484" s="120">
        <f t="shared" si="7"/>
        <v>1.1208475494422609E-2</v>
      </c>
      <c r="J484" s="120">
        <f t="shared" si="7"/>
        <v>0</v>
      </c>
    </row>
    <row r="485" spans="6:10" x14ac:dyDescent="0.55000000000000004">
      <c r="F485" s="119">
        <v>44138</v>
      </c>
      <c r="G485" s="52">
        <v>324.930725</v>
      </c>
      <c r="H485" s="52">
        <v>90.298743999999999</v>
      </c>
      <c r="I485" s="120">
        <f t="shared" si="7"/>
        <v>1.7655932427571353E-2</v>
      </c>
      <c r="J485" s="120">
        <f t="shared" si="7"/>
        <v>0</v>
      </c>
    </row>
    <row r="486" spans="6:10" x14ac:dyDescent="0.55000000000000004">
      <c r="F486" s="119">
        <v>44139</v>
      </c>
      <c r="G486" s="52">
        <v>332.192657</v>
      </c>
      <c r="H486" s="52">
        <v>90.288887000000003</v>
      </c>
      <c r="I486" s="120">
        <f t="shared" si="7"/>
        <v>2.2349169965382609E-2</v>
      </c>
      <c r="J486" s="120">
        <f t="shared" si="7"/>
        <v>-1.0915987934445592E-4</v>
      </c>
    </row>
    <row r="487" spans="6:10" x14ac:dyDescent="0.55000000000000004">
      <c r="F487" s="119">
        <v>44140</v>
      </c>
      <c r="G487" s="52">
        <v>338.67138699999998</v>
      </c>
      <c r="H487" s="52">
        <v>90.298743999999999</v>
      </c>
      <c r="I487" s="120">
        <f t="shared" si="7"/>
        <v>1.9502929590644147E-2</v>
      </c>
      <c r="J487" s="120">
        <f t="shared" si="7"/>
        <v>1.0917179652469855E-4</v>
      </c>
    </row>
    <row r="488" spans="6:10" x14ac:dyDescent="0.55000000000000004">
      <c r="F488" s="119">
        <v>44141</v>
      </c>
      <c r="G488" s="52">
        <v>338.59399400000001</v>
      </c>
      <c r="H488" s="52">
        <v>90.288887000000003</v>
      </c>
      <c r="I488" s="120">
        <f t="shared" si="7"/>
        <v>-2.2851945269286578E-4</v>
      </c>
      <c r="J488" s="120">
        <f t="shared" si="7"/>
        <v>-1.0915987934445592E-4</v>
      </c>
    </row>
    <row r="489" spans="6:10" x14ac:dyDescent="0.55000000000000004">
      <c r="F489" s="119">
        <v>44144</v>
      </c>
      <c r="G489" s="52">
        <v>342.84863300000001</v>
      </c>
      <c r="H489" s="52">
        <v>90.298743999999999</v>
      </c>
      <c r="I489" s="120">
        <f t="shared" si="7"/>
        <v>1.2565606819357811E-2</v>
      </c>
      <c r="J489" s="120">
        <f t="shared" si="7"/>
        <v>1.0917179652469855E-4</v>
      </c>
    </row>
    <row r="490" spans="6:10" x14ac:dyDescent="0.55000000000000004">
      <c r="F490" s="119">
        <v>44145</v>
      </c>
      <c r="G490" s="52">
        <v>342.34582499999999</v>
      </c>
      <c r="H490" s="52">
        <v>90.288887000000003</v>
      </c>
      <c r="I490" s="120">
        <f t="shared" si="7"/>
        <v>-1.4665597339570402E-3</v>
      </c>
      <c r="J490" s="120">
        <f t="shared" si="7"/>
        <v>-1.0915987934445592E-4</v>
      </c>
    </row>
    <row r="491" spans="6:10" x14ac:dyDescent="0.55000000000000004">
      <c r="F491" s="119">
        <v>44146</v>
      </c>
      <c r="G491" s="52">
        <v>344.88897700000001</v>
      </c>
      <c r="H491" s="52">
        <v>90.288887000000003</v>
      </c>
      <c r="I491" s="120">
        <f t="shared" si="7"/>
        <v>7.4286052707084327E-3</v>
      </c>
      <c r="J491" s="120">
        <f t="shared" si="7"/>
        <v>0</v>
      </c>
    </row>
    <row r="492" spans="6:10" x14ac:dyDescent="0.55000000000000004">
      <c r="F492" s="119">
        <v>44147</v>
      </c>
      <c r="G492" s="52">
        <v>341.54321299999998</v>
      </c>
      <c r="H492" s="52">
        <v>90.288887000000003</v>
      </c>
      <c r="I492" s="120">
        <f t="shared" si="7"/>
        <v>-9.700988501003982E-3</v>
      </c>
      <c r="J492" s="120">
        <f t="shared" si="7"/>
        <v>0</v>
      </c>
    </row>
    <row r="493" spans="6:10" x14ac:dyDescent="0.55000000000000004">
      <c r="F493" s="119">
        <v>44148</v>
      </c>
      <c r="G493" s="52">
        <v>346.27172899999999</v>
      </c>
      <c r="H493" s="52">
        <v>90.298743999999999</v>
      </c>
      <c r="I493" s="120">
        <f t="shared" si="7"/>
        <v>1.3844561449388282E-2</v>
      </c>
      <c r="J493" s="120">
        <f t="shared" si="7"/>
        <v>1.0917179652469855E-4</v>
      </c>
    </row>
    <row r="494" spans="6:10" x14ac:dyDescent="0.55000000000000004">
      <c r="F494" s="119">
        <v>44151</v>
      </c>
      <c r="G494" s="52">
        <v>350.594086</v>
      </c>
      <c r="H494" s="52">
        <v>90.298743999999999</v>
      </c>
      <c r="I494" s="120">
        <f t="shared" si="7"/>
        <v>1.2482558170378466E-2</v>
      </c>
      <c r="J494" s="120">
        <f t="shared" si="7"/>
        <v>0</v>
      </c>
    </row>
    <row r="495" spans="6:10" x14ac:dyDescent="0.55000000000000004">
      <c r="F495" s="119">
        <v>44152</v>
      </c>
      <c r="G495" s="52">
        <v>348.70843500000001</v>
      </c>
      <c r="H495" s="52">
        <v>90.298743999999999</v>
      </c>
      <c r="I495" s="120">
        <f t="shared" si="7"/>
        <v>-5.3784449746822061E-3</v>
      </c>
      <c r="J495" s="120">
        <f t="shared" si="7"/>
        <v>0</v>
      </c>
    </row>
    <row r="496" spans="6:10" x14ac:dyDescent="0.55000000000000004">
      <c r="F496" s="119">
        <v>44153</v>
      </c>
      <c r="G496" s="52">
        <v>344.511841</v>
      </c>
      <c r="H496" s="52">
        <v>90.298743999999999</v>
      </c>
      <c r="I496" s="120">
        <f t="shared" si="7"/>
        <v>-1.2034678771105756E-2</v>
      </c>
      <c r="J496" s="120">
        <f t="shared" si="7"/>
        <v>0</v>
      </c>
    </row>
    <row r="497" spans="6:10" x14ac:dyDescent="0.55000000000000004">
      <c r="F497" s="119">
        <v>44154</v>
      </c>
      <c r="G497" s="52">
        <v>345.962311</v>
      </c>
      <c r="H497" s="52">
        <v>90.298743999999999</v>
      </c>
      <c r="I497" s="120">
        <f t="shared" si="7"/>
        <v>4.2102181329668475E-3</v>
      </c>
      <c r="J497" s="120">
        <f t="shared" si="7"/>
        <v>0</v>
      </c>
    </row>
    <row r="498" spans="6:10" x14ac:dyDescent="0.55000000000000004">
      <c r="F498" s="119">
        <v>44155</v>
      </c>
      <c r="G498" s="52">
        <v>343.59320100000002</v>
      </c>
      <c r="H498" s="52">
        <v>90.298743999999999</v>
      </c>
      <c r="I498" s="120">
        <f t="shared" si="7"/>
        <v>-6.847884652961489E-3</v>
      </c>
      <c r="J498" s="120">
        <f t="shared" si="7"/>
        <v>0</v>
      </c>
    </row>
    <row r="499" spans="6:10" x14ac:dyDescent="0.55000000000000004">
      <c r="F499" s="119">
        <v>44158</v>
      </c>
      <c r="G499" s="52">
        <v>345.65289300000001</v>
      </c>
      <c r="H499" s="52">
        <v>90.298743999999999</v>
      </c>
      <c r="I499" s="120">
        <f t="shared" si="7"/>
        <v>5.994565649161343E-3</v>
      </c>
      <c r="J499" s="120">
        <f t="shared" si="7"/>
        <v>0</v>
      </c>
    </row>
    <row r="500" spans="6:10" x14ac:dyDescent="0.55000000000000004">
      <c r="F500" s="119">
        <v>44159</v>
      </c>
      <c r="G500" s="52">
        <v>351.22262599999999</v>
      </c>
      <c r="H500" s="52">
        <v>90.298743999999999</v>
      </c>
      <c r="I500" s="120">
        <f t="shared" si="7"/>
        <v>1.611365943348253E-2</v>
      </c>
      <c r="J500" s="120">
        <f t="shared" si="7"/>
        <v>0</v>
      </c>
    </row>
    <row r="501" spans="6:10" x14ac:dyDescent="0.55000000000000004">
      <c r="F501" s="119">
        <v>44160</v>
      </c>
      <c r="G501" s="52">
        <v>350.68112200000002</v>
      </c>
      <c r="H501" s="52">
        <v>90.288887000000003</v>
      </c>
      <c r="I501" s="120">
        <f t="shared" si="7"/>
        <v>-1.5417685533732906E-3</v>
      </c>
      <c r="J501" s="120">
        <f t="shared" si="7"/>
        <v>-1.0915987934445592E-4</v>
      </c>
    </row>
    <row r="502" spans="6:10" x14ac:dyDescent="0.55000000000000004">
      <c r="F502" s="119">
        <v>44162</v>
      </c>
      <c r="G502" s="52">
        <v>351.65780599999999</v>
      </c>
      <c r="H502" s="52">
        <v>90.298743999999999</v>
      </c>
      <c r="I502" s="120">
        <f t="shared" si="7"/>
        <v>2.7851057234840049E-3</v>
      </c>
      <c r="J502" s="120">
        <f t="shared" si="7"/>
        <v>1.0917179652469855E-4</v>
      </c>
    </row>
    <row r="503" spans="6:10" x14ac:dyDescent="0.55000000000000004">
      <c r="F503" s="119">
        <v>44165</v>
      </c>
      <c r="G503" s="52">
        <v>350.10095200000001</v>
      </c>
      <c r="H503" s="52">
        <v>90.288887000000003</v>
      </c>
      <c r="I503" s="120">
        <f t="shared" si="7"/>
        <v>-4.4271845340466687E-3</v>
      </c>
      <c r="J503" s="120">
        <f t="shared" si="7"/>
        <v>-1.0915987934445592E-4</v>
      </c>
    </row>
    <row r="504" spans="6:10" x14ac:dyDescent="0.55000000000000004">
      <c r="F504" s="119">
        <v>44166</v>
      </c>
      <c r="G504" s="52">
        <v>353.93008400000002</v>
      </c>
      <c r="H504" s="52">
        <v>90.281981999999999</v>
      </c>
      <c r="I504" s="120">
        <f t="shared" si="7"/>
        <v>1.0937222472905406E-2</v>
      </c>
      <c r="J504" s="120">
        <f t="shared" si="7"/>
        <v>-7.6476742924103114E-5</v>
      </c>
    </row>
    <row r="505" spans="6:10" x14ac:dyDescent="0.55000000000000004">
      <c r="F505" s="119">
        <v>44167</v>
      </c>
      <c r="G505" s="52">
        <v>354.67468300000002</v>
      </c>
      <c r="H505" s="52">
        <v>90.291847000000004</v>
      </c>
      <c r="I505" s="120">
        <f t="shared" si="7"/>
        <v>2.1038025125887927E-3</v>
      </c>
      <c r="J505" s="120">
        <f t="shared" si="7"/>
        <v>1.0926875752459431E-4</v>
      </c>
    </row>
    <row r="506" spans="6:10" x14ac:dyDescent="0.55000000000000004">
      <c r="F506" s="119">
        <v>44168</v>
      </c>
      <c r="G506" s="52">
        <v>354.57797199999999</v>
      </c>
      <c r="H506" s="52">
        <v>90.291847000000004</v>
      </c>
      <c r="I506" s="120">
        <f t="shared" si="7"/>
        <v>-2.7267522785101583E-4</v>
      </c>
      <c r="J506" s="120">
        <f t="shared" si="7"/>
        <v>0</v>
      </c>
    </row>
    <row r="507" spans="6:10" x14ac:dyDescent="0.55000000000000004">
      <c r="F507" s="119">
        <v>44169</v>
      </c>
      <c r="G507" s="52">
        <v>357.633667</v>
      </c>
      <c r="H507" s="52">
        <v>90.301711999999995</v>
      </c>
      <c r="I507" s="120">
        <f t="shared" si="7"/>
        <v>8.6178365304656612E-3</v>
      </c>
      <c r="J507" s="120">
        <f t="shared" si="7"/>
        <v>1.0925681916762464E-4</v>
      </c>
    </row>
    <row r="508" spans="6:10" x14ac:dyDescent="0.55000000000000004">
      <c r="F508" s="119">
        <v>44172</v>
      </c>
      <c r="G508" s="52">
        <v>356.89871199999999</v>
      </c>
      <c r="H508" s="52">
        <v>90.281981999999999</v>
      </c>
      <c r="I508" s="120">
        <f t="shared" si="7"/>
        <v>-2.0550498116275184E-3</v>
      </c>
      <c r="J508" s="120">
        <f t="shared" si="7"/>
        <v>-2.1848976683846999E-4</v>
      </c>
    </row>
    <row r="509" spans="6:10" x14ac:dyDescent="0.55000000000000004">
      <c r="F509" s="119">
        <v>44173</v>
      </c>
      <c r="G509" s="52">
        <v>357.94305400000002</v>
      </c>
      <c r="H509" s="52">
        <v>90.281981999999999</v>
      </c>
      <c r="I509" s="120">
        <f t="shared" si="7"/>
        <v>2.9261579402954929E-3</v>
      </c>
      <c r="J509" s="120">
        <f t="shared" si="7"/>
        <v>0</v>
      </c>
    </row>
    <row r="510" spans="6:10" x14ac:dyDescent="0.55000000000000004">
      <c r="F510" s="119">
        <v>44174</v>
      </c>
      <c r="G510" s="52">
        <v>354.73272700000001</v>
      </c>
      <c r="H510" s="52">
        <v>90.281981999999999</v>
      </c>
      <c r="I510" s="120">
        <f t="shared" si="7"/>
        <v>-8.9688204984695874E-3</v>
      </c>
      <c r="J510" s="120">
        <f t="shared" si="7"/>
        <v>0</v>
      </c>
    </row>
    <row r="511" spans="6:10" x14ac:dyDescent="0.55000000000000004">
      <c r="F511" s="119">
        <v>44175</v>
      </c>
      <c r="G511" s="52">
        <v>354.61663800000002</v>
      </c>
      <c r="H511" s="52">
        <v>90.281981999999999</v>
      </c>
      <c r="I511" s="120">
        <f t="shared" si="7"/>
        <v>-3.2725765390118067E-4</v>
      </c>
      <c r="J511" s="120">
        <f t="shared" si="7"/>
        <v>0</v>
      </c>
    </row>
    <row r="512" spans="6:10" x14ac:dyDescent="0.55000000000000004">
      <c r="F512" s="119">
        <v>44176</v>
      </c>
      <c r="G512" s="52">
        <v>354.200897</v>
      </c>
      <c r="H512" s="52">
        <v>90.291847000000004</v>
      </c>
      <c r="I512" s="120">
        <f t="shared" si="7"/>
        <v>-1.1723674397928763E-3</v>
      </c>
      <c r="J512" s="120">
        <f t="shared" si="7"/>
        <v>1.0926875752459431E-4</v>
      </c>
    </row>
    <row r="513" spans="6:10" x14ac:dyDescent="0.55000000000000004">
      <c r="F513" s="119">
        <v>44179</v>
      </c>
      <c r="G513" s="52">
        <v>352.61508199999997</v>
      </c>
      <c r="H513" s="52">
        <v>90.281981999999999</v>
      </c>
      <c r="I513" s="120">
        <f t="shared" si="7"/>
        <v>-4.4771625747747068E-3</v>
      </c>
      <c r="J513" s="120">
        <f t="shared" si="7"/>
        <v>-1.0925681916784669E-4</v>
      </c>
    </row>
    <row r="514" spans="6:10" x14ac:dyDescent="0.55000000000000004">
      <c r="F514" s="119">
        <v>44180</v>
      </c>
      <c r="G514" s="52">
        <v>357.38220200000001</v>
      </c>
      <c r="H514" s="52">
        <v>90.281981999999999</v>
      </c>
      <c r="I514" s="120">
        <f t="shared" si="7"/>
        <v>1.351933097405067E-2</v>
      </c>
      <c r="J514" s="120">
        <f t="shared" si="7"/>
        <v>0</v>
      </c>
    </row>
    <row r="515" spans="6:10" x14ac:dyDescent="0.55000000000000004">
      <c r="F515" s="119">
        <v>44181</v>
      </c>
      <c r="G515" s="52">
        <v>357.94305400000002</v>
      </c>
      <c r="H515" s="52">
        <v>90.291847000000004</v>
      </c>
      <c r="I515" s="120">
        <f t="shared" si="7"/>
        <v>1.5693338864144479E-3</v>
      </c>
      <c r="J515" s="120">
        <f t="shared" si="7"/>
        <v>1.0926875752459431E-4</v>
      </c>
    </row>
    <row r="516" spans="6:10" x14ac:dyDescent="0.55000000000000004">
      <c r="F516" s="119">
        <v>44182</v>
      </c>
      <c r="G516" s="52">
        <v>359.94464099999999</v>
      </c>
      <c r="H516" s="52">
        <v>90.291847000000004</v>
      </c>
      <c r="I516" s="120">
        <f t="shared" si="7"/>
        <v>5.5919146289677979E-3</v>
      </c>
      <c r="J516" s="120">
        <f t="shared" si="7"/>
        <v>0</v>
      </c>
    </row>
    <row r="517" spans="6:10" x14ac:dyDescent="0.55000000000000004">
      <c r="F517" s="119">
        <v>44183</v>
      </c>
      <c r="G517" s="52">
        <v>358.50741599999998</v>
      </c>
      <c r="H517" s="52">
        <v>90.291847000000004</v>
      </c>
      <c r="I517" s="120">
        <f t="shared" si="7"/>
        <v>-3.9929056757369574E-3</v>
      </c>
      <c r="J517" s="120">
        <f t="shared" si="7"/>
        <v>0</v>
      </c>
    </row>
    <row r="518" spans="6:10" x14ac:dyDescent="0.55000000000000004">
      <c r="F518" s="119">
        <v>44186</v>
      </c>
      <c r="G518" s="52">
        <v>357.22555499999999</v>
      </c>
      <c r="H518" s="52">
        <v>90.291847000000004</v>
      </c>
      <c r="I518" s="120">
        <f t="shared" si="7"/>
        <v>-3.5755494664578835E-3</v>
      </c>
      <c r="J518" s="120">
        <f t="shared" si="7"/>
        <v>0</v>
      </c>
    </row>
    <row r="519" spans="6:10" x14ac:dyDescent="0.55000000000000004">
      <c r="F519" s="119">
        <v>44187</v>
      </c>
      <c r="G519" s="52">
        <v>356.62350500000002</v>
      </c>
      <c r="H519" s="52">
        <v>90.291847000000004</v>
      </c>
      <c r="I519" s="120">
        <f t="shared" si="7"/>
        <v>-1.6853497505238124E-3</v>
      </c>
      <c r="J519" s="120">
        <f t="shared" si="7"/>
        <v>0</v>
      </c>
    </row>
    <row r="520" spans="6:10" x14ac:dyDescent="0.55000000000000004">
      <c r="F520" s="119">
        <v>44188</v>
      </c>
      <c r="G520" s="52">
        <v>356.94400000000002</v>
      </c>
      <c r="H520" s="52">
        <v>90.281981999999999</v>
      </c>
      <c r="I520" s="120">
        <f t="shared" si="7"/>
        <v>8.9869286658483816E-4</v>
      </c>
      <c r="J520" s="120">
        <f t="shared" si="7"/>
        <v>-1.0925681916784669E-4</v>
      </c>
    </row>
    <row r="521" spans="6:10" x14ac:dyDescent="0.55000000000000004">
      <c r="F521" s="119">
        <v>44189</v>
      </c>
      <c r="G521" s="52">
        <v>358.33264200000002</v>
      </c>
      <c r="H521" s="52">
        <v>90.291847000000004</v>
      </c>
      <c r="I521" s="120">
        <f t="shared" si="7"/>
        <v>3.8903637545384395E-3</v>
      </c>
      <c r="J521" s="120">
        <f t="shared" si="7"/>
        <v>1.0926875752459431E-4</v>
      </c>
    </row>
    <row r="522" spans="6:10" x14ac:dyDescent="0.55000000000000004">
      <c r="F522" s="119">
        <v>44193</v>
      </c>
      <c r="G522" s="52">
        <v>361.41101099999997</v>
      </c>
      <c r="H522" s="52">
        <v>90.291847000000004</v>
      </c>
      <c r="I522" s="120">
        <f t="shared" si="7"/>
        <v>8.5908137835792875E-3</v>
      </c>
      <c r="J522" s="120">
        <f t="shared" si="7"/>
        <v>0</v>
      </c>
    </row>
    <row r="523" spans="6:10" x14ac:dyDescent="0.55000000000000004">
      <c r="F523" s="119">
        <v>44194</v>
      </c>
      <c r="G523" s="52">
        <v>360.72155800000002</v>
      </c>
      <c r="H523" s="52">
        <v>90.291847000000004</v>
      </c>
      <c r="I523" s="120">
        <f t="shared" si="7"/>
        <v>-1.9076701567345422E-3</v>
      </c>
      <c r="J523" s="120">
        <f t="shared" si="7"/>
        <v>0</v>
      </c>
    </row>
    <row r="524" spans="6:10" x14ac:dyDescent="0.55000000000000004">
      <c r="F524" s="119">
        <v>44195</v>
      </c>
      <c r="G524" s="52">
        <v>361.236176</v>
      </c>
      <c r="H524" s="52">
        <v>90.281981999999999</v>
      </c>
      <c r="I524" s="120">
        <f t="shared" si="7"/>
        <v>1.4266350002845041E-3</v>
      </c>
      <c r="J524" s="120">
        <f t="shared" si="7"/>
        <v>-1.0925681916784669E-4</v>
      </c>
    </row>
    <row r="525" spans="6:10" x14ac:dyDescent="0.55000000000000004">
      <c r="F525" s="119">
        <v>44196</v>
      </c>
      <c r="G525" s="52">
        <v>363.07156400000002</v>
      </c>
      <c r="H525" s="52">
        <v>90.291847000000004</v>
      </c>
      <c r="I525" s="120">
        <f t="shared" si="7"/>
        <v>5.0808532531914086E-3</v>
      </c>
      <c r="J525" s="120">
        <f t="shared" si="7"/>
        <v>1.0926875752459431E-4</v>
      </c>
    </row>
  </sheetData>
  <mergeCells count="1">
    <mergeCell ref="D21:D22"/>
  </mergeCells>
  <pageMargins left="0.511811024" right="0.511811024" top="0.78740157499999996" bottom="0.78740157499999996" header="0.31496062000000002" footer="0.31496062000000002"/>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C64A4-B972-4B99-A2F0-DD4901F16BFA}">
  <sheetPr codeName="Planilha65">
    <tabColor theme="9" tint="0.59999389629810485"/>
  </sheetPr>
  <dimension ref="A1:X525"/>
  <sheetViews>
    <sheetView showGridLines="0" zoomScale="85" zoomScaleNormal="85" workbookViewId="0">
      <selection activeCell="A8" sqref="A8"/>
    </sheetView>
  </sheetViews>
  <sheetFormatPr defaultColWidth="8.796875" defaultRowHeight="18" x14ac:dyDescent="0.55000000000000004"/>
  <cols>
    <col min="1" max="1" width="18.6640625" style="17" customWidth="1"/>
    <col min="2" max="2" width="49" customWidth="1"/>
    <col min="4" max="4" width="8.6640625" bestFit="1" customWidth="1"/>
    <col min="5" max="5" width="4.6640625" customWidth="1"/>
    <col min="6" max="6" width="8.6640625" bestFit="1" customWidth="1"/>
    <col min="7" max="10" width="17" bestFit="1" customWidth="1"/>
    <col min="11" max="11" width="12.796875" bestFit="1" customWidth="1"/>
    <col min="13" max="15" width="9" style="15" customWidth="1"/>
    <col min="16" max="24" width="8.796875" style="15"/>
  </cols>
  <sheetData>
    <row r="1" spans="1:24" x14ac:dyDescent="0.55000000000000004">
      <c r="A1" s="16" t="s">
        <v>644</v>
      </c>
      <c r="M1" s="14"/>
      <c r="N1" s="14"/>
      <c r="O1" s="14"/>
      <c r="P1" s="14"/>
      <c r="Q1" s="14"/>
      <c r="R1" s="14"/>
      <c r="S1" s="14"/>
      <c r="T1" s="14"/>
      <c r="U1" s="14"/>
      <c r="V1" s="14"/>
      <c r="W1" s="14"/>
      <c r="X1" s="14"/>
    </row>
    <row r="2" spans="1:24" x14ac:dyDescent="0.55000000000000004">
      <c r="A2" s="17" t="s">
        <v>656</v>
      </c>
      <c r="M2" s="14"/>
      <c r="N2" s="14"/>
      <c r="O2" s="14"/>
      <c r="P2" s="14"/>
      <c r="Q2" s="14"/>
      <c r="R2" s="14"/>
      <c r="S2" s="14"/>
      <c r="T2" s="14"/>
      <c r="U2" s="14"/>
      <c r="V2" s="14"/>
      <c r="W2" s="14"/>
      <c r="X2" s="14"/>
    </row>
    <row r="3" spans="1:24" ht="14.25" x14ac:dyDescent="0.45">
      <c r="A3" s="118" t="s">
        <v>631</v>
      </c>
    </row>
    <row r="4" spans="1:24" ht="14.25" x14ac:dyDescent="0.45">
      <c r="A4" s="118" t="s">
        <v>632</v>
      </c>
    </row>
    <row r="5" spans="1:24" ht="14.25" x14ac:dyDescent="0.45">
      <c r="A5" s="118" t="s">
        <v>633</v>
      </c>
    </row>
    <row r="6" spans="1:24" ht="14.25" x14ac:dyDescent="0.45">
      <c r="A6" s="118" t="s">
        <v>647</v>
      </c>
    </row>
    <row r="7" spans="1:24" ht="14.25" x14ac:dyDescent="0.45">
      <c r="A7" s="118"/>
    </row>
    <row r="8" spans="1:24" x14ac:dyDescent="0.55000000000000004">
      <c r="A8" s="17" t="s">
        <v>1052</v>
      </c>
    </row>
    <row r="10" spans="1:24" ht="15.75" x14ac:dyDescent="0.5">
      <c r="A10" s="2" t="s">
        <v>15</v>
      </c>
      <c r="B10" s="2" t="s">
        <v>16</v>
      </c>
    </row>
    <row r="11" spans="1:24" ht="15.75" x14ac:dyDescent="0.5">
      <c r="A11" s="23" t="s">
        <v>636</v>
      </c>
      <c r="B11" s="24" t="s">
        <v>640</v>
      </c>
    </row>
    <row r="12" spans="1:24" ht="15.75" x14ac:dyDescent="0.5">
      <c r="A12" s="23" t="s">
        <v>637</v>
      </c>
      <c r="B12" s="24" t="s">
        <v>641</v>
      </c>
    </row>
    <row r="13" spans="1:24" ht="15.75" x14ac:dyDescent="0.5">
      <c r="A13" s="23" t="s">
        <v>638</v>
      </c>
      <c r="B13" s="24" t="s">
        <v>642</v>
      </c>
    </row>
    <row r="14" spans="1:24" ht="15.75" x14ac:dyDescent="0.5">
      <c r="A14" s="23" t="s">
        <v>639</v>
      </c>
      <c r="B14" s="24" t="s">
        <v>643</v>
      </c>
    </row>
    <row r="15" spans="1:24" ht="31.5" x14ac:dyDescent="0.5">
      <c r="A15" s="23" t="s">
        <v>242</v>
      </c>
      <c r="B15" s="24" t="s">
        <v>804</v>
      </c>
    </row>
    <row r="16" spans="1:24" ht="15.75" x14ac:dyDescent="0.5">
      <c r="A16" s="23"/>
      <c r="B16" s="24"/>
      <c r="I16" t="s">
        <v>629</v>
      </c>
      <c r="J16" t="s">
        <v>630</v>
      </c>
    </row>
    <row r="17" spans="4:24" x14ac:dyDescent="0.55000000000000004">
      <c r="D17" s="1" t="s">
        <v>17</v>
      </c>
      <c r="G17" s="1" t="s">
        <v>627</v>
      </c>
      <c r="H17" s="1" t="s">
        <v>628</v>
      </c>
      <c r="I17" s="13" t="s">
        <v>636</v>
      </c>
      <c r="J17" s="13" t="s">
        <v>637</v>
      </c>
      <c r="K17" s="13" t="s">
        <v>242</v>
      </c>
      <c r="M17" s="15" t="s">
        <v>645</v>
      </c>
      <c r="O17" s="15" t="s">
        <v>646</v>
      </c>
    </row>
    <row r="18" spans="4:24" x14ac:dyDescent="0.55000000000000004">
      <c r="F18" s="119">
        <v>43465</v>
      </c>
      <c r="G18" s="52">
        <v>233.81840500000001</v>
      </c>
      <c r="H18" s="52">
        <v>88.142380000000003</v>
      </c>
      <c r="I18" s="101"/>
      <c r="J18" s="101"/>
      <c r="K18" s="54" t="b">
        <v>0</v>
      </c>
      <c r="M18" s="121" cm="1">
        <f t="array" ref="M18">_xlfn.LAMBDA(_xlpm.sampleNonCrisis_1,_xlpm.sampleNonCrisis_2,_xlpm.sampleCrisis_1,_xlpm.sampleCrisis_2,_xlop.returnPValue,_xlfn.LET(_xlpm.volNonCrisis_1,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SQRT(1 + (_xlpm.volCrisis_1 ^ 2 - _xlpm.volNonCrisis_1 ^ 2) / (_xlpm.volNonCrisis_1 ^ 2) * (1 - _xlpm.corrCrisis ^ 2)), _xlpm.coVolNonCrisis, AVERAGE((_xlpm.sampleNonCrisis_1 - _xlpm.meanNonCrisis_1) ^ 2 / _xlpm.volNonCrisis_1 ^ 2 * (_xlpm.sampleNonCrisis_2 - _xlpm.meanNonCrisis_2) ^ 2 / _xlpm.volNonCrisis_2 ^ 2) - (1 + 2 * _xlpm.corrNonCrisis) ^ 2, _xlpm.coVolCrisis, AVERAGE((_xlpm.sampleCrisis_1 - _xlpm.meanCrisis_1) ^ 2 / _xlpm.volCrisis_1 ^ 2 * (_xlpm.sampleCrisis_2 - _xlpm.meanCrisis_2) ^ 2 / _xlpm.volCrisis_2 ^ 2) - (1 + 2 * _xlpm.corrCrisisAdj) ^ 2, _xlpm.chiSquared, ((_xlpm.coVolCrisis - _xlpm.coVolNonCrisis) / SQRT((4 * _xlpm.corrCrisisAdj ^ 4 + 16 * _xlpm.corrCrisisAdj ^ 2 + 4) / _xlpm.nCrisis_1 + (4 * _xlpm.corrNonCrisis ^ 4 + 16 * _xlpm.corrNonCrisis ^ 2 + 4) / _xlpm.nNonCrisis_1)) ^ 2, _xlpm.pTest, _xlfn.CHISQ.DIST.RT(_xlpm.chiSquared, 1), IF(_xlpm.returnPValue, _xlpm.pTest, _xlpm.chiSquared)))(I19:I317,J19:J317,I320:I525,J320:J525,K18)</f>
        <v>75.342358950760882</v>
      </c>
      <c r="N18" s="53"/>
      <c r="O18" s="27" cm="1">
        <f t="array" ref="O18">CONTAGION_COVOLATILITY(I19:I317,J19:J317,I320:I525,J320:J525,K18)</f>
        <v>75.342358950760882</v>
      </c>
    </row>
    <row r="19" spans="4:24" x14ac:dyDescent="0.55000000000000004">
      <c r="F19" s="119">
        <v>43467</v>
      </c>
      <c r="G19" s="52">
        <v>234.0616</v>
      </c>
      <c r="H19" s="52">
        <v>88.132744000000002</v>
      </c>
      <c r="I19" s="120">
        <f>G19/G18-1</f>
        <v>1.0401020398713712E-3</v>
      </c>
      <c r="J19" s="120">
        <f>H19/H18-1</f>
        <v>-1.0932312016076473E-4</v>
      </c>
      <c r="M19" s="53"/>
      <c r="N19" s="53"/>
      <c r="O19" s="53"/>
    </row>
    <row r="20" spans="4:24" x14ac:dyDescent="0.55000000000000004">
      <c r="F20" s="119">
        <v>43468</v>
      </c>
      <c r="G20" s="52">
        <v>228.476257</v>
      </c>
      <c r="H20" s="52">
        <v>88.161666999999994</v>
      </c>
      <c r="I20" s="120">
        <f t="shared" ref="I20:I83" si="0">G20/G19-1</f>
        <v>-2.3862705373286275E-2</v>
      </c>
      <c r="J20" s="120">
        <f t="shared" ref="J20:J83" si="1">H20/H19-1</f>
        <v>3.2817541684604379E-4</v>
      </c>
      <c r="M20" s="53"/>
      <c r="N20" s="53"/>
      <c r="O20" s="53"/>
    </row>
    <row r="21" spans="4:24" ht="18.75" customHeight="1" x14ac:dyDescent="0.55000000000000004">
      <c r="D21" s="173"/>
      <c r="F21" s="119">
        <v>43469</v>
      </c>
      <c r="G21" s="52">
        <v>236.129257</v>
      </c>
      <c r="H21" s="52">
        <v>88.171302999999995</v>
      </c>
      <c r="I21" s="120">
        <f t="shared" si="0"/>
        <v>3.3495821843755103E-2</v>
      </c>
      <c r="J21" s="120">
        <f t="shared" si="1"/>
        <v>1.0929920370039703E-4</v>
      </c>
      <c r="M21" s="53"/>
      <c r="N21" s="53"/>
      <c r="O21" s="53"/>
    </row>
    <row r="22" spans="4:24" x14ac:dyDescent="0.55000000000000004">
      <c r="D22" s="173"/>
      <c r="F22" s="119">
        <v>43472</v>
      </c>
      <c r="G22" s="52">
        <v>237.991028</v>
      </c>
      <c r="H22" s="52">
        <v>88.171302999999995</v>
      </c>
      <c r="I22" s="120">
        <f t="shared" si="0"/>
        <v>7.8845418126225475E-3</v>
      </c>
      <c r="J22" s="120">
        <f t="shared" si="1"/>
        <v>0</v>
      </c>
      <c r="M22" s="53"/>
      <c r="N22" s="53"/>
      <c r="O22" s="53"/>
    </row>
    <row r="23" spans="4:24" x14ac:dyDescent="0.55000000000000004">
      <c r="D23" s="46"/>
      <c r="F23" s="119">
        <v>43473</v>
      </c>
      <c r="G23" s="52">
        <v>240.22705099999999</v>
      </c>
      <c r="H23" s="52">
        <v>88.171302999999995</v>
      </c>
      <c r="I23" s="120">
        <f t="shared" si="0"/>
        <v>9.3954088050747231E-3</v>
      </c>
      <c r="J23" s="120">
        <f t="shared" si="1"/>
        <v>0</v>
      </c>
      <c r="M23" s="53"/>
      <c r="N23" s="53"/>
      <c r="O23" s="53"/>
    </row>
    <row r="24" spans="4:24" x14ac:dyDescent="0.55000000000000004">
      <c r="F24" s="119">
        <v>43474</v>
      </c>
      <c r="G24" s="52">
        <v>241.349762</v>
      </c>
      <c r="H24" s="52">
        <v>88.171302999999995</v>
      </c>
      <c r="I24" s="120">
        <f t="shared" si="0"/>
        <v>4.6735411159004592E-3</v>
      </c>
      <c r="J24" s="120">
        <f t="shared" si="1"/>
        <v>0</v>
      </c>
      <c r="M24" s="53"/>
      <c r="N24" s="53"/>
      <c r="O24" s="53"/>
    </row>
    <row r="25" spans="4:24" x14ac:dyDescent="0.55000000000000004">
      <c r="F25" s="119">
        <v>43475</v>
      </c>
      <c r="G25" s="52">
        <v>242.20112599999999</v>
      </c>
      <c r="H25" s="52">
        <v>88.180938999999995</v>
      </c>
      <c r="I25" s="120">
        <f t="shared" si="0"/>
        <v>3.5275112473489578E-3</v>
      </c>
      <c r="J25" s="120">
        <f t="shared" si="1"/>
        <v>1.0928725869008282E-4</v>
      </c>
      <c r="M25" s="53"/>
      <c r="N25" s="53"/>
      <c r="O25" s="53"/>
    </row>
    <row r="26" spans="4:24" x14ac:dyDescent="0.55000000000000004">
      <c r="F26" s="119">
        <v>43476</v>
      </c>
      <c r="G26" s="52">
        <v>242.294647</v>
      </c>
      <c r="H26" s="52">
        <v>88.200203000000002</v>
      </c>
      <c r="I26" s="120">
        <f t="shared" si="0"/>
        <v>3.8612950131367008E-4</v>
      </c>
      <c r="J26" s="120">
        <f t="shared" si="1"/>
        <v>2.1845991002655829E-4</v>
      </c>
      <c r="M26" s="53"/>
      <c r="N26" s="53"/>
      <c r="O26" s="53"/>
    </row>
    <row r="27" spans="4:24" s="21" customFormat="1" ht="14.25" x14ac:dyDescent="0.45">
      <c r="D27"/>
      <c r="E27"/>
      <c r="F27" s="119">
        <v>43479</v>
      </c>
      <c r="G27" s="52">
        <v>240.816452</v>
      </c>
      <c r="H27" s="52">
        <v>88.190574999999995</v>
      </c>
      <c r="I27" s="120">
        <f t="shared" si="0"/>
        <v>-6.1008157559502285E-3</v>
      </c>
      <c r="J27" s="120">
        <f t="shared" si="1"/>
        <v>-1.0916074648947838E-4</v>
      </c>
      <c r="K27"/>
      <c r="L27"/>
      <c r="M27" s="53"/>
      <c r="N27" s="53"/>
      <c r="O27" s="53"/>
      <c r="P27" s="15"/>
      <c r="Q27" s="15"/>
      <c r="R27" s="15"/>
      <c r="S27" s="15"/>
      <c r="T27" s="15"/>
      <c r="U27" s="15"/>
      <c r="V27" s="15"/>
      <c r="W27" s="15"/>
      <c r="X27" s="15"/>
    </row>
    <row r="28" spans="4:24" s="21" customFormat="1" ht="14.25" x14ac:dyDescent="0.45">
      <c r="D28"/>
      <c r="E28"/>
      <c r="F28" s="119">
        <v>43480</v>
      </c>
      <c r="G28" s="52">
        <v>243.57638499999999</v>
      </c>
      <c r="H28" s="52">
        <v>88.209868999999998</v>
      </c>
      <c r="I28" s="120">
        <f t="shared" si="0"/>
        <v>1.146073275757753E-2</v>
      </c>
      <c r="J28" s="120">
        <f t="shared" si="1"/>
        <v>2.1877621276433779E-4</v>
      </c>
      <c r="K28"/>
      <c r="L28"/>
      <c r="M28" s="53"/>
      <c r="N28" s="53"/>
      <c r="O28" s="53"/>
      <c r="P28" s="15"/>
      <c r="Q28" s="15"/>
      <c r="R28" s="15"/>
      <c r="S28" s="15"/>
      <c r="T28" s="15"/>
      <c r="U28" s="15"/>
      <c r="V28" s="15"/>
      <c r="W28" s="15"/>
      <c r="X28" s="15"/>
    </row>
    <row r="29" spans="4:24" s="21" customFormat="1" ht="14.25" x14ac:dyDescent="0.45">
      <c r="D29"/>
      <c r="E29"/>
      <c r="F29" s="119">
        <v>43481</v>
      </c>
      <c r="G29" s="52">
        <v>244.16583299999999</v>
      </c>
      <c r="H29" s="52">
        <v>88.219466999999995</v>
      </c>
      <c r="I29" s="120">
        <f t="shared" si="0"/>
        <v>2.4199718704258633E-3</v>
      </c>
      <c r="J29" s="120">
        <f t="shared" si="1"/>
        <v>1.0880868670137822E-4</v>
      </c>
      <c r="K29"/>
      <c r="L29"/>
      <c r="M29" s="53"/>
      <c r="N29" s="53"/>
      <c r="O29" s="53"/>
      <c r="P29" s="15"/>
      <c r="Q29" s="15"/>
      <c r="R29" s="15"/>
      <c r="S29" s="15"/>
      <c r="T29" s="15"/>
      <c r="U29" s="15"/>
      <c r="V29" s="15"/>
      <c r="W29" s="15"/>
      <c r="X29" s="15"/>
    </row>
    <row r="30" spans="4:24" s="21" customFormat="1" ht="14.25" x14ac:dyDescent="0.45">
      <c r="D30"/>
      <c r="E30"/>
      <c r="F30" s="119">
        <v>43482</v>
      </c>
      <c r="G30" s="52">
        <v>246.01823400000001</v>
      </c>
      <c r="H30" s="52">
        <v>88.238761999999994</v>
      </c>
      <c r="I30" s="120">
        <f t="shared" si="0"/>
        <v>7.5866511593374319E-3</v>
      </c>
      <c r="J30" s="120">
        <f t="shared" si="1"/>
        <v>2.1871589861222063E-4</v>
      </c>
      <c r="K30"/>
      <c r="L30"/>
      <c r="M30" s="53"/>
      <c r="N30" s="53"/>
      <c r="O30" s="53"/>
      <c r="P30" s="15"/>
      <c r="Q30" s="15"/>
      <c r="R30" s="15"/>
      <c r="S30" s="15"/>
      <c r="T30" s="15"/>
      <c r="U30" s="15"/>
      <c r="V30" s="15"/>
      <c r="W30" s="15"/>
      <c r="X30" s="15"/>
    </row>
    <row r="31" spans="4:24" s="21" customFormat="1" ht="14.25" x14ac:dyDescent="0.45">
      <c r="D31"/>
      <c r="E31"/>
      <c r="F31" s="119">
        <v>43483</v>
      </c>
      <c r="G31" s="52">
        <v>249.29276999999999</v>
      </c>
      <c r="H31" s="52">
        <v>88.238761999999994</v>
      </c>
      <c r="I31" s="120">
        <f t="shared" si="0"/>
        <v>1.3310135378014287E-2</v>
      </c>
      <c r="J31" s="120">
        <f t="shared" si="1"/>
        <v>0</v>
      </c>
      <c r="K31"/>
      <c r="L31"/>
      <c r="M31" s="53"/>
      <c r="N31" s="53"/>
      <c r="O31" s="53"/>
      <c r="P31" s="15"/>
      <c r="Q31" s="15"/>
      <c r="R31" s="15"/>
      <c r="S31" s="15"/>
      <c r="T31" s="15"/>
      <c r="U31" s="15"/>
      <c r="V31" s="15"/>
      <c r="W31" s="15"/>
      <c r="X31" s="15"/>
    </row>
    <row r="32" spans="4:24" s="21" customFormat="1" ht="14.25" x14ac:dyDescent="0.45">
      <c r="D32"/>
      <c r="E32"/>
      <c r="F32" s="119">
        <v>43487</v>
      </c>
      <c r="G32" s="52">
        <v>245.92463699999999</v>
      </c>
      <c r="H32" s="52">
        <v>88.248405000000005</v>
      </c>
      <c r="I32" s="120">
        <f t="shared" si="0"/>
        <v>-1.3510752838921114E-2</v>
      </c>
      <c r="J32" s="120">
        <f t="shared" si="1"/>
        <v>1.0928303821855501E-4</v>
      </c>
      <c r="K32"/>
      <c r="L32"/>
      <c r="M32" s="53"/>
      <c r="N32" s="53"/>
      <c r="O32" s="53"/>
      <c r="P32" s="15"/>
      <c r="Q32" s="15"/>
      <c r="R32" s="15"/>
      <c r="S32" s="15"/>
      <c r="T32" s="15"/>
      <c r="U32" s="15"/>
      <c r="V32" s="15"/>
      <c r="W32" s="15"/>
      <c r="X32" s="15"/>
    </row>
    <row r="33" spans="6:24" s="21" customFormat="1" ht="14.25" x14ac:dyDescent="0.45">
      <c r="F33" s="119">
        <v>43488</v>
      </c>
      <c r="G33" s="52">
        <v>246.439255</v>
      </c>
      <c r="H33" s="52">
        <v>88.248405000000005</v>
      </c>
      <c r="I33" s="120">
        <f t="shared" si="0"/>
        <v>2.0925841602441597E-3</v>
      </c>
      <c r="J33" s="120">
        <f t="shared" si="1"/>
        <v>0</v>
      </c>
      <c r="K33"/>
      <c r="M33" s="15"/>
      <c r="N33" s="15"/>
      <c r="O33" s="15"/>
      <c r="P33" s="15"/>
      <c r="Q33" s="15"/>
      <c r="R33" s="15"/>
      <c r="S33" s="15"/>
      <c r="T33" s="15"/>
      <c r="U33" s="15"/>
      <c r="V33" s="15"/>
      <c r="W33" s="15"/>
      <c r="X33" s="15"/>
    </row>
    <row r="34" spans="6:24" s="21" customFormat="1" ht="14.25" x14ac:dyDescent="0.45">
      <c r="F34" s="119">
        <v>43489</v>
      </c>
      <c r="G34" s="52">
        <v>246.57023599999999</v>
      </c>
      <c r="H34" s="52">
        <v>88.277289999999994</v>
      </c>
      <c r="I34" s="120">
        <f t="shared" si="0"/>
        <v>5.3149405925601023E-4</v>
      </c>
      <c r="J34" s="120">
        <f t="shared" si="1"/>
        <v>3.2731469764235577E-4</v>
      </c>
      <c r="K34"/>
      <c r="M34" s="15"/>
      <c r="N34" s="15"/>
      <c r="O34" s="15"/>
      <c r="P34" s="15"/>
      <c r="Q34" s="15"/>
      <c r="R34" s="15"/>
      <c r="S34" s="15"/>
      <c r="T34" s="15"/>
      <c r="U34" s="15"/>
      <c r="V34" s="15"/>
      <c r="W34" s="15"/>
      <c r="X34" s="15"/>
    </row>
    <row r="35" spans="6:24" s="21" customFormat="1" ht="14.25" x14ac:dyDescent="0.45">
      <c r="F35" s="119">
        <v>43490</v>
      </c>
      <c r="G35" s="52">
        <v>248.65656999999999</v>
      </c>
      <c r="H35" s="52">
        <v>88.267669999999995</v>
      </c>
      <c r="I35" s="120">
        <f t="shared" si="0"/>
        <v>8.4614186766645005E-3</v>
      </c>
      <c r="J35" s="120">
        <f t="shared" si="1"/>
        <v>-1.0897479974747437E-4</v>
      </c>
      <c r="K35"/>
      <c r="M35" s="15"/>
      <c r="N35" s="15"/>
      <c r="O35" s="15"/>
      <c r="P35" s="15"/>
      <c r="Q35" s="15"/>
      <c r="R35" s="15"/>
      <c r="S35" s="15"/>
      <c r="T35" s="15"/>
      <c r="U35" s="15"/>
      <c r="V35" s="15"/>
      <c r="W35" s="15"/>
      <c r="X35" s="15"/>
    </row>
    <row r="36" spans="6:24" s="21" customFormat="1" ht="14.25" x14ac:dyDescent="0.45">
      <c r="F36" s="119">
        <v>43493</v>
      </c>
      <c r="G36" s="52">
        <v>246.76676900000001</v>
      </c>
      <c r="H36" s="52">
        <v>88.277289999999994</v>
      </c>
      <c r="I36" s="120">
        <f t="shared" si="0"/>
        <v>-7.6000445111905623E-3</v>
      </c>
      <c r="J36" s="120">
        <f t="shared" si="1"/>
        <v>1.0898667654868355E-4</v>
      </c>
      <c r="K36"/>
      <c r="M36" s="15"/>
      <c r="N36" s="15"/>
      <c r="O36" s="15"/>
      <c r="P36" s="15"/>
      <c r="Q36" s="15"/>
      <c r="R36" s="15"/>
      <c r="S36" s="15"/>
      <c r="T36" s="15"/>
      <c r="U36" s="15"/>
      <c r="V36" s="15"/>
      <c r="W36" s="15"/>
      <c r="X36" s="15"/>
    </row>
    <row r="37" spans="6:24" s="21" customFormat="1" ht="14.25" x14ac:dyDescent="0.45">
      <c r="F37" s="119">
        <v>43494</v>
      </c>
      <c r="G37" s="52">
        <v>246.439255</v>
      </c>
      <c r="H37" s="52">
        <v>88.277289999999994</v>
      </c>
      <c r="I37" s="120">
        <f t="shared" si="0"/>
        <v>-1.3272208463369628E-3</v>
      </c>
      <c r="J37" s="120">
        <f t="shared" si="1"/>
        <v>0</v>
      </c>
      <c r="K37"/>
      <c r="M37" s="15"/>
      <c r="N37" s="15"/>
      <c r="O37" s="15"/>
      <c r="P37" s="15"/>
      <c r="Q37" s="15"/>
      <c r="R37" s="15"/>
      <c r="S37" s="15"/>
      <c r="T37" s="15"/>
      <c r="U37" s="15"/>
      <c r="V37" s="15"/>
      <c r="W37" s="15"/>
      <c r="X37" s="15"/>
    </row>
    <row r="38" spans="6:24" s="21" customFormat="1" ht="14.25" x14ac:dyDescent="0.45">
      <c r="F38" s="119">
        <v>43495</v>
      </c>
      <c r="G38" s="52">
        <v>250.34056100000001</v>
      </c>
      <c r="H38" s="52">
        <v>88.296570000000003</v>
      </c>
      <c r="I38" s="120">
        <f t="shared" si="0"/>
        <v>1.5830700348449023E-2</v>
      </c>
      <c r="J38" s="120">
        <f t="shared" si="1"/>
        <v>2.1840271716544457E-4</v>
      </c>
      <c r="K38"/>
      <c r="M38" s="15"/>
      <c r="N38" s="15"/>
      <c r="O38" s="15"/>
      <c r="P38" s="15"/>
      <c r="Q38" s="15"/>
      <c r="R38" s="15"/>
      <c r="S38" s="15"/>
      <c r="T38" s="15"/>
      <c r="U38" s="15"/>
      <c r="V38" s="15"/>
      <c r="W38" s="15"/>
      <c r="X38" s="15"/>
    </row>
    <row r="39" spans="6:24" s="21" customFormat="1" ht="14.25" x14ac:dyDescent="0.45">
      <c r="F39" s="119">
        <v>43496</v>
      </c>
      <c r="G39" s="52">
        <v>252.539185</v>
      </c>
      <c r="H39" s="52">
        <v>88.296570000000003</v>
      </c>
      <c r="I39" s="120">
        <f t="shared" si="0"/>
        <v>8.7825320484122837E-3</v>
      </c>
      <c r="J39" s="120">
        <f t="shared" si="1"/>
        <v>0</v>
      </c>
      <c r="K39"/>
      <c r="M39" s="15"/>
      <c r="N39" s="15"/>
      <c r="O39" s="15"/>
      <c r="P39" s="15"/>
      <c r="Q39" s="15"/>
      <c r="R39" s="15"/>
      <c r="S39" s="15"/>
      <c r="T39" s="15"/>
      <c r="U39" s="15"/>
      <c r="V39" s="15"/>
      <c r="W39" s="15"/>
      <c r="X39" s="15"/>
    </row>
    <row r="40" spans="6:24" s="21" customFormat="1" ht="14.25" x14ac:dyDescent="0.45">
      <c r="F40" s="119">
        <v>43497</v>
      </c>
      <c r="G40" s="52">
        <v>252.660751</v>
      </c>
      <c r="H40" s="52">
        <v>88.305267000000001</v>
      </c>
      <c r="I40" s="120">
        <f t="shared" si="0"/>
        <v>4.8137480130061583E-4</v>
      </c>
      <c r="J40" s="120">
        <f t="shared" si="1"/>
        <v>9.8497597358582212E-5</v>
      </c>
      <c r="K40"/>
      <c r="M40" s="15"/>
      <c r="N40" s="15"/>
      <c r="O40" s="15"/>
      <c r="P40" s="15"/>
      <c r="Q40" s="15"/>
      <c r="R40" s="15"/>
      <c r="S40" s="15"/>
      <c r="T40" s="15"/>
      <c r="U40" s="15"/>
      <c r="V40" s="15"/>
      <c r="W40" s="15"/>
      <c r="X40" s="15"/>
    </row>
    <row r="41" spans="6:24" s="21" customFormat="1" ht="14.25" x14ac:dyDescent="0.45">
      <c r="F41" s="119">
        <v>43500</v>
      </c>
      <c r="G41" s="52">
        <v>254.43838500000001</v>
      </c>
      <c r="H41" s="52">
        <v>88.314933999999994</v>
      </c>
      <c r="I41" s="120">
        <f t="shared" si="0"/>
        <v>7.0356554904722479E-3</v>
      </c>
      <c r="J41" s="120">
        <f t="shared" si="1"/>
        <v>1.094725187795742E-4</v>
      </c>
      <c r="K41"/>
      <c r="M41" s="15"/>
      <c r="N41" s="15"/>
      <c r="O41" s="15"/>
      <c r="P41" s="15"/>
      <c r="Q41" s="15"/>
      <c r="R41" s="15"/>
      <c r="S41" s="15"/>
      <c r="T41" s="15"/>
      <c r="U41" s="15"/>
      <c r="V41" s="15"/>
      <c r="W41" s="15"/>
      <c r="X41" s="15"/>
    </row>
    <row r="42" spans="6:24" s="21" customFormat="1" ht="14.25" x14ac:dyDescent="0.45">
      <c r="F42" s="119">
        <v>43501</v>
      </c>
      <c r="G42" s="52">
        <v>255.504974</v>
      </c>
      <c r="H42" s="52">
        <v>88.314933999999994</v>
      </c>
      <c r="I42" s="120">
        <f t="shared" si="0"/>
        <v>4.191934326261304E-3</v>
      </c>
      <c r="J42" s="120">
        <f t="shared" si="1"/>
        <v>0</v>
      </c>
      <c r="K42"/>
      <c r="M42" s="15"/>
      <c r="N42" s="15"/>
      <c r="O42" s="15"/>
      <c r="P42" s="15"/>
      <c r="Q42" s="15"/>
      <c r="R42" s="15"/>
      <c r="S42" s="15"/>
      <c r="T42" s="15"/>
      <c r="U42" s="15"/>
      <c r="V42" s="15"/>
      <c r="W42" s="15"/>
      <c r="X42" s="15"/>
    </row>
    <row r="43" spans="6:24" s="21" customFormat="1" ht="14.25" x14ac:dyDescent="0.45">
      <c r="F43" s="119">
        <v>43502</v>
      </c>
      <c r="G43" s="52">
        <v>255.16816700000001</v>
      </c>
      <c r="H43" s="52">
        <v>88.334259000000003</v>
      </c>
      <c r="I43" s="120">
        <f t="shared" si="0"/>
        <v>-1.3182013435087958E-3</v>
      </c>
      <c r="J43" s="120">
        <f t="shared" si="1"/>
        <v>2.1881916369892451E-4</v>
      </c>
      <c r="K43"/>
      <c r="M43" s="15"/>
      <c r="N43" s="15"/>
      <c r="O43" s="15"/>
      <c r="P43" s="15"/>
      <c r="Q43" s="15"/>
      <c r="R43" s="15"/>
      <c r="S43" s="15"/>
      <c r="T43" s="15"/>
      <c r="U43" s="15"/>
      <c r="V43" s="15"/>
      <c r="W43" s="15"/>
      <c r="X43" s="15"/>
    </row>
    <row r="44" spans="6:24" s="21" customFormat="1" ht="14.25" x14ac:dyDescent="0.45">
      <c r="F44" s="119">
        <v>43503</v>
      </c>
      <c r="G44" s="52">
        <v>252.735657</v>
      </c>
      <c r="H44" s="52">
        <v>88.334259000000003</v>
      </c>
      <c r="I44" s="120">
        <f t="shared" si="0"/>
        <v>-9.5329681151019585E-3</v>
      </c>
      <c r="J44" s="120">
        <f t="shared" si="1"/>
        <v>0</v>
      </c>
      <c r="K44"/>
      <c r="M44" s="15"/>
      <c r="N44" s="15"/>
      <c r="O44" s="15"/>
      <c r="P44" s="15"/>
      <c r="Q44" s="15"/>
      <c r="R44" s="15"/>
      <c r="S44" s="15"/>
      <c r="T44" s="15"/>
      <c r="U44" s="15"/>
      <c r="V44" s="15"/>
      <c r="W44" s="15"/>
      <c r="X44" s="15"/>
    </row>
    <row r="45" spans="6:24" s="21" customFormat="1" ht="14.25" x14ac:dyDescent="0.45">
      <c r="F45" s="119">
        <v>43504</v>
      </c>
      <c r="G45" s="52">
        <v>253.04437300000001</v>
      </c>
      <c r="H45" s="52">
        <v>88.353545999999994</v>
      </c>
      <c r="I45" s="120">
        <f t="shared" si="0"/>
        <v>1.22149760609358E-3</v>
      </c>
      <c r="J45" s="120">
        <f t="shared" si="1"/>
        <v>2.18341108176201E-4</v>
      </c>
      <c r="K45"/>
      <c r="M45" s="15"/>
      <c r="N45" s="15"/>
      <c r="O45" s="15"/>
      <c r="P45" s="15"/>
      <c r="Q45" s="15"/>
      <c r="R45" s="15"/>
      <c r="S45" s="15"/>
      <c r="T45" s="15"/>
      <c r="U45" s="15"/>
      <c r="V45" s="15"/>
      <c r="W45" s="15"/>
      <c r="X45" s="15"/>
    </row>
    <row r="46" spans="6:24" s="21" customFormat="1" ht="14.25" x14ac:dyDescent="0.45">
      <c r="F46" s="119">
        <v>43507</v>
      </c>
      <c r="G46" s="52">
        <v>253.184753</v>
      </c>
      <c r="H46" s="52">
        <v>88.343886999999995</v>
      </c>
      <c r="I46" s="120">
        <f t="shared" si="0"/>
        <v>5.5476436142676278E-4</v>
      </c>
      <c r="J46" s="120">
        <f t="shared" si="1"/>
        <v>-1.0932215442716053E-4</v>
      </c>
      <c r="K46"/>
      <c r="M46" s="15"/>
      <c r="N46" s="15"/>
      <c r="O46" s="15"/>
      <c r="P46" s="15"/>
      <c r="Q46" s="15"/>
      <c r="R46" s="15"/>
      <c r="S46" s="15"/>
      <c r="T46" s="15"/>
      <c r="U46" s="15"/>
      <c r="V46" s="15"/>
      <c r="W46" s="15"/>
      <c r="X46" s="15"/>
    </row>
    <row r="47" spans="6:24" s="21" customFormat="1" ht="14.25" x14ac:dyDescent="0.45">
      <c r="F47" s="119">
        <v>43508</v>
      </c>
      <c r="G47" s="52">
        <v>256.44058200000001</v>
      </c>
      <c r="H47" s="52">
        <v>88.363213000000002</v>
      </c>
      <c r="I47" s="120">
        <f t="shared" si="0"/>
        <v>1.2859498691850657E-2</v>
      </c>
      <c r="J47" s="120">
        <f t="shared" si="1"/>
        <v>2.1875876935339988E-4</v>
      </c>
      <c r="K47"/>
      <c r="M47" s="15"/>
      <c r="N47" s="15"/>
      <c r="O47" s="15"/>
      <c r="P47" s="15"/>
      <c r="Q47" s="15"/>
      <c r="R47" s="15"/>
      <c r="S47" s="15"/>
      <c r="T47" s="15"/>
      <c r="U47" s="15"/>
      <c r="V47" s="15"/>
      <c r="W47" s="15"/>
      <c r="X47" s="15"/>
    </row>
    <row r="48" spans="6:24" s="21" customFormat="1" ht="14.25" x14ac:dyDescent="0.45">
      <c r="F48" s="119">
        <v>43509</v>
      </c>
      <c r="G48" s="52">
        <v>257.27319299999999</v>
      </c>
      <c r="H48" s="52">
        <v>88.363213000000002</v>
      </c>
      <c r="I48" s="120">
        <f t="shared" si="0"/>
        <v>3.2467989017432863E-3</v>
      </c>
      <c r="J48" s="120">
        <f t="shared" si="1"/>
        <v>0</v>
      </c>
      <c r="K48"/>
      <c r="M48" s="15"/>
      <c r="N48" s="15"/>
      <c r="O48" s="15"/>
      <c r="P48" s="15"/>
      <c r="Q48" s="15"/>
      <c r="R48" s="15"/>
      <c r="S48" s="15"/>
      <c r="T48" s="15"/>
      <c r="U48" s="15"/>
      <c r="V48" s="15"/>
      <c r="W48" s="15"/>
      <c r="X48" s="15"/>
    </row>
    <row r="49" spans="6:24" s="21" customFormat="1" ht="14.25" x14ac:dyDescent="0.45">
      <c r="F49" s="119">
        <v>43510</v>
      </c>
      <c r="G49" s="52">
        <v>256.70248400000003</v>
      </c>
      <c r="H49" s="52">
        <v>88.382544999999993</v>
      </c>
      <c r="I49" s="120">
        <f t="shared" si="0"/>
        <v>-2.2182995178979814E-3</v>
      </c>
      <c r="J49" s="120">
        <f t="shared" si="1"/>
        <v>2.1877882598042575E-4</v>
      </c>
      <c r="K49"/>
      <c r="M49" s="15"/>
      <c r="N49" s="15"/>
      <c r="O49" s="15"/>
      <c r="P49" s="15"/>
      <c r="Q49" s="15"/>
      <c r="R49" s="15"/>
      <c r="S49" s="15"/>
      <c r="T49" s="15"/>
      <c r="U49" s="15"/>
      <c r="V49" s="15"/>
      <c r="W49" s="15"/>
      <c r="X49" s="15"/>
    </row>
    <row r="50" spans="6:24" s="21" customFormat="1" ht="14.25" x14ac:dyDescent="0.45">
      <c r="F50" s="119">
        <v>43511</v>
      </c>
      <c r="G50" s="52">
        <v>259.49987800000002</v>
      </c>
      <c r="H50" s="52">
        <v>88.382544999999993</v>
      </c>
      <c r="I50" s="120">
        <f t="shared" si="0"/>
        <v>1.0897416949031236E-2</v>
      </c>
      <c r="J50" s="120">
        <f t="shared" si="1"/>
        <v>0</v>
      </c>
      <c r="K50"/>
      <c r="M50" s="15"/>
      <c r="N50" s="15"/>
      <c r="O50" s="15"/>
      <c r="P50" s="15"/>
      <c r="Q50" s="15"/>
      <c r="R50" s="15"/>
      <c r="S50" s="15"/>
      <c r="T50" s="15"/>
      <c r="U50" s="15"/>
      <c r="V50" s="15"/>
      <c r="W50" s="15"/>
      <c r="X50" s="15"/>
    </row>
    <row r="51" spans="6:24" s="21" customFormat="1" ht="14.25" x14ac:dyDescent="0.45">
      <c r="F51" s="119">
        <v>43515</v>
      </c>
      <c r="G51" s="52">
        <v>259.94894399999998</v>
      </c>
      <c r="H51" s="52">
        <v>88.401840000000007</v>
      </c>
      <c r="I51" s="120">
        <f t="shared" si="0"/>
        <v>1.7305056305265687E-3</v>
      </c>
      <c r="J51" s="120">
        <f t="shared" si="1"/>
        <v>2.183123375776308E-4</v>
      </c>
      <c r="K51"/>
      <c r="M51" s="15"/>
      <c r="N51" s="15"/>
      <c r="O51" s="15"/>
      <c r="P51" s="15"/>
      <c r="Q51" s="15"/>
      <c r="R51" s="15"/>
      <c r="S51" s="15"/>
      <c r="T51" s="15"/>
      <c r="U51" s="15"/>
      <c r="V51" s="15"/>
      <c r="W51" s="15"/>
      <c r="X51" s="15"/>
    </row>
    <row r="52" spans="6:24" s="21" customFormat="1" ht="14.25" x14ac:dyDescent="0.45">
      <c r="F52" s="119">
        <v>43516</v>
      </c>
      <c r="G52" s="52">
        <v>260.47283900000002</v>
      </c>
      <c r="H52" s="52">
        <v>88.401840000000007</v>
      </c>
      <c r="I52" s="120">
        <f t="shared" si="0"/>
        <v>2.0153765271693214E-3</v>
      </c>
      <c r="J52" s="120">
        <f t="shared" si="1"/>
        <v>0</v>
      </c>
      <c r="K52"/>
      <c r="M52" s="15"/>
      <c r="N52" s="15"/>
      <c r="O52" s="15"/>
      <c r="P52" s="15"/>
      <c r="Q52" s="15"/>
      <c r="R52" s="15"/>
      <c r="S52" s="15"/>
      <c r="T52" s="15"/>
      <c r="U52" s="15"/>
      <c r="V52" s="15"/>
      <c r="W52" s="15"/>
      <c r="X52" s="15"/>
    </row>
    <row r="53" spans="6:24" s="21" customFormat="1" ht="14.25" x14ac:dyDescent="0.45">
      <c r="F53" s="119">
        <v>43517</v>
      </c>
      <c r="G53" s="52">
        <v>259.54660000000001</v>
      </c>
      <c r="H53" s="52">
        <v>88.411484000000002</v>
      </c>
      <c r="I53" s="120">
        <f t="shared" si="0"/>
        <v>-3.5559907265417801E-3</v>
      </c>
      <c r="J53" s="120">
        <f t="shared" si="1"/>
        <v>1.0909275191561818E-4</v>
      </c>
      <c r="K53"/>
      <c r="M53" s="15"/>
      <c r="N53" s="15"/>
      <c r="O53" s="15"/>
      <c r="P53" s="15"/>
      <c r="Q53" s="15"/>
      <c r="R53" s="15"/>
      <c r="S53" s="15"/>
      <c r="T53" s="15"/>
      <c r="U53" s="15"/>
      <c r="V53" s="15"/>
      <c r="W53" s="15"/>
      <c r="X53" s="15"/>
    </row>
    <row r="54" spans="6:24" s="21" customFormat="1" ht="14.25" x14ac:dyDescent="0.45">
      <c r="F54" s="119">
        <v>43518</v>
      </c>
      <c r="G54" s="52">
        <v>261.155823</v>
      </c>
      <c r="H54" s="52">
        <v>88.430817000000005</v>
      </c>
      <c r="I54" s="120">
        <f t="shared" si="0"/>
        <v>6.2001313059003582E-3</v>
      </c>
      <c r="J54" s="120">
        <f t="shared" si="1"/>
        <v>2.1867068762237984E-4</v>
      </c>
      <c r="K54"/>
      <c r="M54" s="15"/>
      <c r="N54" s="15"/>
      <c r="O54" s="15"/>
      <c r="P54" s="15"/>
      <c r="Q54" s="15"/>
      <c r="R54" s="15"/>
      <c r="S54" s="15"/>
      <c r="T54" s="15"/>
      <c r="U54" s="15"/>
      <c r="V54" s="15"/>
      <c r="W54" s="15"/>
      <c r="X54" s="15"/>
    </row>
    <row r="55" spans="6:24" s="21" customFormat="1" ht="14.25" x14ac:dyDescent="0.45">
      <c r="F55" s="119">
        <v>43521</v>
      </c>
      <c r="G55" s="52">
        <v>261.51129200000003</v>
      </c>
      <c r="H55" s="52">
        <v>88.421149999999997</v>
      </c>
      <c r="I55" s="120">
        <f t="shared" si="0"/>
        <v>1.3611375611564114E-3</v>
      </c>
      <c r="J55" s="120">
        <f t="shared" si="1"/>
        <v>-1.0931709474093498E-4</v>
      </c>
      <c r="K55"/>
      <c r="M55" s="15"/>
      <c r="N55" s="15"/>
      <c r="O55" s="15"/>
      <c r="P55" s="15"/>
      <c r="Q55" s="15"/>
      <c r="R55" s="15"/>
      <c r="S55" s="15"/>
      <c r="T55" s="15"/>
      <c r="U55" s="15"/>
      <c r="V55" s="15"/>
      <c r="W55" s="15"/>
      <c r="X55" s="15"/>
    </row>
    <row r="56" spans="6:24" s="21" customFormat="1" ht="14.25" x14ac:dyDescent="0.45">
      <c r="F56" s="119">
        <v>43522</v>
      </c>
      <c r="G56" s="52">
        <v>261.32421900000003</v>
      </c>
      <c r="H56" s="52">
        <v>88.430817000000005</v>
      </c>
      <c r="I56" s="120">
        <f t="shared" si="0"/>
        <v>-7.1535343108619642E-4</v>
      </c>
      <c r="J56" s="120">
        <f t="shared" si="1"/>
        <v>1.0932904627458662E-4</v>
      </c>
      <c r="K56"/>
      <c r="M56" s="15"/>
      <c r="N56" s="15"/>
      <c r="O56" s="15"/>
      <c r="P56" s="15"/>
      <c r="Q56" s="15"/>
      <c r="R56" s="15"/>
      <c r="S56" s="15"/>
      <c r="T56" s="15"/>
      <c r="U56" s="15"/>
      <c r="V56" s="15"/>
      <c r="W56" s="15"/>
      <c r="X56" s="15"/>
    </row>
    <row r="57" spans="6:24" s="21" customFormat="1" ht="14.25" x14ac:dyDescent="0.45">
      <c r="F57" s="119">
        <v>43523</v>
      </c>
      <c r="G57" s="52">
        <v>261.21200599999997</v>
      </c>
      <c r="H57" s="52">
        <v>88.440453000000005</v>
      </c>
      <c r="I57" s="120">
        <f t="shared" si="0"/>
        <v>-4.2940145551551012E-4</v>
      </c>
      <c r="J57" s="120">
        <f t="shared" si="1"/>
        <v>1.0896653821479418E-4</v>
      </c>
      <c r="K57"/>
      <c r="M57" s="15"/>
      <c r="N57" s="15"/>
      <c r="O57" s="15"/>
      <c r="P57" s="15"/>
      <c r="Q57" s="15"/>
      <c r="R57" s="15"/>
      <c r="S57" s="15"/>
      <c r="T57" s="15"/>
      <c r="U57" s="15"/>
      <c r="V57" s="15"/>
      <c r="W57" s="15"/>
      <c r="X57" s="15"/>
    </row>
    <row r="58" spans="6:24" s="21" customFormat="1" ht="14.25" x14ac:dyDescent="0.45">
      <c r="F58" s="119">
        <v>43524</v>
      </c>
      <c r="G58" s="52">
        <v>260.72543300000001</v>
      </c>
      <c r="H58" s="52">
        <v>88.459770000000006</v>
      </c>
      <c r="I58" s="120">
        <f t="shared" si="0"/>
        <v>-1.8627512856356221E-3</v>
      </c>
      <c r="J58" s="120">
        <f t="shared" si="1"/>
        <v>2.1841814853673647E-4</v>
      </c>
      <c r="K58"/>
      <c r="M58" s="15"/>
      <c r="N58" s="15"/>
      <c r="O58" s="15"/>
      <c r="P58" s="15"/>
      <c r="Q58" s="15"/>
      <c r="R58" s="15"/>
      <c r="S58" s="15"/>
      <c r="T58" s="15"/>
      <c r="U58" s="15"/>
      <c r="V58" s="15"/>
      <c r="W58" s="15"/>
      <c r="X58" s="15"/>
    </row>
    <row r="59" spans="6:24" s="21" customFormat="1" ht="14.25" x14ac:dyDescent="0.45">
      <c r="F59" s="119">
        <v>43525</v>
      </c>
      <c r="G59" s="52">
        <v>262.35327100000001</v>
      </c>
      <c r="H59" s="52">
        <v>88.469436999999999</v>
      </c>
      <c r="I59" s="120">
        <f t="shared" si="0"/>
        <v>6.2434952404508692E-3</v>
      </c>
      <c r="J59" s="120">
        <f t="shared" si="1"/>
        <v>1.092813151106764E-4</v>
      </c>
      <c r="K59"/>
      <c r="M59" s="15"/>
      <c r="N59" s="15"/>
      <c r="O59" s="15"/>
      <c r="P59" s="15"/>
      <c r="Q59" s="15"/>
      <c r="R59" s="15"/>
      <c r="S59" s="15"/>
      <c r="T59" s="15"/>
      <c r="U59" s="15"/>
      <c r="V59" s="15"/>
      <c r="W59" s="15"/>
      <c r="X59" s="15"/>
    </row>
    <row r="60" spans="6:24" s="21" customFormat="1" ht="14.25" x14ac:dyDescent="0.45">
      <c r="F60" s="119">
        <v>43528</v>
      </c>
      <c r="G60" s="52">
        <v>261.39904799999999</v>
      </c>
      <c r="H60" s="52">
        <v>88.459762999999995</v>
      </c>
      <c r="I60" s="120">
        <f t="shared" si="0"/>
        <v>-3.6371682973985742E-3</v>
      </c>
      <c r="J60" s="120">
        <f t="shared" si="1"/>
        <v>-1.0934849737997965E-4</v>
      </c>
      <c r="K60"/>
      <c r="M60" s="15"/>
      <c r="N60" s="15"/>
      <c r="O60" s="15"/>
      <c r="P60" s="15"/>
      <c r="Q60" s="15"/>
      <c r="R60" s="15"/>
      <c r="S60" s="15"/>
      <c r="T60" s="15"/>
      <c r="U60" s="15"/>
      <c r="V60" s="15"/>
      <c r="W60" s="15"/>
      <c r="X60" s="15"/>
    </row>
    <row r="61" spans="6:24" s="21" customFormat="1" ht="14.25" x14ac:dyDescent="0.45">
      <c r="F61" s="119">
        <v>43529</v>
      </c>
      <c r="G61" s="52">
        <v>261.04351800000001</v>
      </c>
      <c r="H61" s="52">
        <v>88.469436999999999</v>
      </c>
      <c r="I61" s="120">
        <f t="shared" si="0"/>
        <v>-1.3601044178247479E-3</v>
      </c>
      <c r="J61" s="120">
        <f t="shared" si="1"/>
        <v>1.0936045578158193E-4</v>
      </c>
      <c r="K61"/>
      <c r="M61" s="15"/>
      <c r="N61" s="15"/>
      <c r="O61" s="15"/>
      <c r="P61" s="15"/>
      <c r="Q61" s="15"/>
      <c r="R61" s="15"/>
      <c r="S61" s="15"/>
      <c r="T61" s="15"/>
      <c r="U61" s="15"/>
      <c r="V61" s="15"/>
      <c r="W61" s="15"/>
      <c r="X61" s="15"/>
    </row>
    <row r="62" spans="6:24" s="21" customFormat="1" ht="14.25" x14ac:dyDescent="0.45">
      <c r="F62" s="119">
        <v>43530</v>
      </c>
      <c r="G62" s="52">
        <v>259.46246300000001</v>
      </c>
      <c r="H62" s="52">
        <v>88.479111000000003</v>
      </c>
      <c r="I62" s="120">
        <f t="shared" si="0"/>
        <v>-6.0566721292807379E-3</v>
      </c>
      <c r="J62" s="120">
        <f t="shared" si="1"/>
        <v>1.0934849737997965E-4</v>
      </c>
      <c r="K62"/>
      <c r="M62" s="15"/>
      <c r="N62" s="15"/>
      <c r="O62" s="15"/>
      <c r="P62" s="15"/>
      <c r="Q62" s="15"/>
      <c r="R62" s="15"/>
      <c r="S62" s="15"/>
      <c r="T62" s="15"/>
      <c r="U62" s="15"/>
      <c r="V62" s="15"/>
      <c r="W62" s="15"/>
      <c r="X62" s="15"/>
    </row>
    <row r="63" spans="6:24" s="21" customFormat="1" ht="14.25" x14ac:dyDescent="0.45">
      <c r="F63" s="119">
        <v>43531</v>
      </c>
      <c r="G63" s="52">
        <v>257.29187000000002</v>
      </c>
      <c r="H63" s="52">
        <v>88.498474000000002</v>
      </c>
      <c r="I63" s="120">
        <f t="shared" si="0"/>
        <v>-8.3657303445855424E-3</v>
      </c>
      <c r="J63" s="120">
        <f t="shared" si="1"/>
        <v>2.1884261472737698E-4</v>
      </c>
      <c r="K63"/>
      <c r="M63" s="15"/>
      <c r="N63" s="15"/>
      <c r="O63" s="15"/>
      <c r="P63" s="15"/>
      <c r="Q63" s="15"/>
      <c r="R63" s="15"/>
      <c r="S63" s="15"/>
      <c r="T63" s="15"/>
      <c r="U63" s="15"/>
      <c r="V63" s="15"/>
      <c r="W63" s="15"/>
      <c r="X63" s="15"/>
    </row>
    <row r="64" spans="6:24" s="21" customFormat="1" ht="14.25" x14ac:dyDescent="0.45">
      <c r="F64" s="119">
        <v>43532</v>
      </c>
      <c r="G64" s="52">
        <v>256.77737400000001</v>
      </c>
      <c r="H64" s="52">
        <v>88.508156</v>
      </c>
      <c r="I64" s="120">
        <f t="shared" si="0"/>
        <v>-1.9996589865043379E-3</v>
      </c>
      <c r="J64" s="120">
        <f t="shared" si="1"/>
        <v>1.0940301637285543E-4</v>
      </c>
      <c r="K64"/>
      <c r="M64" s="15"/>
      <c r="N64" s="15"/>
      <c r="O64" s="15"/>
      <c r="P64" s="15"/>
      <c r="Q64" s="15"/>
      <c r="R64" s="15"/>
      <c r="S64" s="15"/>
      <c r="T64" s="15"/>
      <c r="U64" s="15"/>
      <c r="V64" s="15"/>
      <c r="W64" s="15"/>
      <c r="X64" s="15"/>
    </row>
    <row r="65" spans="6:24" s="21" customFormat="1" ht="14.25" x14ac:dyDescent="0.45">
      <c r="F65" s="119">
        <v>43535</v>
      </c>
      <c r="G65" s="52">
        <v>260.50091600000002</v>
      </c>
      <c r="H65" s="52">
        <v>88.508156</v>
      </c>
      <c r="I65" s="120">
        <f t="shared" si="0"/>
        <v>1.4501051794384434E-2</v>
      </c>
      <c r="J65" s="120">
        <f t="shared" si="1"/>
        <v>0</v>
      </c>
      <c r="K65"/>
      <c r="M65" s="15"/>
      <c r="N65" s="15"/>
      <c r="O65" s="15"/>
      <c r="P65" s="15"/>
      <c r="Q65" s="15"/>
      <c r="R65" s="15"/>
      <c r="S65" s="15"/>
      <c r="T65" s="15"/>
      <c r="U65" s="15"/>
      <c r="V65" s="15"/>
      <c r="W65" s="15"/>
      <c r="X65" s="15"/>
    </row>
    <row r="66" spans="6:24" s="21" customFormat="1" ht="14.25" x14ac:dyDescent="0.45">
      <c r="F66" s="119">
        <v>43536</v>
      </c>
      <c r="G66" s="52">
        <v>261.48327599999999</v>
      </c>
      <c r="H66" s="52">
        <v>88.517821999999995</v>
      </c>
      <c r="I66" s="120">
        <f t="shared" si="0"/>
        <v>3.7710424020158673E-3</v>
      </c>
      <c r="J66" s="120">
        <f t="shared" si="1"/>
        <v>1.0921027436161523E-4</v>
      </c>
      <c r="K66"/>
      <c r="M66" s="15"/>
      <c r="N66" s="15"/>
      <c r="O66" s="15"/>
      <c r="P66" s="15"/>
      <c r="Q66" s="15"/>
      <c r="R66" s="15"/>
      <c r="S66" s="15"/>
      <c r="T66" s="15"/>
      <c r="U66" s="15"/>
      <c r="V66" s="15"/>
      <c r="W66" s="15"/>
      <c r="X66" s="15"/>
    </row>
    <row r="67" spans="6:24" s="21" customFormat="1" ht="14.25" x14ac:dyDescent="0.45">
      <c r="F67" s="119">
        <v>43537</v>
      </c>
      <c r="G67" s="52">
        <v>263.214111</v>
      </c>
      <c r="H67" s="52">
        <v>88.527495999999999</v>
      </c>
      <c r="I67" s="120">
        <f t="shared" si="0"/>
        <v>6.6192952240662351E-3</v>
      </c>
      <c r="J67" s="120">
        <f t="shared" si="1"/>
        <v>1.0928872606030815E-4</v>
      </c>
      <c r="K67"/>
      <c r="M67" s="15"/>
      <c r="N67" s="15"/>
      <c r="O67" s="15"/>
      <c r="P67" s="15"/>
      <c r="Q67" s="15"/>
      <c r="R67" s="15"/>
      <c r="S67" s="15"/>
      <c r="T67" s="15"/>
      <c r="U67" s="15"/>
      <c r="V67" s="15"/>
      <c r="W67" s="15"/>
      <c r="X67" s="15"/>
    </row>
    <row r="68" spans="6:24" s="21" customFormat="1" ht="14.25" x14ac:dyDescent="0.45">
      <c r="F68" s="119">
        <v>43538</v>
      </c>
      <c r="G68" s="52">
        <v>263.04562399999998</v>
      </c>
      <c r="H68" s="52">
        <v>88.527495999999999</v>
      </c>
      <c r="I68" s="120">
        <f t="shared" si="0"/>
        <v>-6.4011385772566598E-4</v>
      </c>
      <c r="J68" s="120">
        <f t="shared" si="1"/>
        <v>0</v>
      </c>
      <c r="K68"/>
      <c r="M68" s="15"/>
      <c r="N68" s="15"/>
      <c r="O68" s="15"/>
      <c r="P68" s="15"/>
      <c r="Q68" s="15"/>
      <c r="R68" s="15"/>
      <c r="S68" s="15"/>
      <c r="T68" s="15"/>
      <c r="U68" s="15"/>
      <c r="V68" s="15"/>
      <c r="W68" s="15"/>
      <c r="X68" s="15"/>
    </row>
    <row r="69" spans="6:24" s="21" customFormat="1" ht="14.25" x14ac:dyDescent="0.45">
      <c r="F69" s="119">
        <v>43539</v>
      </c>
      <c r="G69" s="52">
        <v>264.34527600000001</v>
      </c>
      <c r="H69" s="52">
        <v>88.537139999999994</v>
      </c>
      <c r="I69" s="120">
        <f t="shared" si="0"/>
        <v>4.9407854813812158E-3</v>
      </c>
      <c r="J69" s="120">
        <f t="shared" si="1"/>
        <v>1.0893790557453542E-4</v>
      </c>
      <c r="K69"/>
      <c r="M69" s="15"/>
      <c r="N69" s="15"/>
      <c r="O69" s="15"/>
      <c r="P69" s="15"/>
      <c r="Q69" s="15"/>
      <c r="R69" s="15"/>
      <c r="S69" s="15"/>
      <c r="T69" s="15"/>
      <c r="U69" s="15"/>
      <c r="V69" s="15"/>
      <c r="W69" s="15"/>
      <c r="X69" s="15"/>
    </row>
    <row r="70" spans="6:24" s="21" customFormat="1" ht="14.25" x14ac:dyDescent="0.45">
      <c r="F70" s="119">
        <v>43542</v>
      </c>
      <c r="G70" s="52">
        <v>265.30377199999998</v>
      </c>
      <c r="H70" s="52">
        <v>88.546852000000001</v>
      </c>
      <c r="I70" s="120">
        <f t="shared" si="0"/>
        <v>3.6259244519276645E-3</v>
      </c>
      <c r="J70" s="120">
        <f t="shared" si="1"/>
        <v>1.0969407866578962E-4</v>
      </c>
      <c r="K70"/>
      <c r="M70" s="15"/>
      <c r="N70" s="15"/>
      <c r="O70" s="15"/>
      <c r="P70" s="15"/>
      <c r="Q70" s="15"/>
      <c r="R70" s="15"/>
      <c r="S70" s="15"/>
      <c r="T70" s="15"/>
      <c r="U70" s="15"/>
      <c r="V70" s="15"/>
      <c r="W70" s="15"/>
      <c r="X70" s="15"/>
    </row>
    <row r="71" spans="6:24" s="21" customFormat="1" ht="14.25" x14ac:dyDescent="0.45">
      <c r="F71" s="119">
        <v>43543</v>
      </c>
      <c r="G71" s="52">
        <v>265.369507</v>
      </c>
      <c r="H71" s="52">
        <v>88.546852000000001</v>
      </c>
      <c r="I71" s="120">
        <f t="shared" si="0"/>
        <v>2.4777257972807831E-4</v>
      </c>
      <c r="J71" s="120">
        <f t="shared" si="1"/>
        <v>0</v>
      </c>
      <c r="K71"/>
      <c r="M71" s="15"/>
      <c r="N71" s="15"/>
      <c r="O71" s="15"/>
      <c r="P71" s="15"/>
      <c r="Q71" s="15"/>
      <c r="R71" s="15"/>
      <c r="S71" s="15"/>
      <c r="T71" s="15"/>
      <c r="U71" s="15"/>
      <c r="V71" s="15"/>
      <c r="W71" s="15"/>
      <c r="X71" s="15"/>
    </row>
    <row r="72" spans="6:24" s="21" customFormat="1" ht="14.25" x14ac:dyDescent="0.45">
      <c r="F72" s="119">
        <v>43544</v>
      </c>
      <c r="G72" s="52">
        <v>264.57080100000002</v>
      </c>
      <c r="H72" s="52">
        <v>88.546852000000001</v>
      </c>
      <c r="I72" s="120">
        <f t="shared" si="0"/>
        <v>-3.0097881592702214E-3</v>
      </c>
      <c r="J72" s="120">
        <f t="shared" si="1"/>
        <v>0</v>
      </c>
      <c r="K72"/>
      <c r="M72" s="15"/>
      <c r="N72" s="15"/>
      <c r="O72" s="15"/>
      <c r="P72" s="15"/>
      <c r="Q72" s="15"/>
      <c r="R72" s="15"/>
      <c r="S72" s="15"/>
      <c r="T72" s="15"/>
      <c r="U72" s="15"/>
      <c r="V72" s="15"/>
      <c r="W72" s="15"/>
      <c r="X72" s="15"/>
    </row>
    <row r="73" spans="6:24" s="21" customFormat="1" ht="14.25" x14ac:dyDescent="0.45">
      <c r="F73" s="119">
        <v>43545</v>
      </c>
      <c r="G73" s="52">
        <v>267.55898999999999</v>
      </c>
      <c r="H73" s="52">
        <v>88.575858999999994</v>
      </c>
      <c r="I73" s="120">
        <f t="shared" si="0"/>
        <v>1.1294477654773205E-2</v>
      </c>
      <c r="J73" s="120">
        <f t="shared" si="1"/>
        <v>3.27589285726404E-4</v>
      </c>
      <c r="K73"/>
      <c r="M73" s="15"/>
      <c r="N73" s="15"/>
      <c r="O73" s="15"/>
      <c r="P73" s="15"/>
      <c r="Q73" s="15"/>
      <c r="R73" s="15"/>
      <c r="S73" s="15"/>
      <c r="T73" s="15"/>
      <c r="U73" s="15"/>
      <c r="V73" s="15"/>
      <c r="W73" s="15"/>
      <c r="X73" s="15"/>
    </row>
    <row r="74" spans="6:24" s="21" customFormat="1" ht="14.25" x14ac:dyDescent="0.45">
      <c r="F74" s="119">
        <v>43546</v>
      </c>
      <c r="G74" s="52">
        <v>262.40948500000002</v>
      </c>
      <c r="H74" s="52">
        <v>88.575858999999994</v>
      </c>
      <c r="I74" s="120">
        <f t="shared" si="0"/>
        <v>-1.9246241735327185E-2</v>
      </c>
      <c r="J74" s="120">
        <f t="shared" si="1"/>
        <v>0</v>
      </c>
      <c r="K74"/>
      <c r="M74" s="15"/>
      <c r="N74" s="15"/>
      <c r="O74" s="15"/>
      <c r="P74" s="15"/>
      <c r="Q74" s="15"/>
      <c r="R74" s="15"/>
      <c r="S74" s="15"/>
      <c r="T74" s="15"/>
      <c r="U74" s="15"/>
      <c r="V74" s="15"/>
      <c r="W74" s="15"/>
      <c r="X74" s="15"/>
    </row>
    <row r="75" spans="6:24" s="21" customFormat="1" ht="14.25" x14ac:dyDescent="0.45">
      <c r="F75" s="119">
        <v>43549</v>
      </c>
      <c r="G75" s="52">
        <v>262.21212800000001</v>
      </c>
      <c r="H75" s="52">
        <v>88.575858999999994</v>
      </c>
      <c r="I75" s="120">
        <f t="shared" si="0"/>
        <v>-7.520955273396801E-4</v>
      </c>
      <c r="J75" s="120">
        <f t="shared" si="1"/>
        <v>0</v>
      </c>
      <c r="K75"/>
      <c r="M75" s="15"/>
      <c r="N75" s="15"/>
      <c r="O75" s="15"/>
      <c r="P75" s="15"/>
      <c r="Q75" s="15"/>
      <c r="R75" s="15"/>
      <c r="S75" s="15"/>
      <c r="T75" s="15"/>
      <c r="U75" s="15"/>
      <c r="V75" s="15"/>
      <c r="W75" s="15"/>
      <c r="X75" s="15"/>
    </row>
    <row r="76" spans="6:24" s="21" customFormat="1" ht="14.25" x14ac:dyDescent="0.45">
      <c r="F76" s="119">
        <v>43550</v>
      </c>
      <c r="G76" s="52">
        <v>264.16674799999998</v>
      </c>
      <c r="H76" s="52">
        <v>88.585548000000003</v>
      </c>
      <c r="I76" s="120">
        <f t="shared" si="0"/>
        <v>7.4543462764620205E-3</v>
      </c>
      <c r="J76" s="120">
        <f t="shared" si="1"/>
        <v>1.0938646386726703E-4</v>
      </c>
      <c r="K76"/>
      <c r="M76" s="15"/>
      <c r="N76" s="15"/>
      <c r="O76" s="15"/>
      <c r="P76" s="15"/>
      <c r="Q76" s="15"/>
      <c r="R76" s="15"/>
      <c r="S76" s="15"/>
      <c r="T76" s="15"/>
      <c r="U76" s="15"/>
      <c r="V76" s="15"/>
      <c r="W76" s="15"/>
      <c r="X76" s="15"/>
    </row>
    <row r="77" spans="6:24" s="21" customFormat="1" ht="14.25" x14ac:dyDescent="0.45">
      <c r="F77" s="119">
        <v>43551</v>
      </c>
      <c r="G77" s="52">
        <v>262.78539999999998</v>
      </c>
      <c r="H77" s="52">
        <v>88.595191999999997</v>
      </c>
      <c r="I77" s="120">
        <f t="shared" si="0"/>
        <v>-5.22907599256206E-3</v>
      </c>
      <c r="J77" s="120">
        <f t="shared" si="1"/>
        <v>1.0886651624031352E-4</v>
      </c>
      <c r="K77"/>
      <c r="M77" s="15"/>
      <c r="N77" s="15"/>
      <c r="O77" s="15"/>
      <c r="P77" s="15"/>
      <c r="Q77" s="15"/>
      <c r="R77" s="15"/>
      <c r="S77" s="15"/>
      <c r="T77" s="15"/>
      <c r="U77" s="15"/>
      <c r="V77" s="15"/>
      <c r="W77" s="15"/>
      <c r="X77" s="15"/>
    </row>
    <row r="78" spans="6:24" s="21" customFormat="1" ht="14.25" x14ac:dyDescent="0.45">
      <c r="F78" s="119">
        <v>43552</v>
      </c>
      <c r="G78" s="52">
        <v>263.78146400000003</v>
      </c>
      <c r="H78" s="52">
        <v>88.614554999999996</v>
      </c>
      <c r="I78" s="120">
        <f t="shared" si="0"/>
        <v>3.7904084473492361E-3</v>
      </c>
      <c r="J78" s="120">
        <f t="shared" si="1"/>
        <v>2.1855587829189282E-4</v>
      </c>
      <c r="K78"/>
      <c r="M78" s="15"/>
      <c r="N78" s="15"/>
      <c r="O78" s="15"/>
      <c r="P78" s="15"/>
      <c r="Q78" s="15"/>
      <c r="R78" s="15"/>
      <c r="S78" s="15"/>
      <c r="T78" s="15"/>
      <c r="U78" s="15"/>
      <c r="V78" s="15"/>
      <c r="W78" s="15"/>
      <c r="X78" s="15"/>
    </row>
    <row r="79" spans="6:24" s="21" customFormat="1" ht="14.25" x14ac:dyDescent="0.45">
      <c r="F79" s="119">
        <v>43553</v>
      </c>
      <c r="G79" s="52">
        <v>265.44473299999999</v>
      </c>
      <c r="H79" s="52">
        <v>88.614554999999996</v>
      </c>
      <c r="I79" s="120">
        <f t="shared" si="0"/>
        <v>6.3054809643483534E-3</v>
      </c>
      <c r="J79" s="120">
        <f t="shared" si="1"/>
        <v>0</v>
      </c>
      <c r="K79"/>
      <c r="M79" s="15"/>
      <c r="N79" s="15"/>
      <c r="O79" s="15"/>
      <c r="P79" s="15"/>
      <c r="Q79" s="15"/>
      <c r="R79" s="15"/>
      <c r="S79" s="15"/>
      <c r="T79" s="15"/>
      <c r="U79" s="15"/>
      <c r="V79" s="15"/>
      <c r="W79" s="15"/>
      <c r="X79" s="15"/>
    </row>
    <row r="80" spans="6:24" s="21" customFormat="1" ht="14.25" x14ac:dyDescent="0.45">
      <c r="F80" s="119">
        <v>43556</v>
      </c>
      <c r="G80" s="52">
        <v>268.59265099999999</v>
      </c>
      <c r="H80" s="52">
        <v>88.630081000000004</v>
      </c>
      <c r="I80" s="120">
        <f t="shared" si="0"/>
        <v>1.1859033571406385E-2</v>
      </c>
      <c r="J80" s="120">
        <f t="shared" si="1"/>
        <v>1.7520823751815406E-4</v>
      </c>
      <c r="K80"/>
      <c r="M80" s="15"/>
      <c r="N80" s="15"/>
      <c r="O80" s="15"/>
      <c r="P80" s="15"/>
      <c r="Q80" s="15"/>
      <c r="R80" s="15"/>
      <c r="S80" s="15"/>
      <c r="T80" s="15"/>
      <c r="U80" s="15"/>
      <c r="V80" s="15"/>
      <c r="W80" s="15"/>
      <c r="X80" s="15"/>
    </row>
    <row r="81" spans="6:24" s="21" customFormat="1" ht="14.25" x14ac:dyDescent="0.45">
      <c r="F81" s="119">
        <v>43557</v>
      </c>
      <c r="G81" s="52">
        <v>268.724243</v>
      </c>
      <c r="H81" s="52">
        <v>88.620377000000005</v>
      </c>
      <c r="I81" s="120">
        <f t="shared" si="0"/>
        <v>4.8993149853537865E-4</v>
      </c>
      <c r="J81" s="120">
        <f t="shared" si="1"/>
        <v>-1.0948878631844572E-4</v>
      </c>
      <c r="K81"/>
      <c r="M81" s="15"/>
      <c r="N81" s="15"/>
      <c r="O81" s="15"/>
      <c r="P81" s="15"/>
      <c r="Q81" s="15"/>
      <c r="R81" s="15"/>
      <c r="S81" s="15"/>
      <c r="T81" s="15"/>
      <c r="U81" s="15"/>
      <c r="V81" s="15"/>
      <c r="W81" s="15"/>
      <c r="X81" s="15"/>
    </row>
    <row r="82" spans="6:24" s="21" customFormat="1" ht="14.25" x14ac:dyDescent="0.45">
      <c r="F82" s="119">
        <v>43558</v>
      </c>
      <c r="G82" s="52">
        <v>269.14718599999998</v>
      </c>
      <c r="H82" s="52">
        <v>88.630081000000004</v>
      </c>
      <c r="I82" s="120">
        <f t="shared" si="0"/>
        <v>1.5738922371808517E-3</v>
      </c>
      <c r="J82" s="120">
        <f t="shared" si="1"/>
        <v>1.095007754254862E-4</v>
      </c>
      <c r="K82"/>
      <c r="M82" s="15"/>
      <c r="N82" s="15"/>
      <c r="O82" s="15"/>
      <c r="P82" s="15"/>
      <c r="Q82" s="15"/>
      <c r="R82" s="15"/>
      <c r="S82" s="15"/>
      <c r="T82" s="15"/>
      <c r="U82" s="15"/>
      <c r="V82" s="15"/>
      <c r="W82" s="15"/>
      <c r="X82" s="15"/>
    </row>
    <row r="83" spans="6:24" s="21" customFormat="1" ht="14.25" x14ac:dyDescent="0.45">
      <c r="F83" s="119">
        <v>43559</v>
      </c>
      <c r="G83" s="52">
        <v>269.861267</v>
      </c>
      <c r="H83" s="52">
        <v>88.659142000000003</v>
      </c>
      <c r="I83" s="120">
        <f t="shared" si="0"/>
        <v>2.6531245249579172E-3</v>
      </c>
      <c r="J83" s="120">
        <f t="shared" si="1"/>
        <v>3.2789093355334309E-4</v>
      </c>
      <c r="K83"/>
      <c r="M83" s="15"/>
      <c r="N83" s="15"/>
      <c r="O83" s="15"/>
      <c r="P83" s="15"/>
      <c r="Q83" s="15"/>
      <c r="R83" s="15"/>
      <c r="S83" s="15"/>
      <c r="T83" s="15"/>
      <c r="U83" s="15"/>
      <c r="V83" s="15"/>
      <c r="W83" s="15"/>
      <c r="X83" s="15"/>
    </row>
    <row r="84" spans="6:24" s="21" customFormat="1" ht="14.25" x14ac:dyDescent="0.45">
      <c r="F84" s="119">
        <v>43560</v>
      </c>
      <c r="G84" s="52">
        <v>271.16744999999997</v>
      </c>
      <c r="H84" s="52">
        <v>88.659142000000003</v>
      </c>
      <c r="I84" s="120">
        <f t="shared" ref="I84:I147" si="2">G84/G83-1</f>
        <v>4.8402018360047538E-3</v>
      </c>
      <c r="J84" s="120">
        <f t="shared" ref="J84:J147" si="3">H84/H83-1</f>
        <v>0</v>
      </c>
      <c r="K84"/>
      <c r="M84" s="15"/>
      <c r="N84" s="15"/>
      <c r="O84" s="15"/>
      <c r="P84" s="15"/>
      <c r="Q84" s="15"/>
      <c r="R84" s="15"/>
      <c r="S84" s="15"/>
      <c r="T84" s="15"/>
      <c r="U84" s="15"/>
      <c r="V84" s="15"/>
      <c r="W84" s="15"/>
      <c r="X84" s="15"/>
    </row>
    <row r="85" spans="6:24" s="21" customFormat="1" ht="14.25" x14ac:dyDescent="0.45">
      <c r="F85" s="119">
        <v>43563</v>
      </c>
      <c r="G85" s="52">
        <v>271.374146</v>
      </c>
      <c r="H85" s="52">
        <v>88.659142000000003</v>
      </c>
      <c r="I85" s="120">
        <f t="shared" si="2"/>
        <v>7.6224487857978751E-4</v>
      </c>
      <c r="J85" s="120">
        <f t="shared" si="3"/>
        <v>0</v>
      </c>
      <c r="K85"/>
      <c r="M85" s="15"/>
      <c r="N85" s="15"/>
      <c r="O85" s="15"/>
      <c r="P85" s="15"/>
      <c r="Q85" s="15"/>
      <c r="R85" s="15"/>
      <c r="S85" s="15"/>
      <c r="T85" s="15"/>
      <c r="U85" s="15"/>
      <c r="V85" s="15"/>
      <c r="W85" s="15"/>
      <c r="X85" s="15"/>
    </row>
    <row r="86" spans="6:24" s="21" customFormat="1" ht="14.25" x14ac:dyDescent="0.45">
      <c r="F86" s="119">
        <v>43564</v>
      </c>
      <c r="G86" s="52">
        <v>269.98345899999998</v>
      </c>
      <c r="H86" s="52">
        <v>88.668846000000002</v>
      </c>
      <c r="I86" s="120">
        <f t="shared" si="2"/>
        <v>-5.1246112442856484E-3</v>
      </c>
      <c r="J86" s="120">
        <f t="shared" si="3"/>
        <v>1.0945289770569744E-4</v>
      </c>
      <c r="K86"/>
      <c r="M86" s="15"/>
      <c r="N86" s="15"/>
      <c r="O86" s="15"/>
      <c r="P86" s="15"/>
      <c r="Q86" s="15"/>
      <c r="R86" s="15"/>
      <c r="S86" s="15"/>
      <c r="T86" s="15"/>
      <c r="U86" s="15"/>
      <c r="V86" s="15"/>
      <c r="W86" s="15"/>
      <c r="X86" s="15"/>
    </row>
    <row r="87" spans="6:24" s="21" customFormat="1" ht="14.25" x14ac:dyDescent="0.45">
      <c r="F87" s="119">
        <v>43565</v>
      </c>
      <c r="G87" s="52">
        <v>270.904358</v>
      </c>
      <c r="H87" s="52">
        <v>88.668846000000002</v>
      </c>
      <c r="I87" s="120">
        <f t="shared" si="2"/>
        <v>3.4109460016957804E-3</v>
      </c>
      <c r="J87" s="120">
        <f t="shared" si="3"/>
        <v>0</v>
      </c>
      <c r="K87"/>
      <c r="M87" s="15"/>
      <c r="N87" s="15"/>
      <c r="O87" s="15"/>
      <c r="P87" s="15"/>
      <c r="Q87" s="15"/>
      <c r="R87" s="15"/>
      <c r="S87" s="15"/>
      <c r="T87" s="15"/>
      <c r="U87" s="15"/>
      <c r="V87" s="15"/>
      <c r="W87" s="15"/>
      <c r="X87" s="15"/>
    </row>
    <row r="88" spans="6:24" s="21" customFormat="1" ht="14.25" x14ac:dyDescent="0.45">
      <c r="F88" s="119">
        <v>43566</v>
      </c>
      <c r="G88" s="52">
        <v>270.82913200000002</v>
      </c>
      <c r="H88" s="52">
        <v>88.697906000000003</v>
      </c>
      <c r="I88" s="120">
        <f t="shared" si="2"/>
        <v>-2.7768471705424957E-4</v>
      </c>
      <c r="J88" s="120">
        <f t="shared" si="3"/>
        <v>3.2773630548876831E-4</v>
      </c>
      <c r="K88"/>
      <c r="M88" s="15"/>
      <c r="N88" s="15"/>
      <c r="O88" s="15"/>
      <c r="P88" s="15"/>
      <c r="Q88" s="15"/>
      <c r="R88" s="15"/>
      <c r="S88" s="15"/>
      <c r="T88" s="15"/>
      <c r="U88" s="15"/>
      <c r="V88" s="15"/>
      <c r="W88" s="15"/>
      <c r="X88" s="15"/>
    </row>
    <row r="89" spans="6:24" s="21" customFormat="1" ht="14.25" x14ac:dyDescent="0.45">
      <c r="F89" s="119">
        <v>43567</v>
      </c>
      <c r="G89" s="52">
        <v>272.66162100000003</v>
      </c>
      <c r="H89" s="52">
        <v>88.697906000000003</v>
      </c>
      <c r="I89" s="120">
        <f t="shared" si="2"/>
        <v>6.7662181925096654E-3</v>
      </c>
      <c r="J89" s="120">
        <f t="shared" si="3"/>
        <v>0</v>
      </c>
      <c r="K89"/>
      <c r="M89" s="15"/>
      <c r="N89" s="15"/>
      <c r="O89" s="15"/>
      <c r="P89" s="15"/>
      <c r="Q89" s="15"/>
      <c r="R89" s="15"/>
      <c r="S89" s="15"/>
      <c r="T89" s="15"/>
      <c r="U89" s="15"/>
      <c r="V89" s="15"/>
      <c r="W89" s="15"/>
      <c r="X89" s="15"/>
    </row>
    <row r="90" spans="6:24" s="21" customFormat="1" ht="14.25" x14ac:dyDescent="0.45">
      <c r="F90" s="119">
        <v>43570</v>
      </c>
      <c r="G90" s="52">
        <v>272.48303199999998</v>
      </c>
      <c r="H90" s="52">
        <v>88.707611</v>
      </c>
      <c r="I90" s="120">
        <f t="shared" si="2"/>
        <v>-6.5498400304764282E-4</v>
      </c>
      <c r="J90" s="120">
        <f t="shared" si="3"/>
        <v>1.0941633729211198E-4</v>
      </c>
      <c r="K90"/>
      <c r="M90" s="15"/>
      <c r="N90" s="15"/>
      <c r="O90" s="15"/>
      <c r="P90" s="15"/>
      <c r="Q90" s="15"/>
      <c r="R90" s="15"/>
      <c r="S90" s="15"/>
      <c r="T90" s="15"/>
      <c r="U90" s="15"/>
      <c r="V90" s="15"/>
      <c r="W90" s="15"/>
      <c r="X90" s="15"/>
    </row>
    <row r="91" spans="6:24" s="21" customFormat="1" ht="14.25" x14ac:dyDescent="0.45">
      <c r="F91" s="119">
        <v>43571</v>
      </c>
      <c r="G91" s="52">
        <v>272.66162100000003</v>
      </c>
      <c r="H91" s="52">
        <v>88.707611</v>
      </c>
      <c r="I91" s="120">
        <f t="shared" si="2"/>
        <v>6.554132882667929E-4</v>
      </c>
      <c r="J91" s="120">
        <f t="shared" si="3"/>
        <v>0</v>
      </c>
      <c r="K91"/>
      <c r="M91" s="15"/>
      <c r="N91" s="15"/>
      <c r="O91" s="15"/>
      <c r="P91" s="15"/>
      <c r="Q91" s="15"/>
      <c r="R91" s="15"/>
      <c r="S91" s="15"/>
      <c r="T91" s="15"/>
      <c r="U91" s="15"/>
      <c r="V91" s="15"/>
      <c r="W91" s="15"/>
      <c r="X91" s="15"/>
    </row>
    <row r="92" spans="6:24" s="21" customFormat="1" ht="14.25" x14ac:dyDescent="0.45">
      <c r="F92" s="119">
        <v>43572</v>
      </c>
      <c r="G92" s="52">
        <v>271.99438500000002</v>
      </c>
      <c r="H92" s="52">
        <v>88.726982000000007</v>
      </c>
      <c r="I92" s="120">
        <f t="shared" si="2"/>
        <v>-2.4471210783273412E-3</v>
      </c>
      <c r="J92" s="120">
        <f t="shared" si="3"/>
        <v>2.1836908672923094E-4</v>
      </c>
      <c r="K92"/>
      <c r="M92" s="15"/>
      <c r="N92" s="15"/>
      <c r="O92" s="15"/>
      <c r="P92" s="15"/>
      <c r="Q92" s="15"/>
      <c r="R92" s="15"/>
      <c r="S92" s="15"/>
      <c r="T92" s="15"/>
      <c r="U92" s="15"/>
      <c r="V92" s="15"/>
      <c r="W92" s="15"/>
      <c r="X92" s="15"/>
    </row>
    <row r="93" spans="6:24" s="21" customFormat="1" ht="14.25" x14ac:dyDescent="0.45">
      <c r="F93" s="119">
        <v>43573</v>
      </c>
      <c r="G93" s="52">
        <v>272.529968</v>
      </c>
      <c r="H93" s="52">
        <v>88.736716999999999</v>
      </c>
      <c r="I93" s="120">
        <f t="shared" si="2"/>
        <v>1.969095795856024E-3</v>
      </c>
      <c r="J93" s="120">
        <f t="shared" si="3"/>
        <v>1.0971859721320421E-4</v>
      </c>
      <c r="K93"/>
      <c r="M93" s="15"/>
      <c r="N93" s="15"/>
      <c r="O93" s="15"/>
      <c r="P93" s="15"/>
      <c r="Q93" s="15"/>
      <c r="R93" s="15"/>
      <c r="S93" s="15"/>
      <c r="T93" s="15"/>
      <c r="U93" s="15"/>
      <c r="V93" s="15"/>
      <c r="W93" s="15"/>
      <c r="X93" s="15"/>
    </row>
    <row r="94" spans="6:24" s="21" customFormat="1" ht="14.25" x14ac:dyDescent="0.45">
      <c r="F94" s="119">
        <v>43577</v>
      </c>
      <c r="G94" s="52">
        <v>272.76492300000001</v>
      </c>
      <c r="H94" s="52">
        <v>88.736716999999999</v>
      </c>
      <c r="I94" s="120">
        <f t="shared" si="2"/>
        <v>8.6212537184171545E-4</v>
      </c>
      <c r="J94" s="120">
        <f t="shared" si="3"/>
        <v>0</v>
      </c>
      <c r="K94"/>
      <c r="M94" s="15"/>
      <c r="N94" s="15"/>
      <c r="O94" s="15"/>
      <c r="P94" s="15"/>
      <c r="Q94" s="15"/>
      <c r="R94" s="15"/>
      <c r="S94" s="15"/>
      <c r="T94" s="15"/>
      <c r="U94" s="15"/>
      <c r="V94" s="15"/>
      <c r="W94" s="15"/>
      <c r="X94" s="15"/>
    </row>
    <row r="95" spans="6:24" s="21" customFormat="1" ht="14.25" x14ac:dyDescent="0.45">
      <c r="F95" s="119">
        <v>43578</v>
      </c>
      <c r="G95" s="52">
        <v>275.21755999999999</v>
      </c>
      <c r="H95" s="52">
        <v>88.736716999999999</v>
      </c>
      <c r="I95" s="120">
        <f t="shared" si="2"/>
        <v>8.9917610117338231E-3</v>
      </c>
      <c r="J95" s="120">
        <f t="shared" si="3"/>
        <v>0</v>
      </c>
      <c r="K95"/>
      <c r="M95" s="15"/>
      <c r="N95" s="15"/>
      <c r="O95" s="15"/>
      <c r="P95" s="15"/>
      <c r="Q95" s="15"/>
      <c r="R95" s="15"/>
      <c r="S95" s="15"/>
      <c r="T95" s="15"/>
      <c r="U95" s="15"/>
      <c r="V95" s="15"/>
      <c r="W95" s="15"/>
      <c r="X95" s="15"/>
    </row>
    <row r="96" spans="6:24" s="21" customFormat="1" ht="14.25" x14ac:dyDescent="0.45">
      <c r="F96" s="119">
        <v>43579</v>
      </c>
      <c r="G96" s="52">
        <v>274.60674999999998</v>
      </c>
      <c r="H96" s="52">
        <v>88.756073000000001</v>
      </c>
      <c r="I96" s="120">
        <f t="shared" si="2"/>
        <v>-2.2193714674311193E-3</v>
      </c>
      <c r="J96" s="120">
        <f t="shared" si="3"/>
        <v>2.1812842140644939E-4</v>
      </c>
      <c r="K96"/>
      <c r="M96" s="15"/>
      <c r="N96" s="15"/>
      <c r="O96" s="15"/>
      <c r="P96" s="15"/>
      <c r="Q96" s="15"/>
      <c r="R96" s="15"/>
      <c r="S96" s="15"/>
      <c r="T96" s="15"/>
      <c r="U96" s="15"/>
      <c r="V96" s="15"/>
      <c r="W96" s="15"/>
      <c r="X96" s="15"/>
    </row>
    <row r="97" spans="6:24" s="21" customFormat="1" ht="14.25" x14ac:dyDescent="0.45">
      <c r="F97" s="119">
        <v>43580</v>
      </c>
      <c r="G97" s="52">
        <v>274.43753099999998</v>
      </c>
      <c r="H97" s="52">
        <v>88.775435999999999</v>
      </c>
      <c r="I97" s="120">
        <f t="shared" si="2"/>
        <v>-6.1622301709629568E-4</v>
      </c>
      <c r="J97" s="120">
        <f t="shared" si="3"/>
        <v>2.181597196171392E-4</v>
      </c>
      <c r="K97"/>
      <c r="M97" s="15"/>
      <c r="N97" s="15"/>
      <c r="O97" s="15"/>
      <c r="P97" s="15"/>
      <c r="Q97" s="15"/>
      <c r="R97" s="15"/>
      <c r="S97" s="15"/>
      <c r="T97" s="15"/>
      <c r="U97" s="15"/>
      <c r="V97" s="15"/>
      <c r="W97" s="15"/>
      <c r="X97" s="15"/>
    </row>
    <row r="98" spans="6:24" s="21" customFormat="1" ht="14.25" x14ac:dyDescent="0.45">
      <c r="F98" s="119">
        <v>43581</v>
      </c>
      <c r="G98" s="52">
        <v>275.71554600000002</v>
      </c>
      <c r="H98" s="52">
        <v>88.765761999999995</v>
      </c>
      <c r="I98" s="120">
        <f t="shared" si="2"/>
        <v>4.6568521271241892E-3</v>
      </c>
      <c r="J98" s="120">
        <f t="shared" si="3"/>
        <v>-1.0897158533818008E-4</v>
      </c>
      <c r="K98"/>
      <c r="M98" s="15"/>
      <c r="N98" s="15"/>
      <c r="O98" s="15"/>
      <c r="P98" s="15"/>
      <c r="Q98" s="15"/>
      <c r="R98" s="15"/>
      <c r="S98" s="15"/>
      <c r="T98" s="15"/>
      <c r="U98" s="15"/>
      <c r="V98" s="15"/>
      <c r="W98" s="15"/>
      <c r="X98" s="15"/>
    </row>
    <row r="99" spans="6:24" s="21" customFormat="1" ht="14.25" x14ac:dyDescent="0.45">
      <c r="F99" s="119">
        <v>43584</v>
      </c>
      <c r="G99" s="52">
        <v>276.14782700000001</v>
      </c>
      <c r="H99" s="52">
        <v>88.775435999999999</v>
      </c>
      <c r="I99" s="120">
        <f t="shared" si="2"/>
        <v>1.5678513825985174E-3</v>
      </c>
      <c r="J99" s="120">
        <f t="shared" si="3"/>
        <v>1.089834614387275E-4</v>
      </c>
      <c r="K99"/>
      <c r="M99" s="15"/>
      <c r="N99" s="15"/>
      <c r="O99" s="15"/>
      <c r="P99" s="15"/>
      <c r="Q99" s="15"/>
      <c r="R99" s="15"/>
      <c r="S99" s="15"/>
      <c r="T99" s="15"/>
      <c r="U99" s="15"/>
      <c r="V99" s="15"/>
      <c r="W99" s="15"/>
      <c r="X99" s="15"/>
    </row>
    <row r="100" spans="6:24" s="21" customFormat="1" ht="14.25" x14ac:dyDescent="0.45">
      <c r="F100" s="119">
        <v>43585</v>
      </c>
      <c r="G100" s="52">
        <v>276.28872699999999</v>
      </c>
      <c r="H100" s="52">
        <v>88.785149000000004</v>
      </c>
      <c r="I100" s="120">
        <f t="shared" si="2"/>
        <v>5.1023396247829034E-4</v>
      </c>
      <c r="J100" s="120">
        <f t="shared" si="3"/>
        <v>1.0941089605021048E-4</v>
      </c>
      <c r="K100"/>
      <c r="M100" s="15"/>
      <c r="N100" s="15"/>
      <c r="O100" s="15"/>
      <c r="P100" s="15"/>
      <c r="Q100" s="15"/>
      <c r="R100" s="15"/>
      <c r="S100" s="15"/>
      <c r="T100" s="15"/>
      <c r="U100" s="15"/>
      <c r="V100" s="15"/>
      <c r="W100" s="15"/>
      <c r="X100" s="15"/>
    </row>
    <row r="101" spans="6:24" s="21" customFormat="1" ht="14.25" x14ac:dyDescent="0.45">
      <c r="F101" s="119">
        <v>43586</v>
      </c>
      <c r="G101" s="52">
        <v>274.21206699999999</v>
      </c>
      <c r="H101" s="52">
        <v>88.789023999999998</v>
      </c>
      <c r="I101" s="120">
        <f t="shared" si="2"/>
        <v>-7.5162675746810459E-3</v>
      </c>
      <c r="J101" s="120">
        <f t="shared" si="3"/>
        <v>4.3644686567922975E-5</v>
      </c>
      <c r="K101"/>
      <c r="M101" s="15"/>
      <c r="N101" s="15"/>
      <c r="O101" s="15"/>
      <c r="P101" s="15"/>
      <c r="Q101" s="15"/>
      <c r="R101" s="15"/>
      <c r="S101" s="15"/>
      <c r="T101" s="15"/>
      <c r="U101" s="15"/>
      <c r="V101" s="15"/>
      <c r="W101" s="15"/>
      <c r="X101" s="15"/>
    </row>
    <row r="102" spans="6:24" s="21" customFormat="1" ht="14.25" x14ac:dyDescent="0.45">
      <c r="F102" s="119">
        <v>43587</v>
      </c>
      <c r="G102" s="52">
        <v>273.620026</v>
      </c>
      <c r="H102" s="52">
        <v>88.798766999999998</v>
      </c>
      <c r="I102" s="120">
        <f t="shared" si="2"/>
        <v>-2.1590625331597835E-3</v>
      </c>
      <c r="J102" s="120">
        <f t="shared" si="3"/>
        <v>1.0973203174291513E-4</v>
      </c>
      <c r="K102"/>
      <c r="M102" s="15"/>
      <c r="N102" s="15"/>
      <c r="O102" s="15"/>
      <c r="P102" s="15"/>
      <c r="Q102" s="15"/>
      <c r="R102" s="15"/>
      <c r="S102" s="15"/>
      <c r="T102" s="15"/>
      <c r="U102" s="15"/>
      <c r="V102" s="15"/>
      <c r="W102" s="15"/>
      <c r="X102" s="15"/>
    </row>
    <row r="103" spans="6:24" s="21" customFormat="1" ht="14.25" x14ac:dyDescent="0.45">
      <c r="F103" s="119">
        <v>43588</v>
      </c>
      <c r="G103" s="52">
        <v>276.29818699999998</v>
      </c>
      <c r="H103" s="52">
        <v>88.808456000000007</v>
      </c>
      <c r="I103" s="120">
        <f t="shared" si="2"/>
        <v>9.7878837274871788E-3</v>
      </c>
      <c r="J103" s="120">
        <f t="shared" si="3"/>
        <v>1.0911187539353051E-4</v>
      </c>
      <c r="K103"/>
      <c r="M103" s="15"/>
      <c r="N103" s="15"/>
      <c r="O103" s="15"/>
      <c r="P103" s="15"/>
      <c r="Q103" s="15"/>
      <c r="R103" s="15"/>
      <c r="S103" s="15"/>
      <c r="T103" s="15"/>
      <c r="U103" s="15"/>
      <c r="V103" s="15"/>
      <c r="W103" s="15"/>
      <c r="X103" s="15"/>
    </row>
    <row r="104" spans="6:24" s="21" customFormat="1" ht="14.25" x14ac:dyDescent="0.45">
      <c r="F104" s="119">
        <v>43591</v>
      </c>
      <c r="G104" s="52">
        <v>275.16110200000003</v>
      </c>
      <c r="H104" s="52">
        <v>88.818152999999995</v>
      </c>
      <c r="I104" s="120">
        <f t="shared" si="2"/>
        <v>-4.1154269318457448E-3</v>
      </c>
      <c r="J104" s="120">
        <f t="shared" si="3"/>
        <v>1.0919005280296545E-4</v>
      </c>
      <c r="K104"/>
      <c r="M104" s="15"/>
      <c r="N104" s="15"/>
      <c r="O104" s="15"/>
      <c r="P104" s="15"/>
      <c r="Q104" s="15"/>
      <c r="R104" s="15"/>
      <c r="S104" s="15"/>
      <c r="T104" s="15"/>
      <c r="U104" s="15"/>
      <c r="V104" s="15"/>
      <c r="W104" s="15"/>
      <c r="X104" s="15"/>
    </row>
    <row r="105" spans="6:24" s="21" customFormat="1" ht="14.25" x14ac:dyDescent="0.45">
      <c r="F105" s="119">
        <v>43592</v>
      </c>
      <c r="G105" s="52">
        <v>270.56607100000002</v>
      </c>
      <c r="H105" s="52">
        <v>88.827866</v>
      </c>
      <c r="I105" s="120">
        <f t="shared" si="2"/>
        <v>-1.6699420690646893E-2</v>
      </c>
      <c r="J105" s="120">
        <f t="shared" si="3"/>
        <v>1.0935827499136686E-4</v>
      </c>
      <c r="K105"/>
      <c r="M105" s="15"/>
      <c r="N105" s="15"/>
      <c r="O105" s="15"/>
      <c r="P105" s="15"/>
      <c r="Q105" s="15"/>
      <c r="R105" s="15"/>
      <c r="S105" s="15"/>
      <c r="T105" s="15"/>
      <c r="U105" s="15"/>
      <c r="V105" s="15"/>
      <c r="W105" s="15"/>
      <c r="X105" s="15"/>
    </row>
    <row r="106" spans="6:24" s="21" customFormat="1" ht="14.25" x14ac:dyDescent="0.45">
      <c r="F106" s="119">
        <v>43593</v>
      </c>
      <c r="G106" s="52">
        <v>270.190155</v>
      </c>
      <c r="H106" s="52">
        <v>88.827866</v>
      </c>
      <c r="I106" s="120">
        <f t="shared" si="2"/>
        <v>-1.3893685879040607E-3</v>
      </c>
      <c r="J106" s="120">
        <f t="shared" si="3"/>
        <v>0</v>
      </c>
      <c r="K106"/>
      <c r="M106" s="15"/>
      <c r="N106" s="15"/>
      <c r="O106" s="15"/>
      <c r="P106" s="15"/>
      <c r="Q106" s="15"/>
      <c r="R106" s="15"/>
      <c r="S106" s="15"/>
      <c r="T106" s="15"/>
      <c r="U106" s="15"/>
      <c r="V106" s="15"/>
      <c r="W106" s="15"/>
      <c r="X106" s="15"/>
    </row>
    <row r="107" spans="6:24" s="21" customFormat="1" ht="14.25" x14ac:dyDescent="0.45">
      <c r="F107" s="119">
        <v>43594</v>
      </c>
      <c r="G107" s="52">
        <v>269.372589</v>
      </c>
      <c r="H107" s="52">
        <v>88.837585000000004</v>
      </c>
      <c r="I107" s="120">
        <f t="shared" si="2"/>
        <v>-3.0258911543242784E-3</v>
      </c>
      <c r="J107" s="120">
        <f t="shared" si="3"/>
        <v>1.094138634378794E-4</v>
      </c>
      <c r="K107"/>
      <c r="M107" s="15"/>
      <c r="N107" s="15"/>
      <c r="O107" s="15"/>
      <c r="P107" s="15"/>
      <c r="Q107" s="15"/>
      <c r="R107" s="15"/>
      <c r="S107" s="15"/>
      <c r="T107" s="15"/>
      <c r="U107" s="15"/>
      <c r="V107" s="15"/>
      <c r="W107" s="15"/>
      <c r="X107" s="15"/>
    </row>
    <row r="108" spans="6:24" s="21" customFormat="1" ht="14.25" x14ac:dyDescent="0.45">
      <c r="F108" s="119">
        <v>43595</v>
      </c>
      <c r="G108" s="52">
        <v>270.72582999999997</v>
      </c>
      <c r="H108" s="52">
        <v>88.857017999999997</v>
      </c>
      <c r="I108" s="120">
        <f t="shared" si="2"/>
        <v>5.0236774462599776E-3</v>
      </c>
      <c r="J108" s="120">
        <f t="shared" si="3"/>
        <v>2.187475042234599E-4</v>
      </c>
      <c r="K108"/>
      <c r="M108" s="15"/>
      <c r="N108" s="15"/>
      <c r="O108" s="15"/>
      <c r="P108" s="15"/>
      <c r="Q108" s="15"/>
      <c r="R108" s="15"/>
      <c r="S108" s="15"/>
      <c r="T108" s="15"/>
      <c r="U108" s="15"/>
      <c r="V108" s="15"/>
      <c r="W108" s="15"/>
      <c r="X108" s="15"/>
    </row>
    <row r="109" spans="6:24" s="21" customFormat="1" ht="14.25" x14ac:dyDescent="0.45">
      <c r="F109" s="119">
        <v>43598</v>
      </c>
      <c r="G109" s="52">
        <v>263.92233299999998</v>
      </c>
      <c r="H109" s="52">
        <v>88.847282000000007</v>
      </c>
      <c r="I109" s="120">
        <f t="shared" si="2"/>
        <v>-2.5130579523941265E-2</v>
      </c>
      <c r="J109" s="120">
        <f t="shared" si="3"/>
        <v>-1.0956928579342051E-4</v>
      </c>
      <c r="K109"/>
      <c r="M109" s="15"/>
      <c r="N109" s="15"/>
      <c r="O109" s="15"/>
      <c r="P109" s="15"/>
      <c r="Q109" s="15"/>
      <c r="R109" s="15"/>
      <c r="S109" s="15"/>
      <c r="T109" s="15"/>
      <c r="U109" s="15"/>
      <c r="V109" s="15"/>
      <c r="W109" s="15"/>
      <c r="X109" s="15"/>
    </row>
    <row r="110" spans="6:24" s="21" customFormat="1" ht="14.25" x14ac:dyDescent="0.45">
      <c r="F110" s="119">
        <v>43599</v>
      </c>
      <c r="G110" s="52">
        <v>266.309235</v>
      </c>
      <c r="H110" s="52">
        <v>88.857017999999997</v>
      </c>
      <c r="I110" s="120">
        <f t="shared" si="2"/>
        <v>9.0439561247741551E-3</v>
      </c>
      <c r="J110" s="120">
        <f t="shared" si="3"/>
        <v>1.0958129253735294E-4</v>
      </c>
      <c r="K110"/>
      <c r="M110" s="15"/>
      <c r="N110" s="15"/>
      <c r="O110" s="15"/>
      <c r="P110" s="15"/>
      <c r="Q110" s="15"/>
      <c r="R110" s="15"/>
      <c r="S110" s="15"/>
      <c r="T110" s="15"/>
      <c r="U110" s="15"/>
      <c r="V110" s="15"/>
      <c r="W110" s="15"/>
      <c r="X110" s="15"/>
    </row>
    <row r="111" spans="6:24" s="21" customFormat="1" ht="14.25" x14ac:dyDescent="0.45">
      <c r="F111" s="119">
        <v>43600</v>
      </c>
      <c r="G111" s="52">
        <v>267.86910999999998</v>
      </c>
      <c r="H111" s="52">
        <v>88.866721999999996</v>
      </c>
      <c r="I111" s="120">
        <f t="shared" si="2"/>
        <v>5.8573823021945692E-3</v>
      </c>
      <c r="J111" s="120">
        <f t="shared" si="3"/>
        <v>1.0920915667012032E-4</v>
      </c>
      <c r="K111"/>
      <c r="M111" s="15"/>
      <c r="N111" s="15"/>
      <c r="O111" s="15"/>
      <c r="P111" s="15"/>
      <c r="Q111" s="15"/>
      <c r="R111" s="15"/>
      <c r="S111" s="15"/>
      <c r="T111" s="15"/>
      <c r="U111" s="15"/>
      <c r="V111" s="15"/>
      <c r="W111" s="15"/>
      <c r="X111" s="15"/>
    </row>
    <row r="112" spans="6:24" s="21" customFormat="1" ht="14.25" x14ac:dyDescent="0.45">
      <c r="F112" s="119">
        <v>43601</v>
      </c>
      <c r="G112" s="52">
        <v>270.34988399999997</v>
      </c>
      <c r="H112" s="52">
        <v>88.876434000000003</v>
      </c>
      <c r="I112" s="120">
        <f t="shared" si="2"/>
        <v>9.2611425035160622E-3</v>
      </c>
      <c r="J112" s="120">
        <f t="shared" si="3"/>
        <v>1.0928725378223092E-4</v>
      </c>
      <c r="K112"/>
      <c r="M112" s="15"/>
      <c r="N112" s="15"/>
      <c r="O112" s="15"/>
      <c r="P112" s="15"/>
      <c r="Q112" s="15"/>
      <c r="R112" s="15"/>
      <c r="S112" s="15"/>
      <c r="T112" s="15"/>
      <c r="U112" s="15"/>
      <c r="V112" s="15"/>
      <c r="W112" s="15"/>
      <c r="X112" s="15"/>
    </row>
    <row r="113" spans="6:24" s="21" customFormat="1" ht="14.25" x14ac:dyDescent="0.45">
      <c r="F113" s="119">
        <v>43602</v>
      </c>
      <c r="G113" s="52">
        <v>268.602081</v>
      </c>
      <c r="H113" s="52">
        <v>88.886168999999995</v>
      </c>
      <c r="I113" s="120">
        <f t="shared" si="2"/>
        <v>-6.4649667095842966E-3</v>
      </c>
      <c r="J113" s="120">
        <f t="shared" si="3"/>
        <v>1.0953409764380417E-4</v>
      </c>
      <c r="K113"/>
      <c r="M113" s="15"/>
      <c r="N113" s="15"/>
      <c r="O113" s="15"/>
      <c r="P113" s="15"/>
      <c r="Q113" s="15"/>
      <c r="R113" s="15"/>
      <c r="S113" s="15"/>
      <c r="T113" s="15"/>
      <c r="U113" s="15"/>
      <c r="V113" s="15"/>
      <c r="W113" s="15"/>
      <c r="X113" s="15"/>
    </row>
    <row r="114" spans="6:24" s="21" customFormat="1" ht="14.25" x14ac:dyDescent="0.45">
      <c r="F114" s="119">
        <v>43605</v>
      </c>
      <c r="G114" s="52">
        <v>266.82607999999999</v>
      </c>
      <c r="H114" s="52">
        <v>88.895843999999997</v>
      </c>
      <c r="I114" s="120">
        <f t="shared" si="2"/>
        <v>-6.6120150424300306E-3</v>
      </c>
      <c r="J114" s="120">
        <f t="shared" si="3"/>
        <v>1.0884708058456205E-4</v>
      </c>
      <c r="K114"/>
      <c r="M114" s="15"/>
      <c r="N114" s="15"/>
      <c r="O114" s="15"/>
      <c r="P114" s="15"/>
      <c r="Q114" s="15"/>
      <c r="R114" s="15"/>
      <c r="S114" s="15"/>
      <c r="T114" s="15"/>
      <c r="U114" s="15"/>
      <c r="V114" s="15"/>
      <c r="W114" s="15"/>
      <c r="X114" s="15"/>
    </row>
    <row r="115" spans="6:24" s="21" customFormat="1" ht="14.25" x14ac:dyDescent="0.45">
      <c r="F115" s="119">
        <v>43606</v>
      </c>
      <c r="G115" s="52">
        <v>269.23172</v>
      </c>
      <c r="H115" s="52">
        <v>88.895843999999997</v>
      </c>
      <c r="I115" s="120">
        <f t="shared" si="2"/>
        <v>9.0157603784457585E-3</v>
      </c>
      <c r="J115" s="120">
        <f t="shared" si="3"/>
        <v>0</v>
      </c>
      <c r="K115"/>
      <c r="M115" s="15"/>
      <c r="N115" s="15"/>
      <c r="O115" s="15"/>
      <c r="P115" s="15"/>
      <c r="Q115" s="15"/>
      <c r="R115" s="15"/>
      <c r="S115" s="15"/>
      <c r="T115" s="15"/>
      <c r="U115" s="15"/>
      <c r="V115" s="15"/>
      <c r="W115" s="15"/>
      <c r="X115" s="15"/>
    </row>
    <row r="116" spans="6:24" s="21" customFormat="1" ht="14.25" x14ac:dyDescent="0.45">
      <c r="F116" s="119">
        <v>43607</v>
      </c>
      <c r="G116" s="52">
        <v>268.404785</v>
      </c>
      <c r="H116" s="52">
        <v>88.915276000000006</v>
      </c>
      <c r="I116" s="120">
        <f t="shared" si="2"/>
        <v>-3.0714620104941304E-3</v>
      </c>
      <c r="J116" s="120">
        <f t="shared" si="3"/>
        <v>2.185928961988548E-4</v>
      </c>
      <c r="K116"/>
      <c r="M116" s="15"/>
      <c r="N116" s="15"/>
      <c r="O116" s="15"/>
      <c r="P116" s="15"/>
      <c r="Q116" s="15"/>
      <c r="R116" s="15"/>
      <c r="S116" s="15"/>
      <c r="T116" s="15"/>
      <c r="U116" s="15"/>
      <c r="V116" s="15"/>
      <c r="W116" s="15"/>
      <c r="X116" s="15"/>
    </row>
    <row r="117" spans="6:24" s="21" customFormat="1" ht="14.25" x14ac:dyDescent="0.45">
      <c r="F117" s="119">
        <v>43608</v>
      </c>
      <c r="G117" s="52">
        <v>265.12527499999999</v>
      </c>
      <c r="H117" s="52">
        <v>88.934700000000007</v>
      </c>
      <c r="I117" s="120">
        <f t="shared" si="2"/>
        <v>-1.221852285532099E-2</v>
      </c>
      <c r="J117" s="120">
        <f t="shared" si="3"/>
        <v>2.1845515049623287E-4</v>
      </c>
      <c r="K117"/>
      <c r="M117" s="15"/>
      <c r="N117" s="15"/>
      <c r="O117" s="15"/>
      <c r="P117" s="15"/>
      <c r="Q117" s="15"/>
      <c r="R117" s="15"/>
      <c r="S117" s="15"/>
      <c r="T117" s="15"/>
      <c r="U117" s="15"/>
      <c r="V117" s="15"/>
      <c r="W117" s="15"/>
      <c r="X117" s="15"/>
    </row>
    <row r="118" spans="6:24" s="21" customFormat="1" ht="14.25" x14ac:dyDescent="0.45">
      <c r="F118" s="119">
        <v>43609</v>
      </c>
      <c r="G118" s="52">
        <v>265.726563</v>
      </c>
      <c r="H118" s="52">
        <v>88.934700000000007</v>
      </c>
      <c r="I118" s="120">
        <f t="shared" si="2"/>
        <v>2.2679391845987773E-3</v>
      </c>
      <c r="J118" s="120">
        <f t="shared" si="3"/>
        <v>0</v>
      </c>
      <c r="K118"/>
      <c r="M118" s="15"/>
      <c r="N118" s="15"/>
      <c r="O118" s="15"/>
      <c r="P118" s="15"/>
      <c r="Q118" s="15"/>
      <c r="R118" s="15"/>
      <c r="S118" s="15"/>
      <c r="T118" s="15"/>
      <c r="U118" s="15"/>
      <c r="V118" s="15"/>
      <c r="W118" s="15"/>
      <c r="X118" s="15"/>
    </row>
    <row r="119" spans="6:24" s="21" customFormat="1" ht="14.25" x14ac:dyDescent="0.45">
      <c r="F119" s="119">
        <v>43613</v>
      </c>
      <c r="G119" s="52">
        <v>263.25521900000001</v>
      </c>
      <c r="H119" s="52">
        <v>88.944382000000004</v>
      </c>
      <c r="I119" s="120">
        <f t="shared" si="2"/>
        <v>-9.3003272691258854E-3</v>
      </c>
      <c r="J119" s="120">
        <f t="shared" si="3"/>
        <v>1.0886639298268719E-4</v>
      </c>
      <c r="K119"/>
      <c r="M119" s="15"/>
      <c r="N119" s="15"/>
      <c r="O119" s="15"/>
      <c r="P119" s="15"/>
      <c r="Q119" s="15"/>
      <c r="R119" s="15"/>
      <c r="S119" s="15"/>
      <c r="T119" s="15"/>
      <c r="U119" s="15"/>
      <c r="V119" s="15"/>
      <c r="W119" s="15"/>
      <c r="X119" s="15"/>
    </row>
    <row r="120" spans="6:24" s="21" customFormat="1" ht="14.25" x14ac:dyDescent="0.45">
      <c r="F120" s="119">
        <v>43614</v>
      </c>
      <c r="G120" s="52">
        <v>261.488586</v>
      </c>
      <c r="H120" s="52">
        <v>88.944382000000004</v>
      </c>
      <c r="I120" s="120">
        <f t="shared" si="2"/>
        <v>-6.7107235583429015E-3</v>
      </c>
      <c r="J120" s="120">
        <f t="shared" si="3"/>
        <v>0</v>
      </c>
      <c r="K120"/>
      <c r="M120" s="15"/>
      <c r="N120" s="15"/>
      <c r="O120" s="15"/>
      <c r="P120" s="15"/>
      <c r="Q120" s="15"/>
      <c r="R120" s="15"/>
      <c r="S120" s="15"/>
      <c r="T120" s="15"/>
      <c r="U120" s="15"/>
      <c r="V120" s="15"/>
      <c r="W120" s="15"/>
      <c r="X120" s="15"/>
    </row>
    <row r="121" spans="6:24" s="21" customFormat="1" ht="14.25" x14ac:dyDescent="0.45">
      <c r="F121" s="119">
        <v>43615</v>
      </c>
      <c r="G121" s="52">
        <v>262.20281999999997</v>
      </c>
      <c r="H121" s="52">
        <v>88.973549000000006</v>
      </c>
      <c r="I121" s="120">
        <f t="shared" si="2"/>
        <v>2.7314155884416991E-3</v>
      </c>
      <c r="J121" s="120">
        <f t="shared" si="3"/>
        <v>3.279240278493134E-4</v>
      </c>
      <c r="K121"/>
      <c r="M121" s="15"/>
      <c r="N121" s="15"/>
      <c r="O121" s="15"/>
      <c r="P121" s="15"/>
      <c r="Q121" s="15"/>
      <c r="R121" s="15"/>
      <c r="S121" s="15"/>
      <c r="T121" s="15"/>
      <c r="U121" s="15"/>
      <c r="V121" s="15"/>
      <c r="W121" s="15"/>
      <c r="X121" s="15"/>
    </row>
    <row r="122" spans="6:24" s="21" customFormat="1" ht="14.25" x14ac:dyDescent="0.45">
      <c r="F122" s="119">
        <v>43616</v>
      </c>
      <c r="G122" s="52">
        <v>258.669556</v>
      </c>
      <c r="H122" s="52">
        <v>88.973549000000006</v>
      </c>
      <c r="I122" s="120">
        <f t="shared" si="2"/>
        <v>-1.3475308923069473E-2</v>
      </c>
      <c r="J122" s="120">
        <f t="shared" si="3"/>
        <v>0</v>
      </c>
      <c r="K122"/>
      <c r="M122" s="15"/>
      <c r="N122" s="15"/>
      <c r="O122" s="15"/>
      <c r="P122" s="15"/>
      <c r="Q122" s="15"/>
      <c r="R122" s="15"/>
      <c r="S122" s="15"/>
      <c r="T122" s="15"/>
      <c r="U122" s="15"/>
      <c r="V122" s="15"/>
      <c r="W122" s="15"/>
      <c r="X122" s="15"/>
    </row>
    <row r="123" spans="6:24" s="21" customFormat="1" ht="14.25" x14ac:dyDescent="0.45">
      <c r="F123" s="119">
        <v>43619</v>
      </c>
      <c r="G123" s="52">
        <v>258.01174900000001</v>
      </c>
      <c r="H123" s="52">
        <v>88.969673</v>
      </c>
      <c r="I123" s="120">
        <f t="shared" si="2"/>
        <v>-2.5430398929512377E-3</v>
      </c>
      <c r="J123" s="120">
        <f t="shared" si="3"/>
        <v>-4.3563508970612119E-5</v>
      </c>
      <c r="K123"/>
      <c r="M123" s="15"/>
      <c r="N123" s="15"/>
      <c r="O123" s="15"/>
      <c r="P123" s="15"/>
      <c r="Q123" s="15"/>
      <c r="R123" s="15"/>
      <c r="S123" s="15"/>
      <c r="T123" s="15"/>
      <c r="U123" s="15"/>
      <c r="V123" s="15"/>
      <c r="W123" s="15"/>
      <c r="X123" s="15"/>
    </row>
    <row r="124" spans="6:24" s="21" customFormat="1" ht="14.25" x14ac:dyDescent="0.45">
      <c r="F124" s="119">
        <v>43620</v>
      </c>
      <c r="G124" s="52">
        <v>263.61230499999999</v>
      </c>
      <c r="H124" s="52">
        <v>88.989104999999995</v>
      </c>
      <c r="I124" s="120">
        <f t="shared" si="2"/>
        <v>2.1706592904030764E-2</v>
      </c>
      <c r="J124" s="120">
        <f t="shared" si="3"/>
        <v>2.184115029848499E-4</v>
      </c>
      <c r="K124"/>
      <c r="M124" s="15"/>
      <c r="N124" s="15"/>
      <c r="O124" s="15"/>
      <c r="P124" s="15"/>
      <c r="Q124" s="15"/>
      <c r="R124" s="15"/>
      <c r="S124" s="15"/>
      <c r="T124" s="15"/>
      <c r="U124" s="15"/>
      <c r="V124" s="15"/>
      <c r="W124" s="15"/>
      <c r="X124" s="15"/>
    </row>
    <row r="125" spans="6:24" s="21" customFormat="1" ht="14.25" x14ac:dyDescent="0.45">
      <c r="F125" s="119">
        <v>43621</v>
      </c>
      <c r="G125" s="52">
        <v>265.89575200000002</v>
      </c>
      <c r="H125" s="52">
        <v>88.989104999999995</v>
      </c>
      <c r="I125" s="120">
        <f t="shared" si="2"/>
        <v>8.6621411697758166E-3</v>
      </c>
      <c r="J125" s="120">
        <f t="shared" si="3"/>
        <v>0</v>
      </c>
      <c r="K125"/>
      <c r="M125" s="15"/>
      <c r="N125" s="15"/>
      <c r="O125" s="15"/>
      <c r="P125" s="15"/>
      <c r="Q125" s="15"/>
      <c r="R125" s="15"/>
      <c r="S125" s="15"/>
      <c r="T125" s="15"/>
      <c r="U125" s="15"/>
      <c r="V125" s="15"/>
      <c r="W125" s="15"/>
      <c r="X125" s="15"/>
    </row>
    <row r="126" spans="6:24" s="21" customFormat="1" ht="14.25" x14ac:dyDescent="0.45">
      <c r="F126" s="119">
        <v>43622</v>
      </c>
      <c r="G126" s="52">
        <v>267.62481700000001</v>
      </c>
      <c r="H126" s="52">
        <v>89.018294999999995</v>
      </c>
      <c r="I126" s="120">
        <f t="shared" si="2"/>
        <v>6.5027928689886938E-3</v>
      </c>
      <c r="J126" s="120">
        <f t="shared" si="3"/>
        <v>3.2801768261414566E-4</v>
      </c>
      <c r="K126"/>
      <c r="M126" s="15"/>
      <c r="N126" s="15"/>
      <c r="O126" s="15"/>
      <c r="P126" s="15"/>
      <c r="Q126" s="15"/>
      <c r="R126" s="15"/>
      <c r="S126" s="15"/>
      <c r="T126" s="15"/>
      <c r="U126" s="15"/>
      <c r="V126" s="15"/>
      <c r="W126" s="15"/>
      <c r="X126" s="15"/>
    </row>
    <row r="127" spans="6:24" s="21" customFormat="1" ht="14.25" x14ac:dyDescent="0.45">
      <c r="F127" s="119">
        <v>43623</v>
      </c>
      <c r="G127" s="52">
        <v>270.30291699999998</v>
      </c>
      <c r="H127" s="52">
        <v>89.008567999999997</v>
      </c>
      <c r="I127" s="120">
        <f t="shared" si="2"/>
        <v>1.0006919500294309E-2</v>
      </c>
      <c r="J127" s="120">
        <f t="shared" si="3"/>
        <v>-1.0926967316093883E-4</v>
      </c>
      <c r="K127"/>
      <c r="M127" s="15"/>
      <c r="N127" s="15"/>
      <c r="O127" s="15"/>
      <c r="P127" s="15"/>
      <c r="Q127" s="15"/>
      <c r="R127" s="15"/>
      <c r="S127" s="15"/>
      <c r="T127" s="15"/>
      <c r="U127" s="15"/>
      <c r="V127" s="15"/>
      <c r="W127" s="15"/>
      <c r="X127" s="15"/>
    </row>
    <row r="128" spans="6:24" s="21" customFormat="1" ht="14.25" x14ac:dyDescent="0.45">
      <c r="F128" s="119">
        <v>43626</v>
      </c>
      <c r="G128" s="52">
        <v>271.54330399999998</v>
      </c>
      <c r="H128" s="52">
        <v>89.028037999999995</v>
      </c>
      <c r="I128" s="120">
        <f t="shared" si="2"/>
        <v>4.5888775961673289E-3</v>
      </c>
      <c r="J128" s="120">
        <f t="shared" si="3"/>
        <v>2.1874298663027147E-4</v>
      </c>
      <c r="K128"/>
      <c r="M128" s="15"/>
      <c r="N128" s="15"/>
      <c r="O128" s="15"/>
      <c r="P128" s="15"/>
      <c r="Q128" s="15"/>
      <c r="R128" s="15"/>
      <c r="S128" s="15"/>
      <c r="T128" s="15"/>
      <c r="U128" s="15"/>
      <c r="V128" s="15"/>
      <c r="W128" s="15"/>
      <c r="X128" s="15"/>
    </row>
    <row r="129" spans="6:24" s="21" customFormat="1" ht="14.25" x14ac:dyDescent="0.45">
      <c r="F129" s="119">
        <v>43627</v>
      </c>
      <c r="G129" s="52">
        <v>271.47757000000001</v>
      </c>
      <c r="H129" s="52">
        <v>89.018294999999995</v>
      </c>
      <c r="I129" s="120">
        <f t="shared" si="2"/>
        <v>-2.4207556964828125E-4</v>
      </c>
      <c r="J129" s="120">
        <f t="shared" si="3"/>
        <v>-1.0943743363189817E-4</v>
      </c>
      <c r="K129"/>
      <c r="M129" s="15"/>
      <c r="N129" s="15"/>
      <c r="O129" s="15"/>
      <c r="P129" s="15"/>
      <c r="Q129" s="15"/>
      <c r="R129" s="15"/>
      <c r="S129" s="15"/>
      <c r="T129" s="15"/>
      <c r="U129" s="15"/>
      <c r="V129" s="15"/>
      <c r="W129" s="15"/>
      <c r="X129" s="15"/>
    </row>
    <row r="130" spans="6:24" s="21" customFormat="1" ht="14.25" x14ac:dyDescent="0.45">
      <c r="F130" s="119">
        <v>43628</v>
      </c>
      <c r="G130" s="52">
        <v>270.99829099999999</v>
      </c>
      <c r="H130" s="52">
        <v>89.028037999999995</v>
      </c>
      <c r="I130" s="120">
        <f t="shared" si="2"/>
        <v>-1.7654460366652858E-3</v>
      </c>
      <c r="J130" s="120">
        <f t="shared" si="3"/>
        <v>1.0944941149459986E-4</v>
      </c>
      <c r="K130"/>
      <c r="M130" s="15"/>
      <c r="N130" s="15"/>
      <c r="O130" s="15"/>
      <c r="P130" s="15"/>
      <c r="Q130" s="15"/>
      <c r="R130" s="15"/>
      <c r="S130" s="15"/>
      <c r="T130" s="15"/>
      <c r="U130" s="15"/>
      <c r="V130" s="15"/>
      <c r="W130" s="15"/>
      <c r="X130" s="15"/>
    </row>
    <row r="131" spans="6:24" s="21" customFormat="1" ht="14.25" x14ac:dyDescent="0.45">
      <c r="F131" s="119">
        <v>43629</v>
      </c>
      <c r="G131" s="52">
        <v>272.11648600000001</v>
      </c>
      <c r="H131" s="52">
        <v>89.057243</v>
      </c>
      <c r="I131" s="120">
        <f t="shared" si="2"/>
        <v>4.1262068327951873E-3</v>
      </c>
      <c r="J131" s="120">
        <f t="shared" si="3"/>
        <v>3.2804272290043457E-4</v>
      </c>
      <c r="K131"/>
      <c r="M131" s="15"/>
      <c r="N131" s="15"/>
      <c r="O131" s="15"/>
      <c r="P131" s="15"/>
      <c r="Q131" s="15"/>
      <c r="R131" s="15"/>
      <c r="S131" s="15"/>
      <c r="T131" s="15"/>
      <c r="U131" s="15"/>
      <c r="V131" s="15"/>
      <c r="W131" s="15"/>
      <c r="X131" s="15"/>
    </row>
    <row r="132" spans="6:24" s="21" customFormat="1" ht="14.25" x14ac:dyDescent="0.45">
      <c r="F132" s="119">
        <v>43630</v>
      </c>
      <c r="G132" s="52">
        <v>271.81585699999999</v>
      </c>
      <c r="H132" s="52">
        <v>89.066940000000002</v>
      </c>
      <c r="I132" s="120">
        <f t="shared" si="2"/>
        <v>-1.1047805460784321E-3</v>
      </c>
      <c r="J132" s="120">
        <f t="shared" si="3"/>
        <v>1.0888502353489926E-4</v>
      </c>
      <c r="K132"/>
      <c r="M132" s="15"/>
      <c r="N132" s="15"/>
      <c r="O132" s="15"/>
      <c r="P132" s="15"/>
      <c r="Q132" s="15"/>
      <c r="R132" s="15"/>
      <c r="S132" s="15"/>
      <c r="T132" s="15"/>
      <c r="U132" s="15"/>
      <c r="V132" s="15"/>
      <c r="W132" s="15"/>
      <c r="X132" s="15"/>
    </row>
    <row r="133" spans="6:24" s="21" customFormat="1" ht="14.25" x14ac:dyDescent="0.45">
      <c r="F133" s="119">
        <v>43633</v>
      </c>
      <c r="G133" s="52">
        <v>271.91915899999998</v>
      </c>
      <c r="H133" s="52">
        <v>89.066940000000002</v>
      </c>
      <c r="I133" s="120">
        <f t="shared" si="2"/>
        <v>3.8004405313252221E-4</v>
      </c>
      <c r="J133" s="120">
        <f t="shared" si="3"/>
        <v>0</v>
      </c>
      <c r="K133"/>
      <c r="M133" s="15"/>
      <c r="N133" s="15"/>
      <c r="O133" s="15"/>
      <c r="P133" s="15"/>
      <c r="Q133" s="15"/>
      <c r="R133" s="15"/>
      <c r="S133" s="15"/>
      <c r="T133" s="15"/>
      <c r="U133" s="15"/>
      <c r="V133" s="15"/>
      <c r="W133" s="15"/>
      <c r="X133" s="15"/>
    </row>
    <row r="134" spans="6:24" s="21" customFormat="1" ht="14.25" x14ac:dyDescent="0.45">
      <c r="F134" s="119">
        <v>43634</v>
      </c>
      <c r="G134" s="52">
        <v>274.76641799999999</v>
      </c>
      <c r="H134" s="52">
        <v>89.066940000000002</v>
      </c>
      <c r="I134" s="120">
        <f t="shared" si="2"/>
        <v>1.0470976044758995E-2</v>
      </c>
      <c r="J134" s="120">
        <f t="shared" si="3"/>
        <v>0</v>
      </c>
      <c r="K134"/>
      <c r="M134" s="15"/>
      <c r="N134" s="15"/>
      <c r="O134" s="15"/>
      <c r="P134" s="15"/>
      <c r="Q134" s="15"/>
      <c r="R134" s="15"/>
      <c r="S134" s="15"/>
      <c r="T134" s="15"/>
      <c r="U134" s="15"/>
      <c r="V134" s="15"/>
      <c r="W134" s="15"/>
      <c r="X134" s="15"/>
    </row>
    <row r="135" spans="6:24" s="21" customFormat="1" ht="14.25" x14ac:dyDescent="0.45">
      <c r="F135" s="119">
        <v>43635</v>
      </c>
      <c r="G135" s="52">
        <v>275.38662699999998</v>
      </c>
      <c r="H135" s="52">
        <v>89.086417999999995</v>
      </c>
      <c r="I135" s="120">
        <f t="shared" si="2"/>
        <v>2.2572227148951463E-3</v>
      </c>
      <c r="J135" s="120">
        <f t="shared" si="3"/>
        <v>2.1868944863268069E-4</v>
      </c>
      <c r="K135"/>
      <c r="M135" s="15"/>
      <c r="N135" s="15"/>
      <c r="O135" s="15"/>
      <c r="P135" s="15"/>
      <c r="Q135" s="15"/>
      <c r="R135" s="15"/>
      <c r="S135" s="15"/>
      <c r="T135" s="15"/>
      <c r="U135" s="15"/>
      <c r="V135" s="15"/>
      <c r="W135" s="15"/>
      <c r="X135" s="15"/>
    </row>
    <row r="136" spans="6:24" s="21" customFormat="1" ht="14.25" x14ac:dyDescent="0.45">
      <c r="F136" s="119">
        <v>43636</v>
      </c>
      <c r="G136" s="52">
        <v>278.01776100000001</v>
      </c>
      <c r="H136" s="52">
        <v>89.096130000000002</v>
      </c>
      <c r="I136" s="120">
        <f t="shared" si="2"/>
        <v>9.5543274147442681E-3</v>
      </c>
      <c r="J136" s="120">
        <f t="shared" si="3"/>
        <v>1.0901774050453561E-4</v>
      </c>
      <c r="K136"/>
      <c r="M136" s="15"/>
      <c r="N136" s="15"/>
      <c r="O136" s="15"/>
      <c r="P136" s="15"/>
      <c r="Q136" s="15"/>
      <c r="R136" s="15"/>
      <c r="S136" s="15"/>
      <c r="T136" s="15"/>
      <c r="U136" s="15"/>
      <c r="V136" s="15"/>
      <c r="W136" s="15"/>
      <c r="X136" s="15"/>
    </row>
    <row r="137" spans="6:24" s="21" customFormat="1" ht="14.25" x14ac:dyDescent="0.45">
      <c r="F137" s="119">
        <v>43637</v>
      </c>
      <c r="G137" s="52">
        <v>277.61370799999997</v>
      </c>
      <c r="H137" s="52">
        <v>89.096130000000002</v>
      </c>
      <c r="I137" s="120">
        <f t="shared" si="2"/>
        <v>-1.4533352061634197E-3</v>
      </c>
      <c r="J137" s="120">
        <f t="shared" si="3"/>
        <v>0</v>
      </c>
      <c r="K137"/>
      <c r="M137" s="15"/>
      <c r="N137" s="15"/>
      <c r="O137" s="15"/>
      <c r="P137" s="15"/>
      <c r="Q137" s="15"/>
      <c r="R137" s="15"/>
      <c r="S137" s="15"/>
      <c r="T137" s="15"/>
      <c r="U137" s="15"/>
      <c r="V137" s="15"/>
      <c r="W137" s="15"/>
      <c r="X137" s="15"/>
    </row>
    <row r="138" spans="6:24" s="21" customFormat="1" ht="14.25" x14ac:dyDescent="0.45">
      <c r="F138" s="119">
        <v>43640</v>
      </c>
      <c r="G138" s="52">
        <v>277.27377300000001</v>
      </c>
      <c r="H138" s="52">
        <v>89.105864999999994</v>
      </c>
      <c r="I138" s="120">
        <f t="shared" si="2"/>
        <v>-1.2244892460424595E-3</v>
      </c>
      <c r="J138" s="120">
        <f t="shared" si="3"/>
        <v>1.0926400506949818E-4</v>
      </c>
      <c r="K138"/>
      <c r="M138" s="15"/>
      <c r="N138" s="15"/>
      <c r="O138" s="15"/>
      <c r="P138" s="15"/>
      <c r="Q138" s="15"/>
      <c r="R138" s="15"/>
      <c r="S138" s="15"/>
      <c r="T138" s="15"/>
      <c r="U138" s="15"/>
      <c r="V138" s="15"/>
      <c r="W138" s="15"/>
      <c r="X138" s="15"/>
    </row>
    <row r="139" spans="6:24" s="21" customFormat="1" ht="14.25" x14ac:dyDescent="0.45">
      <c r="F139" s="119">
        <v>43641</v>
      </c>
      <c r="G139" s="52">
        <v>274.55429099999998</v>
      </c>
      <c r="H139" s="52">
        <v>89.105864999999994</v>
      </c>
      <c r="I139" s="120">
        <f t="shared" si="2"/>
        <v>-9.8079308784824182E-3</v>
      </c>
      <c r="J139" s="120">
        <f t="shared" si="3"/>
        <v>0</v>
      </c>
      <c r="K139"/>
      <c r="M139" s="15"/>
      <c r="N139" s="15"/>
      <c r="O139" s="15"/>
      <c r="P139" s="15"/>
      <c r="Q139" s="15"/>
      <c r="R139" s="15"/>
      <c r="S139" s="15"/>
      <c r="T139" s="15"/>
      <c r="U139" s="15"/>
      <c r="V139" s="15"/>
      <c r="W139" s="15"/>
      <c r="X139" s="15"/>
    </row>
    <row r="140" spans="6:24" s="21" customFormat="1" ht="14.25" x14ac:dyDescent="0.45">
      <c r="F140" s="119">
        <v>43642</v>
      </c>
      <c r="G140" s="52">
        <v>274.28042599999998</v>
      </c>
      <c r="H140" s="52">
        <v>89.125327999999996</v>
      </c>
      <c r="I140" s="120">
        <f t="shared" si="2"/>
        <v>-9.9748941822219717E-4</v>
      </c>
      <c r="J140" s="120">
        <f t="shared" si="3"/>
        <v>2.1842557726148293E-4</v>
      </c>
      <c r="K140"/>
      <c r="M140" s="15"/>
      <c r="N140" s="15"/>
      <c r="O140" s="15"/>
      <c r="P140" s="15"/>
      <c r="Q140" s="15"/>
      <c r="R140" s="15"/>
      <c r="S140" s="15"/>
      <c r="T140" s="15"/>
      <c r="U140" s="15"/>
      <c r="V140" s="15"/>
      <c r="W140" s="15"/>
      <c r="X140" s="15"/>
    </row>
    <row r="141" spans="6:24" s="21" customFormat="1" ht="14.25" x14ac:dyDescent="0.45">
      <c r="F141" s="119">
        <v>43643</v>
      </c>
      <c r="G141" s="52">
        <v>275.25302099999999</v>
      </c>
      <c r="H141" s="52">
        <v>89.125327999999996</v>
      </c>
      <c r="I141" s="120">
        <f t="shared" si="2"/>
        <v>3.5459876382137878E-3</v>
      </c>
      <c r="J141" s="120">
        <f t="shared" si="3"/>
        <v>0</v>
      </c>
      <c r="K141"/>
      <c r="M141" s="15"/>
      <c r="N141" s="15"/>
      <c r="O141" s="15"/>
      <c r="P141" s="15"/>
      <c r="Q141" s="15"/>
      <c r="R141" s="15"/>
      <c r="S141" s="15"/>
      <c r="T141" s="15"/>
      <c r="U141" s="15"/>
      <c r="V141" s="15"/>
      <c r="W141" s="15"/>
      <c r="X141" s="15"/>
    </row>
    <row r="142" spans="6:24" s="21" customFormat="1" ht="14.25" x14ac:dyDescent="0.45">
      <c r="F142" s="119">
        <v>43644</v>
      </c>
      <c r="G142" s="52">
        <v>276.669464</v>
      </c>
      <c r="H142" s="52">
        <v>89.135047999999998</v>
      </c>
      <c r="I142" s="120">
        <f t="shared" si="2"/>
        <v>5.1459671354525671E-3</v>
      </c>
      <c r="J142" s="120">
        <f t="shared" si="3"/>
        <v>1.0905990719045633E-4</v>
      </c>
      <c r="K142"/>
      <c r="M142" s="15"/>
      <c r="N142" s="15"/>
      <c r="O142" s="15"/>
      <c r="P142" s="15"/>
      <c r="Q142" s="15"/>
      <c r="R142" s="15"/>
      <c r="S142" s="15"/>
      <c r="T142" s="15"/>
      <c r="U142" s="15"/>
      <c r="V142" s="15"/>
      <c r="W142" s="15"/>
      <c r="X142" s="15"/>
    </row>
    <row r="143" spans="6:24" s="21" customFormat="1" ht="14.25" x14ac:dyDescent="0.45">
      <c r="F143" s="119">
        <v>43647</v>
      </c>
      <c r="G143" s="52">
        <v>279.181152</v>
      </c>
      <c r="H143" s="52">
        <v>89.130211000000003</v>
      </c>
      <c r="I143" s="120">
        <f t="shared" si="2"/>
        <v>9.0782985721908904E-3</v>
      </c>
      <c r="J143" s="120">
        <f t="shared" si="3"/>
        <v>-5.4265971786926492E-5</v>
      </c>
      <c r="K143"/>
      <c r="M143" s="15"/>
      <c r="N143" s="15"/>
      <c r="O143" s="15"/>
      <c r="P143" s="15"/>
      <c r="Q143" s="15"/>
      <c r="R143" s="15"/>
      <c r="S143" s="15"/>
      <c r="T143" s="15"/>
      <c r="U143" s="15"/>
      <c r="V143" s="15"/>
      <c r="W143" s="15"/>
      <c r="X143" s="15"/>
    </row>
    <row r="144" spans="6:24" s="21" customFormat="1" ht="14.25" x14ac:dyDescent="0.45">
      <c r="F144" s="119">
        <v>43648</v>
      </c>
      <c r="G144" s="52">
        <v>279.90823399999999</v>
      </c>
      <c r="H144" s="52">
        <v>89.139938000000001</v>
      </c>
      <c r="I144" s="120">
        <f t="shared" si="2"/>
        <v>2.6043377025681824E-3</v>
      </c>
      <c r="J144" s="120">
        <f t="shared" si="3"/>
        <v>1.0913246912425123E-4</v>
      </c>
      <c r="K144"/>
      <c r="M144" s="15"/>
      <c r="N144" s="15"/>
      <c r="O144" s="15"/>
      <c r="P144" s="15"/>
      <c r="Q144" s="15"/>
      <c r="R144" s="15"/>
      <c r="S144" s="15"/>
      <c r="T144" s="15"/>
      <c r="U144" s="15"/>
      <c r="V144" s="15"/>
      <c r="W144" s="15"/>
      <c r="X144" s="15"/>
    </row>
    <row r="145" spans="6:24" s="21" customFormat="1" ht="14.25" x14ac:dyDescent="0.45">
      <c r="F145" s="119">
        <v>43649</v>
      </c>
      <c r="G145" s="52">
        <v>282.14605699999998</v>
      </c>
      <c r="H145" s="52">
        <v>89.169182000000006</v>
      </c>
      <c r="I145" s="120">
        <f t="shared" si="2"/>
        <v>7.9948451963010037E-3</v>
      </c>
      <c r="J145" s="120">
        <f t="shared" si="3"/>
        <v>3.2806843549759712E-4</v>
      </c>
      <c r="K145"/>
      <c r="M145" s="15"/>
      <c r="N145" s="15"/>
      <c r="O145" s="15"/>
      <c r="P145" s="15"/>
      <c r="Q145" s="15"/>
      <c r="R145" s="15"/>
      <c r="S145" s="15"/>
      <c r="T145" s="15"/>
      <c r="U145" s="15"/>
      <c r="V145" s="15"/>
      <c r="W145" s="15"/>
      <c r="X145" s="15"/>
    </row>
    <row r="146" spans="6:24" s="21" customFormat="1" ht="14.25" x14ac:dyDescent="0.45">
      <c r="F146" s="119">
        <v>43651</v>
      </c>
      <c r="G146" s="52">
        <v>281.82510400000001</v>
      </c>
      <c r="H146" s="52">
        <v>89.159415999999993</v>
      </c>
      <c r="I146" s="120">
        <f t="shared" si="2"/>
        <v>-1.1375420355421717E-3</v>
      </c>
      <c r="J146" s="120">
        <f t="shared" si="3"/>
        <v>-1.0952214409698513E-4</v>
      </c>
      <c r="K146"/>
      <c r="M146" s="15"/>
      <c r="N146" s="15"/>
      <c r="O146" s="15"/>
      <c r="P146" s="15"/>
      <c r="Q146" s="15"/>
      <c r="R146" s="15"/>
      <c r="S146" s="15"/>
      <c r="T146" s="15"/>
      <c r="U146" s="15"/>
      <c r="V146" s="15"/>
      <c r="W146" s="15"/>
      <c r="X146" s="15"/>
    </row>
    <row r="147" spans="6:24" s="21" customFormat="1" ht="14.25" x14ac:dyDescent="0.45">
      <c r="F147" s="119">
        <v>43654</v>
      </c>
      <c r="G147" s="52">
        <v>280.27648900000003</v>
      </c>
      <c r="H147" s="52">
        <v>89.159415999999993</v>
      </c>
      <c r="I147" s="120">
        <f t="shared" si="2"/>
        <v>-5.4949505137057431E-3</v>
      </c>
      <c r="J147" s="120">
        <f t="shared" si="3"/>
        <v>0</v>
      </c>
      <c r="K147"/>
      <c r="M147" s="15"/>
      <c r="N147" s="15"/>
      <c r="O147" s="15"/>
      <c r="P147" s="15"/>
      <c r="Q147" s="15"/>
      <c r="R147" s="15"/>
      <c r="S147" s="15"/>
      <c r="T147" s="15"/>
      <c r="U147" s="15"/>
      <c r="V147" s="15"/>
      <c r="W147" s="15"/>
      <c r="X147" s="15"/>
    </row>
    <row r="148" spans="6:24" s="21" customFormat="1" ht="14.25" x14ac:dyDescent="0.45">
      <c r="F148" s="119">
        <v>43655</v>
      </c>
      <c r="G148" s="52">
        <v>280.625854</v>
      </c>
      <c r="H148" s="52">
        <v>89.169182000000006</v>
      </c>
      <c r="I148" s="120">
        <f t="shared" ref="I148:I211" si="4">G148/G147-1</f>
        <v>1.2465012718207991E-3</v>
      </c>
      <c r="J148" s="120">
        <f t="shared" ref="J148:J211" si="5">H148/H147-1</f>
        <v>1.0953414051084742E-4</v>
      </c>
      <c r="K148"/>
      <c r="M148" s="15"/>
      <c r="N148" s="15"/>
      <c r="O148" s="15"/>
      <c r="P148" s="15"/>
      <c r="Q148" s="15"/>
      <c r="R148" s="15"/>
      <c r="S148" s="15"/>
      <c r="T148" s="15"/>
      <c r="U148" s="15"/>
      <c r="V148" s="15"/>
      <c r="W148" s="15"/>
      <c r="X148" s="15"/>
    </row>
    <row r="149" spans="6:24" s="21" customFormat="1" ht="14.25" x14ac:dyDescent="0.45">
      <c r="F149" s="119">
        <v>43656</v>
      </c>
      <c r="G149" s="52">
        <v>281.96673600000003</v>
      </c>
      <c r="H149" s="52">
        <v>89.178932000000003</v>
      </c>
      <c r="I149" s="120">
        <f t="shared" si="4"/>
        <v>4.7781841226932631E-3</v>
      </c>
      <c r="J149" s="120">
        <f t="shared" si="5"/>
        <v>1.0934270990614614E-4</v>
      </c>
      <c r="K149"/>
      <c r="M149" s="15"/>
      <c r="N149" s="15"/>
      <c r="O149" s="15"/>
      <c r="P149" s="15"/>
      <c r="Q149" s="15"/>
      <c r="R149" s="15"/>
      <c r="S149" s="15"/>
      <c r="T149" s="15"/>
      <c r="U149" s="15"/>
      <c r="V149" s="15"/>
      <c r="W149" s="15"/>
      <c r="X149" s="15"/>
    </row>
    <row r="150" spans="6:24" s="21" customFormat="1" ht="14.25" x14ac:dyDescent="0.45">
      <c r="F150" s="119">
        <v>43657</v>
      </c>
      <c r="G150" s="52">
        <v>282.627655</v>
      </c>
      <c r="H150" s="52">
        <v>89.198409999999996</v>
      </c>
      <c r="I150" s="120">
        <f t="shared" si="4"/>
        <v>2.3439608848043747E-3</v>
      </c>
      <c r="J150" s="120">
        <f t="shared" si="5"/>
        <v>2.1841481573248167E-4</v>
      </c>
      <c r="K150"/>
      <c r="M150" s="15"/>
      <c r="N150" s="15"/>
      <c r="O150" s="15"/>
      <c r="P150" s="15"/>
      <c r="Q150" s="15"/>
      <c r="R150" s="15"/>
      <c r="S150" s="15"/>
      <c r="T150" s="15"/>
      <c r="U150" s="15"/>
      <c r="V150" s="15"/>
      <c r="W150" s="15"/>
      <c r="X150" s="15"/>
    </row>
    <row r="151" spans="6:24" s="21" customFormat="1" ht="14.25" x14ac:dyDescent="0.45">
      <c r="F151" s="119">
        <v>43658</v>
      </c>
      <c r="G151" s="52">
        <v>283.89306599999998</v>
      </c>
      <c r="H151" s="52">
        <v>89.208175999999995</v>
      </c>
      <c r="I151" s="120">
        <f t="shared" si="4"/>
        <v>4.477307785043072E-3</v>
      </c>
      <c r="J151" s="120">
        <f t="shared" si="5"/>
        <v>1.0948625653761646E-4</v>
      </c>
      <c r="K151"/>
      <c r="M151" s="15"/>
      <c r="N151" s="15"/>
      <c r="O151" s="15"/>
      <c r="P151" s="15"/>
      <c r="Q151" s="15"/>
      <c r="R151" s="15"/>
      <c r="S151" s="15"/>
      <c r="T151" s="15"/>
      <c r="U151" s="15"/>
      <c r="V151" s="15"/>
      <c r="W151" s="15"/>
      <c r="X151" s="15"/>
    </row>
    <row r="152" spans="6:24" s="21" customFormat="1" ht="14.25" x14ac:dyDescent="0.45">
      <c r="F152" s="119">
        <v>43661</v>
      </c>
      <c r="G152" s="52">
        <v>283.98748799999998</v>
      </c>
      <c r="H152" s="52">
        <v>89.208175999999995</v>
      </c>
      <c r="I152" s="120">
        <f t="shared" si="4"/>
        <v>3.3259706314914261E-4</v>
      </c>
      <c r="J152" s="120">
        <f t="shared" si="5"/>
        <v>0</v>
      </c>
      <c r="K152"/>
      <c r="M152" s="15"/>
      <c r="N152" s="15"/>
      <c r="O152" s="15"/>
      <c r="P152" s="15"/>
      <c r="Q152" s="15"/>
      <c r="R152" s="15"/>
      <c r="S152" s="15"/>
      <c r="T152" s="15"/>
      <c r="U152" s="15"/>
      <c r="V152" s="15"/>
      <c r="W152" s="15"/>
      <c r="X152" s="15"/>
    </row>
    <row r="153" spans="6:24" s="21" customFormat="1" ht="14.25" x14ac:dyDescent="0.45">
      <c r="F153" s="119">
        <v>43662</v>
      </c>
      <c r="G153" s="52">
        <v>283.07153299999999</v>
      </c>
      <c r="H153" s="52">
        <v>89.217934</v>
      </c>
      <c r="I153" s="120">
        <f t="shared" si="4"/>
        <v>-3.2253357584542952E-3</v>
      </c>
      <c r="J153" s="120">
        <f t="shared" si="5"/>
        <v>1.0938459273068801E-4</v>
      </c>
      <c r="K153"/>
      <c r="M153" s="15"/>
      <c r="N153" s="15"/>
      <c r="O153" s="15"/>
      <c r="P153" s="15"/>
      <c r="Q153" s="15"/>
      <c r="R153" s="15"/>
      <c r="S153" s="15"/>
      <c r="T153" s="15"/>
      <c r="U153" s="15"/>
      <c r="V153" s="15"/>
      <c r="W153" s="15"/>
      <c r="X153" s="15"/>
    </row>
    <row r="154" spans="6:24" s="21" customFormat="1" ht="14.25" x14ac:dyDescent="0.45">
      <c r="F154" s="119">
        <v>43663</v>
      </c>
      <c r="G154" s="52">
        <v>281.14520299999998</v>
      </c>
      <c r="H154" s="52">
        <v>89.217934</v>
      </c>
      <c r="I154" s="120">
        <f t="shared" si="4"/>
        <v>-6.8050996848206813E-3</v>
      </c>
      <c r="J154" s="120">
        <f t="shared" si="5"/>
        <v>0</v>
      </c>
      <c r="K154"/>
      <c r="M154" s="15"/>
      <c r="N154" s="15"/>
      <c r="O154" s="15"/>
      <c r="P154" s="15"/>
      <c r="Q154" s="15"/>
      <c r="R154" s="15"/>
      <c r="S154" s="15"/>
      <c r="T154" s="15"/>
      <c r="U154" s="15"/>
      <c r="V154" s="15"/>
      <c r="W154" s="15"/>
      <c r="X154" s="15"/>
    </row>
    <row r="155" spans="6:24" s="21" customFormat="1" ht="14.25" x14ac:dyDescent="0.45">
      <c r="F155" s="119">
        <v>43664</v>
      </c>
      <c r="G155" s="52">
        <v>282.17446899999999</v>
      </c>
      <c r="H155" s="52">
        <v>89.247153999999995</v>
      </c>
      <c r="I155" s="120">
        <f t="shared" si="4"/>
        <v>3.6609765666177907E-3</v>
      </c>
      <c r="J155" s="120">
        <f t="shared" si="5"/>
        <v>3.2751262767405365E-4</v>
      </c>
      <c r="K155"/>
      <c r="M155" s="15"/>
      <c r="N155" s="15"/>
      <c r="O155" s="15"/>
      <c r="P155" s="15"/>
      <c r="Q155" s="15"/>
      <c r="R155" s="15"/>
      <c r="S155" s="15"/>
      <c r="T155" s="15"/>
      <c r="U155" s="15"/>
      <c r="V155" s="15"/>
      <c r="W155" s="15"/>
      <c r="X155" s="15"/>
    </row>
    <row r="156" spans="6:24" s="21" customFormat="1" ht="14.25" x14ac:dyDescent="0.45">
      <c r="F156" s="119">
        <v>43665</v>
      </c>
      <c r="G156" s="52">
        <v>280.60699499999998</v>
      </c>
      <c r="H156" s="52">
        <v>89.247153999999995</v>
      </c>
      <c r="I156" s="120">
        <f t="shared" si="4"/>
        <v>-5.5549816592371792E-3</v>
      </c>
      <c r="J156" s="120">
        <f t="shared" si="5"/>
        <v>0</v>
      </c>
      <c r="K156"/>
      <c r="M156" s="15"/>
      <c r="N156" s="15"/>
      <c r="O156" s="15"/>
      <c r="P156" s="15"/>
      <c r="Q156" s="15"/>
      <c r="R156" s="15"/>
      <c r="S156" s="15"/>
      <c r="T156" s="15"/>
      <c r="U156" s="15"/>
      <c r="V156" s="15"/>
      <c r="W156" s="15"/>
      <c r="X156" s="15"/>
    </row>
    <row r="157" spans="6:24" s="21" customFormat="1" ht="14.25" x14ac:dyDescent="0.45">
      <c r="F157" s="119">
        <v>43668</v>
      </c>
      <c r="G157" s="52">
        <v>281.29629499999999</v>
      </c>
      <c r="H157" s="52">
        <v>89.247153999999995</v>
      </c>
      <c r="I157" s="120">
        <f t="shared" si="4"/>
        <v>2.4564605027042052E-3</v>
      </c>
      <c r="J157" s="120">
        <f t="shared" si="5"/>
        <v>0</v>
      </c>
      <c r="K157"/>
      <c r="M157" s="15"/>
      <c r="N157" s="15"/>
      <c r="O157" s="15"/>
      <c r="P157" s="15"/>
      <c r="Q157" s="15"/>
      <c r="R157" s="15"/>
      <c r="S157" s="15"/>
      <c r="T157" s="15"/>
      <c r="U157" s="15"/>
      <c r="V157" s="15"/>
      <c r="W157" s="15"/>
      <c r="X157" s="15"/>
    </row>
    <row r="158" spans="6:24" s="21" customFormat="1" ht="14.25" x14ac:dyDescent="0.45">
      <c r="F158" s="119">
        <v>43669</v>
      </c>
      <c r="G158" s="52">
        <v>283.30755599999998</v>
      </c>
      <c r="H158" s="52">
        <v>89.237426999999997</v>
      </c>
      <c r="I158" s="120">
        <f t="shared" si="4"/>
        <v>7.149973304838575E-3</v>
      </c>
      <c r="J158" s="120">
        <f t="shared" si="5"/>
        <v>-1.0898946984905233E-4</v>
      </c>
      <c r="K158"/>
      <c r="M158" s="15"/>
      <c r="N158" s="15"/>
      <c r="O158" s="15"/>
      <c r="P158" s="15"/>
      <c r="Q158" s="15"/>
      <c r="R158" s="15"/>
      <c r="S158" s="15"/>
      <c r="T158" s="15"/>
      <c r="U158" s="15"/>
      <c r="V158" s="15"/>
      <c r="W158" s="15"/>
      <c r="X158" s="15"/>
    </row>
    <row r="159" spans="6:24" s="21" customFormat="1" ht="14.25" x14ac:dyDescent="0.45">
      <c r="F159" s="119">
        <v>43670</v>
      </c>
      <c r="G159" s="52">
        <v>284.63897700000001</v>
      </c>
      <c r="H159" s="52">
        <v>89.256889000000001</v>
      </c>
      <c r="I159" s="120">
        <f t="shared" si="4"/>
        <v>4.6995605016622033E-3</v>
      </c>
      <c r="J159" s="120">
        <f t="shared" si="5"/>
        <v>2.1809234818026546E-4</v>
      </c>
      <c r="K159"/>
      <c r="M159" s="15"/>
      <c r="N159" s="15"/>
      <c r="O159" s="15"/>
      <c r="P159" s="15"/>
      <c r="Q159" s="15"/>
      <c r="R159" s="15"/>
      <c r="S159" s="15"/>
      <c r="T159" s="15"/>
      <c r="U159" s="15"/>
      <c r="V159" s="15"/>
      <c r="W159" s="15"/>
      <c r="X159" s="15"/>
    </row>
    <row r="160" spans="6:24" s="21" customFormat="1" ht="14.25" x14ac:dyDescent="0.45">
      <c r="F160" s="119">
        <v>43671</v>
      </c>
      <c r="G160" s="52">
        <v>283.27926600000001</v>
      </c>
      <c r="H160" s="52">
        <v>89.276381999999998</v>
      </c>
      <c r="I160" s="120">
        <f t="shared" si="4"/>
        <v>-4.7769669998497521E-3</v>
      </c>
      <c r="J160" s="120">
        <f t="shared" si="5"/>
        <v>2.1839210640650641E-4</v>
      </c>
      <c r="K160"/>
      <c r="M160" s="15"/>
      <c r="N160" s="15"/>
      <c r="O160" s="15"/>
      <c r="P160" s="15"/>
      <c r="Q160" s="15"/>
      <c r="R160" s="15"/>
      <c r="S160" s="15"/>
      <c r="T160" s="15"/>
      <c r="U160" s="15"/>
      <c r="V160" s="15"/>
      <c r="W160" s="15"/>
      <c r="X160" s="15"/>
    </row>
    <row r="161" spans="6:24" s="21" customFormat="1" ht="14.25" x14ac:dyDescent="0.45">
      <c r="F161" s="119">
        <v>43672</v>
      </c>
      <c r="G161" s="52">
        <v>285.17721599999999</v>
      </c>
      <c r="H161" s="52">
        <v>89.266655</v>
      </c>
      <c r="I161" s="120">
        <f t="shared" si="4"/>
        <v>6.6999255780335609E-3</v>
      </c>
      <c r="J161" s="120">
        <f t="shared" si="5"/>
        <v>-1.0895378802422417E-4</v>
      </c>
      <c r="K161"/>
      <c r="M161" s="15"/>
      <c r="N161" s="15"/>
      <c r="O161" s="15"/>
      <c r="P161" s="15"/>
      <c r="Q161" s="15"/>
      <c r="R161" s="15"/>
      <c r="S161" s="15"/>
      <c r="T161" s="15"/>
      <c r="U161" s="15"/>
      <c r="V161" s="15"/>
      <c r="W161" s="15"/>
      <c r="X161" s="15"/>
    </row>
    <row r="162" spans="6:24" s="21" customFormat="1" ht="14.25" x14ac:dyDescent="0.45">
      <c r="F162" s="119">
        <v>43675</v>
      </c>
      <c r="G162" s="52">
        <v>284.65789799999999</v>
      </c>
      <c r="H162" s="52">
        <v>89.286140000000003</v>
      </c>
      <c r="I162" s="120">
        <f t="shared" si="4"/>
        <v>-1.8210360816482973E-3</v>
      </c>
      <c r="J162" s="120">
        <f t="shared" si="5"/>
        <v>2.1827859462186794E-4</v>
      </c>
      <c r="K162"/>
      <c r="M162" s="15"/>
      <c r="N162" s="15"/>
      <c r="O162" s="15"/>
      <c r="P162" s="15"/>
      <c r="Q162" s="15"/>
      <c r="R162" s="15"/>
      <c r="S162" s="15"/>
      <c r="T162" s="15"/>
      <c r="U162" s="15"/>
      <c r="V162" s="15"/>
      <c r="W162" s="15"/>
      <c r="X162" s="15"/>
    </row>
    <row r="163" spans="6:24" s="21" customFormat="1" ht="14.25" x14ac:dyDescent="0.45">
      <c r="F163" s="119">
        <v>43676</v>
      </c>
      <c r="G163" s="52">
        <v>283.959137</v>
      </c>
      <c r="H163" s="52">
        <v>89.286140000000003</v>
      </c>
      <c r="I163" s="120">
        <f t="shared" si="4"/>
        <v>-2.4547395484526557E-3</v>
      </c>
      <c r="J163" s="120">
        <f t="shared" si="5"/>
        <v>0</v>
      </c>
      <c r="K163"/>
      <c r="M163" s="15"/>
      <c r="N163" s="15"/>
      <c r="O163" s="15"/>
      <c r="P163" s="15"/>
      <c r="Q163" s="15"/>
      <c r="R163" s="15"/>
      <c r="S163" s="15"/>
      <c r="T163" s="15"/>
      <c r="U163" s="15"/>
      <c r="V163" s="15"/>
      <c r="W163" s="15"/>
      <c r="X163" s="15"/>
    </row>
    <row r="164" spans="6:24" s="21" customFormat="1" ht="14.25" x14ac:dyDescent="0.45">
      <c r="F164" s="119">
        <v>43677</v>
      </c>
      <c r="G164" s="52">
        <v>280.852509</v>
      </c>
      <c r="H164" s="52">
        <v>89.295876000000007</v>
      </c>
      <c r="I164" s="120">
        <f t="shared" si="4"/>
        <v>-1.0940405133010422E-2</v>
      </c>
      <c r="J164" s="120">
        <f t="shared" si="5"/>
        <v>1.0904268008449236E-4</v>
      </c>
      <c r="K164"/>
      <c r="M164" s="15"/>
      <c r="N164" s="15"/>
      <c r="O164" s="15"/>
      <c r="P164" s="15"/>
      <c r="Q164" s="15"/>
      <c r="R164" s="15"/>
      <c r="S164" s="15"/>
      <c r="T164" s="15"/>
      <c r="U164" s="15"/>
      <c r="V164" s="15"/>
      <c r="W164" s="15"/>
      <c r="X164" s="15"/>
    </row>
    <row r="165" spans="6:24" s="21" customFormat="1" ht="14.25" x14ac:dyDescent="0.45">
      <c r="F165" s="119">
        <v>43678</v>
      </c>
      <c r="G165" s="52">
        <v>278.40683000000001</v>
      </c>
      <c r="H165" s="52">
        <v>89.320312999999999</v>
      </c>
      <c r="I165" s="120">
        <f t="shared" si="4"/>
        <v>-8.7080546608183651E-3</v>
      </c>
      <c r="J165" s="120">
        <f t="shared" si="5"/>
        <v>2.7366325405653313E-4</v>
      </c>
      <c r="K165"/>
      <c r="M165" s="15"/>
      <c r="N165" s="15"/>
      <c r="O165" s="15"/>
      <c r="P165" s="15"/>
      <c r="Q165" s="15"/>
      <c r="R165" s="15"/>
      <c r="S165" s="15"/>
      <c r="T165" s="15"/>
      <c r="U165" s="15"/>
      <c r="V165" s="15"/>
      <c r="W165" s="15"/>
      <c r="X165" s="15"/>
    </row>
    <row r="166" spans="6:24" s="21" customFormat="1" ht="14.25" x14ac:dyDescent="0.45">
      <c r="F166" s="119">
        <v>43679</v>
      </c>
      <c r="G166" s="52">
        <v>276.31057700000002</v>
      </c>
      <c r="H166" s="52">
        <v>89.320312999999999</v>
      </c>
      <c r="I166" s="120">
        <f t="shared" si="4"/>
        <v>-7.5294596759712951E-3</v>
      </c>
      <c r="J166" s="120">
        <f t="shared" si="5"/>
        <v>0</v>
      </c>
      <c r="K166"/>
      <c r="M166" s="15"/>
      <c r="N166" s="15"/>
      <c r="O166" s="15"/>
      <c r="P166" s="15"/>
      <c r="Q166" s="15"/>
      <c r="R166" s="15"/>
      <c r="S166" s="15"/>
      <c r="T166" s="15"/>
      <c r="U166" s="15"/>
      <c r="V166" s="15"/>
      <c r="W166" s="15"/>
      <c r="X166" s="15"/>
    </row>
    <row r="167" spans="6:24" s="21" customFormat="1" ht="14.25" x14ac:dyDescent="0.45">
      <c r="F167" s="119">
        <v>43682</v>
      </c>
      <c r="G167" s="52">
        <v>268.00100700000002</v>
      </c>
      <c r="H167" s="52">
        <v>89.310531999999995</v>
      </c>
      <c r="I167" s="120">
        <f t="shared" si="4"/>
        <v>-3.0073296832209273E-2</v>
      </c>
      <c r="J167" s="120">
        <f t="shared" si="5"/>
        <v>-1.0950476628990291E-4</v>
      </c>
      <c r="K167"/>
      <c r="M167" s="15"/>
      <c r="N167" s="15"/>
      <c r="O167" s="15"/>
      <c r="P167" s="15"/>
      <c r="Q167" s="15"/>
      <c r="R167" s="15"/>
      <c r="S167" s="15"/>
      <c r="T167" s="15"/>
      <c r="U167" s="15"/>
      <c r="V167" s="15"/>
      <c r="W167" s="15"/>
      <c r="X167" s="15"/>
    </row>
    <row r="168" spans="6:24" s="21" customFormat="1" ht="14.25" x14ac:dyDescent="0.45">
      <c r="F168" s="119">
        <v>43683</v>
      </c>
      <c r="G168" s="52">
        <v>271.75924700000002</v>
      </c>
      <c r="H168" s="52">
        <v>89.320312999999999</v>
      </c>
      <c r="I168" s="120">
        <f t="shared" si="4"/>
        <v>1.4023230890322758E-2</v>
      </c>
      <c r="J168" s="120">
        <f t="shared" si="5"/>
        <v>1.0951675889692147E-4</v>
      </c>
      <c r="K168"/>
      <c r="M168" s="15"/>
      <c r="N168" s="15"/>
      <c r="O168" s="15"/>
      <c r="P168" s="15"/>
      <c r="Q168" s="15"/>
      <c r="R168" s="15"/>
      <c r="S168" s="15"/>
      <c r="T168" s="15"/>
      <c r="U168" s="15"/>
      <c r="V168" s="15"/>
      <c r="W168" s="15"/>
      <c r="X168" s="15"/>
    </row>
    <row r="169" spans="6:24" s="21" customFormat="1" ht="14.25" x14ac:dyDescent="0.45">
      <c r="F169" s="119">
        <v>43684</v>
      </c>
      <c r="G169" s="52">
        <v>271.91970800000001</v>
      </c>
      <c r="H169" s="52">
        <v>89.339827999999997</v>
      </c>
      <c r="I169" s="120">
        <f t="shared" si="4"/>
        <v>5.9045276939562186E-4</v>
      </c>
      <c r="J169" s="120">
        <f t="shared" si="5"/>
        <v>2.1848333648355478E-4</v>
      </c>
      <c r="K169"/>
      <c r="M169" s="15"/>
      <c r="N169" s="15"/>
      <c r="O169" s="15"/>
      <c r="P169" s="15"/>
      <c r="Q169" s="15"/>
      <c r="R169" s="15"/>
      <c r="S169" s="15"/>
      <c r="T169" s="15"/>
      <c r="U169" s="15"/>
      <c r="V169" s="15"/>
      <c r="W169" s="15"/>
      <c r="X169" s="15"/>
    </row>
    <row r="170" spans="6:24" s="21" customFormat="1" ht="14.25" x14ac:dyDescent="0.45">
      <c r="F170" s="119">
        <v>43685</v>
      </c>
      <c r="G170" s="52">
        <v>277.25491299999999</v>
      </c>
      <c r="H170" s="52">
        <v>89.349586000000002</v>
      </c>
      <c r="I170" s="120">
        <f t="shared" si="4"/>
        <v>1.9620516067926808E-2</v>
      </c>
      <c r="J170" s="120">
        <f t="shared" si="5"/>
        <v>1.0922340257923935E-4</v>
      </c>
      <c r="K170"/>
      <c r="M170" s="15"/>
      <c r="N170" s="15"/>
      <c r="O170" s="15"/>
      <c r="P170" s="15"/>
      <c r="Q170" s="15"/>
      <c r="R170" s="15"/>
      <c r="S170" s="15"/>
      <c r="T170" s="15"/>
      <c r="U170" s="15"/>
      <c r="V170" s="15"/>
      <c r="W170" s="15"/>
      <c r="X170" s="15"/>
    </row>
    <row r="171" spans="6:24" s="21" customFormat="1" ht="14.25" x14ac:dyDescent="0.45">
      <c r="F171" s="119">
        <v>43686</v>
      </c>
      <c r="G171" s="52">
        <v>275.366333</v>
      </c>
      <c r="H171" s="52">
        <v>89.339827999999997</v>
      </c>
      <c r="I171" s="120">
        <f t="shared" si="4"/>
        <v>-6.8117097712169228E-3</v>
      </c>
      <c r="J171" s="120">
        <f t="shared" si="5"/>
        <v>-1.0921147413045507E-4</v>
      </c>
      <c r="K171"/>
      <c r="M171" s="15"/>
      <c r="N171" s="15"/>
      <c r="O171" s="15"/>
      <c r="P171" s="15"/>
      <c r="Q171" s="15"/>
      <c r="R171" s="15"/>
      <c r="S171" s="15"/>
      <c r="T171" s="15"/>
      <c r="U171" s="15"/>
      <c r="V171" s="15"/>
      <c r="W171" s="15"/>
      <c r="X171" s="15"/>
    </row>
    <row r="172" spans="6:24" s="21" customFormat="1" ht="14.25" x14ac:dyDescent="0.45">
      <c r="F172" s="119">
        <v>43689</v>
      </c>
      <c r="G172" s="52">
        <v>272.01416</v>
      </c>
      <c r="H172" s="52">
        <v>89.359367000000006</v>
      </c>
      <c r="I172" s="120">
        <f t="shared" si="4"/>
        <v>-1.2173503432607369E-2</v>
      </c>
      <c r="J172" s="120">
        <f t="shared" si="5"/>
        <v>2.1870424912839859E-4</v>
      </c>
      <c r="K172"/>
      <c r="M172" s="15"/>
      <c r="N172" s="15"/>
      <c r="O172" s="15"/>
      <c r="P172" s="15"/>
      <c r="Q172" s="15"/>
      <c r="R172" s="15"/>
      <c r="S172" s="15"/>
      <c r="T172" s="15"/>
      <c r="U172" s="15"/>
      <c r="V172" s="15"/>
      <c r="W172" s="15"/>
      <c r="X172" s="15"/>
    </row>
    <row r="173" spans="6:24" s="21" customFormat="1" ht="14.25" x14ac:dyDescent="0.45">
      <c r="F173" s="119">
        <v>43690</v>
      </c>
      <c r="G173" s="52">
        <v>276.244415</v>
      </c>
      <c r="H173" s="52">
        <v>89.369140999999999</v>
      </c>
      <c r="I173" s="120">
        <f t="shared" si="4"/>
        <v>1.5551598490313845E-2</v>
      </c>
      <c r="J173" s="120">
        <f t="shared" si="5"/>
        <v>1.0937857247794724E-4</v>
      </c>
      <c r="K173"/>
      <c r="M173" s="15"/>
      <c r="N173" s="15"/>
      <c r="O173" s="15"/>
      <c r="P173" s="15"/>
      <c r="Q173" s="15"/>
      <c r="R173" s="15"/>
      <c r="S173" s="15"/>
      <c r="T173" s="15"/>
      <c r="U173" s="15"/>
      <c r="V173" s="15"/>
      <c r="W173" s="15"/>
      <c r="X173" s="15"/>
    </row>
    <row r="174" spans="6:24" s="21" customFormat="1" ht="14.25" x14ac:dyDescent="0.45">
      <c r="F174" s="119">
        <v>43691</v>
      </c>
      <c r="G174" s="52">
        <v>268.07656900000001</v>
      </c>
      <c r="H174" s="52">
        <v>89.359367000000006</v>
      </c>
      <c r="I174" s="120">
        <f t="shared" si="4"/>
        <v>-2.956746111953068E-2</v>
      </c>
      <c r="J174" s="120">
        <f t="shared" si="5"/>
        <v>-1.0936661011429205E-4</v>
      </c>
      <c r="K174"/>
      <c r="M174" s="15"/>
      <c r="N174" s="15"/>
      <c r="O174" s="15"/>
      <c r="P174" s="15"/>
      <c r="Q174" s="15"/>
      <c r="R174" s="15"/>
      <c r="S174" s="15"/>
      <c r="T174" s="15"/>
      <c r="U174" s="15"/>
      <c r="V174" s="15"/>
      <c r="W174" s="15"/>
      <c r="X174" s="15"/>
    </row>
    <row r="175" spans="6:24" s="21" customFormat="1" ht="14.25" x14ac:dyDescent="0.45">
      <c r="F175" s="119">
        <v>43692</v>
      </c>
      <c r="G175" s="52">
        <v>268.78478999999999</v>
      </c>
      <c r="H175" s="52">
        <v>89.398398999999998</v>
      </c>
      <c r="I175" s="120">
        <f t="shared" si="4"/>
        <v>2.6418608781879627E-3</v>
      </c>
      <c r="J175" s="120">
        <f t="shared" si="5"/>
        <v>4.3679808072050186E-4</v>
      </c>
      <c r="K175"/>
      <c r="M175" s="15"/>
      <c r="N175" s="15"/>
      <c r="O175" s="15"/>
      <c r="P175" s="15"/>
      <c r="Q175" s="15"/>
      <c r="R175" s="15"/>
      <c r="S175" s="15"/>
      <c r="T175" s="15"/>
      <c r="U175" s="15"/>
      <c r="V175" s="15"/>
      <c r="W175" s="15"/>
      <c r="X175" s="15"/>
    </row>
    <row r="176" spans="6:24" s="21" customFormat="1" ht="14.25" x14ac:dyDescent="0.45">
      <c r="F176" s="119">
        <v>43693</v>
      </c>
      <c r="G176" s="52">
        <v>272.75070199999999</v>
      </c>
      <c r="H176" s="52">
        <v>89.388656999999995</v>
      </c>
      <c r="I176" s="120">
        <f t="shared" si="4"/>
        <v>1.4754971812207085E-2</v>
      </c>
      <c r="J176" s="120">
        <f t="shared" si="5"/>
        <v>-1.089728687423408E-4</v>
      </c>
      <c r="K176"/>
      <c r="M176" s="15"/>
      <c r="N176" s="15"/>
      <c r="O176" s="15"/>
      <c r="P176" s="15"/>
      <c r="Q176" s="15"/>
      <c r="R176" s="15"/>
      <c r="S176" s="15"/>
      <c r="T176" s="15"/>
      <c r="U176" s="15"/>
      <c r="V176" s="15"/>
      <c r="W176" s="15"/>
      <c r="X176" s="15"/>
    </row>
    <row r="177" spans="6:24" s="21" customFormat="1" ht="14.25" x14ac:dyDescent="0.45">
      <c r="F177" s="119">
        <v>43696</v>
      </c>
      <c r="G177" s="52">
        <v>276.03668199999998</v>
      </c>
      <c r="H177" s="52">
        <v>89.388656999999995</v>
      </c>
      <c r="I177" s="120">
        <f t="shared" si="4"/>
        <v>1.2047558359721489E-2</v>
      </c>
      <c r="J177" s="120">
        <f t="shared" si="5"/>
        <v>0</v>
      </c>
      <c r="K177"/>
      <c r="M177" s="15"/>
      <c r="N177" s="15"/>
      <c r="O177" s="15"/>
      <c r="P177" s="15"/>
      <c r="Q177" s="15"/>
      <c r="R177" s="15"/>
      <c r="S177" s="15"/>
      <c r="T177" s="15"/>
      <c r="U177" s="15"/>
      <c r="V177" s="15"/>
      <c r="W177" s="15"/>
      <c r="X177" s="15"/>
    </row>
    <row r="178" spans="6:24" s="21" customFormat="1" ht="14.25" x14ac:dyDescent="0.45">
      <c r="F178" s="119">
        <v>43697</v>
      </c>
      <c r="G178" s="52">
        <v>273.92156999999997</v>
      </c>
      <c r="H178" s="52">
        <v>89.398398999999998</v>
      </c>
      <c r="I178" s="120">
        <f t="shared" si="4"/>
        <v>-7.6624308938766372E-3</v>
      </c>
      <c r="J178" s="120">
        <f t="shared" si="5"/>
        <v>1.0898474512277545E-4</v>
      </c>
      <c r="K178"/>
      <c r="M178" s="15"/>
      <c r="N178" s="15"/>
      <c r="O178" s="15"/>
      <c r="P178" s="15"/>
      <c r="Q178" s="15"/>
      <c r="R178" s="15"/>
      <c r="S178" s="15"/>
      <c r="T178" s="15"/>
      <c r="U178" s="15"/>
      <c r="V178" s="15"/>
      <c r="W178" s="15"/>
      <c r="X178" s="15"/>
    </row>
    <row r="179" spans="6:24" s="21" customFormat="1" ht="14.25" x14ac:dyDescent="0.45">
      <c r="F179" s="119">
        <v>43698</v>
      </c>
      <c r="G179" s="52">
        <v>276.15011600000003</v>
      </c>
      <c r="H179" s="52">
        <v>89.388656999999995</v>
      </c>
      <c r="I179" s="120">
        <f t="shared" si="4"/>
        <v>8.1357083343238656E-3</v>
      </c>
      <c r="J179" s="120">
        <f t="shared" si="5"/>
        <v>-1.089728687423408E-4</v>
      </c>
      <c r="K179"/>
      <c r="M179" s="15"/>
      <c r="N179" s="15"/>
      <c r="O179" s="15"/>
      <c r="P179" s="15"/>
      <c r="Q179" s="15"/>
      <c r="R179" s="15"/>
      <c r="S179" s="15"/>
      <c r="T179" s="15"/>
      <c r="U179" s="15"/>
      <c r="V179" s="15"/>
      <c r="W179" s="15"/>
      <c r="X179" s="15"/>
    </row>
    <row r="180" spans="6:24" s="21" customFormat="1" ht="14.25" x14ac:dyDescent="0.45">
      <c r="F180" s="119">
        <v>43699</v>
      </c>
      <c r="G180" s="52">
        <v>276.06506300000001</v>
      </c>
      <c r="H180" s="52">
        <v>89.417946000000001</v>
      </c>
      <c r="I180" s="120">
        <f t="shared" si="4"/>
        <v>-3.0799552515858863E-4</v>
      </c>
      <c r="J180" s="120">
        <f t="shared" si="5"/>
        <v>3.2765902277742676E-4</v>
      </c>
      <c r="K180"/>
      <c r="M180" s="15"/>
      <c r="N180" s="15"/>
      <c r="O180" s="15"/>
      <c r="P180" s="15"/>
      <c r="Q180" s="15"/>
      <c r="R180" s="15"/>
      <c r="S180" s="15"/>
      <c r="T180" s="15"/>
      <c r="U180" s="15"/>
      <c r="V180" s="15"/>
      <c r="W180" s="15"/>
      <c r="X180" s="15"/>
    </row>
    <row r="181" spans="6:24" s="21" customFormat="1" ht="14.25" x14ac:dyDescent="0.45">
      <c r="F181" s="119">
        <v>43700</v>
      </c>
      <c r="G181" s="52">
        <v>268.97363300000001</v>
      </c>
      <c r="H181" s="52">
        <v>89.408173000000005</v>
      </c>
      <c r="I181" s="120">
        <f t="shared" si="4"/>
        <v>-2.5687531493255311E-2</v>
      </c>
      <c r="J181" s="120">
        <f t="shared" si="5"/>
        <v>-1.0929573354323541E-4</v>
      </c>
      <c r="K181"/>
      <c r="M181" s="15"/>
      <c r="N181" s="15"/>
      <c r="O181" s="15"/>
      <c r="P181" s="15"/>
      <c r="Q181" s="15"/>
      <c r="R181" s="15"/>
      <c r="S181" s="15"/>
      <c r="T181" s="15"/>
      <c r="U181" s="15"/>
      <c r="V181" s="15"/>
      <c r="W181" s="15"/>
      <c r="X181" s="15"/>
    </row>
    <row r="182" spans="6:24" s="21" customFormat="1" ht="14.25" x14ac:dyDescent="0.45">
      <c r="F182" s="119">
        <v>43703</v>
      </c>
      <c r="G182" s="52">
        <v>271.94802900000002</v>
      </c>
      <c r="H182" s="52">
        <v>89.417946000000001</v>
      </c>
      <c r="I182" s="120">
        <f t="shared" si="4"/>
        <v>1.1058318121464294E-2</v>
      </c>
      <c r="J182" s="120">
        <f t="shared" si="5"/>
        <v>1.0930768040640082E-4</v>
      </c>
      <c r="K182"/>
      <c r="M182" s="15"/>
      <c r="N182" s="15"/>
      <c r="O182" s="15"/>
      <c r="P182" s="15"/>
      <c r="Q182" s="15"/>
      <c r="R182" s="15"/>
      <c r="S182" s="15"/>
      <c r="T182" s="15"/>
      <c r="U182" s="15"/>
      <c r="V182" s="15"/>
      <c r="W182" s="15"/>
      <c r="X182" s="15"/>
    </row>
    <row r="183" spans="6:24" s="21" customFormat="1" ht="14.25" x14ac:dyDescent="0.45">
      <c r="F183" s="119">
        <v>43704</v>
      </c>
      <c r="G183" s="52">
        <v>270.88110399999999</v>
      </c>
      <c r="H183" s="52">
        <v>89.427689000000001</v>
      </c>
      <c r="I183" s="120">
        <f t="shared" si="4"/>
        <v>-3.9232680005929499E-3</v>
      </c>
      <c r="J183" s="120">
        <f t="shared" si="5"/>
        <v>1.0896023042183955E-4</v>
      </c>
      <c r="K183"/>
      <c r="M183" s="15"/>
      <c r="N183" s="15"/>
      <c r="O183" s="15"/>
      <c r="P183" s="15"/>
      <c r="Q183" s="15"/>
      <c r="R183" s="15"/>
      <c r="S183" s="15"/>
      <c r="T183" s="15"/>
      <c r="U183" s="15"/>
      <c r="V183" s="15"/>
      <c r="W183" s="15"/>
      <c r="X183" s="15"/>
    </row>
    <row r="184" spans="6:24" s="21" customFormat="1" ht="14.25" x14ac:dyDescent="0.45">
      <c r="F184" s="119">
        <v>43705</v>
      </c>
      <c r="G184" s="52">
        <v>272.78851300000002</v>
      </c>
      <c r="H184" s="52">
        <v>89.417946000000001</v>
      </c>
      <c r="I184" s="120">
        <f t="shared" si="4"/>
        <v>7.0414989153324559E-3</v>
      </c>
      <c r="J184" s="120">
        <f t="shared" si="5"/>
        <v>-1.0894835938346503E-4</v>
      </c>
      <c r="K184"/>
      <c r="M184" s="15"/>
      <c r="N184" s="15"/>
      <c r="O184" s="15"/>
      <c r="P184" s="15"/>
      <c r="Q184" s="15"/>
      <c r="R184" s="15"/>
      <c r="S184" s="15"/>
      <c r="T184" s="15"/>
      <c r="U184" s="15"/>
      <c r="V184" s="15"/>
      <c r="W184" s="15"/>
      <c r="X184" s="15"/>
    </row>
    <row r="185" spans="6:24" s="21" customFormat="1" ht="14.25" x14ac:dyDescent="0.45">
      <c r="F185" s="119">
        <v>43706</v>
      </c>
      <c r="G185" s="52">
        <v>276.27279700000003</v>
      </c>
      <c r="H185" s="52">
        <v>89.437461999999996</v>
      </c>
      <c r="I185" s="120">
        <f t="shared" si="4"/>
        <v>1.2772839888606224E-2</v>
      </c>
      <c r="J185" s="120">
        <f t="shared" si="5"/>
        <v>2.1825596396496394E-4</v>
      </c>
      <c r="K185"/>
      <c r="M185" s="15"/>
      <c r="N185" s="15"/>
      <c r="O185" s="15"/>
      <c r="P185" s="15"/>
      <c r="Q185" s="15"/>
      <c r="R185" s="15"/>
      <c r="S185" s="15"/>
      <c r="T185" s="15"/>
      <c r="U185" s="15"/>
      <c r="V185" s="15"/>
      <c r="W185" s="15"/>
      <c r="X185" s="15"/>
    </row>
    <row r="186" spans="6:24" s="21" customFormat="1" ht="14.25" x14ac:dyDescent="0.45">
      <c r="F186" s="119">
        <v>43707</v>
      </c>
      <c r="G186" s="52">
        <v>276.15011600000003</v>
      </c>
      <c r="H186" s="52">
        <v>89.447211999999993</v>
      </c>
      <c r="I186" s="120">
        <f t="shared" si="4"/>
        <v>-4.4405747265807705E-4</v>
      </c>
      <c r="J186" s="120">
        <f t="shared" si="5"/>
        <v>1.0901472137025969E-4</v>
      </c>
      <c r="K186"/>
      <c r="M186" s="15"/>
      <c r="N186" s="15"/>
      <c r="O186" s="15"/>
      <c r="P186" s="15"/>
      <c r="Q186" s="15"/>
      <c r="R186" s="15"/>
      <c r="S186" s="15"/>
      <c r="T186" s="15"/>
      <c r="U186" s="15"/>
      <c r="V186" s="15"/>
      <c r="W186" s="15"/>
      <c r="X186" s="15"/>
    </row>
    <row r="187" spans="6:24" s="21" customFormat="1" ht="14.25" x14ac:dyDescent="0.45">
      <c r="F187" s="119">
        <v>43711</v>
      </c>
      <c r="G187" s="52">
        <v>274.53533900000002</v>
      </c>
      <c r="H187" s="52">
        <v>89.464850999999996</v>
      </c>
      <c r="I187" s="120">
        <f t="shared" si="4"/>
        <v>-5.8474608788504634E-3</v>
      </c>
      <c r="J187" s="120">
        <f t="shared" si="5"/>
        <v>1.9720010949031419E-4</v>
      </c>
      <c r="K187"/>
      <c r="M187" s="15"/>
      <c r="N187" s="15"/>
      <c r="O187" s="15"/>
      <c r="P187" s="15"/>
      <c r="Q187" s="15"/>
      <c r="R187" s="15"/>
      <c r="S187" s="15"/>
      <c r="T187" s="15"/>
      <c r="U187" s="15"/>
      <c r="V187" s="15"/>
      <c r="W187" s="15"/>
      <c r="X187" s="15"/>
    </row>
    <row r="188" spans="6:24" s="21" customFormat="1" ht="14.25" x14ac:dyDescent="0.45">
      <c r="F188" s="119">
        <v>43712</v>
      </c>
      <c r="G188" s="52">
        <v>277.65145899999999</v>
      </c>
      <c r="H188" s="52">
        <v>89.455062999999996</v>
      </c>
      <c r="I188" s="120">
        <f t="shared" si="4"/>
        <v>1.1350524166945153E-2</v>
      </c>
      <c r="J188" s="120">
        <f t="shared" si="5"/>
        <v>-1.0940609513787614E-4</v>
      </c>
      <c r="K188"/>
      <c r="M188" s="15"/>
      <c r="N188" s="15"/>
      <c r="O188" s="15"/>
      <c r="P188" s="15"/>
      <c r="Q188" s="15"/>
      <c r="R188" s="15"/>
      <c r="S188" s="15"/>
      <c r="T188" s="15"/>
      <c r="U188" s="15"/>
      <c r="V188" s="15"/>
      <c r="W188" s="15"/>
      <c r="X188" s="15"/>
    </row>
    <row r="189" spans="6:24" s="21" customFormat="1" ht="14.25" x14ac:dyDescent="0.45">
      <c r="F189" s="119">
        <v>43713</v>
      </c>
      <c r="G189" s="52">
        <v>281.22076399999997</v>
      </c>
      <c r="H189" s="52">
        <v>89.464850999999996</v>
      </c>
      <c r="I189" s="120">
        <f t="shared" si="4"/>
        <v>1.2855343936802432E-2</v>
      </c>
      <c r="J189" s="120">
        <f t="shared" si="5"/>
        <v>1.0941806614117588E-4</v>
      </c>
      <c r="K189"/>
      <c r="M189" s="15"/>
      <c r="N189" s="15"/>
      <c r="O189" s="15"/>
      <c r="P189" s="15"/>
      <c r="Q189" s="15"/>
      <c r="R189" s="15"/>
      <c r="S189" s="15"/>
      <c r="T189" s="15"/>
      <c r="U189" s="15"/>
      <c r="V189" s="15"/>
      <c r="W189" s="15"/>
      <c r="X189" s="15"/>
    </row>
    <row r="190" spans="6:24" s="21" customFormat="1" ht="14.25" x14ac:dyDescent="0.45">
      <c r="F190" s="119">
        <v>43714</v>
      </c>
      <c r="G190" s="52">
        <v>281.43789700000002</v>
      </c>
      <c r="H190" s="52">
        <v>89.474632</v>
      </c>
      <c r="I190" s="120">
        <f t="shared" si="4"/>
        <v>7.7210870531607689E-4</v>
      </c>
      <c r="J190" s="120">
        <f t="shared" si="5"/>
        <v>1.0932785211936746E-4</v>
      </c>
      <c r="K190"/>
      <c r="M190" s="15"/>
      <c r="N190" s="15"/>
      <c r="O190" s="15"/>
      <c r="P190" s="15"/>
      <c r="Q190" s="15"/>
      <c r="R190" s="15"/>
      <c r="S190" s="15"/>
      <c r="T190" s="15"/>
      <c r="U190" s="15"/>
      <c r="V190" s="15"/>
      <c r="W190" s="15"/>
      <c r="X190" s="15"/>
    </row>
    <row r="191" spans="6:24" s="21" customFormat="1" ht="14.25" x14ac:dyDescent="0.45">
      <c r="F191" s="119">
        <v>43717</v>
      </c>
      <c r="G191" s="52">
        <v>281.579498</v>
      </c>
      <c r="H191" s="52">
        <v>89.474632</v>
      </c>
      <c r="I191" s="120">
        <f t="shared" si="4"/>
        <v>5.0313408929425485E-4</v>
      </c>
      <c r="J191" s="120">
        <f t="shared" si="5"/>
        <v>0</v>
      </c>
      <c r="K191"/>
      <c r="M191" s="15"/>
      <c r="N191" s="15"/>
      <c r="O191" s="15"/>
      <c r="P191" s="15"/>
      <c r="Q191" s="15"/>
      <c r="R191" s="15"/>
      <c r="S191" s="15"/>
      <c r="T191" s="15"/>
      <c r="U191" s="15"/>
      <c r="V191" s="15"/>
      <c r="W191" s="15"/>
      <c r="X191" s="15"/>
    </row>
    <row r="192" spans="6:24" s="21" customFormat="1" ht="14.25" x14ac:dyDescent="0.45">
      <c r="F192" s="119">
        <v>43718</v>
      </c>
      <c r="G192" s="52">
        <v>281.51348899999999</v>
      </c>
      <c r="H192" s="52">
        <v>89.494193999999993</v>
      </c>
      <c r="I192" s="120">
        <f t="shared" si="4"/>
        <v>-2.3442402756190805E-4</v>
      </c>
      <c r="J192" s="120">
        <f t="shared" si="5"/>
        <v>2.1863180169323648E-4</v>
      </c>
      <c r="K192"/>
      <c r="M192" s="15"/>
      <c r="N192" s="15"/>
      <c r="O192" s="15"/>
      <c r="P192" s="15"/>
      <c r="Q192" s="15"/>
      <c r="R192" s="15"/>
      <c r="S192" s="15"/>
      <c r="T192" s="15"/>
      <c r="U192" s="15"/>
      <c r="V192" s="15"/>
      <c r="W192" s="15"/>
      <c r="X192" s="15"/>
    </row>
    <row r="193" spans="6:24" s="21" customFormat="1" ht="14.25" x14ac:dyDescent="0.45">
      <c r="F193" s="119">
        <v>43719</v>
      </c>
      <c r="G193" s="52">
        <v>283.51535000000001</v>
      </c>
      <c r="H193" s="52">
        <v>89.484413000000004</v>
      </c>
      <c r="I193" s="120">
        <f t="shared" si="4"/>
        <v>7.1110659993987024E-3</v>
      </c>
      <c r="J193" s="120">
        <f t="shared" si="5"/>
        <v>-1.0929200613829515E-4</v>
      </c>
      <c r="K193"/>
      <c r="M193" s="15"/>
      <c r="N193" s="15"/>
      <c r="O193" s="15"/>
      <c r="P193" s="15"/>
      <c r="Q193" s="15"/>
      <c r="R193" s="15"/>
      <c r="S193" s="15"/>
      <c r="T193" s="15"/>
      <c r="U193" s="15"/>
      <c r="V193" s="15"/>
      <c r="W193" s="15"/>
      <c r="X193" s="15"/>
    </row>
    <row r="194" spans="6:24" s="21" customFormat="1" ht="14.25" x14ac:dyDescent="0.45">
      <c r="F194" s="119">
        <v>43720</v>
      </c>
      <c r="G194" s="52">
        <v>284.497345</v>
      </c>
      <c r="H194" s="52">
        <v>89.503951999999998</v>
      </c>
      <c r="I194" s="120">
        <f t="shared" si="4"/>
        <v>3.4636396230398603E-3</v>
      </c>
      <c r="J194" s="120">
        <f t="shared" si="5"/>
        <v>2.1835087636978834E-4</v>
      </c>
      <c r="K194"/>
      <c r="M194" s="15"/>
      <c r="N194" s="15"/>
      <c r="O194" s="15"/>
      <c r="P194" s="15"/>
      <c r="Q194" s="15"/>
      <c r="R194" s="15"/>
      <c r="S194" s="15"/>
      <c r="T194" s="15"/>
      <c r="U194" s="15"/>
      <c r="V194" s="15"/>
      <c r="W194" s="15"/>
      <c r="X194" s="15"/>
    </row>
    <row r="195" spans="6:24" s="21" customFormat="1" ht="14.25" x14ac:dyDescent="0.45">
      <c r="F195" s="119">
        <v>43721</v>
      </c>
      <c r="G195" s="52">
        <v>284.30850199999998</v>
      </c>
      <c r="H195" s="52">
        <v>89.503951999999998</v>
      </c>
      <c r="I195" s="120">
        <f t="shared" si="4"/>
        <v>-6.6377772347936403E-4</v>
      </c>
      <c r="J195" s="120">
        <f t="shared" si="5"/>
        <v>0</v>
      </c>
      <c r="K195"/>
      <c r="M195" s="15"/>
      <c r="N195" s="15"/>
      <c r="O195" s="15"/>
      <c r="P195" s="15"/>
      <c r="Q195" s="15"/>
      <c r="R195" s="15"/>
      <c r="S195" s="15"/>
      <c r="T195" s="15"/>
      <c r="U195" s="15"/>
      <c r="V195" s="15"/>
      <c r="W195" s="15"/>
      <c r="X195" s="15"/>
    </row>
    <row r="196" spans="6:24" s="21" customFormat="1" ht="14.25" x14ac:dyDescent="0.45">
      <c r="F196" s="119">
        <v>43724</v>
      </c>
      <c r="G196" s="52">
        <v>283.43032799999997</v>
      </c>
      <c r="H196" s="52">
        <v>89.503951999999998</v>
      </c>
      <c r="I196" s="120">
        <f t="shared" si="4"/>
        <v>-3.0888066794428903E-3</v>
      </c>
      <c r="J196" s="120">
        <f t="shared" si="5"/>
        <v>0</v>
      </c>
      <c r="K196"/>
      <c r="M196" s="15"/>
      <c r="N196" s="15"/>
      <c r="O196" s="15"/>
      <c r="P196" s="15"/>
      <c r="Q196" s="15"/>
      <c r="R196" s="15"/>
      <c r="S196" s="15"/>
      <c r="T196" s="15"/>
      <c r="U196" s="15"/>
      <c r="V196" s="15"/>
      <c r="W196" s="15"/>
      <c r="X196" s="15"/>
    </row>
    <row r="197" spans="6:24" s="21" customFormat="1" ht="14.25" x14ac:dyDescent="0.45">
      <c r="F197" s="119">
        <v>43725</v>
      </c>
      <c r="G197" s="52">
        <v>284.14798000000002</v>
      </c>
      <c r="H197" s="52">
        <v>89.513756000000001</v>
      </c>
      <c r="I197" s="120">
        <f t="shared" si="4"/>
        <v>2.5320226140375102E-3</v>
      </c>
      <c r="J197" s="120">
        <f t="shared" si="5"/>
        <v>1.0953706267624597E-4</v>
      </c>
      <c r="K197"/>
      <c r="M197" s="15"/>
      <c r="N197" s="15"/>
      <c r="O197" s="15"/>
      <c r="P197" s="15"/>
      <c r="Q197" s="15"/>
      <c r="R197" s="15"/>
      <c r="S197" s="15"/>
      <c r="T197" s="15"/>
      <c r="U197" s="15"/>
      <c r="V197" s="15"/>
      <c r="W197" s="15"/>
      <c r="X197" s="15"/>
    </row>
    <row r="198" spans="6:24" s="21" customFormat="1" ht="14.25" x14ac:dyDescent="0.45">
      <c r="F198" s="119">
        <v>43726</v>
      </c>
      <c r="G198" s="52">
        <v>284.317993</v>
      </c>
      <c r="H198" s="52">
        <v>89.53331</v>
      </c>
      <c r="I198" s="120">
        <f t="shared" si="4"/>
        <v>5.9832556261696368E-4</v>
      </c>
      <c r="J198" s="120">
        <f t="shared" si="5"/>
        <v>2.1844687200922586E-4</v>
      </c>
      <c r="K198"/>
      <c r="M198" s="15"/>
      <c r="N198" s="15"/>
      <c r="O198" s="15"/>
      <c r="P198" s="15"/>
      <c r="Q198" s="15"/>
      <c r="R198" s="15"/>
      <c r="S198" s="15"/>
      <c r="T198" s="15"/>
      <c r="U198" s="15"/>
      <c r="V198" s="15"/>
      <c r="W198" s="15"/>
      <c r="X198" s="15"/>
    </row>
    <row r="199" spans="6:24" s="21" customFormat="1" ht="14.25" x14ac:dyDescent="0.45">
      <c r="F199" s="119">
        <v>43727</v>
      </c>
      <c r="G199" s="52">
        <v>284.29904199999999</v>
      </c>
      <c r="H199" s="52">
        <v>89.53331</v>
      </c>
      <c r="I199" s="120">
        <f t="shared" si="4"/>
        <v>-6.665424090834815E-5</v>
      </c>
      <c r="J199" s="120">
        <f t="shared" si="5"/>
        <v>0</v>
      </c>
      <c r="K199"/>
      <c r="M199" s="15"/>
      <c r="N199" s="15"/>
      <c r="O199" s="15"/>
      <c r="P199" s="15"/>
      <c r="Q199" s="15"/>
      <c r="R199" s="15"/>
      <c r="S199" s="15"/>
      <c r="T199" s="15"/>
      <c r="U199" s="15"/>
      <c r="V199" s="15"/>
      <c r="W199" s="15"/>
      <c r="X199" s="15"/>
    </row>
    <row r="200" spans="6:24" s="21" customFormat="1" ht="14.25" x14ac:dyDescent="0.45">
      <c r="F200" s="119">
        <v>43728</v>
      </c>
      <c r="G200" s="52">
        <v>282.95584100000002</v>
      </c>
      <c r="H200" s="52">
        <v>89.543098000000001</v>
      </c>
      <c r="I200" s="120">
        <f t="shared" si="4"/>
        <v>-4.7246061420072039E-3</v>
      </c>
      <c r="J200" s="120">
        <f t="shared" si="5"/>
        <v>1.0932244099981503E-4</v>
      </c>
      <c r="K200"/>
      <c r="M200" s="15"/>
      <c r="N200" s="15"/>
      <c r="O200" s="15"/>
      <c r="P200" s="15"/>
      <c r="Q200" s="15"/>
      <c r="R200" s="15"/>
      <c r="S200" s="15"/>
      <c r="T200" s="15"/>
      <c r="U200" s="15"/>
      <c r="V200" s="15"/>
      <c r="W200" s="15"/>
      <c r="X200" s="15"/>
    </row>
    <row r="201" spans="6:24" s="21" customFormat="1" ht="14.25" x14ac:dyDescent="0.45">
      <c r="F201" s="119">
        <v>43731</v>
      </c>
      <c r="G201" s="52">
        <v>282.88937399999998</v>
      </c>
      <c r="H201" s="52">
        <v>89.562652999999997</v>
      </c>
      <c r="I201" s="120">
        <f t="shared" si="4"/>
        <v>-2.3490237828327487E-4</v>
      </c>
      <c r="J201" s="120">
        <f t="shared" si="5"/>
        <v>2.1838645788196942E-4</v>
      </c>
      <c r="K201"/>
      <c r="M201" s="15"/>
      <c r="N201" s="15"/>
      <c r="O201" s="15"/>
      <c r="P201" s="15"/>
      <c r="Q201" s="15"/>
      <c r="R201" s="15"/>
      <c r="S201" s="15"/>
      <c r="T201" s="15"/>
      <c r="U201" s="15"/>
      <c r="V201" s="15"/>
      <c r="W201" s="15"/>
      <c r="X201" s="15"/>
    </row>
    <row r="202" spans="6:24" s="21" customFormat="1" ht="14.25" x14ac:dyDescent="0.45">
      <c r="F202" s="119">
        <v>43732</v>
      </c>
      <c r="G202" s="52">
        <v>280.66961700000002</v>
      </c>
      <c r="H202" s="52">
        <v>89.562652999999997</v>
      </c>
      <c r="I202" s="120">
        <f t="shared" si="4"/>
        <v>-7.8467316343948657E-3</v>
      </c>
      <c r="J202" s="120">
        <f t="shared" si="5"/>
        <v>0</v>
      </c>
      <c r="K202"/>
      <c r="M202" s="15"/>
      <c r="N202" s="15"/>
      <c r="O202" s="15"/>
      <c r="P202" s="15"/>
      <c r="Q202" s="15"/>
      <c r="R202" s="15"/>
      <c r="S202" s="15"/>
      <c r="T202" s="15"/>
      <c r="U202" s="15"/>
      <c r="V202" s="15"/>
      <c r="W202" s="15"/>
      <c r="X202" s="15"/>
    </row>
    <row r="203" spans="6:24" s="21" customFormat="1" ht="14.25" x14ac:dyDescent="0.45">
      <c r="F203" s="119">
        <v>43733</v>
      </c>
      <c r="G203" s="52">
        <v>282.32974200000001</v>
      </c>
      <c r="H203" s="52">
        <v>89.562652999999997</v>
      </c>
      <c r="I203" s="120">
        <f t="shared" si="4"/>
        <v>5.914872502925661E-3</v>
      </c>
      <c r="J203" s="120">
        <f t="shared" si="5"/>
        <v>0</v>
      </c>
      <c r="K203"/>
      <c r="M203" s="15"/>
      <c r="N203" s="15"/>
      <c r="O203" s="15"/>
      <c r="P203" s="15"/>
      <c r="Q203" s="15"/>
      <c r="R203" s="15"/>
      <c r="S203" s="15"/>
      <c r="T203" s="15"/>
      <c r="U203" s="15"/>
      <c r="V203" s="15"/>
      <c r="W203" s="15"/>
      <c r="X203" s="15"/>
    </row>
    <row r="204" spans="6:24" s="21" customFormat="1" ht="14.25" x14ac:dyDescent="0.45">
      <c r="F204" s="119">
        <v>43734</v>
      </c>
      <c r="G204" s="52">
        <v>281.74154700000003</v>
      </c>
      <c r="H204" s="52">
        <v>89.582222000000002</v>
      </c>
      <c r="I204" s="120">
        <f t="shared" si="4"/>
        <v>-2.0833618018182287E-3</v>
      </c>
      <c r="J204" s="120">
        <f t="shared" si="5"/>
        <v>2.1849509080529295E-4</v>
      </c>
      <c r="K204"/>
      <c r="M204" s="15"/>
      <c r="N204" s="15"/>
      <c r="O204" s="15"/>
      <c r="P204" s="15"/>
      <c r="Q204" s="15"/>
      <c r="R204" s="15"/>
      <c r="S204" s="15"/>
      <c r="T204" s="15"/>
      <c r="U204" s="15"/>
      <c r="V204" s="15"/>
      <c r="W204" s="15"/>
      <c r="X204" s="15"/>
    </row>
    <row r="205" spans="6:24" s="21" customFormat="1" ht="14.25" x14ac:dyDescent="0.45">
      <c r="F205" s="119">
        <v>43735</v>
      </c>
      <c r="G205" s="52">
        <v>280.223724</v>
      </c>
      <c r="H205" s="52">
        <v>89.582222000000002</v>
      </c>
      <c r="I205" s="120">
        <f t="shared" si="4"/>
        <v>-5.3872885137526971E-3</v>
      </c>
      <c r="J205" s="120">
        <f t="shared" si="5"/>
        <v>0</v>
      </c>
      <c r="K205"/>
      <c r="M205" s="15"/>
      <c r="N205" s="15"/>
      <c r="O205" s="15"/>
      <c r="P205" s="15"/>
      <c r="Q205" s="15"/>
      <c r="R205" s="15"/>
      <c r="S205" s="15"/>
      <c r="T205" s="15"/>
      <c r="U205" s="15"/>
      <c r="V205" s="15"/>
      <c r="W205" s="15"/>
      <c r="X205" s="15"/>
    </row>
    <row r="206" spans="6:24" s="21" customFormat="1" ht="14.25" x14ac:dyDescent="0.45">
      <c r="F206" s="119">
        <v>43738</v>
      </c>
      <c r="G206" s="52">
        <v>281.52337599999998</v>
      </c>
      <c r="H206" s="52">
        <v>89.591994999999997</v>
      </c>
      <c r="I206" s="120">
        <f t="shared" si="4"/>
        <v>4.6379085305425782E-3</v>
      </c>
      <c r="J206" s="120">
        <f t="shared" si="5"/>
        <v>1.0909530687897018E-4</v>
      </c>
      <c r="K206"/>
      <c r="M206" s="15"/>
      <c r="N206" s="15"/>
      <c r="O206" s="15"/>
      <c r="P206" s="15"/>
      <c r="Q206" s="15"/>
      <c r="R206" s="15"/>
      <c r="S206" s="15"/>
      <c r="T206" s="15"/>
      <c r="U206" s="15"/>
      <c r="V206" s="15"/>
      <c r="W206" s="15"/>
      <c r="X206" s="15"/>
    </row>
    <row r="207" spans="6:24" s="21" customFormat="1" ht="14.25" x14ac:dyDescent="0.45">
      <c r="F207" s="119">
        <v>43739</v>
      </c>
      <c r="G207" s="52">
        <v>278.17474399999998</v>
      </c>
      <c r="H207" s="52">
        <v>89.58905</v>
      </c>
      <c r="I207" s="120">
        <f t="shared" si="4"/>
        <v>-1.1894685434576502E-2</v>
      </c>
      <c r="J207" s="120">
        <f t="shared" si="5"/>
        <v>-3.2871240337906116E-5</v>
      </c>
      <c r="K207"/>
      <c r="M207" s="15"/>
      <c r="N207" s="15"/>
      <c r="O207" s="15"/>
      <c r="P207" s="15"/>
      <c r="Q207" s="15"/>
      <c r="R207" s="15"/>
      <c r="S207" s="15"/>
      <c r="T207" s="15"/>
      <c r="U207" s="15"/>
      <c r="V207" s="15"/>
      <c r="W207" s="15"/>
      <c r="X207" s="15"/>
    </row>
    <row r="208" spans="6:24" s="21" customFormat="1" ht="14.25" x14ac:dyDescent="0.45">
      <c r="F208" s="119">
        <v>43740</v>
      </c>
      <c r="G208" s="52">
        <v>273.26086400000003</v>
      </c>
      <c r="H208" s="52">
        <v>89.58905</v>
      </c>
      <c r="I208" s="120">
        <f t="shared" si="4"/>
        <v>-1.7664723724882592E-2</v>
      </c>
      <c r="J208" s="120">
        <f t="shared" si="5"/>
        <v>0</v>
      </c>
      <c r="K208"/>
      <c r="M208" s="15"/>
      <c r="N208" s="15"/>
      <c r="O208" s="15"/>
      <c r="P208" s="15"/>
      <c r="Q208" s="15"/>
      <c r="R208" s="15"/>
      <c r="S208" s="15"/>
      <c r="T208" s="15"/>
      <c r="U208" s="15"/>
      <c r="V208" s="15"/>
      <c r="W208" s="15"/>
      <c r="X208" s="15"/>
    </row>
    <row r="209" spans="6:24" s="21" customFormat="1" ht="14.25" x14ac:dyDescent="0.45">
      <c r="F209" s="119">
        <v>43741</v>
      </c>
      <c r="G209" s="52">
        <v>275.49960299999998</v>
      </c>
      <c r="H209" s="52">
        <v>89.618454</v>
      </c>
      <c r="I209" s="120">
        <f t="shared" si="4"/>
        <v>8.19268067600043E-3</v>
      </c>
      <c r="J209" s="120">
        <f t="shared" si="5"/>
        <v>3.2820975331238067E-4</v>
      </c>
      <c r="K209"/>
      <c r="M209" s="15"/>
      <c r="N209" s="15"/>
      <c r="O209" s="15"/>
      <c r="P209" s="15"/>
      <c r="Q209" s="15"/>
      <c r="R209" s="15"/>
      <c r="S209" s="15"/>
      <c r="T209" s="15"/>
      <c r="U209" s="15"/>
      <c r="V209" s="15"/>
      <c r="W209" s="15"/>
      <c r="X209" s="15"/>
    </row>
    <row r="210" spans="6:24" s="21" customFormat="1" ht="14.25" x14ac:dyDescent="0.45">
      <c r="F210" s="119">
        <v>43742</v>
      </c>
      <c r="G210" s="52">
        <v>279.22778299999999</v>
      </c>
      <c r="H210" s="52">
        <v>89.618454</v>
      </c>
      <c r="I210" s="120">
        <f t="shared" si="4"/>
        <v>1.3532433293560908E-2</v>
      </c>
      <c r="J210" s="120">
        <f t="shared" si="5"/>
        <v>0</v>
      </c>
      <c r="K210"/>
      <c r="M210" s="15"/>
      <c r="N210" s="15"/>
      <c r="O210" s="15"/>
      <c r="P210" s="15"/>
      <c r="Q210" s="15"/>
      <c r="R210" s="15"/>
      <c r="S210" s="15"/>
      <c r="T210" s="15"/>
      <c r="U210" s="15"/>
      <c r="V210" s="15"/>
      <c r="W210" s="15"/>
      <c r="X210" s="15"/>
    </row>
    <row r="211" spans="6:24" s="21" customFormat="1" ht="14.25" x14ac:dyDescent="0.45">
      <c r="F211" s="119">
        <v>43745</v>
      </c>
      <c r="G211" s="52">
        <v>278.022919</v>
      </c>
      <c r="H211" s="52">
        <v>89.628264999999999</v>
      </c>
      <c r="I211" s="120">
        <f t="shared" si="4"/>
        <v>-4.3149860914807325E-3</v>
      </c>
      <c r="J211" s="120">
        <f t="shared" si="5"/>
        <v>1.094752203603111E-4</v>
      </c>
      <c r="K211"/>
      <c r="M211" s="15"/>
      <c r="N211" s="15"/>
      <c r="O211" s="15"/>
      <c r="P211" s="15"/>
      <c r="Q211" s="15"/>
      <c r="R211" s="15"/>
      <c r="S211" s="15"/>
      <c r="T211" s="15"/>
      <c r="U211" s="15"/>
      <c r="V211" s="15"/>
      <c r="W211" s="15"/>
      <c r="X211" s="15"/>
    </row>
    <row r="212" spans="6:24" s="21" customFormat="1" ht="14.25" x14ac:dyDescent="0.45">
      <c r="F212" s="119">
        <v>43746</v>
      </c>
      <c r="G212" s="52">
        <v>273.706726</v>
      </c>
      <c r="H212" s="52">
        <v>89.628264999999999</v>
      </c>
      <c r="I212" s="120">
        <f t="shared" ref="I212:I275" si="6">G212/G211-1</f>
        <v>-1.5524594215198473E-2</v>
      </c>
      <c r="J212" s="120">
        <f t="shared" ref="J212:J275" si="7">H212/H211-1</f>
        <v>0</v>
      </c>
      <c r="K212"/>
      <c r="M212" s="15"/>
      <c r="N212" s="15"/>
      <c r="O212" s="15"/>
      <c r="P212" s="15"/>
      <c r="Q212" s="15"/>
      <c r="R212" s="15"/>
      <c r="S212" s="15"/>
      <c r="T212" s="15"/>
      <c r="U212" s="15"/>
      <c r="V212" s="15"/>
      <c r="W212" s="15"/>
      <c r="X212" s="15"/>
    </row>
    <row r="213" spans="6:24" s="21" customFormat="1" ht="14.25" x14ac:dyDescent="0.45">
      <c r="F213" s="119">
        <v>43747</v>
      </c>
      <c r="G213" s="52">
        <v>276.30590799999999</v>
      </c>
      <c r="H213" s="52">
        <v>89.628264999999999</v>
      </c>
      <c r="I213" s="120">
        <f t="shared" si="6"/>
        <v>9.4962299172727249E-3</v>
      </c>
      <c r="J213" s="120">
        <f t="shared" si="7"/>
        <v>0</v>
      </c>
      <c r="K213"/>
      <c r="M213" s="15"/>
      <c r="N213" s="15"/>
      <c r="O213" s="15"/>
      <c r="P213" s="15"/>
      <c r="Q213" s="15"/>
      <c r="R213" s="15"/>
      <c r="S213" s="15"/>
      <c r="T213" s="15"/>
      <c r="U213" s="15"/>
      <c r="V213" s="15"/>
      <c r="W213" s="15"/>
      <c r="X213" s="15"/>
    </row>
    <row r="214" spans="6:24" s="21" customFormat="1" ht="14.25" x14ac:dyDescent="0.45">
      <c r="F214" s="119">
        <v>43748</v>
      </c>
      <c r="G214" s="52">
        <v>278.17474399999998</v>
      </c>
      <c r="H214" s="52">
        <v>89.647841999999997</v>
      </c>
      <c r="I214" s="120">
        <f t="shared" si="6"/>
        <v>6.7636483545621129E-3</v>
      </c>
      <c r="J214" s="120">
        <f t="shared" si="7"/>
        <v>2.1842439993680074E-4</v>
      </c>
      <c r="K214"/>
      <c r="M214" s="15"/>
      <c r="N214" s="15"/>
      <c r="O214" s="15"/>
      <c r="P214" s="15"/>
      <c r="Q214" s="15"/>
      <c r="R214" s="15"/>
      <c r="S214" s="15"/>
      <c r="T214" s="15"/>
      <c r="U214" s="15"/>
      <c r="V214" s="15"/>
      <c r="W214" s="15"/>
      <c r="X214" s="15"/>
    </row>
    <row r="215" spans="6:24" s="21" customFormat="1" ht="14.25" x14ac:dyDescent="0.45">
      <c r="F215" s="119">
        <v>43749</v>
      </c>
      <c r="G215" s="52">
        <v>281.05856299999999</v>
      </c>
      <c r="H215" s="52">
        <v>89.657639000000003</v>
      </c>
      <c r="I215" s="120">
        <f t="shared" si="6"/>
        <v>1.0366933239633003E-2</v>
      </c>
      <c r="J215" s="120">
        <f t="shared" si="7"/>
        <v>1.0928316601321875E-4</v>
      </c>
      <c r="K215"/>
      <c r="M215" s="15"/>
      <c r="N215" s="15"/>
      <c r="O215" s="15"/>
      <c r="P215" s="15"/>
      <c r="Q215" s="15"/>
      <c r="R215" s="15"/>
      <c r="S215" s="15"/>
      <c r="T215" s="15"/>
      <c r="U215" s="15"/>
      <c r="V215" s="15"/>
      <c r="W215" s="15"/>
      <c r="X215" s="15"/>
    </row>
    <row r="216" spans="6:24" s="21" customFormat="1" ht="14.25" x14ac:dyDescent="0.45">
      <c r="F216" s="119">
        <v>43752</v>
      </c>
      <c r="G216" s="52">
        <v>280.745544</v>
      </c>
      <c r="H216" s="52">
        <v>89.647841999999997</v>
      </c>
      <c r="I216" s="120">
        <f t="shared" si="6"/>
        <v>-1.1137145108082169E-3</v>
      </c>
      <c r="J216" s="120">
        <f t="shared" si="7"/>
        <v>-1.0927122450776761E-4</v>
      </c>
      <c r="K216"/>
      <c r="M216" s="15"/>
      <c r="N216" s="15"/>
      <c r="O216" s="15"/>
      <c r="P216" s="15"/>
      <c r="Q216" s="15"/>
      <c r="R216" s="15"/>
      <c r="S216" s="15"/>
      <c r="T216" s="15"/>
      <c r="U216" s="15"/>
      <c r="V216" s="15"/>
      <c r="W216" s="15"/>
      <c r="X216" s="15"/>
    </row>
    <row r="217" spans="6:24" s="21" customFormat="1" ht="14.25" x14ac:dyDescent="0.45">
      <c r="F217" s="119">
        <v>43753</v>
      </c>
      <c r="G217" s="52">
        <v>283.52499399999999</v>
      </c>
      <c r="H217" s="52">
        <v>89.657639000000003</v>
      </c>
      <c r="I217" s="120">
        <f t="shared" si="6"/>
        <v>9.9002461816455334E-3</v>
      </c>
      <c r="J217" s="120">
        <f t="shared" si="7"/>
        <v>1.0928316601321875E-4</v>
      </c>
      <c r="K217"/>
      <c r="M217" s="15"/>
      <c r="N217" s="15"/>
      <c r="O217" s="15"/>
      <c r="P217" s="15"/>
      <c r="Q217" s="15"/>
      <c r="R217" s="15"/>
      <c r="S217" s="15"/>
      <c r="T217" s="15"/>
      <c r="U217" s="15"/>
      <c r="V217" s="15"/>
      <c r="W217" s="15"/>
      <c r="X217" s="15"/>
    </row>
    <row r="218" spans="6:24" s="21" customFormat="1" ht="14.25" x14ac:dyDescent="0.45">
      <c r="F218" s="119">
        <v>43754</v>
      </c>
      <c r="G218" s="52">
        <v>283.06964099999999</v>
      </c>
      <c r="H218" s="52">
        <v>89.667434999999998</v>
      </c>
      <c r="I218" s="120">
        <f t="shared" si="6"/>
        <v>-1.6060418292435097E-3</v>
      </c>
      <c r="J218" s="120">
        <f t="shared" si="7"/>
        <v>1.0926007096845325E-4</v>
      </c>
      <c r="K218"/>
      <c r="M218" s="15"/>
      <c r="N218" s="15"/>
      <c r="O218" s="15"/>
      <c r="P218" s="15"/>
      <c r="Q218" s="15"/>
      <c r="R218" s="15"/>
      <c r="S218" s="15"/>
      <c r="T218" s="15"/>
      <c r="U218" s="15"/>
      <c r="V218" s="15"/>
      <c r="W218" s="15"/>
      <c r="X218" s="15"/>
    </row>
    <row r="219" spans="6:24" s="21" customFormat="1" ht="14.25" x14ac:dyDescent="0.45">
      <c r="F219" s="119">
        <v>43755</v>
      </c>
      <c r="G219" s="52">
        <v>283.904449</v>
      </c>
      <c r="H219" s="52">
        <v>89.677238000000003</v>
      </c>
      <c r="I219" s="120">
        <f t="shared" si="6"/>
        <v>2.9491258654614771E-3</v>
      </c>
      <c r="J219" s="120">
        <f t="shared" si="7"/>
        <v>1.0932620075521093E-4</v>
      </c>
      <c r="K219"/>
      <c r="M219" s="15"/>
      <c r="N219" s="15"/>
      <c r="O219" s="15"/>
      <c r="P219" s="15"/>
      <c r="Q219" s="15"/>
      <c r="R219" s="15"/>
      <c r="S219" s="15"/>
      <c r="T219" s="15"/>
      <c r="U219" s="15"/>
      <c r="V219" s="15"/>
      <c r="W219" s="15"/>
      <c r="X219" s="15"/>
    </row>
    <row r="220" spans="6:24" s="21" customFormat="1" ht="14.25" x14ac:dyDescent="0.45">
      <c r="F220" s="119">
        <v>43756</v>
      </c>
      <c r="G220" s="52">
        <v>282.66171300000002</v>
      </c>
      <c r="H220" s="52">
        <v>89.677238000000003</v>
      </c>
      <c r="I220" s="120">
        <f t="shared" si="6"/>
        <v>-4.377303717420733E-3</v>
      </c>
      <c r="J220" s="120">
        <f t="shared" si="7"/>
        <v>0</v>
      </c>
      <c r="K220"/>
      <c r="M220" s="15"/>
      <c r="N220" s="15"/>
      <c r="O220" s="15"/>
      <c r="P220" s="15"/>
      <c r="Q220" s="15"/>
      <c r="R220" s="15"/>
      <c r="S220" s="15"/>
      <c r="T220" s="15"/>
      <c r="U220" s="15"/>
      <c r="V220" s="15"/>
      <c r="W220" s="15"/>
      <c r="X220" s="15"/>
    </row>
    <row r="221" spans="6:24" s="21" customFormat="1" ht="14.25" x14ac:dyDescent="0.45">
      <c r="F221" s="119">
        <v>43759</v>
      </c>
      <c r="G221" s="52">
        <v>284.57794200000001</v>
      </c>
      <c r="H221" s="52">
        <v>89.687034999999995</v>
      </c>
      <c r="I221" s="120">
        <f t="shared" si="6"/>
        <v>6.7792308327232487E-3</v>
      </c>
      <c r="J221" s="120">
        <f t="shared" si="7"/>
        <v>1.0924734323314311E-4</v>
      </c>
      <c r="K221"/>
      <c r="M221" s="15"/>
      <c r="N221" s="15"/>
      <c r="O221" s="15"/>
      <c r="P221" s="15"/>
      <c r="Q221" s="15"/>
      <c r="R221" s="15"/>
      <c r="S221" s="15"/>
      <c r="T221" s="15"/>
      <c r="U221" s="15"/>
      <c r="V221" s="15"/>
      <c r="W221" s="15"/>
      <c r="X221" s="15"/>
    </row>
    <row r="222" spans="6:24" s="21" customFormat="1" ht="14.25" x14ac:dyDescent="0.45">
      <c r="F222" s="119">
        <v>43760</v>
      </c>
      <c r="G222" s="52">
        <v>283.64828499999999</v>
      </c>
      <c r="H222" s="52">
        <v>89.687034999999995</v>
      </c>
      <c r="I222" s="120">
        <f t="shared" si="6"/>
        <v>-3.2667921957212354E-3</v>
      </c>
      <c r="J222" s="120">
        <f t="shared" si="7"/>
        <v>0</v>
      </c>
      <c r="K222"/>
      <c r="M222" s="15"/>
      <c r="N222" s="15"/>
      <c r="O222" s="15"/>
      <c r="P222" s="15"/>
      <c r="Q222" s="15"/>
      <c r="R222" s="15"/>
      <c r="S222" s="15"/>
      <c r="T222" s="15"/>
      <c r="U222" s="15"/>
      <c r="V222" s="15"/>
      <c r="W222" s="15"/>
      <c r="X222" s="15"/>
    </row>
    <row r="223" spans="6:24" s="21" customFormat="1" ht="14.25" x14ac:dyDescent="0.45">
      <c r="F223" s="119">
        <v>43761</v>
      </c>
      <c r="G223" s="52">
        <v>284.47366299999999</v>
      </c>
      <c r="H223" s="52">
        <v>89.687034999999995</v>
      </c>
      <c r="I223" s="120">
        <f t="shared" si="6"/>
        <v>2.9098642355620541E-3</v>
      </c>
      <c r="J223" s="120">
        <f t="shared" si="7"/>
        <v>0</v>
      </c>
      <c r="K223"/>
      <c r="M223" s="15"/>
      <c r="N223" s="15"/>
      <c r="O223" s="15"/>
      <c r="P223" s="15"/>
      <c r="Q223" s="15"/>
      <c r="R223" s="15"/>
      <c r="S223" s="15"/>
      <c r="T223" s="15"/>
      <c r="U223" s="15"/>
      <c r="V223" s="15"/>
      <c r="W223" s="15"/>
      <c r="X223" s="15"/>
    </row>
    <row r="224" spans="6:24" s="21" customFormat="1" ht="14.25" x14ac:dyDescent="0.45">
      <c r="F224" s="119">
        <v>43762</v>
      </c>
      <c r="G224" s="52">
        <v>284.938446</v>
      </c>
      <c r="H224" s="52">
        <v>89.706619000000003</v>
      </c>
      <c r="I224" s="120">
        <f t="shared" si="6"/>
        <v>1.6338349044284772E-3</v>
      </c>
      <c r="J224" s="120">
        <f t="shared" si="7"/>
        <v>2.1835932027425287E-4</v>
      </c>
      <c r="K224"/>
      <c r="M224" s="15"/>
      <c r="N224" s="15"/>
      <c r="O224" s="15"/>
      <c r="P224" s="15"/>
      <c r="Q224" s="15"/>
      <c r="R224" s="15"/>
      <c r="S224" s="15"/>
      <c r="T224" s="15"/>
      <c r="U224" s="15"/>
      <c r="V224" s="15"/>
      <c r="W224" s="15"/>
      <c r="X224" s="15"/>
    </row>
    <row r="225" spans="6:24" s="21" customFormat="1" ht="14.25" x14ac:dyDescent="0.45">
      <c r="F225" s="119">
        <v>43763</v>
      </c>
      <c r="G225" s="52">
        <v>286.10519399999998</v>
      </c>
      <c r="H225" s="52">
        <v>89.706619000000003</v>
      </c>
      <c r="I225" s="120">
        <f t="shared" si="6"/>
        <v>4.0947370085677726E-3</v>
      </c>
      <c r="J225" s="120">
        <f t="shared" si="7"/>
        <v>0</v>
      </c>
      <c r="K225"/>
      <c r="M225" s="15"/>
      <c r="N225" s="15"/>
      <c r="O225" s="15"/>
      <c r="P225" s="15"/>
      <c r="Q225" s="15"/>
      <c r="R225" s="15"/>
      <c r="S225" s="15"/>
      <c r="T225" s="15"/>
      <c r="U225" s="15"/>
      <c r="V225" s="15"/>
      <c r="W225" s="15"/>
      <c r="X225" s="15"/>
    </row>
    <row r="226" spans="6:24" s="21" customFormat="1" ht="14.25" x14ac:dyDescent="0.45">
      <c r="F226" s="119">
        <v>43766</v>
      </c>
      <c r="G226" s="52">
        <v>287.71792599999998</v>
      </c>
      <c r="H226" s="52">
        <v>89.696815000000001</v>
      </c>
      <c r="I226" s="120">
        <f t="shared" si="6"/>
        <v>5.6368497805041606E-3</v>
      </c>
      <c r="J226" s="120">
        <f t="shared" si="7"/>
        <v>-1.0928959433864627E-4</v>
      </c>
      <c r="K226"/>
      <c r="M226" s="15"/>
      <c r="N226" s="15"/>
      <c r="O226" s="15"/>
      <c r="P226" s="15"/>
      <c r="Q226" s="15"/>
      <c r="R226" s="15"/>
      <c r="S226" s="15"/>
      <c r="T226" s="15"/>
      <c r="U226" s="15"/>
      <c r="V226" s="15"/>
      <c r="W226" s="15"/>
      <c r="X226" s="15"/>
    </row>
    <row r="227" spans="6:24" s="21" customFormat="1" ht="14.25" x14ac:dyDescent="0.45">
      <c r="F227" s="119">
        <v>43767</v>
      </c>
      <c r="G227" s="52">
        <v>287.63247699999999</v>
      </c>
      <c r="H227" s="52">
        <v>89.716431</v>
      </c>
      <c r="I227" s="120">
        <f t="shared" si="6"/>
        <v>-2.9698879450412718E-4</v>
      </c>
      <c r="J227" s="120">
        <f t="shared" si="7"/>
        <v>2.1869226906212624E-4</v>
      </c>
      <c r="K227"/>
      <c r="M227" s="15"/>
      <c r="N227" s="15"/>
      <c r="O227" s="15"/>
      <c r="P227" s="15"/>
      <c r="Q227" s="15"/>
      <c r="R227" s="15"/>
      <c r="S227" s="15"/>
      <c r="T227" s="15"/>
      <c r="U227" s="15"/>
      <c r="V227" s="15"/>
      <c r="W227" s="15"/>
      <c r="X227" s="15"/>
    </row>
    <row r="228" spans="6:24" s="21" customFormat="1" ht="14.25" x14ac:dyDescent="0.45">
      <c r="F228" s="119">
        <v>43768</v>
      </c>
      <c r="G228" s="52">
        <v>288.514771</v>
      </c>
      <c r="H228" s="52">
        <v>89.726212000000004</v>
      </c>
      <c r="I228" s="120">
        <f t="shared" si="6"/>
        <v>3.0674352534953986E-3</v>
      </c>
      <c r="J228" s="120">
        <f t="shared" si="7"/>
        <v>1.090212783876332E-4</v>
      </c>
      <c r="K228"/>
      <c r="M228" s="15"/>
      <c r="N228" s="15"/>
      <c r="O228" s="15"/>
      <c r="P228" s="15"/>
      <c r="Q228" s="15"/>
      <c r="R228" s="15"/>
      <c r="S228" s="15"/>
      <c r="T228" s="15"/>
      <c r="U228" s="15"/>
      <c r="V228" s="15"/>
      <c r="W228" s="15"/>
      <c r="X228" s="15"/>
    </row>
    <row r="229" spans="6:24" s="21" customFormat="1" ht="14.25" x14ac:dyDescent="0.45">
      <c r="F229" s="119">
        <v>43769</v>
      </c>
      <c r="G229" s="52">
        <v>287.74636800000002</v>
      </c>
      <c r="H229" s="52">
        <v>89.736007999999998</v>
      </c>
      <c r="I229" s="120">
        <f t="shared" si="6"/>
        <v>-2.6633055816749351E-3</v>
      </c>
      <c r="J229" s="120">
        <f t="shared" si="7"/>
        <v>1.0917656927267316E-4</v>
      </c>
      <c r="K229"/>
      <c r="M229" s="15"/>
      <c r="N229" s="15"/>
      <c r="O229" s="15"/>
      <c r="P229" s="15"/>
      <c r="Q229" s="15"/>
      <c r="R229" s="15"/>
      <c r="S229" s="15"/>
      <c r="T229" s="15"/>
      <c r="U229" s="15"/>
      <c r="V229" s="15"/>
      <c r="W229" s="15"/>
      <c r="X229" s="15"/>
    </row>
    <row r="230" spans="6:24" s="21" customFormat="1" ht="14.25" x14ac:dyDescent="0.45">
      <c r="F230" s="119">
        <v>43770</v>
      </c>
      <c r="G230" s="52">
        <v>290.41195699999997</v>
      </c>
      <c r="H230" s="52">
        <v>89.735039</v>
      </c>
      <c r="I230" s="120">
        <f t="shared" si="6"/>
        <v>9.2636755713975116E-3</v>
      </c>
      <c r="J230" s="120">
        <f t="shared" si="7"/>
        <v>-1.0798340839945908E-5</v>
      </c>
      <c r="K230"/>
      <c r="M230" s="15"/>
      <c r="N230" s="15"/>
      <c r="O230" s="15"/>
      <c r="P230" s="15"/>
      <c r="Q230" s="15"/>
      <c r="R230" s="15"/>
      <c r="S230" s="15"/>
      <c r="T230" s="15"/>
      <c r="U230" s="15"/>
      <c r="V230" s="15"/>
      <c r="W230" s="15"/>
      <c r="X230" s="15"/>
    </row>
    <row r="231" spans="6:24" s="21" customFormat="1" ht="14.25" x14ac:dyDescent="0.45">
      <c r="F231" s="119">
        <v>43773</v>
      </c>
      <c r="G231" s="52">
        <v>291.57879600000001</v>
      </c>
      <c r="H231" s="52">
        <v>89.74485</v>
      </c>
      <c r="I231" s="120">
        <f t="shared" si="6"/>
        <v>4.017875200641452E-3</v>
      </c>
      <c r="J231" s="120">
        <f t="shared" si="7"/>
        <v>1.0933298864457264E-4</v>
      </c>
      <c r="K231"/>
      <c r="M231" s="15"/>
      <c r="N231" s="15"/>
      <c r="O231" s="15"/>
      <c r="P231" s="15"/>
      <c r="Q231" s="15"/>
      <c r="R231" s="15"/>
      <c r="S231" s="15"/>
      <c r="T231" s="15"/>
      <c r="U231" s="15"/>
      <c r="V231" s="15"/>
      <c r="W231" s="15"/>
      <c r="X231" s="15"/>
    </row>
    <row r="232" spans="6:24" s="21" customFormat="1" ht="14.25" x14ac:dyDescent="0.45">
      <c r="F232" s="119">
        <v>43774</v>
      </c>
      <c r="G232" s="52">
        <v>291.25622600000003</v>
      </c>
      <c r="H232" s="52">
        <v>89.735039</v>
      </c>
      <c r="I232" s="120">
        <f t="shared" si="6"/>
        <v>-1.1062875779210835E-3</v>
      </c>
      <c r="J232" s="120">
        <f t="shared" si="7"/>
        <v>-1.0932103624883283E-4</v>
      </c>
      <c r="K232"/>
      <c r="M232" s="15"/>
      <c r="N232" s="15"/>
      <c r="O232" s="15"/>
      <c r="P232" s="15"/>
      <c r="Q232" s="15"/>
      <c r="R232" s="15"/>
      <c r="S232" s="15"/>
      <c r="T232" s="15"/>
      <c r="U232" s="15"/>
      <c r="V232" s="15"/>
      <c r="W232" s="15"/>
      <c r="X232" s="15"/>
    </row>
    <row r="233" spans="6:24" s="21" customFormat="1" ht="14.25" x14ac:dyDescent="0.45">
      <c r="F233" s="119">
        <v>43775</v>
      </c>
      <c r="G233" s="52">
        <v>291.322632</v>
      </c>
      <c r="H233" s="52">
        <v>89.74485</v>
      </c>
      <c r="I233" s="120">
        <f t="shared" si="6"/>
        <v>2.2799855959121373E-4</v>
      </c>
      <c r="J233" s="120">
        <f t="shared" si="7"/>
        <v>1.0933298864457264E-4</v>
      </c>
      <c r="K233"/>
      <c r="M233" s="15"/>
      <c r="N233" s="15"/>
      <c r="O233" s="15"/>
      <c r="P233" s="15"/>
      <c r="Q233" s="15"/>
      <c r="R233" s="15"/>
      <c r="S233" s="15"/>
      <c r="T233" s="15"/>
      <c r="U233" s="15"/>
      <c r="V233" s="15"/>
      <c r="W233" s="15"/>
      <c r="X233" s="15"/>
    </row>
    <row r="234" spans="6:24" s="21" customFormat="1" ht="14.25" x14ac:dyDescent="0.45">
      <c r="F234" s="119">
        <v>43776</v>
      </c>
      <c r="G234" s="52">
        <v>292.34716800000001</v>
      </c>
      <c r="H234" s="52">
        <v>89.764472999999995</v>
      </c>
      <c r="I234" s="120">
        <f t="shared" si="6"/>
        <v>3.5168431404257738E-3</v>
      </c>
      <c r="J234" s="120">
        <f t="shared" si="7"/>
        <v>2.1865321519842773E-4</v>
      </c>
      <c r="K234"/>
      <c r="M234" s="15"/>
      <c r="N234" s="15"/>
      <c r="O234" s="15"/>
      <c r="P234" s="15"/>
      <c r="Q234" s="15"/>
      <c r="R234" s="15"/>
      <c r="S234" s="15"/>
      <c r="T234" s="15"/>
      <c r="U234" s="15"/>
      <c r="V234" s="15"/>
      <c r="W234" s="15"/>
      <c r="X234" s="15"/>
    </row>
    <row r="235" spans="6:24" s="21" customFormat="1" ht="14.25" x14ac:dyDescent="0.45">
      <c r="F235" s="119">
        <v>43777</v>
      </c>
      <c r="G235" s="52">
        <v>293.06811499999998</v>
      </c>
      <c r="H235" s="52">
        <v>89.764472999999995</v>
      </c>
      <c r="I235" s="120">
        <f t="shared" si="6"/>
        <v>2.4660645934493353E-3</v>
      </c>
      <c r="J235" s="120">
        <f t="shared" si="7"/>
        <v>0</v>
      </c>
      <c r="K235"/>
      <c r="M235" s="15"/>
      <c r="N235" s="15"/>
      <c r="O235" s="15"/>
      <c r="P235" s="15"/>
      <c r="Q235" s="15"/>
      <c r="R235" s="15"/>
      <c r="S235" s="15"/>
      <c r="T235" s="15"/>
      <c r="U235" s="15"/>
      <c r="V235" s="15"/>
      <c r="W235" s="15"/>
      <c r="X235" s="15"/>
    </row>
    <row r="236" spans="6:24" s="21" customFormat="1" ht="14.25" x14ac:dyDescent="0.45">
      <c r="F236" s="119">
        <v>43780</v>
      </c>
      <c r="G236" s="52">
        <v>292.50845299999997</v>
      </c>
      <c r="H236" s="52">
        <v>89.764472999999995</v>
      </c>
      <c r="I236" s="120">
        <f t="shared" si="6"/>
        <v>-1.9096652667247582E-3</v>
      </c>
      <c r="J236" s="120">
        <f t="shared" si="7"/>
        <v>0</v>
      </c>
      <c r="K236"/>
      <c r="M236" s="15"/>
      <c r="N236" s="15"/>
      <c r="O236" s="15"/>
      <c r="P236" s="15"/>
      <c r="Q236" s="15"/>
      <c r="R236" s="15"/>
      <c r="S236" s="15"/>
      <c r="T236" s="15"/>
      <c r="U236" s="15"/>
      <c r="V236" s="15"/>
      <c r="W236" s="15"/>
      <c r="X236" s="15"/>
    </row>
    <row r="237" spans="6:24" s="21" customFormat="1" ht="14.25" x14ac:dyDescent="0.45">
      <c r="F237" s="119">
        <v>43781</v>
      </c>
      <c r="G237" s="52">
        <v>293.12506100000002</v>
      </c>
      <c r="H237" s="52">
        <v>89.774269000000004</v>
      </c>
      <c r="I237" s="120">
        <f t="shared" si="6"/>
        <v>2.1080006190454803E-3</v>
      </c>
      <c r="J237" s="120">
        <f t="shared" si="7"/>
        <v>1.0913003410606414E-4</v>
      </c>
      <c r="K237"/>
      <c r="M237" s="15"/>
      <c r="N237" s="15"/>
      <c r="O237" s="15"/>
      <c r="P237" s="15"/>
      <c r="Q237" s="15"/>
      <c r="R237" s="15"/>
      <c r="S237" s="15"/>
      <c r="T237" s="15"/>
      <c r="U237" s="15"/>
      <c r="V237" s="15"/>
      <c r="W237" s="15"/>
      <c r="X237" s="15"/>
    </row>
    <row r="238" spans="6:24" s="21" customFormat="1" ht="14.25" x14ac:dyDescent="0.45">
      <c r="F238" s="119">
        <v>43782</v>
      </c>
      <c r="G238" s="52">
        <v>293.21994000000001</v>
      </c>
      <c r="H238" s="52">
        <v>89.774269000000004</v>
      </c>
      <c r="I238" s="120">
        <f t="shared" si="6"/>
        <v>3.236809560953624E-4</v>
      </c>
      <c r="J238" s="120">
        <f t="shared" si="7"/>
        <v>0</v>
      </c>
      <c r="K238"/>
      <c r="M238" s="15"/>
      <c r="N238" s="15"/>
      <c r="O238" s="15"/>
      <c r="P238" s="15"/>
      <c r="Q238" s="15"/>
      <c r="R238" s="15"/>
      <c r="S238" s="15"/>
      <c r="T238" s="15"/>
      <c r="U238" s="15"/>
      <c r="V238" s="15"/>
      <c r="W238" s="15"/>
      <c r="X238" s="15"/>
    </row>
    <row r="239" spans="6:24" s="21" customFormat="1" ht="14.25" x14ac:dyDescent="0.45">
      <c r="F239" s="119">
        <v>43783</v>
      </c>
      <c r="G239" s="52">
        <v>293.64681999999999</v>
      </c>
      <c r="H239" s="52">
        <v>89.784087999999997</v>
      </c>
      <c r="I239" s="120">
        <f t="shared" si="6"/>
        <v>1.4558355069576034E-3</v>
      </c>
      <c r="J239" s="120">
        <f t="shared" si="7"/>
        <v>1.0937432417290616E-4</v>
      </c>
      <c r="K239"/>
      <c r="M239" s="15"/>
      <c r="N239" s="15"/>
      <c r="O239" s="15"/>
      <c r="P239" s="15"/>
      <c r="Q239" s="15"/>
      <c r="R239" s="15"/>
      <c r="S239" s="15"/>
      <c r="T239" s="15"/>
      <c r="U239" s="15"/>
      <c r="V239" s="15"/>
      <c r="W239" s="15"/>
      <c r="X239" s="15"/>
    </row>
    <row r="240" spans="6:24" s="21" customFormat="1" ht="14.25" x14ac:dyDescent="0.45">
      <c r="F240" s="119">
        <v>43784</v>
      </c>
      <c r="G240" s="52">
        <v>295.77172899999999</v>
      </c>
      <c r="H240" s="52">
        <v>89.774269000000004</v>
      </c>
      <c r="I240" s="120">
        <f t="shared" si="6"/>
        <v>7.236274515079133E-3</v>
      </c>
      <c r="J240" s="120">
        <f t="shared" si="7"/>
        <v>-1.0936236273839661E-4</v>
      </c>
      <c r="K240"/>
      <c r="M240" s="15"/>
      <c r="N240" s="15"/>
      <c r="O240" s="15"/>
      <c r="P240" s="15"/>
      <c r="Q240" s="15"/>
      <c r="R240" s="15"/>
      <c r="S240" s="15"/>
      <c r="T240" s="15"/>
      <c r="U240" s="15"/>
      <c r="V240" s="15"/>
      <c r="W240" s="15"/>
      <c r="X240" s="15"/>
    </row>
    <row r="241" spans="6:24" s="21" customFormat="1" ht="14.25" x14ac:dyDescent="0.45">
      <c r="F241" s="119">
        <v>43787</v>
      </c>
      <c r="G241" s="52">
        <v>295.989868</v>
      </c>
      <c r="H241" s="52">
        <v>89.793869000000001</v>
      </c>
      <c r="I241" s="120">
        <f t="shared" si="6"/>
        <v>7.3752484978029109E-4</v>
      </c>
      <c r="J241" s="120">
        <f t="shared" si="7"/>
        <v>2.1832536447607964E-4</v>
      </c>
      <c r="K241"/>
      <c r="M241" s="15"/>
      <c r="N241" s="15"/>
      <c r="O241" s="15"/>
      <c r="P241" s="15"/>
      <c r="Q241" s="15"/>
      <c r="R241" s="15"/>
      <c r="S241" s="15"/>
      <c r="T241" s="15"/>
      <c r="U241" s="15"/>
      <c r="V241" s="15"/>
      <c r="W241" s="15"/>
      <c r="X241" s="15"/>
    </row>
    <row r="242" spans="6:24" s="21" customFormat="1" ht="14.25" x14ac:dyDescent="0.45">
      <c r="F242" s="119">
        <v>43788</v>
      </c>
      <c r="G242" s="52">
        <v>295.90447999999998</v>
      </c>
      <c r="H242" s="52">
        <v>89.784087999999997</v>
      </c>
      <c r="I242" s="120">
        <f t="shared" si="6"/>
        <v>-2.8848284766291865E-4</v>
      </c>
      <c r="J242" s="120">
        <f t="shared" si="7"/>
        <v>-1.0892725871969322E-4</v>
      </c>
      <c r="K242"/>
      <c r="M242" s="15"/>
      <c r="N242" s="15"/>
      <c r="O242" s="15"/>
      <c r="P242" s="15"/>
      <c r="Q242" s="15"/>
      <c r="R242" s="15"/>
      <c r="S242" s="15"/>
      <c r="T242" s="15"/>
      <c r="U242" s="15"/>
      <c r="V242" s="15"/>
      <c r="W242" s="15"/>
      <c r="X242" s="15"/>
    </row>
    <row r="243" spans="6:24" s="21" customFormat="1" ht="14.25" x14ac:dyDescent="0.45">
      <c r="F243" s="119">
        <v>43789</v>
      </c>
      <c r="G243" s="52">
        <v>294.80413800000002</v>
      </c>
      <c r="H243" s="52">
        <v>89.793869000000001</v>
      </c>
      <c r="I243" s="120">
        <f t="shared" si="6"/>
        <v>-3.7185716147317693E-3</v>
      </c>
      <c r="J243" s="120">
        <f t="shared" si="7"/>
        <v>1.0893912515985704E-4</v>
      </c>
      <c r="K243"/>
      <c r="M243" s="15"/>
      <c r="N243" s="15"/>
      <c r="O243" s="15"/>
      <c r="P243" s="15"/>
      <c r="Q243" s="15"/>
      <c r="R243" s="15"/>
      <c r="S243" s="15"/>
      <c r="T243" s="15"/>
      <c r="U243" s="15"/>
      <c r="V243" s="15"/>
      <c r="W243" s="15"/>
      <c r="X243" s="15"/>
    </row>
    <row r="244" spans="6:24" s="21" customFormat="1" ht="14.25" x14ac:dyDescent="0.45">
      <c r="F244" s="119">
        <v>43790</v>
      </c>
      <c r="G244" s="52">
        <v>294.32986499999998</v>
      </c>
      <c r="H244" s="52">
        <v>89.793869000000001</v>
      </c>
      <c r="I244" s="120">
        <f t="shared" si="6"/>
        <v>-1.6087732119962617E-3</v>
      </c>
      <c r="J244" s="120">
        <f t="shared" si="7"/>
        <v>0</v>
      </c>
      <c r="K244"/>
      <c r="M244" s="15"/>
      <c r="N244" s="15"/>
      <c r="O244" s="15"/>
      <c r="P244" s="15"/>
      <c r="Q244" s="15"/>
      <c r="R244" s="15"/>
      <c r="S244" s="15"/>
      <c r="T244" s="15"/>
      <c r="U244" s="15"/>
      <c r="V244" s="15"/>
      <c r="W244" s="15"/>
      <c r="X244" s="15"/>
    </row>
    <row r="245" spans="6:24" s="21" customFormat="1" ht="14.25" x14ac:dyDescent="0.45">
      <c r="F245" s="119">
        <v>43791</v>
      </c>
      <c r="G245" s="52">
        <v>294.984375</v>
      </c>
      <c r="H245" s="52">
        <v>89.803711000000007</v>
      </c>
      <c r="I245" s="120">
        <f t="shared" si="6"/>
        <v>2.2237294880016467E-3</v>
      </c>
      <c r="J245" s="120">
        <f t="shared" si="7"/>
        <v>1.0960659240555337E-4</v>
      </c>
      <c r="K245"/>
      <c r="M245" s="15"/>
      <c r="N245" s="15"/>
      <c r="O245" s="15"/>
      <c r="P245" s="15"/>
      <c r="Q245" s="15"/>
      <c r="R245" s="15"/>
      <c r="S245" s="15"/>
      <c r="T245" s="15"/>
      <c r="U245" s="15"/>
      <c r="V245" s="15"/>
      <c r="W245" s="15"/>
      <c r="X245" s="15"/>
    </row>
    <row r="246" spans="6:24" s="21" customFormat="1" ht="14.25" x14ac:dyDescent="0.45">
      <c r="F246" s="119">
        <v>43794</v>
      </c>
      <c r="G246" s="52">
        <v>297.27050800000001</v>
      </c>
      <c r="H246" s="52">
        <v>89.803711000000007</v>
      </c>
      <c r="I246" s="120">
        <f t="shared" si="6"/>
        <v>7.7500138778536787E-3</v>
      </c>
      <c r="J246" s="120">
        <f t="shared" si="7"/>
        <v>0</v>
      </c>
      <c r="K246"/>
      <c r="M246" s="15"/>
      <c r="N246" s="15"/>
      <c r="O246" s="15"/>
      <c r="P246" s="15"/>
      <c r="Q246" s="15"/>
      <c r="R246" s="15"/>
      <c r="S246" s="15"/>
      <c r="T246" s="15"/>
      <c r="U246" s="15"/>
      <c r="V246" s="15"/>
      <c r="W246" s="15"/>
      <c r="X246" s="15"/>
    </row>
    <row r="247" spans="6:24" s="21" customFormat="1" ht="14.25" x14ac:dyDescent="0.45">
      <c r="F247" s="119">
        <v>43795</v>
      </c>
      <c r="G247" s="52">
        <v>297.94406099999998</v>
      </c>
      <c r="H247" s="52">
        <v>89.813522000000006</v>
      </c>
      <c r="I247" s="120">
        <f t="shared" si="6"/>
        <v>2.2657915328754274E-3</v>
      </c>
      <c r="J247" s="120">
        <f t="shared" si="7"/>
        <v>1.092493828012131E-4</v>
      </c>
      <c r="K247"/>
      <c r="M247" s="15"/>
      <c r="N247" s="15"/>
      <c r="O247" s="15"/>
      <c r="P247" s="15"/>
      <c r="Q247" s="15"/>
      <c r="R247" s="15"/>
      <c r="S247" s="15"/>
      <c r="T247" s="15"/>
      <c r="U247" s="15"/>
      <c r="V247" s="15"/>
      <c r="W247" s="15"/>
      <c r="X247" s="15"/>
    </row>
    <row r="248" spans="6:24" s="21" customFormat="1" ht="14.25" x14ac:dyDescent="0.45">
      <c r="F248" s="119">
        <v>43796</v>
      </c>
      <c r="G248" s="52">
        <v>299.272156</v>
      </c>
      <c r="H248" s="52">
        <v>89.833145000000002</v>
      </c>
      <c r="I248" s="120">
        <f t="shared" si="6"/>
        <v>4.4575313753276724E-3</v>
      </c>
      <c r="J248" s="120">
        <f t="shared" si="7"/>
        <v>2.1848603153529211E-4</v>
      </c>
      <c r="K248"/>
      <c r="M248" s="15"/>
      <c r="N248" s="15"/>
      <c r="O248" s="15"/>
      <c r="P248" s="15"/>
      <c r="Q248" s="15"/>
      <c r="R248" s="15"/>
      <c r="S248" s="15"/>
      <c r="T248" s="15"/>
      <c r="U248" s="15"/>
      <c r="V248" s="15"/>
      <c r="W248" s="15"/>
      <c r="X248" s="15"/>
    </row>
    <row r="249" spans="6:24" s="21" customFormat="1" ht="14.25" x14ac:dyDescent="0.45">
      <c r="F249" s="119">
        <v>43798</v>
      </c>
      <c r="G249" s="52">
        <v>298.16229199999998</v>
      </c>
      <c r="H249" s="52">
        <v>89.833145000000002</v>
      </c>
      <c r="I249" s="120">
        <f t="shared" si="6"/>
        <v>-3.7085441386669471E-3</v>
      </c>
      <c r="J249" s="120">
        <f t="shared" si="7"/>
        <v>0</v>
      </c>
      <c r="K249"/>
      <c r="M249" s="15"/>
      <c r="N249" s="15"/>
      <c r="O249" s="15"/>
      <c r="P249" s="15"/>
      <c r="Q249" s="15"/>
      <c r="R249" s="15"/>
      <c r="S249" s="15"/>
      <c r="T249" s="15"/>
      <c r="U249" s="15"/>
      <c r="V249" s="15"/>
      <c r="W249" s="15"/>
      <c r="X249" s="15"/>
    </row>
    <row r="250" spans="6:24" s="21" customFormat="1" ht="14.25" x14ac:dyDescent="0.45">
      <c r="F250" s="119">
        <v>43801</v>
      </c>
      <c r="G250" s="52">
        <v>295.62942500000003</v>
      </c>
      <c r="H250" s="52">
        <v>89.840012000000002</v>
      </c>
      <c r="I250" s="120">
        <f t="shared" si="6"/>
        <v>-8.4949273196489594E-3</v>
      </c>
      <c r="J250" s="120">
        <f t="shared" si="7"/>
        <v>7.6441718699804539E-5</v>
      </c>
      <c r="K250"/>
      <c r="M250" s="15"/>
      <c r="N250" s="15"/>
      <c r="O250" s="15"/>
      <c r="P250" s="15"/>
      <c r="Q250" s="15"/>
      <c r="R250" s="15"/>
      <c r="S250" s="15"/>
      <c r="T250" s="15"/>
      <c r="U250" s="15"/>
      <c r="V250" s="15"/>
      <c r="W250" s="15"/>
      <c r="X250" s="15"/>
    </row>
    <row r="251" spans="6:24" s="21" customFormat="1" ht="14.25" x14ac:dyDescent="0.45">
      <c r="F251" s="119">
        <v>43802</v>
      </c>
      <c r="G251" s="52">
        <v>293.64681999999999</v>
      </c>
      <c r="H251" s="52">
        <v>89.830214999999995</v>
      </c>
      <c r="I251" s="120">
        <f t="shared" si="6"/>
        <v>-6.7063858748162009E-3</v>
      </c>
      <c r="J251" s="120">
        <f t="shared" si="7"/>
        <v>-1.0904940662748164E-4</v>
      </c>
      <c r="K251"/>
      <c r="M251" s="15"/>
      <c r="N251" s="15"/>
      <c r="O251" s="15"/>
      <c r="P251" s="15"/>
      <c r="Q251" s="15"/>
      <c r="R251" s="15"/>
      <c r="S251" s="15"/>
      <c r="T251" s="15"/>
      <c r="U251" s="15"/>
      <c r="V251" s="15"/>
      <c r="W251" s="15"/>
      <c r="X251" s="15"/>
    </row>
    <row r="252" spans="6:24" s="21" customFormat="1" ht="14.25" x14ac:dyDescent="0.45">
      <c r="F252" s="119">
        <v>43803</v>
      </c>
      <c r="G252" s="52">
        <v>295.45867900000002</v>
      </c>
      <c r="H252" s="52">
        <v>89.840012000000002</v>
      </c>
      <c r="I252" s="120">
        <f t="shared" si="6"/>
        <v>6.1701979268837803E-3</v>
      </c>
      <c r="J252" s="120">
        <f t="shared" si="7"/>
        <v>1.0906129969745493E-4</v>
      </c>
      <c r="K252"/>
      <c r="M252" s="15"/>
      <c r="N252" s="15"/>
      <c r="O252" s="15"/>
      <c r="P252" s="15"/>
      <c r="Q252" s="15"/>
      <c r="R252" s="15"/>
      <c r="S252" s="15"/>
      <c r="T252" s="15"/>
      <c r="U252" s="15"/>
      <c r="V252" s="15"/>
      <c r="W252" s="15"/>
      <c r="X252" s="15"/>
    </row>
    <row r="253" spans="6:24" s="21" customFormat="1" ht="14.25" x14ac:dyDescent="0.45">
      <c r="F253" s="119">
        <v>43804</v>
      </c>
      <c r="G253" s="52">
        <v>295.989868</v>
      </c>
      <c r="H253" s="52">
        <v>89.859673000000001</v>
      </c>
      <c r="I253" s="120">
        <f t="shared" si="6"/>
        <v>1.7978453088527413E-3</v>
      </c>
      <c r="J253" s="120">
        <f t="shared" si="7"/>
        <v>2.1884458341348001E-4</v>
      </c>
      <c r="K253"/>
      <c r="M253" s="15"/>
      <c r="N253" s="15"/>
      <c r="O253" s="15"/>
      <c r="P253" s="15"/>
      <c r="Q253" s="15"/>
      <c r="R253" s="15"/>
      <c r="S253" s="15"/>
      <c r="T253" s="15"/>
      <c r="U253" s="15"/>
      <c r="V253" s="15"/>
      <c r="W253" s="15"/>
      <c r="X253" s="15"/>
    </row>
    <row r="254" spans="6:24" s="21" customFormat="1" ht="14.25" x14ac:dyDescent="0.45">
      <c r="F254" s="119">
        <v>43805</v>
      </c>
      <c r="G254" s="52">
        <v>298.69348100000002</v>
      </c>
      <c r="H254" s="52">
        <v>89.859673000000001</v>
      </c>
      <c r="I254" s="120">
        <f t="shared" si="6"/>
        <v>9.1341403618585559E-3</v>
      </c>
      <c r="J254" s="120">
        <f t="shared" si="7"/>
        <v>0</v>
      </c>
      <c r="K254"/>
      <c r="M254" s="15"/>
      <c r="N254" s="15"/>
      <c r="O254" s="15"/>
      <c r="P254" s="15"/>
      <c r="Q254" s="15"/>
      <c r="R254" s="15"/>
      <c r="S254" s="15"/>
      <c r="T254" s="15"/>
      <c r="U254" s="15"/>
      <c r="V254" s="15"/>
      <c r="W254" s="15"/>
      <c r="X254" s="15"/>
    </row>
    <row r="255" spans="6:24" s="21" customFormat="1" ht="14.25" x14ac:dyDescent="0.45">
      <c r="F255" s="119">
        <v>43808</v>
      </c>
      <c r="G255" s="52">
        <v>297.75433299999997</v>
      </c>
      <c r="H255" s="52">
        <v>89.869506999999999</v>
      </c>
      <c r="I255" s="120">
        <f t="shared" si="6"/>
        <v>-3.144186464518306E-3</v>
      </c>
      <c r="J255" s="120">
        <f t="shared" si="7"/>
        <v>1.094373000889437E-4</v>
      </c>
      <c r="K255"/>
      <c r="M255" s="15"/>
      <c r="N255" s="15"/>
      <c r="O255" s="15"/>
      <c r="P255" s="15"/>
      <c r="Q255" s="15"/>
      <c r="R255" s="15"/>
      <c r="S255" s="15"/>
      <c r="T255" s="15"/>
      <c r="U255" s="15"/>
      <c r="V255" s="15"/>
      <c r="W255" s="15"/>
      <c r="X255" s="15"/>
    </row>
    <row r="256" spans="6:24" s="21" customFormat="1" ht="14.25" x14ac:dyDescent="0.45">
      <c r="F256" s="119">
        <v>43809</v>
      </c>
      <c r="G256" s="52">
        <v>297.422302</v>
      </c>
      <c r="H256" s="52">
        <v>89.869506999999999</v>
      </c>
      <c r="I256" s="120">
        <f t="shared" si="6"/>
        <v>-1.1151172735409665E-3</v>
      </c>
      <c r="J256" s="120">
        <f t="shared" si="7"/>
        <v>0</v>
      </c>
      <c r="K256"/>
      <c r="M256" s="15"/>
      <c r="N256" s="15"/>
      <c r="O256" s="15"/>
      <c r="P256" s="15"/>
      <c r="Q256" s="15"/>
      <c r="R256" s="15"/>
      <c r="S256" s="15"/>
      <c r="T256" s="15"/>
      <c r="U256" s="15"/>
      <c r="V256" s="15"/>
      <c r="W256" s="15"/>
      <c r="X256" s="15"/>
    </row>
    <row r="257" spans="6:24" s="21" customFormat="1" ht="14.25" x14ac:dyDescent="0.45">
      <c r="F257" s="119">
        <v>43810</v>
      </c>
      <c r="G257" s="52">
        <v>298.26669299999998</v>
      </c>
      <c r="H257" s="52">
        <v>89.869506999999999</v>
      </c>
      <c r="I257" s="120">
        <f t="shared" si="6"/>
        <v>2.8390305445218367E-3</v>
      </c>
      <c r="J257" s="120">
        <f t="shared" si="7"/>
        <v>0</v>
      </c>
      <c r="K257"/>
      <c r="M257" s="15"/>
      <c r="N257" s="15"/>
      <c r="O257" s="15"/>
      <c r="P257" s="15"/>
      <c r="Q257" s="15"/>
      <c r="R257" s="15"/>
      <c r="S257" s="15"/>
      <c r="T257" s="15"/>
      <c r="U257" s="15"/>
      <c r="V257" s="15"/>
      <c r="W257" s="15"/>
      <c r="X257" s="15"/>
    </row>
    <row r="258" spans="6:24" s="21" customFormat="1" ht="14.25" x14ac:dyDescent="0.45">
      <c r="F258" s="119">
        <v>43811</v>
      </c>
      <c r="G258" s="52">
        <v>300.83737200000002</v>
      </c>
      <c r="H258" s="52">
        <v>89.889122</v>
      </c>
      <c r="I258" s="120">
        <f t="shared" si="6"/>
        <v>8.618726328923465E-3</v>
      </c>
      <c r="J258" s="120">
        <f t="shared" si="7"/>
        <v>2.1826090578191959E-4</v>
      </c>
      <c r="K258"/>
      <c r="M258" s="15"/>
      <c r="N258" s="15"/>
      <c r="O258" s="15"/>
      <c r="P258" s="15"/>
      <c r="Q258" s="15"/>
      <c r="R258" s="15"/>
      <c r="S258" s="15"/>
      <c r="T258" s="15"/>
      <c r="U258" s="15"/>
      <c r="V258" s="15"/>
      <c r="W258" s="15"/>
      <c r="X258" s="15"/>
    </row>
    <row r="259" spans="6:24" s="21" customFormat="1" ht="14.25" x14ac:dyDescent="0.45">
      <c r="F259" s="119">
        <v>43812</v>
      </c>
      <c r="G259" s="52">
        <v>301.01767000000001</v>
      </c>
      <c r="H259" s="52">
        <v>89.869506999999999</v>
      </c>
      <c r="I259" s="120">
        <f t="shared" si="6"/>
        <v>5.993204860199608E-4</v>
      </c>
      <c r="J259" s="120">
        <f t="shared" si="7"/>
        <v>-2.1821327835425119E-4</v>
      </c>
      <c r="K259"/>
      <c r="M259" s="15"/>
      <c r="N259" s="15"/>
      <c r="O259" s="15"/>
      <c r="P259" s="15"/>
      <c r="Q259" s="15"/>
      <c r="R259" s="15"/>
      <c r="S259" s="15"/>
      <c r="T259" s="15"/>
      <c r="U259" s="15"/>
      <c r="V259" s="15"/>
      <c r="W259" s="15"/>
      <c r="X259" s="15"/>
    </row>
    <row r="260" spans="6:24" s="21" customFormat="1" ht="14.25" x14ac:dyDescent="0.45">
      <c r="F260" s="119">
        <v>43815</v>
      </c>
      <c r="G260" s="52">
        <v>303.08563199999998</v>
      </c>
      <c r="H260" s="52">
        <v>89.889122</v>
      </c>
      <c r="I260" s="120">
        <f t="shared" si="6"/>
        <v>6.8699023549014804E-3</v>
      </c>
      <c r="J260" s="120">
        <f t="shared" si="7"/>
        <v>2.1826090578191959E-4</v>
      </c>
      <c r="K260"/>
      <c r="M260" s="15"/>
      <c r="N260" s="15"/>
      <c r="O260" s="15"/>
      <c r="P260" s="15"/>
      <c r="Q260" s="15"/>
      <c r="R260" s="15"/>
      <c r="S260" s="15"/>
      <c r="T260" s="15"/>
      <c r="U260" s="15"/>
      <c r="V260" s="15"/>
      <c r="W260" s="15"/>
      <c r="X260" s="15"/>
    </row>
    <row r="261" spans="6:24" s="21" customFormat="1" ht="14.25" x14ac:dyDescent="0.45">
      <c r="F261" s="119">
        <v>43816</v>
      </c>
      <c r="G261" s="52">
        <v>303.15200800000002</v>
      </c>
      <c r="H261" s="52">
        <v>89.879340999999997</v>
      </c>
      <c r="I261" s="120">
        <f t="shared" si="6"/>
        <v>2.1900081360515244E-4</v>
      </c>
      <c r="J261" s="120">
        <f t="shared" si="7"/>
        <v>-1.0881183153621521E-4</v>
      </c>
      <c r="K261"/>
      <c r="M261" s="15"/>
      <c r="N261" s="15"/>
      <c r="O261" s="15"/>
      <c r="P261" s="15"/>
      <c r="Q261" s="15"/>
      <c r="R261" s="15"/>
      <c r="S261" s="15"/>
      <c r="T261" s="15"/>
      <c r="U261" s="15"/>
      <c r="V261" s="15"/>
      <c r="W261" s="15"/>
      <c r="X261" s="15"/>
    </row>
    <row r="262" spans="6:24" s="21" customFormat="1" ht="14.25" x14ac:dyDescent="0.45">
      <c r="F262" s="119">
        <v>43817</v>
      </c>
      <c r="G262" s="52">
        <v>303.17095899999998</v>
      </c>
      <c r="H262" s="52">
        <v>89.898964000000007</v>
      </c>
      <c r="I262" s="120">
        <f t="shared" si="6"/>
        <v>6.2513193051172422E-5</v>
      </c>
      <c r="J262" s="120">
        <f t="shared" si="7"/>
        <v>2.1832603334304146E-4</v>
      </c>
      <c r="K262"/>
      <c r="M262" s="15"/>
      <c r="N262" s="15"/>
      <c r="O262" s="15"/>
      <c r="P262" s="15"/>
      <c r="Q262" s="15"/>
      <c r="R262" s="15"/>
      <c r="S262" s="15"/>
      <c r="T262" s="15"/>
      <c r="U262" s="15"/>
      <c r="V262" s="15"/>
      <c r="W262" s="15"/>
      <c r="X262" s="15"/>
    </row>
    <row r="263" spans="6:24" s="21" customFormat="1" ht="14.25" x14ac:dyDescent="0.45">
      <c r="F263" s="119">
        <v>43818</v>
      </c>
      <c r="G263" s="52">
        <v>304.41366599999998</v>
      </c>
      <c r="H263" s="52">
        <v>89.908783</v>
      </c>
      <c r="I263" s="120">
        <f t="shared" si="6"/>
        <v>4.0990304747494655E-3</v>
      </c>
      <c r="J263" s="120">
        <f t="shared" si="7"/>
        <v>1.0922261573553804E-4</v>
      </c>
      <c r="K263"/>
      <c r="M263" s="15"/>
      <c r="N263" s="15"/>
      <c r="O263" s="15"/>
      <c r="P263" s="15"/>
      <c r="Q263" s="15"/>
      <c r="R263" s="15"/>
      <c r="S263" s="15"/>
      <c r="T263" s="15"/>
      <c r="U263" s="15"/>
      <c r="V263" s="15"/>
      <c r="W263" s="15"/>
      <c r="X263" s="15"/>
    </row>
    <row r="264" spans="6:24" s="21" customFormat="1" ht="14.25" x14ac:dyDescent="0.45">
      <c r="F264" s="119">
        <v>43819</v>
      </c>
      <c r="G264" s="52">
        <v>305.74826000000002</v>
      </c>
      <c r="H264" s="52">
        <v>89.913703999999996</v>
      </c>
      <c r="I264" s="120">
        <f t="shared" si="6"/>
        <v>4.384146144083001E-3</v>
      </c>
      <c r="J264" s="120">
        <f t="shared" si="7"/>
        <v>5.4733251144023498E-5</v>
      </c>
      <c r="K264"/>
      <c r="M264" s="15"/>
      <c r="N264" s="15"/>
      <c r="O264" s="15"/>
      <c r="P264" s="15"/>
      <c r="Q264" s="15"/>
      <c r="R264" s="15"/>
      <c r="S264" s="15"/>
      <c r="T264" s="15"/>
      <c r="U264" s="15"/>
      <c r="V264" s="15"/>
      <c r="W264" s="15"/>
      <c r="X264" s="15"/>
    </row>
    <row r="265" spans="6:24" s="21" customFormat="1" ht="14.25" x14ac:dyDescent="0.45">
      <c r="F265" s="119">
        <v>43822</v>
      </c>
      <c r="G265" s="52">
        <v>306.21542399999998</v>
      </c>
      <c r="H265" s="52">
        <v>89.913703999999996</v>
      </c>
      <c r="I265" s="120">
        <f t="shared" si="6"/>
        <v>1.5279367411606959E-3</v>
      </c>
      <c r="J265" s="120">
        <f t="shared" si="7"/>
        <v>0</v>
      </c>
      <c r="K265"/>
      <c r="M265" s="15"/>
      <c r="N265" s="15"/>
      <c r="O265" s="15"/>
      <c r="P265" s="15"/>
      <c r="Q265" s="15"/>
      <c r="R265" s="15"/>
      <c r="S265" s="15"/>
      <c r="T265" s="15"/>
      <c r="U265" s="15"/>
      <c r="V265" s="15"/>
      <c r="W265" s="15"/>
      <c r="X265" s="15"/>
    </row>
    <row r="266" spans="6:24" s="21" customFormat="1" ht="14.25" x14ac:dyDescent="0.45">
      <c r="F266" s="119">
        <v>43823</v>
      </c>
      <c r="G266" s="52">
        <v>306.22500600000001</v>
      </c>
      <c r="H266" s="52">
        <v>89.923546000000002</v>
      </c>
      <c r="I266" s="120">
        <f t="shared" si="6"/>
        <v>3.1291696136248603E-5</v>
      </c>
      <c r="J266" s="120">
        <f t="shared" si="7"/>
        <v>1.0946051115867661E-4</v>
      </c>
      <c r="K266"/>
      <c r="M266" s="15"/>
      <c r="N266" s="15"/>
      <c r="O266" s="15"/>
      <c r="P266" s="15"/>
      <c r="Q266" s="15"/>
      <c r="R266" s="15"/>
      <c r="S266" s="15"/>
      <c r="T266" s="15"/>
      <c r="U266" s="15"/>
      <c r="V266" s="15"/>
      <c r="W266" s="15"/>
      <c r="X266" s="15"/>
    </row>
    <row r="267" spans="6:24" s="21" customFormat="1" ht="14.25" x14ac:dyDescent="0.45">
      <c r="F267" s="119">
        <v>43825</v>
      </c>
      <c r="G267" s="52">
        <v>307.85504200000003</v>
      </c>
      <c r="H267" s="52">
        <v>89.93338</v>
      </c>
      <c r="I267" s="120">
        <f t="shared" si="6"/>
        <v>5.3230009570153225E-3</v>
      </c>
      <c r="J267" s="120">
        <f t="shared" si="7"/>
        <v>1.0935956640323319E-4</v>
      </c>
      <c r="K267"/>
      <c r="M267" s="15"/>
      <c r="N267" s="15"/>
      <c r="O267" s="15"/>
      <c r="P267" s="15"/>
      <c r="Q267" s="15"/>
      <c r="R267" s="15"/>
      <c r="S267" s="15"/>
      <c r="T267" s="15"/>
      <c r="U267" s="15"/>
      <c r="V267" s="15"/>
      <c r="W267" s="15"/>
      <c r="X267" s="15"/>
    </row>
    <row r="268" spans="6:24" s="21" customFormat="1" ht="14.25" x14ac:dyDescent="0.45">
      <c r="F268" s="119">
        <v>43826</v>
      </c>
      <c r="G268" s="52">
        <v>307.77877799999999</v>
      </c>
      <c r="H268" s="52">
        <v>89.923546000000002</v>
      </c>
      <c r="I268" s="120">
        <f t="shared" si="6"/>
        <v>-2.477269805444271E-4</v>
      </c>
      <c r="J268" s="120">
        <f t="shared" si="7"/>
        <v>-1.0934760819614198E-4</v>
      </c>
      <c r="K268"/>
      <c r="M268" s="15"/>
      <c r="N268" s="15"/>
      <c r="O268" s="15"/>
      <c r="P268" s="15"/>
      <c r="Q268" s="15"/>
      <c r="R268" s="15"/>
      <c r="S268" s="15"/>
      <c r="T268" s="15"/>
      <c r="U268" s="15"/>
      <c r="V268" s="15"/>
      <c r="W268" s="15"/>
      <c r="X268" s="15"/>
    </row>
    <row r="269" spans="6:24" s="21" customFormat="1" ht="14.25" x14ac:dyDescent="0.45">
      <c r="F269" s="119">
        <v>43829</v>
      </c>
      <c r="G269" s="52">
        <v>306.08193999999997</v>
      </c>
      <c r="H269" s="52">
        <v>89.93338</v>
      </c>
      <c r="I269" s="120">
        <f t="shared" si="6"/>
        <v>-5.5131741409409907E-3</v>
      </c>
      <c r="J269" s="120">
        <f t="shared" si="7"/>
        <v>1.0935956640323319E-4</v>
      </c>
      <c r="K269"/>
      <c r="M269" s="15"/>
      <c r="N269" s="15"/>
      <c r="O269" s="15"/>
      <c r="P269" s="15"/>
      <c r="Q269" s="15"/>
      <c r="R269" s="15"/>
      <c r="S269" s="15"/>
      <c r="T269" s="15"/>
      <c r="U269" s="15"/>
      <c r="V269" s="15"/>
      <c r="W269" s="15"/>
      <c r="X269" s="15"/>
    </row>
    <row r="270" spans="6:24" s="21" customFormat="1" ht="14.25" x14ac:dyDescent="0.45">
      <c r="F270" s="119">
        <v>43830</v>
      </c>
      <c r="G270" s="52">
        <v>306.82549999999998</v>
      </c>
      <c r="H270" s="52">
        <v>89.93338</v>
      </c>
      <c r="I270" s="120">
        <f t="shared" si="6"/>
        <v>2.429284132216436E-3</v>
      </c>
      <c r="J270" s="120">
        <f t="shared" si="7"/>
        <v>0</v>
      </c>
      <c r="K270"/>
      <c r="M270" s="15"/>
      <c r="N270" s="15"/>
      <c r="O270" s="15"/>
      <c r="P270" s="15"/>
      <c r="Q270" s="15"/>
      <c r="R270" s="15"/>
      <c r="S270" s="15"/>
      <c r="T270" s="15"/>
      <c r="U270" s="15"/>
      <c r="V270" s="15"/>
      <c r="W270" s="15"/>
      <c r="X270" s="15"/>
    </row>
    <row r="271" spans="6:24" s="21" customFormat="1" ht="14.25" x14ac:dyDescent="0.45">
      <c r="F271" s="119">
        <v>43832</v>
      </c>
      <c r="G271" s="52">
        <v>309.69491599999998</v>
      </c>
      <c r="H271" s="52">
        <v>89.962897999999996</v>
      </c>
      <c r="I271" s="120">
        <f t="shared" si="6"/>
        <v>9.3519476053978146E-3</v>
      </c>
      <c r="J271" s="120">
        <f t="shared" si="7"/>
        <v>3.2822073405891494E-4</v>
      </c>
      <c r="K271"/>
      <c r="M271" s="15"/>
      <c r="N271" s="15"/>
      <c r="O271" s="15"/>
      <c r="P271" s="15"/>
      <c r="Q271" s="15"/>
      <c r="R271" s="15"/>
      <c r="S271" s="15"/>
      <c r="T271" s="15"/>
      <c r="U271" s="15"/>
      <c r="V271" s="15"/>
      <c r="W271" s="15"/>
      <c r="X271" s="15"/>
    </row>
    <row r="272" spans="6:24" s="21" customFormat="1" ht="14.25" x14ac:dyDescent="0.45">
      <c r="F272" s="119">
        <v>43833</v>
      </c>
      <c r="G272" s="52">
        <v>307.34979199999998</v>
      </c>
      <c r="H272" s="52">
        <v>89.962897999999996</v>
      </c>
      <c r="I272" s="120">
        <f t="shared" si="6"/>
        <v>-7.5723684143397252E-3</v>
      </c>
      <c r="J272" s="120">
        <f t="shared" si="7"/>
        <v>0</v>
      </c>
      <c r="K272"/>
      <c r="M272" s="15"/>
      <c r="N272" s="15"/>
      <c r="O272" s="15"/>
      <c r="P272" s="15"/>
      <c r="Q272" s="15"/>
      <c r="R272" s="15"/>
      <c r="S272" s="15"/>
      <c r="T272" s="15"/>
      <c r="U272" s="15"/>
      <c r="V272" s="15"/>
      <c r="W272" s="15"/>
      <c r="X272" s="15"/>
    </row>
    <row r="273" spans="6:24" s="21" customFormat="1" ht="14.25" x14ac:dyDescent="0.45">
      <c r="F273" s="119">
        <v>43836</v>
      </c>
      <c r="G273" s="52">
        <v>308.52236900000003</v>
      </c>
      <c r="H273" s="52">
        <v>89.953040999999999</v>
      </c>
      <c r="I273" s="120">
        <f t="shared" si="6"/>
        <v>3.8151221524171941E-3</v>
      </c>
      <c r="J273" s="120">
        <f t="shared" si="7"/>
        <v>-1.095673907702821E-4</v>
      </c>
      <c r="K273"/>
      <c r="M273" s="15"/>
      <c r="N273" s="15"/>
      <c r="O273" s="15"/>
      <c r="P273" s="15"/>
      <c r="Q273" s="15"/>
      <c r="R273" s="15"/>
      <c r="S273" s="15"/>
      <c r="T273" s="15"/>
      <c r="U273" s="15"/>
      <c r="V273" s="15"/>
      <c r="W273" s="15"/>
      <c r="X273" s="15"/>
    </row>
    <row r="274" spans="6:24" s="21" customFormat="1" ht="14.25" x14ac:dyDescent="0.45">
      <c r="F274" s="119">
        <v>43837</v>
      </c>
      <c r="G274" s="52">
        <v>307.65490699999998</v>
      </c>
      <c r="H274" s="52">
        <v>89.953040999999999</v>
      </c>
      <c r="I274" s="120">
        <f t="shared" si="6"/>
        <v>-2.8116664694741722E-3</v>
      </c>
      <c r="J274" s="120">
        <f t="shared" si="7"/>
        <v>0</v>
      </c>
      <c r="K274"/>
      <c r="M274" s="15"/>
      <c r="N274" s="15"/>
      <c r="O274" s="15"/>
      <c r="P274" s="15"/>
      <c r="Q274" s="15"/>
      <c r="R274" s="15"/>
      <c r="S274" s="15"/>
      <c r="T274" s="15"/>
      <c r="U274" s="15"/>
      <c r="V274" s="15"/>
      <c r="W274" s="15"/>
      <c r="X274" s="15"/>
    </row>
    <row r="275" spans="6:24" s="21" customFormat="1" ht="14.25" x14ac:dyDescent="0.45">
      <c r="F275" s="119">
        <v>43838</v>
      </c>
      <c r="G275" s="52">
        <v>309.29452500000002</v>
      </c>
      <c r="H275" s="52">
        <v>89.972740000000002</v>
      </c>
      <c r="I275" s="120">
        <f t="shared" si="6"/>
        <v>5.3294063013271664E-3</v>
      </c>
      <c r="J275" s="120">
        <f t="shared" si="7"/>
        <v>2.1899204052489019E-4</v>
      </c>
      <c r="K275"/>
      <c r="M275" s="15"/>
      <c r="N275" s="15"/>
      <c r="O275" s="15"/>
      <c r="P275" s="15"/>
      <c r="Q275" s="15"/>
      <c r="R275" s="15"/>
      <c r="S275" s="15"/>
      <c r="T275" s="15"/>
      <c r="U275" s="15"/>
      <c r="V275" s="15"/>
      <c r="W275" s="15"/>
      <c r="X275" s="15"/>
    </row>
    <row r="276" spans="6:24" s="21" customFormat="1" ht="14.25" x14ac:dyDescent="0.45">
      <c r="F276" s="119">
        <v>43839</v>
      </c>
      <c r="G276" s="52">
        <v>311.39172400000001</v>
      </c>
      <c r="H276" s="52">
        <v>89.982567000000003</v>
      </c>
      <c r="I276" s="120">
        <f t="shared" ref="I276:I341" si="8">G276/G275-1</f>
        <v>6.7805888254892643E-3</v>
      </c>
      <c r="J276" s="120">
        <f t="shared" ref="J276:J341" si="9">H276/H275-1</f>
        <v>1.092219710103759E-4</v>
      </c>
      <c r="K276"/>
      <c r="M276" s="15"/>
      <c r="N276" s="15"/>
      <c r="O276" s="15"/>
      <c r="P276" s="15"/>
      <c r="Q276" s="15"/>
      <c r="R276" s="15"/>
      <c r="S276" s="15"/>
      <c r="T276" s="15"/>
      <c r="U276" s="15"/>
      <c r="V276" s="15"/>
      <c r="W276" s="15"/>
      <c r="X276" s="15"/>
    </row>
    <row r="277" spans="6:24" s="21" customFormat="1" ht="14.25" x14ac:dyDescent="0.45">
      <c r="F277" s="119">
        <v>43840</v>
      </c>
      <c r="G277" s="52">
        <v>310.49566700000003</v>
      </c>
      <c r="H277" s="52">
        <v>89.982567000000003</v>
      </c>
      <c r="I277" s="120">
        <f t="shared" si="8"/>
        <v>-2.8775877164930463E-3</v>
      </c>
      <c r="J277" s="120">
        <f t="shared" si="9"/>
        <v>0</v>
      </c>
      <c r="K277"/>
      <c r="M277" s="15"/>
      <c r="N277" s="15"/>
      <c r="O277" s="15"/>
      <c r="P277" s="15"/>
      <c r="Q277" s="15"/>
      <c r="R277" s="15"/>
      <c r="S277" s="15"/>
      <c r="T277" s="15"/>
      <c r="U277" s="15"/>
      <c r="V277" s="15"/>
      <c r="W277" s="15"/>
      <c r="X277" s="15"/>
    </row>
    <row r="278" spans="6:24" s="21" customFormat="1" ht="14.25" x14ac:dyDescent="0.45">
      <c r="F278" s="119">
        <v>43843</v>
      </c>
      <c r="G278" s="52">
        <v>312.63104199999998</v>
      </c>
      <c r="H278" s="52">
        <v>89.982567000000003</v>
      </c>
      <c r="I278" s="120">
        <f t="shared" si="8"/>
        <v>6.8773101429462358E-3</v>
      </c>
      <c r="J278" s="120">
        <f t="shared" si="9"/>
        <v>0</v>
      </c>
      <c r="K278"/>
      <c r="M278" s="15"/>
      <c r="N278" s="15"/>
      <c r="O278" s="15"/>
      <c r="P278" s="15"/>
      <c r="Q278" s="15"/>
      <c r="R278" s="15"/>
      <c r="S278" s="15"/>
      <c r="T278" s="15"/>
      <c r="U278" s="15"/>
      <c r="V278" s="15"/>
      <c r="W278" s="15"/>
      <c r="X278" s="15"/>
    </row>
    <row r="279" spans="6:24" s="21" customFormat="1" ht="14.25" x14ac:dyDescent="0.45">
      <c r="F279" s="119">
        <v>43844</v>
      </c>
      <c r="G279" s="52">
        <v>312.15441900000002</v>
      </c>
      <c r="H279" s="52">
        <v>89.982567000000003</v>
      </c>
      <c r="I279" s="120">
        <f t="shared" si="8"/>
        <v>-1.5245543019364316E-3</v>
      </c>
      <c r="J279" s="120">
        <f t="shared" si="9"/>
        <v>0</v>
      </c>
      <c r="K279"/>
      <c r="M279" s="15"/>
      <c r="N279" s="15"/>
      <c r="O279" s="15"/>
      <c r="P279" s="15"/>
      <c r="Q279" s="15"/>
      <c r="R279" s="15"/>
      <c r="S279" s="15"/>
      <c r="T279" s="15"/>
      <c r="U279" s="15"/>
      <c r="V279" s="15"/>
      <c r="W279" s="15"/>
      <c r="X279" s="15"/>
    </row>
    <row r="280" spans="6:24" s="21" customFormat="1" ht="14.25" x14ac:dyDescent="0.45">
      <c r="F280" s="119">
        <v>43845</v>
      </c>
      <c r="G280" s="52">
        <v>312.85983299999998</v>
      </c>
      <c r="H280" s="52">
        <v>89.992401000000001</v>
      </c>
      <c r="I280" s="120">
        <f t="shared" si="8"/>
        <v>2.2598238469915266E-3</v>
      </c>
      <c r="J280" s="120">
        <f t="shared" si="9"/>
        <v>1.0928783572050627E-4</v>
      </c>
      <c r="K280"/>
      <c r="M280" s="15"/>
      <c r="N280" s="15"/>
      <c r="O280" s="15"/>
      <c r="P280" s="15"/>
      <c r="Q280" s="15"/>
      <c r="R280" s="15"/>
      <c r="S280" s="15"/>
      <c r="T280" s="15"/>
      <c r="U280" s="15"/>
      <c r="V280" s="15"/>
      <c r="W280" s="15"/>
      <c r="X280" s="15"/>
    </row>
    <row r="281" spans="6:24" s="21" customFormat="1" ht="14.25" x14ac:dyDescent="0.45">
      <c r="F281" s="119">
        <v>43846</v>
      </c>
      <c r="G281" s="52">
        <v>315.462311</v>
      </c>
      <c r="H281" s="52">
        <v>90.012084999999999</v>
      </c>
      <c r="I281" s="120">
        <f t="shared" si="8"/>
        <v>8.3183513046241053E-3</v>
      </c>
      <c r="J281" s="120">
        <f t="shared" si="9"/>
        <v>2.1872957917845604E-4</v>
      </c>
      <c r="K281"/>
      <c r="M281" s="15"/>
      <c r="N281" s="15"/>
      <c r="O281" s="15"/>
      <c r="P281" s="15"/>
      <c r="Q281" s="15"/>
      <c r="R281" s="15"/>
      <c r="S281" s="15"/>
      <c r="T281" s="15"/>
      <c r="U281" s="15"/>
      <c r="V281" s="15"/>
      <c r="W281" s="15"/>
      <c r="X281" s="15"/>
    </row>
    <row r="282" spans="6:24" s="21" customFormat="1" ht="14.25" x14ac:dyDescent="0.45">
      <c r="F282" s="119">
        <v>43847</v>
      </c>
      <c r="G282" s="52">
        <v>316.44421399999999</v>
      </c>
      <c r="H282" s="52">
        <v>90.002228000000002</v>
      </c>
      <c r="I282" s="120">
        <f t="shared" si="8"/>
        <v>3.1125841844226176E-3</v>
      </c>
      <c r="J282" s="120">
        <f t="shared" si="9"/>
        <v>-1.0950751779603696E-4</v>
      </c>
      <c r="K282"/>
      <c r="M282" s="15"/>
      <c r="N282" s="15"/>
      <c r="O282" s="15"/>
      <c r="P282" s="15"/>
      <c r="Q282" s="15"/>
      <c r="R282" s="15"/>
      <c r="S282" s="15"/>
      <c r="T282" s="15"/>
      <c r="U282" s="15"/>
      <c r="V282" s="15"/>
      <c r="W282" s="15"/>
      <c r="X282" s="15"/>
    </row>
    <row r="283" spans="6:24" s="21" customFormat="1" ht="14.25" x14ac:dyDescent="0.45">
      <c r="F283" s="119">
        <v>43851</v>
      </c>
      <c r="G283" s="52">
        <v>315.824524</v>
      </c>
      <c r="H283" s="52">
        <v>90.012084999999999</v>
      </c>
      <c r="I283" s="120">
        <f t="shared" si="8"/>
        <v>-1.9582914541771412E-3</v>
      </c>
      <c r="J283" s="120">
        <f t="shared" si="9"/>
        <v>1.0951951100590662E-4</v>
      </c>
      <c r="K283"/>
      <c r="M283" s="15"/>
      <c r="N283" s="15"/>
      <c r="O283" s="15"/>
      <c r="P283" s="15"/>
      <c r="Q283" s="15"/>
      <c r="R283" s="15"/>
      <c r="S283" s="15"/>
      <c r="T283" s="15"/>
      <c r="U283" s="15"/>
      <c r="V283" s="15"/>
      <c r="W283" s="15"/>
      <c r="X283" s="15"/>
    </row>
    <row r="284" spans="6:24" s="21" customFormat="1" ht="14.25" x14ac:dyDescent="0.45">
      <c r="F284" s="119">
        <v>43852</v>
      </c>
      <c r="G284" s="52">
        <v>315.86270100000002</v>
      </c>
      <c r="H284" s="52">
        <v>90.012084999999999</v>
      </c>
      <c r="I284" s="120">
        <f t="shared" si="8"/>
        <v>1.2088041649360726E-4</v>
      </c>
      <c r="J284" s="120">
        <f t="shared" si="9"/>
        <v>0</v>
      </c>
      <c r="K284"/>
      <c r="M284" s="15"/>
      <c r="N284" s="15"/>
      <c r="O284" s="15"/>
      <c r="P284" s="15"/>
      <c r="Q284" s="15"/>
      <c r="R284" s="15"/>
      <c r="S284" s="15"/>
      <c r="T284" s="15"/>
      <c r="U284" s="15"/>
      <c r="V284" s="15"/>
      <c r="W284" s="15"/>
      <c r="X284" s="15"/>
    </row>
    <row r="285" spans="6:24" s="21" customFormat="1" ht="14.25" x14ac:dyDescent="0.45">
      <c r="F285" s="119">
        <v>43853</v>
      </c>
      <c r="G285" s="52">
        <v>316.22494499999999</v>
      </c>
      <c r="H285" s="52">
        <v>90.021904000000006</v>
      </c>
      <c r="I285" s="120">
        <f t="shared" si="8"/>
        <v>1.1468400632714815E-3</v>
      </c>
      <c r="J285" s="120">
        <f t="shared" si="9"/>
        <v>1.0908535226139549E-4</v>
      </c>
      <c r="K285"/>
      <c r="M285" s="15"/>
      <c r="N285" s="15"/>
      <c r="O285" s="15"/>
      <c r="P285" s="15"/>
      <c r="Q285" s="15"/>
      <c r="R285" s="15"/>
      <c r="S285" s="15"/>
      <c r="T285" s="15"/>
      <c r="U285" s="15"/>
      <c r="V285" s="15"/>
      <c r="W285" s="15"/>
      <c r="X285" s="15"/>
    </row>
    <row r="286" spans="6:24" s="21" customFormat="1" ht="14.25" x14ac:dyDescent="0.45">
      <c r="F286" s="119">
        <v>43854</v>
      </c>
      <c r="G286" s="52">
        <v>313.41275000000002</v>
      </c>
      <c r="H286" s="52">
        <v>90.021904000000006</v>
      </c>
      <c r="I286" s="120">
        <f t="shared" si="8"/>
        <v>-8.893020757739345E-3</v>
      </c>
      <c r="J286" s="120">
        <f t="shared" si="9"/>
        <v>0</v>
      </c>
      <c r="K286"/>
      <c r="M286" s="15"/>
      <c r="N286" s="15"/>
      <c r="O286" s="15"/>
      <c r="P286" s="15"/>
      <c r="Q286" s="15"/>
      <c r="R286" s="15"/>
      <c r="S286" s="15"/>
      <c r="T286" s="15"/>
      <c r="U286" s="15"/>
      <c r="V286" s="15"/>
      <c r="W286" s="15"/>
      <c r="X286" s="15"/>
    </row>
    <row r="287" spans="6:24" s="21" customFormat="1" ht="14.25" x14ac:dyDescent="0.45">
      <c r="F287" s="119">
        <v>43857</v>
      </c>
      <c r="G287" s="52">
        <v>308.38891599999999</v>
      </c>
      <c r="H287" s="52">
        <v>90.031745999999998</v>
      </c>
      <c r="I287" s="120">
        <f t="shared" si="8"/>
        <v>-1.6029449982491228E-2</v>
      </c>
      <c r="J287" s="120">
        <f t="shared" si="9"/>
        <v>1.0932894731929821E-4</v>
      </c>
      <c r="K287"/>
      <c r="M287" s="15"/>
      <c r="N287" s="15"/>
      <c r="O287" s="15"/>
      <c r="P287" s="15"/>
      <c r="Q287" s="15"/>
      <c r="R287" s="15"/>
      <c r="S287" s="15"/>
      <c r="T287" s="15"/>
      <c r="U287" s="15"/>
      <c r="V287" s="15"/>
      <c r="W287" s="15"/>
      <c r="X287" s="15"/>
    </row>
    <row r="288" spans="6:24" s="21" customFormat="1" ht="14.25" x14ac:dyDescent="0.45">
      <c r="F288" s="119">
        <v>43858</v>
      </c>
      <c r="G288" s="52">
        <v>311.62057499999997</v>
      </c>
      <c r="H288" s="52">
        <v>90.031745999999998</v>
      </c>
      <c r="I288" s="120">
        <f t="shared" si="8"/>
        <v>1.0479167156578262E-2</v>
      </c>
      <c r="J288" s="120">
        <f t="shared" si="9"/>
        <v>0</v>
      </c>
      <c r="K288"/>
      <c r="M288" s="15"/>
      <c r="N288" s="15"/>
      <c r="O288" s="15"/>
      <c r="P288" s="15"/>
      <c r="Q288" s="15"/>
      <c r="R288" s="15"/>
      <c r="S288" s="15"/>
      <c r="T288" s="15"/>
      <c r="U288" s="15"/>
      <c r="V288" s="15"/>
      <c r="W288" s="15"/>
      <c r="X288" s="15"/>
    </row>
    <row r="289" spans="6:24" s="21" customFormat="1" ht="14.25" x14ac:dyDescent="0.45">
      <c r="F289" s="119">
        <v>43859</v>
      </c>
      <c r="G289" s="52">
        <v>311.363159</v>
      </c>
      <c r="H289" s="52">
        <v>90.041579999999996</v>
      </c>
      <c r="I289" s="120">
        <f t="shared" si="8"/>
        <v>-8.2605585334016851E-4</v>
      </c>
      <c r="J289" s="120">
        <f t="shared" si="9"/>
        <v>1.0922813826130806E-4</v>
      </c>
      <c r="K289"/>
      <c r="M289" s="15"/>
      <c r="N289" s="15"/>
      <c r="O289" s="15"/>
      <c r="P289" s="15"/>
      <c r="Q289" s="15"/>
      <c r="R289" s="15"/>
      <c r="S289" s="15"/>
      <c r="T289" s="15"/>
      <c r="U289" s="15"/>
      <c r="V289" s="15"/>
      <c r="W289" s="15"/>
      <c r="X289" s="15"/>
    </row>
    <row r="290" spans="6:24" s="21" customFormat="1" ht="14.25" x14ac:dyDescent="0.45">
      <c r="F290" s="119">
        <v>43860</v>
      </c>
      <c r="G290" s="52">
        <v>312.373627</v>
      </c>
      <c r="H290" s="52">
        <v>90.041579999999996</v>
      </c>
      <c r="I290" s="120">
        <f t="shared" si="8"/>
        <v>3.2453036616320041E-3</v>
      </c>
      <c r="J290" s="120">
        <f t="shared" si="9"/>
        <v>0</v>
      </c>
      <c r="K290"/>
      <c r="M290" s="15"/>
      <c r="N290" s="15"/>
      <c r="O290" s="15"/>
      <c r="P290" s="15"/>
      <c r="Q290" s="15"/>
      <c r="R290" s="15"/>
      <c r="S290" s="15"/>
      <c r="T290" s="15"/>
      <c r="U290" s="15"/>
      <c r="V290" s="15"/>
      <c r="W290" s="15"/>
      <c r="X290" s="15"/>
    </row>
    <row r="291" spans="6:24" s="21" customFormat="1" ht="14.25" x14ac:dyDescent="0.45">
      <c r="F291" s="119">
        <v>43861</v>
      </c>
      <c r="G291" s="52">
        <v>306.70163000000002</v>
      </c>
      <c r="H291" s="52">
        <v>90.041579999999996</v>
      </c>
      <c r="I291" s="120">
        <f t="shared" si="8"/>
        <v>-1.8157733271125243E-2</v>
      </c>
      <c r="J291" s="120">
        <f t="shared" si="9"/>
        <v>0</v>
      </c>
      <c r="K291"/>
      <c r="M291" s="15"/>
      <c r="N291" s="15"/>
      <c r="O291" s="15"/>
      <c r="P291" s="15"/>
      <c r="Q291" s="15"/>
      <c r="R291" s="15"/>
      <c r="S291" s="15"/>
      <c r="T291" s="15"/>
      <c r="U291" s="15"/>
      <c r="V291" s="15"/>
      <c r="W291" s="15"/>
      <c r="X291" s="15"/>
    </row>
    <row r="292" spans="6:24" s="21" customFormat="1" ht="14.25" x14ac:dyDescent="0.45">
      <c r="F292" s="119">
        <v>43864</v>
      </c>
      <c r="G292" s="52">
        <v>308.979919</v>
      </c>
      <c r="H292" s="52">
        <v>90.049476999999996</v>
      </c>
      <c r="I292" s="120">
        <f t="shared" si="8"/>
        <v>7.4283563475028291E-3</v>
      </c>
      <c r="J292" s="120">
        <f t="shared" si="9"/>
        <v>8.7703925230941948E-5</v>
      </c>
      <c r="K292"/>
      <c r="M292" s="15"/>
      <c r="N292" s="15"/>
      <c r="O292" s="15"/>
      <c r="P292" s="15"/>
      <c r="Q292" s="15"/>
      <c r="R292" s="15"/>
      <c r="S292" s="15"/>
      <c r="T292" s="15"/>
      <c r="U292" s="15"/>
      <c r="V292" s="15"/>
      <c r="W292" s="15"/>
      <c r="X292" s="15"/>
    </row>
    <row r="293" spans="6:24" s="21" customFormat="1" ht="14.25" x14ac:dyDescent="0.45">
      <c r="F293" s="119">
        <v>43865</v>
      </c>
      <c r="G293" s="52">
        <v>313.68920900000001</v>
      </c>
      <c r="H293" s="52">
        <v>90.049476999999996</v>
      </c>
      <c r="I293" s="120">
        <f t="shared" si="8"/>
        <v>1.5241411206402766E-2</v>
      </c>
      <c r="J293" s="120">
        <f t="shared" si="9"/>
        <v>0</v>
      </c>
      <c r="K293"/>
      <c r="M293" s="15"/>
      <c r="N293" s="15"/>
      <c r="O293" s="15"/>
      <c r="P293" s="15"/>
      <c r="Q293" s="15"/>
      <c r="R293" s="15"/>
      <c r="S293" s="15"/>
      <c r="T293" s="15"/>
      <c r="U293" s="15"/>
      <c r="V293" s="15"/>
      <c r="W293" s="15"/>
      <c r="X293" s="15"/>
    </row>
    <row r="294" spans="6:24" s="21" customFormat="1" ht="14.25" x14ac:dyDescent="0.45">
      <c r="F294" s="119">
        <v>43866</v>
      </c>
      <c r="G294" s="52">
        <v>317.31167599999998</v>
      </c>
      <c r="H294" s="52">
        <v>90.069159999999997</v>
      </c>
      <c r="I294" s="120">
        <f t="shared" si="8"/>
        <v>1.1547949040223271E-2</v>
      </c>
      <c r="J294" s="120">
        <f t="shared" si="9"/>
        <v>2.1857983694895111E-4</v>
      </c>
      <c r="K294"/>
      <c r="M294" s="15"/>
      <c r="N294" s="15"/>
      <c r="O294" s="15"/>
      <c r="P294" s="15"/>
      <c r="Q294" s="15"/>
      <c r="R294" s="15"/>
      <c r="S294" s="15"/>
      <c r="T294" s="15"/>
      <c r="U294" s="15"/>
      <c r="V294" s="15"/>
      <c r="W294" s="15"/>
      <c r="X294" s="15"/>
    </row>
    <row r="295" spans="6:24" s="21" customFormat="1" ht="14.25" x14ac:dyDescent="0.45">
      <c r="F295" s="119">
        <v>43867</v>
      </c>
      <c r="G295" s="52">
        <v>318.37933299999997</v>
      </c>
      <c r="H295" s="52">
        <v>90.079018000000005</v>
      </c>
      <c r="I295" s="120">
        <f t="shared" si="8"/>
        <v>3.3646949694974282E-3</v>
      </c>
      <c r="J295" s="120">
        <f t="shared" si="9"/>
        <v>1.0944922768252319E-4</v>
      </c>
      <c r="K295"/>
      <c r="M295" s="15"/>
      <c r="N295" s="15"/>
      <c r="O295" s="15"/>
      <c r="P295" s="15"/>
      <c r="Q295" s="15"/>
      <c r="R295" s="15"/>
      <c r="S295" s="15"/>
      <c r="T295" s="15"/>
      <c r="U295" s="15"/>
      <c r="V295" s="15"/>
      <c r="W295" s="15"/>
      <c r="X295" s="15"/>
    </row>
    <row r="296" spans="6:24" s="21" customFormat="1" ht="14.25" x14ac:dyDescent="0.45">
      <c r="F296" s="119">
        <v>43868</v>
      </c>
      <c r="G296" s="52">
        <v>316.68255599999998</v>
      </c>
      <c r="H296" s="52">
        <v>90.079018000000005</v>
      </c>
      <c r="I296" s="120">
        <f t="shared" si="8"/>
        <v>-5.3294194193188593E-3</v>
      </c>
      <c r="J296" s="120">
        <f t="shared" si="9"/>
        <v>0</v>
      </c>
      <c r="K296"/>
      <c r="M296" s="15"/>
      <c r="N296" s="15"/>
      <c r="O296" s="15"/>
      <c r="P296" s="15"/>
      <c r="Q296" s="15"/>
      <c r="R296" s="15"/>
      <c r="S296" s="15"/>
      <c r="T296" s="15"/>
      <c r="U296" s="15"/>
      <c r="V296" s="15"/>
      <c r="W296" s="15"/>
      <c r="X296" s="15"/>
    </row>
    <row r="297" spans="6:24" s="21" customFormat="1" ht="14.25" x14ac:dyDescent="0.45">
      <c r="F297" s="119">
        <v>43871</v>
      </c>
      <c r="G297" s="52">
        <v>319.04669200000001</v>
      </c>
      <c r="H297" s="52">
        <v>90.069159999999997</v>
      </c>
      <c r="I297" s="120">
        <f t="shared" si="8"/>
        <v>7.4653180454942181E-3</v>
      </c>
      <c r="J297" s="120">
        <f t="shared" si="9"/>
        <v>-1.0943724986001158E-4</v>
      </c>
      <c r="K297"/>
      <c r="M297" s="15"/>
      <c r="N297" s="15"/>
      <c r="O297" s="15"/>
      <c r="P297" s="15"/>
      <c r="Q297" s="15"/>
      <c r="R297" s="15"/>
      <c r="S297" s="15"/>
      <c r="T297" s="15"/>
      <c r="U297" s="15"/>
      <c r="V297" s="15"/>
      <c r="W297" s="15"/>
      <c r="X297" s="15"/>
    </row>
    <row r="298" spans="6:24" s="21" customFormat="1" ht="14.25" x14ac:dyDescent="0.45">
      <c r="F298" s="119">
        <v>43872</v>
      </c>
      <c r="G298" s="52">
        <v>319.59957900000001</v>
      </c>
      <c r="H298" s="52">
        <v>90.079018000000005</v>
      </c>
      <c r="I298" s="120">
        <f t="shared" si="8"/>
        <v>1.7329344383234524E-3</v>
      </c>
      <c r="J298" s="120">
        <f t="shared" si="9"/>
        <v>1.0944922768252319E-4</v>
      </c>
      <c r="K298"/>
      <c r="M298" s="15"/>
      <c r="N298" s="15"/>
      <c r="O298" s="15"/>
      <c r="P298" s="15"/>
      <c r="Q298" s="15"/>
      <c r="R298" s="15"/>
      <c r="S298" s="15"/>
      <c r="T298" s="15"/>
      <c r="U298" s="15"/>
      <c r="V298" s="15"/>
      <c r="W298" s="15"/>
      <c r="X298" s="15"/>
    </row>
    <row r="299" spans="6:24" s="21" customFormat="1" ht="14.25" x14ac:dyDescent="0.45">
      <c r="F299" s="119">
        <v>43873</v>
      </c>
      <c r="G299" s="52">
        <v>321.65872200000001</v>
      </c>
      <c r="H299" s="52">
        <v>90.088866999999993</v>
      </c>
      <c r="I299" s="120">
        <f t="shared" si="8"/>
        <v>6.442883956364609E-3</v>
      </c>
      <c r="J299" s="120">
        <f t="shared" si="9"/>
        <v>1.0933733758045072E-4</v>
      </c>
      <c r="K299"/>
      <c r="M299" s="15"/>
      <c r="N299" s="15"/>
      <c r="O299" s="15"/>
      <c r="P299" s="15"/>
      <c r="Q299" s="15"/>
      <c r="R299" s="15"/>
      <c r="S299" s="15"/>
      <c r="T299" s="15"/>
      <c r="U299" s="15"/>
      <c r="V299" s="15"/>
      <c r="W299" s="15"/>
      <c r="X299" s="15"/>
    </row>
    <row r="300" spans="6:24" s="21" customFormat="1" ht="14.25" x14ac:dyDescent="0.45">
      <c r="F300" s="119">
        <v>43874</v>
      </c>
      <c r="G300" s="52">
        <v>321.31549100000001</v>
      </c>
      <c r="H300" s="52">
        <v>90.098708999999999</v>
      </c>
      <c r="I300" s="120">
        <f t="shared" si="8"/>
        <v>-1.067065733103334E-3</v>
      </c>
      <c r="J300" s="120">
        <f t="shared" si="9"/>
        <v>1.0924768317943645E-4</v>
      </c>
      <c r="K300"/>
      <c r="M300" s="15"/>
      <c r="N300" s="15"/>
      <c r="O300" s="15"/>
      <c r="P300" s="15"/>
      <c r="Q300" s="15"/>
      <c r="R300" s="15"/>
      <c r="S300" s="15"/>
      <c r="T300" s="15"/>
      <c r="U300" s="15"/>
      <c r="V300" s="15"/>
      <c r="W300" s="15"/>
      <c r="X300" s="15"/>
    </row>
    <row r="301" spans="6:24" s="21" customFormat="1" ht="14.25" x14ac:dyDescent="0.45">
      <c r="F301" s="119">
        <v>43875</v>
      </c>
      <c r="G301" s="52">
        <v>321.83023100000003</v>
      </c>
      <c r="H301" s="52">
        <v>90.098708999999999</v>
      </c>
      <c r="I301" s="120">
        <f t="shared" si="8"/>
        <v>1.6019769180690702E-3</v>
      </c>
      <c r="J301" s="120">
        <f t="shared" si="9"/>
        <v>0</v>
      </c>
      <c r="K301"/>
      <c r="M301" s="15"/>
      <c r="N301" s="15"/>
      <c r="O301" s="15"/>
      <c r="P301" s="15"/>
      <c r="Q301" s="15"/>
      <c r="R301" s="15"/>
      <c r="S301" s="15"/>
      <c r="T301" s="15"/>
      <c r="U301" s="15"/>
      <c r="V301" s="15"/>
      <c r="W301" s="15"/>
      <c r="X301" s="15"/>
    </row>
    <row r="302" spans="6:24" s="21" customFormat="1" ht="14.25" x14ac:dyDescent="0.45">
      <c r="F302" s="119">
        <v>43879</v>
      </c>
      <c r="G302" s="52">
        <v>321.00088499999998</v>
      </c>
      <c r="H302" s="52">
        <v>90.108542999999997</v>
      </c>
      <c r="I302" s="120">
        <f t="shared" si="8"/>
        <v>-2.5769673576750973E-3</v>
      </c>
      <c r="J302" s="120">
        <f t="shared" si="9"/>
        <v>1.0914695792152429E-4</v>
      </c>
      <c r="K302"/>
      <c r="M302" s="15"/>
      <c r="N302" s="15"/>
      <c r="O302" s="15"/>
      <c r="P302" s="15"/>
      <c r="Q302" s="15"/>
      <c r="R302" s="15"/>
      <c r="S302" s="15"/>
      <c r="T302" s="15"/>
      <c r="U302" s="15"/>
      <c r="V302" s="15"/>
      <c r="W302" s="15"/>
      <c r="X302" s="15"/>
    </row>
    <row r="303" spans="6:24" s="21" customFormat="1" ht="14.25" x14ac:dyDescent="0.45">
      <c r="F303" s="119">
        <v>43880</v>
      </c>
      <c r="G303" s="52">
        <v>322.535706</v>
      </c>
      <c r="H303" s="52">
        <v>90.108542999999997</v>
      </c>
      <c r="I303" s="120">
        <f t="shared" si="8"/>
        <v>4.7813606495197281E-3</v>
      </c>
      <c r="J303" s="120">
        <f t="shared" si="9"/>
        <v>0</v>
      </c>
      <c r="K303"/>
      <c r="M303" s="15"/>
      <c r="N303" s="15"/>
      <c r="O303" s="15"/>
      <c r="P303" s="15"/>
      <c r="Q303" s="15"/>
      <c r="R303" s="15"/>
      <c r="S303" s="15"/>
      <c r="T303" s="15"/>
      <c r="U303" s="15"/>
      <c r="V303" s="15"/>
      <c r="W303" s="15"/>
      <c r="X303" s="15"/>
    </row>
    <row r="304" spans="6:24" s="21" customFormat="1" ht="14.25" x14ac:dyDescent="0.45">
      <c r="F304" s="119">
        <v>43881</v>
      </c>
      <c r="G304" s="52">
        <v>321.21066300000001</v>
      </c>
      <c r="H304" s="52">
        <v>90.108542999999997</v>
      </c>
      <c r="I304" s="120">
        <f t="shared" si="8"/>
        <v>-4.1082056198763484E-3</v>
      </c>
      <c r="J304" s="120">
        <f t="shared" si="9"/>
        <v>0</v>
      </c>
      <c r="K304"/>
      <c r="M304" s="15"/>
      <c r="N304" s="15"/>
      <c r="O304" s="15"/>
      <c r="P304" s="15"/>
      <c r="Q304" s="15"/>
      <c r="R304" s="15"/>
      <c r="S304" s="15"/>
      <c r="T304" s="15"/>
      <c r="U304" s="15"/>
      <c r="V304" s="15"/>
      <c r="W304" s="15"/>
      <c r="X304" s="15"/>
    </row>
    <row r="305" spans="6:24" s="21" customFormat="1" ht="14.25" x14ac:dyDescent="0.45">
      <c r="F305" s="119">
        <v>43882</v>
      </c>
      <c r="G305" s="52">
        <v>317.90267899999998</v>
      </c>
      <c r="H305" s="52">
        <v>90.128249999999994</v>
      </c>
      <c r="I305" s="120">
        <f t="shared" si="8"/>
        <v>-1.0298487506935738E-2</v>
      </c>
      <c r="J305" s="120">
        <f t="shared" si="9"/>
        <v>2.1870290367465017E-4</v>
      </c>
      <c r="K305"/>
      <c r="M305" s="15"/>
      <c r="N305" s="15"/>
      <c r="O305" s="15"/>
      <c r="P305" s="15"/>
      <c r="Q305" s="15"/>
      <c r="R305" s="15"/>
      <c r="S305" s="15"/>
      <c r="T305" s="15"/>
      <c r="U305" s="15"/>
      <c r="V305" s="15"/>
      <c r="W305" s="15"/>
      <c r="X305" s="15"/>
    </row>
    <row r="306" spans="6:24" s="21" customFormat="1" ht="14.25" x14ac:dyDescent="0.45">
      <c r="F306" s="119">
        <v>43885</v>
      </c>
      <c r="G306" s="52">
        <v>307.35934400000002</v>
      </c>
      <c r="H306" s="52">
        <v>90.118401000000006</v>
      </c>
      <c r="I306" s="120">
        <f t="shared" si="8"/>
        <v>-3.316529144442959E-2</v>
      </c>
      <c r="J306" s="120">
        <f t="shared" si="9"/>
        <v>-1.092776127350481E-4</v>
      </c>
      <c r="K306"/>
      <c r="M306" s="15"/>
      <c r="N306" s="15"/>
      <c r="O306" s="15"/>
      <c r="P306" s="15"/>
      <c r="Q306" s="15"/>
      <c r="R306" s="15"/>
      <c r="S306" s="15"/>
      <c r="T306" s="15"/>
      <c r="U306" s="15"/>
      <c r="V306" s="15"/>
      <c r="W306" s="15"/>
      <c r="X306" s="15"/>
    </row>
    <row r="307" spans="6:24" s="21" customFormat="1" ht="14.25" x14ac:dyDescent="0.45">
      <c r="F307" s="119">
        <v>43886</v>
      </c>
      <c r="G307" s="52">
        <v>298.04568499999999</v>
      </c>
      <c r="H307" s="52">
        <v>90.118401000000006</v>
      </c>
      <c r="I307" s="120">
        <f t="shared" si="8"/>
        <v>-3.0302182711582137E-2</v>
      </c>
      <c r="J307" s="120">
        <f t="shared" si="9"/>
        <v>0</v>
      </c>
      <c r="K307"/>
      <c r="M307" s="15"/>
      <c r="N307" s="15"/>
      <c r="O307" s="15"/>
      <c r="P307" s="15"/>
      <c r="Q307" s="15"/>
      <c r="R307" s="15"/>
      <c r="S307" s="15"/>
      <c r="T307" s="15"/>
      <c r="U307" s="15"/>
      <c r="V307" s="15"/>
      <c r="W307" s="15"/>
      <c r="X307" s="15"/>
    </row>
    <row r="308" spans="6:24" x14ac:dyDescent="0.55000000000000004">
      <c r="F308" s="119">
        <v>43887</v>
      </c>
      <c r="G308" s="52">
        <v>296.94946299999998</v>
      </c>
      <c r="H308" s="52">
        <v>90.138084000000006</v>
      </c>
      <c r="I308" s="120">
        <f t="shared" si="8"/>
        <v>-3.67803345316009E-3</v>
      </c>
      <c r="J308" s="120">
        <f t="shared" si="9"/>
        <v>2.1841266358024747E-4</v>
      </c>
    </row>
    <row r="309" spans="6:24" x14ac:dyDescent="0.55000000000000004">
      <c r="F309" s="119">
        <v>43888</v>
      </c>
      <c r="G309" s="52">
        <v>283.61294600000002</v>
      </c>
      <c r="H309" s="52">
        <v>90.157791000000003</v>
      </c>
      <c r="I309" s="120">
        <f t="shared" si="8"/>
        <v>-4.49117397460993E-2</v>
      </c>
      <c r="J309" s="120">
        <f t="shared" si="9"/>
        <v>2.1863122806120572E-4</v>
      </c>
    </row>
    <row r="310" spans="6:24" x14ac:dyDescent="0.55000000000000004">
      <c r="F310" s="119">
        <v>43889</v>
      </c>
      <c r="G310" s="52">
        <v>282.421356</v>
      </c>
      <c r="H310" s="52">
        <v>90.147942</v>
      </c>
      <c r="I310" s="120">
        <f t="shared" si="8"/>
        <v>-4.2014654718900424E-3</v>
      </c>
      <c r="J310" s="120">
        <f t="shared" si="9"/>
        <v>-1.0924180695603969E-4</v>
      </c>
    </row>
    <row r="311" spans="6:24" x14ac:dyDescent="0.55000000000000004">
      <c r="F311" s="119">
        <v>43892</v>
      </c>
      <c r="G311" s="52">
        <v>294.652039</v>
      </c>
      <c r="H311" s="52">
        <v>90.174567999999994</v>
      </c>
      <c r="I311" s="120">
        <f t="shared" si="8"/>
        <v>4.3306509016265649E-2</v>
      </c>
      <c r="J311" s="120">
        <f t="shared" si="9"/>
        <v>2.953589334295792E-4</v>
      </c>
    </row>
    <row r="312" spans="6:24" x14ac:dyDescent="0.55000000000000004">
      <c r="F312" s="119">
        <v>43893</v>
      </c>
      <c r="G312" s="52">
        <v>286.21539300000001</v>
      </c>
      <c r="H312" s="52">
        <v>90.194282999999999</v>
      </c>
      <c r="I312" s="120">
        <f t="shared" si="8"/>
        <v>-2.863257294479471E-2</v>
      </c>
      <c r="J312" s="120">
        <f t="shared" si="9"/>
        <v>2.1863148820422396E-4</v>
      </c>
    </row>
    <row r="313" spans="6:24" x14ac:dyDescent="0.55000000000000004">
      <c r="F313" s="119">
        <v>43894</v>
      </c>
      <c r="G313" s="52">
        <v>298.24594100000002</v>
      </c>
      <c r="H313" s="52">
        <v>90.233704000000003</v>
      </c>
      <c r="I313" s="120">
        <f t="shared" si="8"/>
        <v>4.2033197005585166E-2</v>
      </c>
      <c r="J313" s="120">
        <f t="shared" si="9"/>
        <v>4.370676132543494E-4</v>
      </c>
    </row>
    <row r="314" spans="6:24" x14ac:dyDescent="0.55000000000000004">
      <c r="F314" s="119">
        <v>43895</v>
      </c>
      <c r="G314" s="52">
        <v>288.33175699999998</v>
      </c>
      <c r="H314" s="52">
        <v>90.253433000000001</v>
      </c>
      <c r="I314" s="120">
        <f t="shared" si="8"/>
        <v>-3.3241639322092342E-2</v>
      </c>
      <c r="J314" s="120">
        <f t="shared" si="9"/>
        <v>2.1864335747534547E-4</v>
      </c>
    </row>
    <row r="315" spans="6:24" x14ac:dyDescent="0.55000000000000004">
      <c r="F315" s="119">
        <v>43896</v>
      </c>
      <c r="G315" s="52">
        <v>283.56527699999998</v>
      </c>
      <c r="H315" s="52">
        <v>90.253433000000001</v>
      </c>
      <c r="I315" s="120">
        <f t="shared" si="8"/>
        <v>-1.6531234885791668E-2</v>
      </c>
      <c r="J315" s="120">
        <f t="shared" si="9"/>
        <v>0</v>
      </c>
    </row>
    <row r="316" spans="6:24" x14ac:dyDescent="0.55000000000000004">
      <c r="F316" s="119">
        <v>43899</v>
      </c>
      <c r="G316" s="52">
        <v>261.42044099999998</v>
      </c>
      <c r="H316" s="52">
        <v>90.292846999999995</v>
      </c>
      <c r="I316" s="120">
        <f t="shared" si="8"/>
        <v>-7.809431477042228E-2</v>
      </c>
      <c r="J316" s="120">
        <f t="shared" si="9"/>
        <v>4.3670360993353086E-4</v>
      </c>
    </row>
    <row r="317" spans="6:24" x14ac:dyDescent="0.55000000000000004">
      <c r="F317" s="119">
        <v>43900</v>
      </c>
      <c r="G317" s="52">
        <v>274.94754</v>
      </c>
      <c r="H317" s="52">
        <v>90.273148000000006</v>
      </c>
      <c r="I317" s="120">
        <f t="shared" si="8"/>
        <v>5.1744610896743204E-2</v>
      </c>
      <c r="J317" s="120">
        <f t="shared" si="9"/>
        <v>-2.1816789097350853E-4</v>
      </c>
    </row>
    <row r="319" spans="6:24" x14ac:dyDescent="0.55000000000000004">
      <c r="G319" s="1" t="s">
        <v>627</v>
      </c>
      <c r="H319" s="1" t="s">
        <v>628</v>
      </c>
      <c r="I319" s="13" t="s">
        <v>638</v>
      </c>
      <c r="J319" s="13" t="s">
        <v>639</v>
      </c>
    </row>
    <row r="320" spans="6:24" x14ac:dyDescent="0.55000000000000004">
      <c r="F320" s="119">
        <v>43901</v>
      </c>
      <c r="G320" s="52">
        <v>261.54422</v>
      </c>
      <c r="H320" s="52">
        <v>90.292846999999995</v>
      </c>
      <c r="I320" s="120">
        <f>G320/G317-1</f>
        <v>-4.8748644923318873E-2</v>
      </c>
      <c r="J320" s="120">
        <f>H320/H317-1</f>
        <v>2.1821549858858091E-4</v>
      </c>
    </row>
    <row r="321" spans="6:10" x14ac:dyDescent="0.55000000000000004">
      <c r="F321" s="119">
        <v>43902</v>
      </c>
      <c r="G321" s="52">
        <v>236.52046200000001</v>
      </c>
      <c r="H321" s="52">
        <v>90.302704000000006</v>
      </c>
      <c r="I321" s="120">
        <f t="shared" si="8"/>
        <v>-9.5676968124166484E-2</v>
      </c>
      <c r="J321" s="120">
        <f t="shared" si="9"/>
        <v>1.0916700854513017E-4</v>
      </c>
    </row>
    <row r="322" spans="6:10" x14ac:dyDescent="0.55000000000000004">
      <c r="F322" s="119">
        <v>43903</v>
      </c>
      <c r="G322" s="52">
        <v>256.73971599999999</v>
      </c>
      <c r="H322" s="52">
        <v>90.322449000000006</v>
      </c>
      <c r="I322" s="120">
        <f t="shared" si="8"/>
        <v>8.5486278138590777E-2</v>
      </c>
      <c r="J322" s="120">
        <f t="shared" si="9"/>
        <v>2.1865347465110929E-4</v>
      </c>
    </row>
    <row r="323" spans="6:10" x14ac:dyDescent="0.55000000000000004">
      <c r="F323" s="119">
        <v>43906</v>
      </c>
      <c r="G323" s="52">
        <v>228.64630099999999</v>
      </c>
      <c r="H323" s="52">
        <v>90.332283000000004</v>
      </c>
      <c r="I323" s="120">
        <f t="shared" si="8"/>
        <v>-0.10942372079277363</v>
      </c>
      <c r="J323" s="120">
        <f t="shared" si="9"/>
        <v>1.0887658725899918E-4</v>
      </c>
    </row>
    <row r="324" spans="6:10" x14ac:dyDescent="0.55000000000000004">
      <c r="F324" s="119">
        <v>43907</v>
      </c>
      <c r="G324" s="52">
        <v>240.99142499999999</v>
      </c>
      <c r="H324" s="52">
        <v>90.332283000000004</v>
      </c>
      <c r="I324" s="120">
        <f t="shared" si="8"/>
        <v>5.3992231433475091E-2</v>
      </c>
      <c r="J324" s="120">
        <f t="shared" si="9"/>
        <v>0</v>
      </c>
    </row>
    <row r="325" spans="6:10" x14ac:dyDescent="0.55000000000000004">
      <c r="F325" s="119">
        <v>43908</v>
      </c>
      <c r="G325" s="52">
        <v>228.789322</v>
      </c>
      <c r="H325" s="52">
        <v>90.352019999999996</v>
      </c>
      <c r="I325" s="120">
        <f t="shared" si="8"/>
        <v>-5.0632934346107938E-2</v>
      </c>
      <c r="J325" s="120">
        <f t="shared" si="9"/>
        <v>2.1849331539636196E-4</v>
      </c>
    </row>
    <row r="326" spans="6:10" x14ac:dyDescent="0.55000000000000004">
      <c r="F326" s="119">
        <v>43909</v>
      </c>
      <c r="G326" s="52">
        <v>229.27546699999999</v>
      </c>
      <c r="H326" s="52">
        <v>90.332283000000004</v>
      </c>
      <c r="I326" s="120">
        <f t="shared" si="8"/>
        <v>2.1248587816524722E-3</v>
      </c>
      <c r="J326" s="120">
        <f t="shared" si="9"/>
        <v>-2.1844558649597445E-4</v>
      </c>
    </row>
    <row r="327" spans="6:10" x14ac:dyDescent="0.55000000000000004">
      <c r="F327" s="119">
        <v>43910</v>
      </c>
      <c r="G327" s="52">
        <v>219.39503500000001</v>
      </c>
      <c r="H327" s="52">
        <v>90.361862000000002</v>
      </c>
      <c r="I327" s="120">
        <f t="shared" si="8"/>
        <v>-4.3094152764281524E-2</v>
      </c>
      <c r="J327" s="120">
        <f t="shared" si="9"/>
        <v>3.2744661174999301E-4</v>
      </c>
    </row>
    <row r="328" spans="6:10" x14ac:dyDescent="0.55000000000000004">
      <c r="F328" s="119">
        <v>43913</v>
      </c>
      <c r="G328" s="52">
        <v>213.785492</v>
      </c>
      <c r="H328" s="52">
        <v>90.342147999999995</v>
      </c>
      <c r="I328" s="120">
        <f t="shared" si="8"/>
        <v>-2.5568231295662658E-2</v>
      </c>
      <c r="J328" s="120">
        <f t="shared" si="9"/>
        <v>-2.1816726175927226E-4</v>
      </c>
    </row>
    <row r="329" spans="6:10" x14ac:dyDescent="0.55000000000000004">
      <c r="F329" s="119">
        <v>43914</v>
      </c>
      <c r="G329" s="52">
        <v>233.155136</v>
      </c>
      <c r="H329" s="52">
        <v>90.342147999999995</v>
      </c>
      <c r="I329" s="120">
        <f t="shared" si="8"/>
        <v>9.0603173390269021E-2</v>
      </c>
      <c r="J329" s="120">
        <f t="shared" si="9"/>
        <v>0</v>
      </c>
    </row>
    <row r="330" spans="6:10" x14ac:dyDescent="0.55000000000000004">
      <c r="F330" s="119">
        <v>43915</v>
      </c>
      <c r="G330" s="52">
        <v>236.645554</v>
      </c>
      <c r="H330" s="52">
        <v>90.342147999999995</v>
      </c>
      <c r="I330" s="120">
        <f t="shared" si="8"/>
        <v>1.4970367197915779E-2</v>
      </c>
      <c r="J330" s="120">
        <f t="shared" si="9"/>
        <v>0</v>
      </c>
    </row>
    <row r="331" spans="6:10" x14ac:dyDescent="0.55000000000000004">
      <c r="F331" s="119">
        <v>43916</v>
      </c>
      <c r="G331" s="52">
        <v>250.463211</v>
      </c>
      <c r="H331" s="52">
        <v>90.342147999999995</v>
      </c>
      <c r="I331" s="120">
        <f t="shared" si="8"/>
        <v>5.8389675049631329E-2</v>
      </c>
      <c r="J331" s="120">
        <f t="shared" si="9"/>
        <v>0</v>
      </c>
    </row>
    <row r="332" spans="6:10" x14ac:dyDescent="0.55000000000000004">
      <c r="F332" s="119">
        <v>43917</v>
      </c>
      <c r="G332" s="52">
        <v>243.003006</v>
      </c>
      <c r="H332" s="52">
        <v>90.322449000000006</v>
      </c>
      <c r="I332" s="120">
        <f t="shared" si="8"/>
        <v>-2.9785631870702156E-2</v>
      </c>
      <c r="J332" s="120">
        <f t="shared" si="9"/>
        <v>-2.1804883364062722E-4</v>
      </c>
    </row>
    <row r="333" spans="6:10" x14ac:dyDescent="0.55000000000000004">
      <c r="F333" s="119">
        <v>43920</v>
      </c>
      <c r="G333" s="52">
        <v>250.894699</v>
      </c>
      <c r="H333" s="52">
        <v>90.322449000000006</v>
      </c>
      <c r="I333" s="120">
        <f t="shared" si="8"/>
        <v>3.247570114420717E-2</v>
      </c>
      <c r="J333" s="120">
        <f t="shared" si="9"/>
        <v>0</v>
      </c>
    </row>
    <row r="334" spans="6:10" x14ac:dyDescent="0.55000000000000004">
      <c r="F334" s="119">
        <v>43921</v>
      </c>
      <c r="G334" s="52">
        <v>247.15501399999999</v>
      </c>
      <c r="H334" s="52">
        <v>90.332283000000004</v>
      </c>
      <c r="I334" s="120">
        <f t="shared" si="8"/>
        <v>-1.4905396626175849E-2</v>
      </c>
      <c r="J334" s="120">
        <f t="shared" si="9"/>
        <v>1.0887658725899918E-4</v>
      </c>
    </row>
    <row r="335" spans="6:10" x14ac:dyDescent="0.55000000000000004">
      <c r="F335" s="119">
        <v>43922</v>
      </c>
      <c r="G335" s="52">
        <v>236.03183000000001</v>
      </c>
      <c r="H335" s="52">
        <v>90.324402000000006</v>
      </c>
      <c r="I335" s="120">
        <f t="shared" si="8"/>
        <v>-4.5004889117887692E-2</v>
      </c>
      <c r="J335" s="120">
        <f t="shared" si="9"/>
        <v>-8.7244556854604305E-5</v>
      </c>
    </row>
    <row r="336" spans="6:10" x14ac:dyDescent="0.55000000000000004">
      <c r="F336" s="119">
        <v>43923</v>
      </c>
      <c r="G336" s="52">
        <v>241.478363</v>
      </c>
      <c r="H336" s="52">
        <v>90.334266999999997</v>
      </c>
      <c r="I336" s="120">
        <f t="shared" si="8"/>
        <v>2.3075417412981913E-2</v>
      </c>
      <c r="J336" s="120">
        <f t="shared" si="9"/>
        <v>1.0921744048730808E-4</v>
      </c>
    </row>
    <row r="337" spans="6:10" x14ac:dyDescent="0.55000000000000004">
      <c r="F337" s="119">
        <v>43924</v>
      </c>
      <c r="G337" s="52">
        <v>237.98799099999999</v>
      </c>
      <c r="H337" s="52">
        <v>90.304671999999997</v>
      </c>
      <c r="I337" s="120">
        <f t="shared" si="8"/>
        <v>-1.445418113920216E-2</v>
      </c>
      <c r="J337" s="120">
        <f t="shared" si="9"/>
        <v>-3.2761654002244622E-4</v>
      </c>
    </row>
    <row r="338" spans="6:10" x14ac:dyDescent="0.55000000000000004">
      <c r="F338" s="119">
        <v>43927</v>
      </c>
      <c r="G338" s="52">
        <v>253.97271699999999</v>
      </c>
      <c r="H338" s="52">
        <v>90.314537000000001</v>
      </c>
      <c r="I338" s="120">
        <f t="shared" si="8"/>
        <v>6.7166103351828266E-2</v>
      </c>
      <c r="J338" s="120">
        <f t="shared" si="9"/>
        <v>1.0924130259848397E-4</v>
      </c>
    </row>
    <row r="339" spans="6:10" x14ac:dyDescent="0.55000000000000004">
      <c r="F339" s="119">
        <v>43928</v>
      </c>
      <c r="G339" s="52">
        <v>254.23165900000001</v>
      </c>
      <c r="H339" s="52">
        <v>90.294807000000006</v>
      </c>
      <c r="I339" s="120">
        <f t="shared" si="8"/>
        <v>1.0195662079719447E-3</v>
      </c>
      <c r="J339" s="120">
        <f t="shared" si="9"/>
        <v>-2.1845874047932146E-4</v>
      </c>
    </row>
    <row r="340" spans="6:10" x14ac:dyDescent="0.55000000000000004">
      <c r="F340" s="119">
        <v>43929</v>
      </c>
      <c r="G340" s="52">
        <v>262.76577800000001</v>
      </c>
      <c r="H340" s="52">
        <v>90.304671999999997</v>
      </c>
      <c r="I340" s="120">
        <f t="shared" si="8"/>
        <v>3.3568277977527483E-2</v>
      </c>
      <c r="J340" s="120">
        <f t="shared" si="9"/>
        <v>1.0925323756416638E-4</v>
      </c>
    </row>
    <row r="341" spans="6:10" x14ac:dyDescent="0.55000000000000004">
      <c r="F341" s="119">
        <v>43930</v>
      </c>
      <c r="G341" s="52">
        <v>266.76443499999999</v>
      </c>
      <c r="H341" s="52">
        <v>90.284935000000004</v>
      </c>
      <c r="I341" s="120">
        <f t="shared" si="8"/>
        <v>1.521757144493896E-2</v>
      </c>
      <c r="J341" s="120">
        <f t="shared" si="9"/>
        <v>-2.185601205659804E-4</v>
      </c>
    </row>
    <row r="342" spans="6:10" x14ac:dyDescent="0.55000000000000004">
      <c r="F342" s="119">
        <v>43934</v>
      </c>
      <c r="G342" s="52">
        <v>264.32876599999997</v>
      </c>
      <c r="H342" s="52">
        <v>90.304671999999997</v>
      </c>
      <c r="I342" s="120">
        <f t="shared" ref="I342:I405" si="10">G342/G341-1</f>
        <v>-9.1304112559082995E-3</v>
      </c>
      <c r="J342" s="120">
        <f t="shared" ref="J342:J405" si="11">H342/H341-1</f>
        <v>2.1860789953476178E-4</v>
      </c>
    </row>
    <row r="343" spans="6:10" x14ac:dyDescent="0.55000000000000004">
      <c r="F343" s="119">
        <v>43935</v>
      </c>
      <c r="G343" s="52">
        <v>272.124664</v>
      </c>
      <c r="H343" s="52">
        <v>90.314537000000001</v>
      </c>
      <c r="I343" s="120">
        <f t="shared" si="10"/>
        <v>2.949318803992762E-2</v>
      </c>
      <c r="J343" s="120">
        <f t="shared" si="11"/>
        <v>1.0924130259848397E-4</v>
      </c>
    </row>
    <row r="344" spans="6:10" x14ac:dyDescent="0.55000000000000004">
      <c r="F344" s="119">
        <v>43936</v>
      </c>
      <c r="G344" s="52">
        <v>266.342468</v>
      </c>
      <c r="H344" s="52">
        <v>90.304671999999997</v>
      </c>
      <c r="I344" s="120">
        <f t="shared" si="10"/>
        <v>-2.1248334917558176E-2</v>
      </c>
      <c r="J344" s="120">
        <f t="shared" si="11"/>
        <v>-1.0922937023971624E-4</v>
      </c>
    </row>
    <row r="345" spans="6:10" x14ac:dyDescent="0.55000000000000004">
      <c r="F345" s="119">
        <v>43937</v>
      </c>
      <c r="G345" s="52">
        <v>267.627411</v>
      </c>
      <c r="H345" s="52">
        <v>90.294807000000006</v>
      </c>
      <c r="I345" s="120">
        <f t="shared" si="10"/>
        <v>4.8244014919918143E-3</v>
      </c>
      <c r="J345" s="120">
        <f t="shared" si="11"/>
        <v>-1.0924130259826192E-4</v>
      </c>
    </row>
    <row r="346" spans="6:10" x14ac:dyDescent="0.55000000000000004">
      <c r="F346" s="119">
        <v>43938</v>
      </c>
      <c r="G346" s="52">
        <v>274.85745200000002</v>
      </c>
      <c r="H346" s="52">
        <v>90.314537000000001</v>
      </c>
      <c r="I346" s="120">
        <f t="shared" si="10"/>
        <v>2.7015323180031192E-2</v>
      </c>
      <c r="J346" s="120">
        <f t="shared" si="11"/>
        <v>2.1850647512877686E-4</v>
      </c>
    </row>
    <row r="347" spans="6:10" x14ac:dyDescent="0.55000000000000004">
      <c r="F347" s="119">
        <v>43941</v>
      </c>
      <c r="G347" s="52">
        <v>270.01504499999999</v>
      </c>
      <c r="H347" s="52">
        <v>90.304671999999997</v>
      </c>
      <c r="I347" s="120">
        <f t="shared" si="10"/>
        <v>-1.7617885070112749E-2</v>
      </c>
      <c r="J347" s="120">
        <f t="shared" si="11"/>
        <v>-1.0922937023971624E-4</v>
      </c>
    </row>
    <row r="348" spans="6:10" x14ac:dyDescent="0.55000000000000004">
      <c r="F348" s="119">
        <v>43942</v>
      </c>
      <c r="G348" s="52">
        <v>261.81652800000001</v>
      </c>
      <c r="H348" s="52">
        <v>90.304671999999997</v>
      </c>
      <c r="I348" s="120">
        <f t="shared" si="10"/>
        <v>-3.0363185873587106E-2</v>
      </c>
      <c r="J348" s="120">
        <f t="shared" si="11"/>
        <v>0</v>
      </c>
    </row>
    <row r="349" spans="6:10" x14ac:dyDescent="0.55000000000000004">
      <c r="F349" s="119">
        <v>43943</v>
      </c>
      <c r="G349" s="52">
        <v>267.627411</v>
      </c>
      <c r="H349" s="52">
        <v>90.304671999999997</v>
      </c>
      <c r="I349" s="120">
        <f t="shared" si="10"/>
        <v>2.2194484986830076E-2</v>
      </c>
      <c r="J349" s="120">
        <f t="shared" si="11"/>
        <v>0</v>
      </c>
    </row>
    <row r="350" spans="6:10" x14ac:dyDescent="0.55000000000000004">
      <c r="F350" s="119">
        <v>43944</v>
      </c>
      <c r="G350" s="52">
        <v>267.60824600000001</v>
      </c>
      <c r="H350" s="52">
        <v>90.314537000000001</v>
      </c>
      <c r="I350" s="120">
        <f t="shared" si="10"/>
        <v>-7.1610751411377294E-5</v>
      </c>
      <c r="J350" s="120">
        <f t="shared" si="11"/>
        <v>1.0924130259848397E-4</v>
      </c>
    </row>
    <row r="351" spans="6:10" x14ac:dyDescent="0.55000000000000004">
      <c r="F351" s="119">
        <v>43945</v>
      </c>
      <c r="G351" s="52">
        <v>271.338348</v>
      </c>
      <c r="H351" s="52">
        <v>90.304671999999997</v>
      </c>
      <c r="I351" s="120">
        <f t="shared" si="10"/>
        <v>1.3938666150070667E-2</v>
      </c>
      <c r="J351" s="120">
        <f t="shared" si="11"/>
        <v>-1.0922937023971624E-4</v>
      </c>
    </row>
    <row r="352" spans="6:10" x14ac:dyDescent="0.55000000000000004">
      <c r="F352" s="119">
        <v>43948</v>
      </c>
      <c r="G352" s="52">
        <v>275.25064099999997</v>
      </c>
      <c r="H352" s="52">
        <v>90.304671999999997</v>
      </c>
      <c r="I352" s="120">
        <f t="shared" si="10"/>
        <v>1.4418503793647286E-2</v>
      </c>
      <c r="J352" s="120">
        <f t="shared" si="11"/>
        <v>0</v>
      </c>
    </row>
    <row r="353" spans="6:10" x14ac:dyDescent="0.55000000000000004">
      <c r="F353" s="119">
        <v>43949</v>
      </c>
      <c r="G353" s="52">
        <v>273.98492399999998</v>
      </c>
      <c r="H353" s="52">
        <v>90.304671999999997</v>
      </c>
      <c r="I353" s="120">
        <f t="shared" si="10"/>
        <v>-4.5984161758955144E-3</v>
      </c>
      <c r="J353" s="120">
        <f t="shared" si="11"/>
        <v>0</v>
      </c>
    </row>
    <row r="354" spans="6:10" x14ac:dyDescent="0.55000000000000004">
      <c r="F354" s="119">
        <v>43950</v>
      </c>
      <c r="G354" s="52">
        <v>281.15741000000003</v>
      </c>
      <c r="H354" s="52">
        <v>90.294807000000006</v>
      </c>
      <c r="I354" s="120">
        <f t="shared" si="10"/>
        <v>2.6178396589441766E-2</v>
      </c>
      <c r="J354" s="120">
        <f t="shared" si="11"/>
        <v>-1.0924130259826192E-4</v>
      </c>
    </row>
    <row r="355" spans="6:10" x14ac:dyDescent="0.55000000000000004">
      <c r="F355" s="119">
        <v>43951</v>
      </c>
      <c r="G355" s="52">
        <v>278.53964200000001</v>
      </c>
      <c r="H355" s="52">
        <v>90.314537000000001</v>
      </c>
      <c r="I355" s="120">
        <f t="shared" si="10"/>
        <v>-9.3106847157256034E-3</v>
      </c>
      <c r="J355" s="120">
        <f t="shared" si="11"/>
        <v>2.1850647512877686E-4</v>
      </c>
    </row>
    <row r="356" spans="6:10" x14ac:dyDescent="0.55000000000000004">
      <c r="F356" s="119">
        <v>43952</v>
      </c>
      <c r="G356" s="52">
        <v>271.16574100000003</v>
      </c>
      <c r="H356" s="52">
        <v>90.298743999999999</v>
      </c>
      <c r="I356" s="120">
        <f t="shared" si="10"/>
        <v>-2.6473434614380675E-2</v>
      </c>
      <c r="J356" s="120">
        <f t="shared" si="11"/>
        <v>-1.7486664411514585E-4</v>
      </c>
    </row>
    <row r="357" spans="6:10" x14ac:dyDescent="0.55000000000000004">
      <c r="F357" s="119">
        <v>43955</v>
      </c>
      <c r="G357" s="52">
        <v>271.91366599999998</v>
      </c>
      <c r="H357" s="52">
        <v>90.298743999999999</v>
      </c>
      <c r="I357" s="120">
        <f t="shared" si="10"/>
        <v>2.7581839698547217E-3</v>
      </c>
      <c r="J357" s="120">
        <f t="shared" si="11"/>
        <v>0</v>
      </c>
    </row>
    <row r="358" spans="6:10" x14ac:dyDescent="0.55000000000000004">
      <c r="F358" s="119">
        <v>43956</v>
      </c>
      <c r="G358" s="52">
        <v>274.42596400000002</v>
      </c>
      <c r="H358" s="52">
        <v>90.298743999999999</v>
      </c>
      <c r="I358" s="120">
        <f t="shared" si="10"/>
        <v>9.2393223075446507E-3</v>
      </c>
      <c r="J358" s="120">
        <f t="shared" si="11"/>
        <v>0</v>
      </c>
    </row>
    <row r="359" spans="6:10" x14ac:dyDescent="0.55000000000000004">
      <c r="F359" s="119">
        <v>43957</v>
      </c>
      <c r="G359" s="52">
        <v>272.56573500000002</v>
      </c>
      <c r="H359" s="52">
        <v>90.308616999999998</v>
      </c>
      <c r="I359" s="120">
        <f t="shared" si="10"/>
        <v>-6.7786188044510753E-3</v>
      </c>
      <c r="J359" s="120">
        <f t="shared" si="11"/>
        <v>1.0933706896287809E-4</v>
      </c>
    </row>
    <row r="360" spans="6:10" x14ac:dyDescent="0.55000000000000004">
      <c r="F360" s="119">
        <v>43958</v>
      </c>
      <c r="G360" s="52">
        <v>275.85470600000002</v>
      </c>
      <c r="H360" s="52">
        <v>90.298743999999999</v>
      </c>
      <c r="I360" s="120">
        <f t="shared" si="10"/>
        <v>1.2066707504521768E-2</v>
      </c>
      <c r="J360" s="120">
        <f t="shared" si="11"/>
        <v>-1.0932511567529613E-4</v>
      </c>
    </row>
    <row r="361" spans="6:10" x14ac:dyDescent="0.55000000000000004">
      <c r="F361" s="119">
        <v>43959</v>
      </c>
      <c r="G361" s="52">
        <v>280.41906699999998</v>
      </c>
      <c r="H361" s="52">
        <v>90.298743999999999</v>
      </c>
      <c r="I361" s="120">
        <f t="shared" si="10"/>
        <v>1.6546250256828987E-2</v>
      </c>
      <c r="J361" s="120">
        <f t="shared" si="11"/>
        <v>0</v>
      </c>
    </row>
    <row r="362" spans="6:10" x14ac:dyDescent="0.55000000000000004">
      <c r="F362" s="119">
        <v>43962</v>
      </c>
      <c r="G362" s="52">
        <v>280.47662400000002</v>
      </c>
      <c r="H362" s="52">
        <v>90.308616999999998</v>
      </c>
      <c r="I362" s="120">
        <f t="shared" si="10"/>
        <v>2.0525351794287161E-4</v>
      </c>
      <c r="J362" s="120">
        <f t="shared" si="11"/>
        <v>1.0933706896287809E-4</v>
      </c>
    </row>
    <row r="363" spans="6:10" x14ac:dyDescent="0.55000000000000004">
      <c r="F363" s="119">
        <v>43963</v>
      </c>
      <c r="G363" s="52">
        <v>274.88623000000001</v>
      </c>
      <c r="H363" s="52">
        <v>90.308616999999998</v>
      </c>
      <c r="I363" s="120">
        <f t="shared" si="10"/>
        <v>-1.9931764438237076E-2</v>
      </c>
      <c r="J363" s="120">
        <f t="shared" si="11"/>
        <v>0</v>
      </c>
    </row>
    <row r="364" spans="6:10" x14ac:dyDescent="0.55000000000000004">
      <c r="F364" s="119">
        <v>43964</v>
      </c>
      <c r="G364" s="52">
        <v>270.02462800000001</v>
      </c>
      <c r="H364" s="52">
        <v>90.308616999999998</v>
      </c>
      <c r="I364" s="120">
        <f t="shared" si="10"/>
        <v>-1.7685869532278908E-2</v>
      </c>
      <c r="J364" s="120">
        <f t="shared" si="11"/>
        <v>0</v>
      </c>
    </row>
    <row r="365" spans="6:10" x14ac:dyDescent="0.55000000000000004">
      <c r="F365" s="119">
        <v>43965</v>
      </c>
      <c r="G365" s="52">
        <v>273.25613399999997</v>
      </c>
      <c r="H365" s="52">
        <v>90.318481000000006</v>
      </c>
      <c r="I365" s="120">
        <f t="shared" si="10"/>
        <v>1.1967449132084251E-2</v>
      </c>
      <c r="J365" s="120">
        <f t="shared" si="11"/>
        <v>1.0922545741132161E-4</v>
      </c>
    </row>
    <row r="366" spans="6:10" x14ac:dyDescent="0.55000000000000004">
      <c r="F366" s="119">
        <v>43966</v>
      </c>
      <c r="G366" s="52">
        <v>274.51226800000001</v>
      </c>
      <c r="H366" s="52">
        <v>90.298743999999999</v>
      </c>
      <c r="I366" s="120">
        <f t="shared" si="10"/>
        <v>4.5969105308356628E-3</v>
      </c>
      <c r="J366" s="120">
        <f t="shared" si="11"/>
        <v>-2.1852670440736244E-4</v>
      </c>
    </row>
    <row r="367" spans="6:10" x14ac:dyDescent="0.55000000000000004">
      <c r="F367" s="119">
        <v>43969</v>
      </c>
      <c r="G367" s="52">
        <v>282.87383999999997</v>
      </c>
      <c r="H367" s="52">
        <v>90.298743999999999</v>
      </c>
      <c r="I367" s="120">
        <f t="shared" si="10"/>
        <v>3.0459738870395325E-2</v>
      </c>
      <c r="J367" s="120">
        <f t="shared" si="11"/>
        <v>0</v>
      </c>
    </row>
    <row r="368" spans="6:10" x14ac:dyDescent="0.55000000000000004">
      <c r="F368" s="119">
        <v>43970</v>
      </c>
      <c r="G368" s="52">
        <v>279.968323</v>
      </c>
      <c r="H368" s="52">
        <v>90.298743999999999</v>
      </c>
      <c r="I368" s="120">
        <f t="shared" si="10"/>
        <v>-1.0271423472739571E-2</v>
      </c>
      <c r="J368" s="120">
        <f t="shared" si="11"/>
        <v>0</v>
      </c>
    </row>
    <row r="369" spans="6:10" x14ac:dyDescent="0.55000000000000004">
      <c r="F369" s="119">
        <v>43971</v>
      </c>
      <c r="G369" s="52">
        <v>284.72451799999999</v>
      </c>
      <c r="H369" s="52">
        <v>90.298743999999999</v>
      </c>
      <c r="I369" s="120">
        <f t="shared" si="10"/>
        <v>1.6988332640760939E-2</v>
      </c>
      <c r="J369" s="120">
        <f t="shared" si="11"/>
        <v>0</v>
      </c>
    </row>
    <row r="370" spans="6:10" x14ac:dyDescent="0.55000000000000004">
      <c r="F370" s="119">
        <v>43972</v>
      </c>
      <c r="G370" s="52">
        <v>282.75878899999998</v>
      </c>
      <c r="H370" s="52">
        <v>90.308616999999998</v>
      </c>
      <c r="I370" s="120">
        <f t="shared" si="10"/>
        <v>-6.9039681366674932E-3</v>
      </c>
      <c r="J370" s="120">
        <f t="shared" si="11"/>
        <v>1.0933706896287809E-4</v>
      </c>
    </row>
    <row r="371" spans="6:10" x14ac:dyDescent="0.55000000000000004">
      <c r="F371" s="119">
        <v>43973</v>
      </c>
      <c r="G371" s="52">
        <v>283.29580700000002</v>
      </c>
      <c r="H371" s="52">
        <v>90.298743999999999</v>
      </c>
      <c r="I371" s="120">
        <f t="shared" si="10"/>
        <v>1.8992088695075626E-3</v>
      </c>
      <c r="J371" s="120">
        <f t="shared" si="11"/>
        <v>-1.0932511567529613E-4</v>
      </c>
    </row>
    <row r="372" spans="6:10" x14ac:dyDescent="0.55000000000000004">
      <c r="F372" s="119">
        <v>43977</v>
      </c>
      <c r="G372" s="52">
        <v>286.78610200000003</v>
      </c>
      <c r="H372" s="52">
        <v>90.308616999999998</v>
      </c>
      <c r="I372" s="120">
        <f t="shared" si="10"/>
        <v>1.232032001094896E-2</v>
      </c>
      <c r="J372" s="120">
        <f t="shared" si="11"/>
        <v>1.0933706896287809E-4</v>
      </c>
    </row>
    <row r="373" spans="6:10" x14ac:dyDescent="0.55000000000000004">
      <c r="F373" s="119">
        <v>43978</v>
      </c>
      <c r="G373" s="52">
        <v>291.05319200000002</v>
      </c>
      <c r="H373" s="52">
        <v>90.298743999999999</v>
      </c>
      <c r="I373" s="120">
        <f t="shared" si="10"/>
        <v>1.4878998564581858E-2</v>
      </c>
      <c r="J373" s="120">
        <f t="shared" si="11"/>
        <v>-1.0932511567529613E-4</v>
      </c>
    </row>
    <row r="374" spans="6:10" x14ac:dyDescent="0.55000000000000004">
      <c r="F374" s="119">
        <v>43979</v>
      </c>
      <c r="G374" s="52">
        <v>290.51623499999999</v>
      </c>
      <c r="H374" s="52">
        <v>90.298743999999999</v>
      </c>
      <c r="I374" s="120">
        <f t="shared" si="10"/>
        <v>-1.84487583286852E-3</v>
      </c>
      <c r="J374" s="120">
        <f t="shared" si="11"/>
        <v>0</v>
      </c>
    </row>
    <row r="375" spans="6:10" x14ac:dyDescent="0.55000000000000004">
      <c r="F375" s="119">
        <v>43980</v>
      </c>
      <c r="G375" s="52">
        <v>291.810699</v>
      </c>
      <c r="H375" s="52">
        <v>90.298743999999999</v>
      </c>
      <c r="I375" s="120">
        <f t="shared" si="10"/>
        <v>4.4557372155122899E-3</v>
      </c>
      <c r="J375" s="120">
        <f t="shared" si="11"/>
        <v>0</v>
      </c>
    </row>
    <row r="376" spans="6:10" x14ac:dyDescent="0.55000000000000004">
      <c r="F376" s="119">
        <v>43983</v>
      </c>
      <c r="G376" s="52">
        <v>292.99017300000003</v>
      </c>
      <c r="H376" s="52">
        <v>90.308616999999998</v>
      </c>
      <c r="I376" s="120">
        <f t="shared" si="10"/>
        <v>4.0419148579609043E-3</v>
      </c>
      <c r="J376" s="120">
        <f t="shared" si="11"/>
        <v>1.0933706896287809E-4</v>
      </c>
    </row>
    <row r="377" spans="6:10" x14ac:dyDescent="0.55000000000000004">
      <c r="F377" s="119">
        <v>43984</v>
      </c>
      <c r="G377" s="52">
        <v>295.41610700000001</v>
      </c>
      <c r="H377" s="52">
        <v>90.308616999999998</v>
      </c>
      <c r="I377" s="120">
        <f t="shared" si="10"/>
        <v>8.279915927419168E-3</v>
      </c>
      <c r="J377" s="120">
        <f t="shared" si="11"/>
        <v>0</v>
      </c>
    </row>
    <row r="378" spans="6:10" x14ac:dyDescent="0.55000000000000004">
      <c r="F378" s="119">
        <v>43985</v>
      </c>
      <c r="G378" s="52">
        <v>299.34765599999997</v>
      </c>
      <c r="H378" s="52">
        <v>90.308616999999998</v>
      </c>
      <c r="I378" s="120">
        <f t="shared" si="10"/>
        <v>1.3308512660076266E-2</v>
      </c>
      <c r="J378" s="120">
        <f t="shared" si="11"/>
        <v>0</v>
      </c>
    </row>
    <row r="379" spans="6:10" x14ac:dyDescent="0.55000000000000004">
      <c r="F379" s="119">
        <v>43986</v>
      </c>
      <c r="G379" s="52">
        <v>298.56133999999997</v>
      </c>
      <c r="H379" s="52">
        <v>90.308616999999998</v>
      </c>
      <c r="I379" s="120">
        <f t="shared" si="10"/>
        <v>-2.6267651816855864E-3</v>
      </c>
      <c r="J379" s="120">
        <f t="shared" si="11"/>
        <v>0</v>
      </c>
    </row>
    <row r="380" spans="6:10" x14ac:dyDescent="0.55000000000000004">
      <c r="F380" s="119">
        <v>43987</v>
      </c>
      <c r="G380" s="52">
        <v>306.213348</v>
      </c>
      <c r="H380" s="52">
        <v>90.288887000000003</v>
      </c>
      <c r="I380" s="120">
        <f t="shared" si="10"/>
        <v>2.5629600938956276E-2</v>
      </c>
      <c r="J380" s="120">
        <f t="shared" si="11"/>
        <v>-2.1847306110334141E-4</v>
      </c>
    </row>
    <row r="381" spans="6:10" x14ac:dyDescent="0.55000000000000004">
      <c r="F381" s="119">
        <v>43990</v>
      </c>
      <c r="G381" s="52">
        <v>309.91467299999999</v>
      </c>
      <c r="H381" s="52">
        <v>90.298743999999999</v>
      </c>
      <c r="I381" s="120">
        <f t="shared" si="10"/>
        <v>1.2087405804400042E-2</v>
      </c>
      <c r="J381" s="120">
        <f t="shared" si="11"/>
        <v>1.0917179652469855E-4</v>
      </c>
    </row>
    <row r="382" spans="6:10" x14ac:dyDescent="0.55000000000000004">
      <c r="F382" s="119">
        <v>43991</v>
      </c>
      <c r="G382" s="52">
        <v>307.60376000000002</v>
      </c>
      <c r="H382" s="52">
        <v>90.298743999999999</v>
      </c>
      <c r="I382" s="120">
        <f t="shared" si="10"/>
        <v>-7.4566104845250614E-3</v>
      </c>
      <c r="J382" s="120">
        <f t="shared" si="11"/>
        <v>0</v>
      </c>
    </row>
    <row r="383" spans="6:10" x14ac:dyDescent="0.55000000000000004">
      <c r="F383" s="119">
        <v>43992</v>
      </c>
      <c r="G383" s="52">
        <v>305.88732900000002</v>
      </c>
      <c r="H383" s="52">
        <v>90.308616999999998</v>
      </c>
      <c r="I383" s="120">
        <f t="shared" si="10"/>
        <v>-5.5800065642890306E-3</v>
      </c>
      <c r="J383" s="120">
        <f t="shared" si="11"/>
        <v>1.0933706896287809E-4</v>
      </c>
    </row>
    <row r="384" spans="6:10" x14ac:dyDescent="0.55000000000000004">
      <c r="F384" s="119">
        <v>43993</v>
      </c>
      <c r="G384" s="52">
        <v>288.25320399999998</v>
      </c>
      <c r="H384" s="52">
        <v>90.288887000000003</v>
      </c>
      <c r="I384" s="120">
        <f t="shared" si="10"/>
        <v>-5.7649086209779044E-2</v>
      </c>
      <c r="J384" s="120">
        <f t="shared" si="11"/>
        <v>-2.1847306110334141E-4</v>
      </c>
    </row>
    <row r="385" spans="6:10" x14ac:dyDescent="0.55000000000000004">
      <c r="F385" s="119">
        <v>43994</v>
      </c>
      <c r="G385" s="52">
        <v>291.70526100000001</v>
      </c>
      <c r="H385" s="52">
        <v>90.308616999999998</v>
      </c>
      <c r="I385" s="120">
        <f t="shared" si="10"/>
        <v>1.1975780154728222E-2</v>
      </c>
      <c r="J385" s="120">
        <f t="shared" si="11"/>
        <v>2.1852080201179014E-4</v>
      </c>
    </row>
    <row r="386" spans="6:10" x14ac:dyDescent="0.55000000000000004">
      <c r="F386" s="119">
        <v>43997</v>
      </c>
      <c r="G386" s="52">
        <v>294.42852800000003</v>
      </c>
      <c r="H386" s="52">
        <v>90.308616999999998</v>
      </c>
      <c r="I386" s="120">
        <f t="shared" si="10"/>
        <v>9.3356800993726896E-3</v>
      </c>
      <c r="J386" s="120">
        <f t="shared" si="11"/>
        <v>0</v>
      </c>
    </row>
    <row r="387" spans="6:10" x14ac:dyDescent="0.55000000000000004">
      <c r="F387" s="119">
        <v>43998</v>
      </c>
      <c r="G387" s="52">
        <v>300.09558099999998</v>
      </c>
      <c r="H387" s="52">
        <v>90.308616999999998</v>
      </c>
      <c r="I387" s="120">
        <f t="shared" si="10"/>
        <v>1.92476355416209E-2</v>
      </c>
      <c r="J387" s="120">
        <f t="shared" si="11"/>
        <v>0</v>
      </c>
    </row>
    <row r="388" spans="6:10" x14ac:dyDescent="0.55000000000000004">
      <c r="F388" s="119">
        <v>43999</v>
      </c>
      <c r="G388" s="52">
        <v>298.84903000000003</v>
      </c>
      <c r="H388" s="52">
        <v>90.308616999999998</v>
      </c>
      <c r="I388" s="120">
        <f t="shared" si="10"/>
        <v>-4.1538465706363326E-3</v>
      </c>
      <c r="J388" s="120">
        <f t="shared" si="11"/>
        <v>0</v>
      </c>
    </row>
    <row r="389" spans="6:10" x14ac:dyDescent="0.55000000000000004">
      <c r="F389" s="119">
        <v>44000</v>
      </c>
      <c r="G389" s="52">
        <v>298.96404999999999</v>
      </c>
      <c r="H389" s="52">
        <v>90.298743999999999</v>
      </c>
      <c r="I389" s="120">
        <f t="shared" si="10"/>
        <v>3.8487660475250429E-4</v>
      </c>
      <c r="J389" s="120">
        <f t="shared" si="11"/>
        <v>-1.0932511567529613E-4</v>
      </c>
    </row>
    <row r="390" spans="6:10" x14ac:dyDescent="0.55000000000000004">
      <c r="F390" s="119">
        <v>44001</v>
      </c>
      <c r="G390" s="52">
        <v>297.25552399999998</v>
      </c>
      <c r="H390" s="52">
        <v>90.298743999999999</v>
      </c>
      <c r="I390" s="120">
        <f t="shared" si="10"/>
        <v>-5.7148208956896429E-3</v>
      </c>
      <c r="J390" s="120">
        <f t="shared" si="11"/>
        <v>0</v>
      </c>
    </row>
    <row r="391" spans="6:10" x14ac:dyDescent="0.55000000000000004">
      <c r="F391" s="119">
        <v>44004</v>
      </c>
      <c r="G391" s="52">
        <v>299.16253699999999</v>
      </c>
      <c r="H391" s="52">
        <v>90.298743999999999</v>
      </c>
      <c r="I391" s="120">
        <f t="shared" si="10"/>
        <v>6.4153997017057929E-3</v>
      </c>
      <c r="J391" s="120">
        <f t="shared" si="11"/>
        <v>0</v>
      </c>
    </row>
    <row r="392" spans="6:10" x14ac:dyDescent="0.55000000000000004">
      <c r="F392" s="119">
        <v>44005</v>
      </c>
      <c r="G392" s="52">
        <v>300.53970299999997</v>
      </c>
      <c r="H392" s="52">
        <v>90.298743999999999</v>
      </c>
      <c r="I392" s="120">
        <f t="shared" si="10"/>
        <v>4.6034039348983313E-3</v>
      </c>
      <c r="J392" s="120">
        <f t="shared" si="11"/>
        <v>0</v>
      </c>
    </row>
    <row r="393" spans="6:10" x14ac:dyDescent="0.55000000000000004">
      <c r="F393" s="119">
        <v>44006</v>
      </c>
      <c r="G393" s="52">
        <v>292.87329099999999</v>
      </c>
      <c r="H393" s="52">
        <v>90.298743999999999</v>
      </c>
      <c r="I393" s="120">
        <f t="shared" si="10"/>
        <v>-2.5508816051501793E-2</v>
      </c>
      <c r="J393" s="120">
        <f t="shared" si="11"/>
        <v>0</v>
      </c>
    </row>
    <row r="394" spans="6:10" x14ac:dyDescent="0.55000000000000004">
      <c r="F394" s="119">
        <v>44007</v>
      </c>
      <c r="G394" s="52">
        <v>296.01306199999999</v>
      </c>
      <c r="H394" s="52">
        <v>90.308616999999998</v>
      </c>
      <c r="I394" s="120">
        <f t="shared" si="10"/>
        <v>1.0720578135614334E-2</v>
      </c>
      <c r="J394" s="120">
        <f t="shared" si="11"/>
        <v>1.0933706896287809E-4</v>
      </c>
    </row>
    <row r="395" spans="6:10" x14ac:dyDescent="0.55000000000000004">
      <c r="F395" s="119">
        <v>44008</v>
      </c>
      <c r="G395" s="52">
        <v>288.98236100000003</v>
      </c>
      <c r="H395" s="52">
        <v>90.298743999999999</v>
      </c>
      <c r="I395" s="120">
        <f t="shared" si="10"/>
        <v>-2.375132013600123E-2</v>
      </c>
      <c r="J395" s="120">
        <f t="shared" si="11"/>
        <v>-1.0932511567529613E-4</v>
      </c>
    </row>
    <row r="396" spans="6:10" x14ac:dyDescent="0.55000000000000004">
      <c r="F396" s="119">
        <v>44011</v>
      </c>
      <c r="G396" s="52">
        <v>293.22967499999999</v>
      </c>
      <c r="H396" s="52">
        <v>90.298743999999999</v>
      </c>
      <c r="I396" s="120">
        <f t="shared" si="10"/>
        <v>1.4697485290460222E-2</v>
      </c>
      <c r="J396" s="120">
        <f t="shared" si="11"/>
        <v>0</v>
      </c>
    </row>
    <row r="397" spans="6:10" x14ac:dyDescent="0.55000000000000004">
      <c r="F397" s="119">
        <v>44012</v>
      </c>
      <c r="G397" s="52">
        <v>296.98577899999998</v>
      </c>
      <c r="H397" s="52">
        <v>90.298743999999999</v>
      </c>
      <c r="I397" s="120">
        <f t="shared" si="10"/>
        <v>1.2809426603906937E-2</v>
      </c>
      <c r="J397" s="120">
        <f t="shared" si="11"/>
        <v>0</v>
      </c>
    </row>
    <row r="398" spans="6:10" x14ac:dyDescent="0.55000000000000004">
      <c r="F398" s="119">
        <v>44013</v>
      </c>
      <c r="G398" s="52">
        <v>299.06616200000002</v>
      </c>
      <c r="H398" s="52">
        <v>90.298743999999999</v>
      </c>
      <c r="I398" s="120">
        <f t="shared" si="10"/>
        <v>7.0049919797676719E-3</v>
      </c>
      <c r="J398" s="120">
        <f t="shared" si="11"/>
        <v>0</v>
      </c>
    </row>
    <row r="399" spans="6:10" x14ac:dyDescent="0.55000000000000004">
      <c r="F399" s="119">
        <v>44014</v>
      </c>
      <c r="G399" s="52">
        <v>300.71310399999999</v>
      </c>
      <c r="H399" s="52">
        <v>90.308616999999998</v>
      </c>
      <c r="I399" s="120">
        <f t="shared" si="10"/>
        <v>5.5069486597416617E-3</v>
      </c>
      <c r="J399" s="120">
        <f t="shared" si="11"/>
        <v>1.0933706896287809E-4</v>
      </c>
    </row>
    <row r="400" spans="6:10" x14ac:dyDescent="0.55000000000000004">
      <c r="F400" s="119">
        <v>44018</v>
      </c>
      <c r="G400" s="52">
        <v>305.35528599999998</v>
      </c>
      <c r="H400" s="52">
        <v>90.298743999999999</v>
      </c>
      <c r="I400" s="120">
        <f t="shared" si="10"/>
        <v>1.5437245461707549E-2</v>
      </c>
      <c r="J400" s="120">
        <f t="shared" si="11"/>
        <v>-1.0932511567529613E-4</v>
      </c>
    </row>
    <row r="401" spans="6:10" x14ac:dyDescent="0.55000000000000004">
      <c r="F401" s="119">
        <v>44019</v>
      </c>
      <c r="G401" s="52">
        <v>302.20593300000002</v>
      </c>
      <c r="H401" s="52">
        <v>90.298743999999999</v>
      </c>
      <c r="I401" s="120">
        <f t="shared" si="10"/>
        <v>-1.0313733360423849E-2</v>
      </c>
      <c r="J401" s="120">
        <f t="shared" si="11"/>
        <v>0</v>
      </c>
    </row>
    <row r="402" spans="6:10" x14ac:dyDescent="0.55000000000000004">
      <c r="F402" s="119">
        <v>44020</v>
      </c>
      <c r="G402" s="52">
        <v>304.517426</v>
      </c>
      <c r="H402" s="52">
        <v>90.298743999999999</v>
      </c>
      <c r="I402" s="120">
        <f t="shared" si="10"/>
        <v>7.6487346792095678E-3</v>
      </c>
      <c r="J402" s="120">
        <f t="shared" si="11"/>
        <v>0</v>
      </c>
    </row>
    <row r="403" spans="6:10" x14ac:dyDescent="0.55000000000000004">
      <c r="F403" s="119">
        <v>44021</v>
      </c>
      <c r="G403" s="52">
        <v>302.78381300000001</v>
      </c>
      <c r="H403" s="52">
        <v>90.298743999999999</v>
      </c>
      <c r="I403" s="120">
        <f t="shared" si="10"/>
        <v>-5.6929845453245198E-3</v>
      </c>
      <c r="J403" s="120">
        <f t="shared" si="11"/>
        <v>0</v>
      </c>
    </row>
    <row r="404" spans="6:10" x14ac:dyDescent="0.55000000000000004">
      <c r="F404" s="119">
        <v>44022</v>
      </c>
      <c r="G404" s="52">
        <v>305.87536599999999</v>
      </c>
      <c r="H404" s="52">
        <v>90.308616999999998</v>
      </c>
      <c r="I404" s="120">
        <f t="shared" si="10"/>
        <v>1.0210430238554391E-2</v>
      </c>
      <c r="J404" s="120">
        <f t="shared" si="11"/>
        <v>1.0933706896287809E-4</v>
      </c>
    </row>
    <row r="405" spans="6:10" x14ac:dyDescent="0.55000000000000004">
      <c r="F405" s="119">
        <v>44025</v>
      </c>
      <c r="G405" s="52">
        <v>303.22680700000001</v>
      </c>
      <c r="H405" s="52">
        <v>90.308616999999998</v>
      </c>
      <c r="I405" s="120">
        <f t="shared" si="10"/>
        <v>-8.658948363955421E-3</v>
      </c>
      <c r="J405" s="120">
        <f t="shared" si="11"/>
        <v>0</v>
      </c>
    </row>
    <row r="406" spans="6:10" x14ac:dyDescent="0.55000000000000004">
      <c r="F406" s="119">
        <v>44026</v>
      </c>
      <c r="G406" s="52">
        <v>307.156342</v>
      </c>
      <c r="H406" s="52">
        <v>90.308616999999998</v>
      </c>
      <c r="I406" s="120">
        <f t="shared" ref="I406:I469" si="12">G406/G405-1</f>
        <v>1.295906202646524E-2</v>
      </c>
      <c r="J406" s="120">
        <f t="shared" ref="J406:J469" si="13">H406/H405-1</f>
        <v>0</v>
      </c>
    </row>
    <row r="407" spans="6:10" x14ac:dyDescent="0.55000000000000004">
      <c r="F407" s="119">
        <v>44027</v>
      </c>
      <c r="G407" s="52">
        <v>309.97827100000001</v>
      </c>
      <c r="H407" s="52">
        <v>90.308616999999998</v>
      </c>
      <c r="I407" s="120">
        <f t="shared" si="12"/>
        <v>9.1872724542343409E-3</v>
      </c>
      <c r="J407" s="120">
        <f t="shared" si="13"/>
        <v>0</v>
      </c>
    </row>
    <row r="408" spans="6:10" x14ac:dyDescent="0.55000000000000004">
      <c r="F408" s="119">
        <v>44028</v>
      </c>
      <c r="G408" s="52">
        <v>308.95739700000001</v>
      </c>
      <c r="H408" s="52">
        <v>90.298743999999999</v>
      </c>
      <c r="I408" s="120">
        <f t="shared" si="12"/>
        <v>-3.2933727796681245E-3</v>
      </c>
      <c r="J408" s="120">
        <f t="shared" si="13"/>
        <v>-1.0932511567529613E-4</v>
      </c>
    </row>
    <row r="409" spans="6:10" x14ac:dyDescent="0.55000000000000004">
      <c r="F409" s="119">
        <v>44029</v>
      </c>
      <c r="G409" s="52">
        <v>309.853027</v>
      </c>
      <c r="H409" s="52">
        <v>90.308616999999998</v>
      </c>
      <c r="I409" s="120">
        <f t="shared" si="12"/>
        <v>2.8988786437762482E-3</v>
      </c>
      <c r="J409" s="120">
        <f t="shared" si="13"/>
        <v>1.0933706896287809E-4</v>
      </c>
    </row>
    <row r="410" spans="6:10" x14ac:dyDescent="0.55000000000000004">
      <c r="F410" s="119">
        <v>44032</v>
      </c>
      <c r="G410" s="52">
        <v>312.35711700000002</v>
      </c>
      <c r="H410" s="52">
        <v>90.308616999999998</v>
      </c>
      <c r="I410" s="120">
        <f t="shared" si="12"/>
        <v>8.0815411882357857E-3</v>
      </c>
      <c r="J410" s="120">
        <f t="shared" si="13"/>
        <v>0</v>
      </c>
    </row>
    <row r="411" spans="6:10" x14ac:dyDescent="0.55000000000000004">
      <c r="F411" s="119">
        <v>44033</v>
      </c>
      <c r="G411" s="52">
        <v>313.02175899999997</v>
      </c>
      <c r="H411" s="52">
        <v>90.308616999999998</v>
      </c>
      <c r="I411" s="120">
        <f t="shared" si="12"/>
        <v>2.1278272971125833E-3</v>
      </c>
      <c r="J411" s="120">
        <f t="shared" si="13"/>
        <v>0</v>
      </c>
    </row>
    <row r="412" spans="6:10" x14ac:dyDescent="0.55000000000000004">
      <c r="F412" s="119">
        <v>44034</v>
      </c>
      <c r="G412" s="52">
        <v>314.80343599999998</v>
      </c>
      <c r="H412" s="52">
        <v>90.298743999999999</v>
      </c>
      <c r="I412" s="120">
        <f t="shared" si="12"/>
        <v>5.6918631014402088E-3</v>
      </c>
      <c r="J412" s="120">
        <f t="shared" si="13"/>
        <v>-1.0932511567529613E-4</v>
      </c>
    </row>
    <row r="413" spans="6:10" x14ac:dyDescent="0.55000000000000004">
      <c r="F413" s="119">
        <v>44035</v>
      </c>
      <c r="G413" s="52">
        <v>311.047302</v>
      </c>
      <c r="H413" s="52">
        <v>90.308616999999998</v>
      </c>
      <c r="I413" s="120">
        <f t="shared" si="12"/>
        <v>-1.193168044074322E-2</v>
      </c>
      <c r="J413" s="120">
        <f t="shared" si="13"/>
        <v>1.0933706896287809E-4</v>
      </c>
    </row>
    <row r="414" spans="6:10" x14ac:dyDescent="0.55000000000000004">
      <c r="F414" s="119">
        <v>44036</v>
      </c>
      <c r="G414" s="52">
        <v>309.04406699999998</v>
      </c>
      <c r="H414" s="52">
        <v>90.298743999999999</v>
      </c>
      <c r="I414" s="120">
        <f t="shared" si="12"/>
        <v>-6.4402905510494435E-3</v>
      </c>
      <c r="J414" s="120">
        <f t="shared" si="13"/>
        <v>-1.0932511567529613E-4</v>
      </c>
    </row>
    <row r="415" spans="6:10" x14ac:dyDescent="0.55000000000000004">
      <c r="F415" s="119">
        <v>44039</v>
      </c>
      <c r="G415" s="52">
        <v>311.297729</v>
      </c>
      <c r="H415" s="52">
        <v>90.298743999999999</v>
      </c>
      <c r="I415" s="120">
        <f t="shared" si="12"/>
        <v>7.292364554599251E-3</v>
      </c>
      <c r="J415" s="120">
        <f t="shared" si="13"/>
        <v>0</v>
      </c>
    </row>
    <row r="416" spans="6:10" x14ac:dyDescent="0.55000000000000004">
      <c r="F416" s="119">
        <v>44040</v>
      </c>
      <c r="G416" s="52">
        <v>309.32330300000001</v>
      </c>
      <c r="H416" s="52">
        <v>90.308616999999998</v>
      </c>
      <c r="I416" s="120">
        <f t="shared" si="12"/>
        <v>-6.3425647412930219E-3</v>
      </c>
      <c r="J416" s="120">
        <f t="shared" si="13"/>
        <v>1.0933706896287809E-4</v>
      </c>
    </row>
    <row r="417" spans="6:10" x14ac:dyDescent="0.55000000000000004">
      <c r="F417" s="119">
        <v>44041</v>
      </c>
      <c r="G417" s="52">
        <v>313.12759399999999</v>
      </c>
      <c r="H417" s="52">
        <v>90.308616999999998</v>
      </c>
      <c r="I417" s="120">
        <f t="shared" si="12"/>
        <v>1.2298753320890254E-2</v>
      </c>
      <c r="J417" s="120">
        <f t="shared" si="13"/>
        <v>0</v>
      </c>
    </row>
    <row r="418" spans="6:10" x14ac:dyDescent="0.55000000000000004">
      <c r="F418" s="119">
        <v>44042</v>
      </c>
      <c r="G418" s="52">
        <v>312.01043700000002</v>
      </c>
      <c r="H418" s="52">
        <v>90.298743999999999</v>
      </c>
      <c r="I418" s="120">
        <f t="shared" si="12"/>
        <v>-3.5677373103053522E-3</v>
      </c>
      <c r="J418" s="120">
        <f t="shared" si="13"/>
        <v>-1.0932511567529613E-4</v>
      </c>
    </row>
    <row r="419" spans="6:10" x14ac:dyDescent="0.55000000000000004">
      <c r="F419" s="119">
        <v>44043</v>
      </c>
      <c r="G419" s="52">
        <v>314.47592200000003</v>
      </c>
      <c r="H419" s="52">
        <v>90.308616999999998</v>
      </c>
      <c r="I419" s="120">
        <f t="shared" si="12"/>
        <v>7.9019311780266221E-3</v>
      </c>
      <c r="J419" s="120">
        <f t="shared" si="13"/>
        <v>1.0933706896287809E-4</v>
      </c>
    </row>
    <row r="420" spans="6:10" x14ac:dyDescent="0.55000000000000004">
      <c r="F420" s="119">
        <v>44046</v>
      </c>
      <c r="G420" s="52">
        <v>316.66229199999998</v>
      </c>
      <c r="H420" s="52">
        <v>90.298743999999999</v>
      </c>
      <c r="I420" s="120">
        <f t="shared" si="12"/>
        <v>6.952424166833282E-3</v>
      </c>
      <c r="J420" s="120">
        <f t="shared" si="13"/>
        <v>-1.0932511567529613E-4</v>
      </c>
    </row>
    <row r="421" spans="6:10" x14ac:dyDescent="0.55000000000000004">
      <c r="F421" s="119">
        <v>44047</v>
      </c>
      <c r="G421" s="52">
        <v>317.88537600000001</v>
      </c>
      <c r="H421" s="52">
        <v>90.308616999999998</v>
      </c>
      <c r="I421" s="120">
        <f t="shared" si="12"/>
        <v>3.8624238846853842E-3</v>
      </c>
      <c r="J421" s="120">
        <f t="shared" si="13"/>
        <v>1.0933706896287809E-4</v>
      </c>
    </row>
    <row r="422" spans="6:10" x14ac:dyDescent="0.55000000000000004">
      <c r="F422" s="119">
        <v>44048</v>
      </c>
      <c r="G422" s="52">
        <v>319.85983299999998</v>
      </c>
      <c r="H422" s="52">
        <v>90.298743999999999</v>
      </c>
      <c r="I422" s="120">
        <f t="shared" si="12"/>
        <v>6.2112231296855835E-3</v>
      </c>
      <c r="J422" s="120">
        <f t="shared" si="13"/>
        <v>-1.0932511567529613E-4</v>
      </c>
    </row>
    <row r="423" spans="6:10" x14ac:dyDescent="0.55000000000000004">
      <c r="F423" s="119">
        <v>44049</v>
      </c>
      <c r="G423" s="52">
        <v>321.99789399999997</v>
      </c>
      <c r="H423" s="52">
        <v>90.298743999999999</v>
      </c>
      <c r="I423" s="120">
        <f t="shared" si="12"/>
        <v>6.6843685246342766E-3</v>
      </c>
      <c r="J423" s="120">
        <f t="shared" si="13"/>
        <v>0</v>
      </c>
    </row>
    <row r="424" spans="6:10" x14ac:dyDescent="0.55000000000000004">
      <c r="F424" s="119">
        <v>44050</v>
      </c>
      <c r="G424" s="52">
        <v>322.22903400000001</v>
      </c>
      <c r="H424" s="52">
        <v>90.308616999999998</v>
      </c>
      <c r="I424" s="120">
        <f t="shared" si="12"/>
        <v>7.1783078183740301E-4</v>
      </c>
      <c r="J424" s="120">
        <f t="shared" si="13"/>
        <v>1.0933706896287809E-4</v>
      </c>
    </row>
    <row r="425" spans="6:10" x14ac:dyDescent="0.55000000000000004">
      <c r="F425" s="119">
        <v>44053</v>
      </c>
      <c r="G425" s="52">
        <v>323.19216899999998</v>
      </c>
      <c r="H425" s="52">
        <v>90.308616999999998</v>
      </c>
      <c r="I425" s="120">
        <f t="shared" si="12"/>
        <v>2.9889764682098363E-3</v>
      </c>
      <c r="J425" s="120">
        <f t="shared" si="13"/>
        <v>0</v>
      </c>
    </row>
    <row r="426" spans="6:10" x14ac:dyDescent="0.55000000000000004">
      <c r="F426" s="119">
        <v>44054</v>
      </c>
      <c r="G426" s="52">
        <v>320.52435300000002</v>
      </c>
      <c r="H426" s="52">
        <v>90.298743999999999</v>
      </c>
      <c r="I426" s="120">
        <f t="shared" si="12"/>
        <v>-8.2545811931474811E-3</v>
      </c>
      <c r="J426" s="120">
        <f t="shared" si="13"/>
        <v>-1.0932511567529613E-4</v>
      </c>
    </row>
    <row r="427" spans="6:10" x14ac:dyDescent="0.55000000000000004">
      <c r="F427" s="119">
        <v>44055</v>
      </c>
      <c r="G427" s="52">
        <v>324.99316399999998</v>
      </c>
      <c r="H427" s="52">
        <v>90.298743999999999</v>
      </c>
      <c r="I427" s="120">
        <f t="shared" si="12"/>
        <v>1.3942188661090427E-2</v>
      </c>
      <c r="J427" s="120">
        <f t="shared" si="13"/>
        <v>0</v>
      </c>
    </row>
    <row r="428" spans="6:10" x14ac:dyDescent="0.55000000000000004">
      <c r="F428" s="119">
        <v>44056</v>
      </c>
      <c r="G428" s="52">
        <v>324.40566999999999</v>
      </c>
      <c r="H428" s="52">
        <v>90.308616999999998</v>
      </c>
      <c r="I428" s="120">
        <f t="shared" si="12"/>
        <v>-1.8077118692871874E-3</v>
      </c>
      <c r="J428" s="120">
        <f t="shared" si="13"/>
        <v>1.0933706896287809E-4</v>
      </c>
    </row>
    <row r="429" spans="6:10" x14ac:dyDescent="0.55000000000000004">
      <c r="F429" s="119">
        <v>44057</v>
      </c>
      <c r="G429" s="52">
        <v>324.41531400000002</v>
      </c>
      <c r="H429" s="52">
        <v>90.298743999999999</v>
      </c>
      <c r="I429" s="120">
        <f t="shared" si="12"/>
        <v>2.9728210360957519E-5</v>
      </c>
      <c r="J429" s="120">
        <f t="shared" si="13"/>
        <v>-1.0932511567529613E-4</v>
      </c>
    </row>
    <row r="430" spans="6:10" x14ac:dyDescent="0.55000000000000004">
      <c r="F430" s="119">
        <v>44060</v>
      </c>
      <c r="G430" s="52">
        <v>325.44589200000001</v>
      </c>
      <c r="H430" s="52">
        <v>90.298743999999999</v>
      </c>
      <c r="I430" s="120">
        <f t="shared" si="12"/>
        <v>3.1767242652422922E-3</v>
      </c>
      <c r="J430" s="120">
        <f t="shared" si="13"/>
        <v>0</v>
      </c>
    </row>
    <row r="431" spans="6:10" x14ac:dyDescent="0.55000000000000004">
      <c r="F431" s="119">
        <v>44061</v>
      </c>
      <c r="G431" s="52">
        <v>326.14898699999998</v>
      </c>
      <c r="H431" s="52">
        <v>90.308616999999998</v>
      </c>
      <c r="I431" s="120">
        <f t="shared" si="12"/>
        <v>2.1604052080028691E-3</v>
      </c>
      <c r="J431" s="120">
        <f t="shared" si="13"/>
        <v>1.0933706896287809E-4</v>
      </c>
    </row>
    <row r="432" spans="6:10" x14ac:dyDescent="0.55000000000000004">
      <c r="F432" s="119">
        <v>44062</v>
      </c>
      <c r="G432" s="52">
        <v>324.790955</v>
      </c>
      <c r="H432" s="52">
        <v>90.308616999999998</v>
      </c>
      <c r="I432" s="120">
        <f t="shared" si="12"/>
        <v>-4.1638393928231654E-3</v>
      </c>
      <c r="J432" s="120">
        <f t="shared" si="13"/>
        <v>0</v>
      </c>
    </row>
    <row r="433" spans="6:10" x14ac:dyDescent="0.55000000000000004">
      <c r="F433" s="119">
        <v>44063</v>
      </c>
      <c r="G433" s="52">
        <v>325.80221599999999</v>
      </c>
      <c r="H433" s="52">
        <v>90.308616999999998</v>
      </c>
      <c r="I433" s="120">
        <f t="shared" si="12"/>
        <v>3.1135750070379054E-3</v>
      </c>
      <c r="J433" s="120">
        <f t="shared" si="13"/>
        <v>0</v>
      </c>
    </row>
    <row r="434" spans="6:10" x14ac:dyDescent="0.55000000000000004">
      <c r="F434" s="119">
        <v>44064</v>
      </c>
      <c r="G434" s="52">
        <v>326.95794699999999</v>
      </c>
      <c r="H434" s="52">
        <v>90.308616999999998</v>
      </c>
      <c r="I434" s="120">
        <f t="shared" si="12"/>
        <v>3.5473392851324004E-3</v>
      </c>
      <c r="J434" s="120">
        <f t="shared" si="13"/>
        <v>0</v>
      </c>
    </row>
    <row r="435" spans="6:10" x14ac:dyDescent="0.55000000000000004">
      <c r="F435" s="119">
        <v>44067</v>
      </c>
      <c r="G435" s="52">
        <v>330.271118</v>
      </c>
      <c r="H435" s="52">
        <v>90.308616999999998</v>
      </c>
      <c r="I435" s="120">
        <f t="shared" si="12"/>
        <v>1.0133324577059399E-2</v>
      </c>
      <c r="J435" s="120">
        <f t="shared" si="13"/>
        <v>0</v>
      </c>
    </row>
    <row r="436" spans="6:10" x14ac:dyDescent="0.55000000000000004">
      <c r="F436" s="119">
        <v>44068</v>
      </c>
      <c r="G436" s="52">
        <v>331.42681900000002</v>
      </c>
      <c r="H436" s="52">
        <v>90.298743999999999</v>
      </c>
      <c r="I436" s="120">
        <f t="shared" si="12"/>
        <v>3.4992493651837542E-3</v>
      </c>
      <c r="J436" s="120">
        <f t="shared" si="13"/>
        <v>-1.0932511567529613E-4</v>
      </c>
    </row>
    <row r="437" spans="6:10" x14ac:dyDescent="0.55000000000000004">
      <c r="F437" s="119">
        <v>44069</v>
      </c>
      <c r="G437" s="52">
        <v>334.749573</v>
      </c>
      <c r="H437" s="52">
        <v>90.298743999999999</v>
      </c>
      <c r="I437" s="120">
        <f t="shared" si="12"/>
        <v>1.0025603872449329E-2</v>
      </c>
      <c r="J437" s="120">
        <f t="shared" si="13"/>
        <v>0</v>
      </c>
    </row>
    <row r="438" spans="6:10" x14ac:dyDescent="0.55000000000000004">
      <c r="F438" s="119">
        <v>44070</v>
      </c>
      <c r="G438" s="52">
        <v>335.48150600000002</v>
      </c>
      <c r="H438" s="52">
        <v>90.298743999999999</v>
      </c>
      <c r="I438" s="120">
        <f t="shared" si="12"/>
        <v>2.1865091370856238E-3</v>
      </c>
      <c r="J438" s="120">
        <f t="shared" si="13"/>
        <v>0</v>
      </c>
    </row>
    <row r="439" spans="6:10" x14ac:dyDescent="0.55000000000000004">
      <c r="F439" s="119">
        <v>44071</v>
      </c>
      <c r="G439" s="52">
        <v>337.64849900000002</v>
      </c>
      <c r="H439" s="52">
        <v>90.308616999999998</v>
      </c>
      <c r="I439" s="120">
        <f t="shared" si="12"/>
        <v>6.4593515923945244E-3</v>
      </c>
      <c r="J439" s="120">
        <f t="shared" si="13"/>
        <v>1.0933706896287809E-4</v>
      </c>
    </row>
    <row r="440" spans="6:10" x14ac:dyDescent="0.55000000000000004">
      <c r="F440" s="119">
        <v>44074</v>
      </c>
      <c r="G440" s="52">
        <v>336.42535400000003</v>
      </c>
      <c r="H440" s="52">
        <v>90.308616999999998</v>
      </c>
      <c r="I440" s="120">
        <f t="shared" si="12"/>
        <v>-3.6225394267189737E-3</v>
      </c>
      <c r="J440" s="120">
        <f t="shared" si="13"/>
        <v>0</v>
      </c>
    </row>
    <row r="441" spans="6:10" x14ac:dyDescent="0.55000000000000004">
      <c r="F441" s="119">
        <v>44075</v>
      </c>
      <c r="G441" s="52">
        <v>339.59396400000003</v>
      </c>
      <c r="H441" s="52">
        <v>90.308616999999998</v>
      </c>
      <c r="I441" s="120">
        <f t="shared" si="12"/>
        <v>9.4184637463441412E-3</v>
      </c>
      <c r="J441" s="120">
        <f t="shared" si="13"/>
        <v>0</v>
      </c>
    </row>
    <row r="442" spans="6:10" x14ac:dyDescent="0.55000000000000004">
      <c r="F442" s="119">
        <v>44076</v>
      </c>
      <c r="G442" s="52">
        <v>344.50589000000002</v>
      </c>
      <c r="H442" s="52">
        <v>90.308616999999998</v>
      </c>
      <c r="I442" s="120">
        <f t="shared" si="12"/>
        <v>1.4464114562413144E-2</v>
      </c>
      <c r="J442" s="120">
        <f t="shared" si="13"/>
        <v>0</v>
      </c>
    </row>
    <row r="443" spans="6:10" x14ac:dyDescent="0.55000000000000004">
      <c r="F443" s="119">
        <v>44077</v>
      </c>
      <c r="G443" s="52">
        <v>332.64996300000001</v>
      </c>
      <c r="H443" s="52">
        <v>90.298743999999999</v>
      </c>
      <c r="I443" s="120">
        <f t="shared" si="12"/>
        <v>-3.4414294048789706E-2</v>
      </c>
      <c r="J443" s="120">
        <f t="shared" si="13"/>
        <v>-1.0932511567529613E-4</v>
      </c>
    </row>
    <row r="444" spans="6:10" x14ac:dyDescent="0.55000000000000004">
      <c r="F444" s="119">
        <v>44078</v>
      </c>
      <c r="G444" s="52">
        <v>329.93396000000001</v>
      </c>
      <c r="H444" s="52">
        <v>90.308616999999998</v>
      </c>
      <c r="I444" s="120">
        <f t="shared" si="12"/>
        <v>-8.1647476389468121E-3</v>
      </c>
      <c r="J444" s="120">
        <f t="shared" si="13"/>
        <v>1.0933706896287809E-4</v>
      </c>
    </row>
    <row r="445" spans="6:10" x14ac:dyDescent="0.55000000000000004">
      <c r="F445" s="119">
        <v>44082</v>
      </c>
      <c r="G445" s="52">
        <v>320.91924999999998</v>
      </c>
      <c r="H445" s="52">
        <v>90.308616999999998</v>
      </c>
      <c r="I445" s="120">
        <f t="shared" si="12"/>
        <v>-2.7322770896333393E-2</v>
      </c>
      <c r="J445" s="120">
        <f t="shared" si="13"/>
        <v>0</v>
      </c>
    </row>
    <row r="446" spans="6:10" x14ac:dyDescent="0.55000000000000004">
      <c r="F446" s="119">
        <v>44083</v>
      </c>
      <c r="G446" s="52">
        <v>327.25650000000002</v>
      </c>
      <c r="H446" s="52">
        <v>90.298743999999999</v>
      </c>
      <c r="I446" s="120">
        <f t="shared" si="12"/>
        <v>1.9747179391700787E-2</v>
      </c>
      <c r="J446" s="120">
        <f t="shared" si="13"/>
        <v>-1.0932511567529613E-4</v>
      </c>
    </row>
    <row r="447" spans="6:10" x14ac:dyDescent="0.55000000000000004">
      <c r="F447" s="119">
        <v>44084</v>
      </c>
      <c r="G447" s="52">
        <v>321.57415800000001</v>
      </c>
      <c r="H447" s="52">
        <v>90.298743999999999</v>
      </c>
      <c r="I447" s="120">
        <f t="shared" si="12"/>
        <v>-1.7363572610475275E-2</v>
      </c>
      <c r="J447" s="120">
        <f t="shared" si="13"/>
        <v>0</v>
      </c>
    </row>
    <row r="448" spans="6:10" x14ac:dyDescent="0.55000000000000004">
      <c r="F448" s="119">
        <v>44085</v>
      </c>
      <c r="G448" s="52">
        <v>321.73791499999999</v>
      </c>
      <c r="H448" s="52">
        <v>90.288887000000003</v>
      </c>
      <c r="I448" s="120">
        <f t="shared" si="12"/>
        <v>5.0923557109960882E-4</v>
      </c>
      <c r="J448" s="120">
        <f t="shared" si="13"/>
        <v>-1.0915987934445592E-4</v>
      </c>
    </row>
    <row r="449" spans="6:10" x14ac:dyDescent="0.55000000000000004">
      <c r="F449" s="119">
        <v>44088</v>
      </c>
      <c r="G449" s="52">
        <v>325.97558600000002</v>
      </c>
      <c r="H449" s="52">
        <v>90.308616999999998</v>
      </c>
      <c r="I449" s="120">
        <f t="shared" si="12"/>
        <v>1.3171189351432355E-2</v>
      </c>
      <c r="J449" s="120">
        <f t="shared" si="13"/>
        <v>2.1852080201179014E-4</v>
      </c>
    </row>
    <row r="450" spans="6:10" x14ac:dyDescent="0.55000000000000004">
      <c r="F450" s="119">
        <v>44089</v>
      </c>
      <c r="G450" s="52">
        <v>327.622589</v>
      </c>
      <c r="H450" s="52">
        <v>90.288887000000003</v>
      </c>
      <c r="I450" s="120">
        <f t="shared" si="12"/>
        <v>5.0525348238807943E-3</v>
      </c>
      <c r="J450" s="120">
        <f t="shared" si="13"/>
        <v>-2.1847306110334141E-4</v>
      </c>
    </row>
    <row r="451" spans="6:10" x14ac:dyDescent="0.55000000000000004">
      <c r="F451" s="119">
        <v>44090</v>
      </c>
      <c r="G451" s="52">
        <v>326.32229599999999</v>
      </c>
      <c r="H451" s="52">
        <v>90.308616999999998</v>
      </c>
      <c r="I451" s="120">
        <f t="shared" si="12"/>
        <v>-3.9688746858660418E-3</v>
      </c>
      <c r="J451" s="120">
        <f t="shared" si="13"/>
        <v>2.1852080201179014E-4</v>
      </c>
    </row>
    <row r="452" spans="6:10" x14ac:dyDescent="0.55000000000000004">
      <c r="F452" s="119">
        <v>44091</v>
      </c>
      <c r="G452" s="52">
        <v>323.452179</v>
      </c>
      <c r="H452" s="52">
        <v>90.308616999999998</v>
      </c>
      <c r="I452" s="120">
        <f t="shared" si="12"/>
        <v>-8.79534446521546E-3</v>
      </c>
      <c r="J452" s="120">
        <f t="shared" si="13"/>
        <v>0</v>
      </c>
    </row>
    <row r="453" spans="6:10" x14ac:dyDescent="0.55000000000000004">
      <c r="F453" s="119">
        <v>44092</v>
      </c>
      <c r="G453" s="52">
        <v>319.72839399999998</v>
      </c>
      <c r="H453" s="52">
        <v>90.288887000000003</v>
      </c>
      <c r="I453" s="120">
        <f t="shared" si="12"/>
        <v>-1.151262919765339E-2</v>
      </c>
      <c r="J453" s="120">
        <f t="shared" si="13"/>
        <v>-2.1847306110334141E-4</v>
      </c>
    </row>
    <row r="454" spans="6:10" x14ac:dyDescent="0.55000000000000004">
      <c r="F454" s="119">
        <v>44095</v>
      </c>
      <c r="G454" s="52">
        <v>316.17001299999998</v>
      </c>
      <c r="H454" s="52">
        <v>90.288887000000003</v>
      </c>
      <c r="I454" s="120">
        <f t="shared" si="12"/>
        <v>-1.1129386900808003E-2</v>
      </c>
      <c r="J454" s="120">
        <f t="shared" si="13"/>
        <v>0</v>
      </c>
    </row>
    <row r="455" spans="6:10" x14ac:dyDescent="0.55000000000000004">
      <c r="F455" s="119">
        <v>44096</v>
      </c>
      <c r="G455" s="52">
        <v>319.38998400000003</v>
      </c>
      <c r="H455" s="52">
        <v>90.288887000000003</v>
      </c>
      <c r="I455" s="120">
        <f t="shared" si="12"/>
        <v>1.0184302329772299E-2</v>
      </c>
      <c r="J455" s="120">
        <f t="shared" si="13"/>
        <v>0</v>
      </c>
    </row>
    <row r="456" spans="6:10" x14ac:dyDescent="0.55000000000000004">
      <c r="F456" s="119">
        <v>44097</v>
      </c>
      <c r="G456" s="52">
        <v>311.98303199999998</v>
      </c>
      <c r="H456" s="52">
        <v>90.288887000000003</v>
      </c>
      <c r="I456" s="120">
        <f t="shared" si="12"/>
        <v>-2.3190933877250353E-2</v>
      </c>
      <c r="J456" s="120">
        <f t="shared" si="13"/>
        <v>0</v>
      </c>
    </row>
    <row r="457" spans="6:10" x14ac:dyDescent="0.55000000000000004">
      <c r="F457" s="119">
        <v>44098</v>
      </c>
      <c r="G457" s="52">
        <v>312.81454500000001</v>
      </c>
      <c r="H457" s="52">
        <v>90.298743999999999</v>
      </c>
      <c r="I457" s="120">
        <f t="shared" si="12"/>
        <v>2.6652507178661633E-3</v>
      </c>
      <c r="J457" s="120">
        <f t="shared" si="13"/>
        <v>1.0917179652469855E-4</v>
      </c>
    </row>
    <row r="458" spans="6:10" x14ac:dyDescent="0.55000000000000004">
      <c r="F458" s="119">
        <v>44099</v>
      </c>
      <c r="G458" s="52">
        <v>317.871826</v>
      </c>
      <c r="H458" s="52">
        <v>90.288887000000003</v>
      </c>
      <c r="I458" s="120">
        <f t="shared" si="12"/>
        <v>1.6167026376602722E-2</v>
      </c>
      <c r="J458" s="120">
        <f t="shared" si="13"/>
        <v>-1.0915987934445592E-4</v>
      </c>
    </row>
    <row r="459" spans="6:10" x14ac:dyDescent="0.55000000000000004">
      <c r="F459" s="119">
        <v>44102</v>
      </c>
      <c r="G459" s="52">
        <v>323.15145899999999</v>
      </c>
      <c r="H459" s="52">
        <v>90.298743999999999</v>
      </c>
      <c r="I459" s="120">
        <f t="shared" si="12"/>
        <v>1.6609314095046512E-2</v>
      </c>
      <c r="J459" s="120">
        <f t="shared" si="13"/>
        <v>1.0917179652469855E-4</v>
      </c>
    </row>
    <row r="460" spans="6:10" x14ac:dyDescent="0.55000000000000004">
      <c r="F460" s="119">
        <v>44103</v>
      </c>
      <c r="G460" s="52">
        <v>321.391571</v>
      </c>
      <c r="H460" s="52">
        <v>90.298743999999999</v>
      </c>
      <c r="I460" s="120">
        <f t="shared" si="12"/>
        <v>-5.4460159500625549E-3</v>
      </c>
      <c r="J460" s="120">
        <f t="shared" si="13"/>
        <v>0</v>
      </c>
    </row>
    <row r="461" spans="6:10" x14ac:dyDescent="0.55000000000000004">
      <c r="F461" s="119">
        <v>44104</v>
      </c>
      <c r="G461" s="52">
        <v>323.82833900000003</v>
      </c>
      <c r="H461" s="52">
        <v>90.288887000000003</v>
      </c>
      <c r="I461" s="120">
        <f t="shared" si="12"/>
        <v>7.581928774354818E-3</v>
      </c>
      <c r="J461" s="120">
        <f t="shared" si="13"/>
        <v>-1.0915987934445592E-4</v>
      </c>
    </row>
    <row r="462" spans="6:10" x14ac:dyDescent="0.55000000000000004">
      <c r="F462" s="119">
        <v>44105</v>
      </c>
      <c r="G462" s="52">
        <v>325.90731799999998</v>
      </c>
      <c r="H462" s="52">
        <v>90.288887000000003</v>
      </c>
      <c r="I462" s="120">
        <f t="shared" si="12"/>
        <v>6.4200032845178612E-3</v>
      </c>
      <c r="J462" s="120">
        <f t="shared" si="13"/>
        <v>0</v>
      </c>
    </row>
    <row r="463" spans="6:10" x14ac:dyDescent="0.55000000000000004">
      <c r="F463" s="119">
        <v>44106</v>
      </c>
      <c r="G463" s="52">
        <v>322.813019</v>
      </c>
      <c r="H463" s="52">
        <v>90.288887000000003</v>
      </c>
      <c r="I463" s="120">
        <f t="shared" si="12"/>
        <v>-9.4944139916489645E-3</v>
      </c>
      <c r="J463" s="120">
        <f t="shared" si="13"/>
        <v>0</v>
      </c>
    </row>
    <row r="464" spans="6:10" x14ac:dyDescent="0.55000000000000004">
      <c r="F464" s="119">
        <v>44109</v>
      </c>
      <c r="G464" s="52">
        <v>328.53750600000001</v>
      </c>
      <c r="H464" s="52">
        <v>90.288887000000003</v>
      </c>
      <c r="I464" s="120">
        <f t="shared" si="12"/>
        <v>1.7733135478033457E-2</v>
      </c>
      <c r="J464" s="120">
        <f t="shared" si="13"/>
        <v>0</v>
      </c>
    </row>
    <row r="465" spans="6:10" x14ac:dyDescent="0.55000000000000004">
      <c r="F465" s="119">
        <v>44110</v>
      </c>
      <c r="G465" s="52">
        <v>323.86706500000003</v>
      </c>
      <c r="H465" s="52">
        <v>90.298743999999999</v>
      </c>
      <c r="I465" s="120">
        <f t="shared" si="12"/>
        <v>-1.4215853333956918E-2</v>
      </c>
      <c r="J465" s="120">
        <f t="shared" si="13"/>
        <v>1.0917179652469855E-4</v>
      </c>
    </row>
    <row r="466" spans="6:10" x14ac:dyDescent="0.55000000000000004">
      <c r="F466" s="119">
        <v>44111</v>
      </c>
      <c r="G466" s="52">
        <v>329.504456</v>
      </c>
      <c r="H466" s="52">
        <v>90.288887000000003</v>
      </c>
      <c r="I466" s="120">
        <f t="shared" si="12"/>
        <v>1.740649670567751E-2</v>
      </c>
      <c r="J466" s="120">
        <f t="shared" si="13"/>
        <v>-1.0915987934445592E-4</v>
      </c>
    </row>
    <row r="467" spans="6:10" x14ac:dyDescent="0.55000000000000004">
      <c r="F467" s="119">
        <v>44112</v>
      </c>
      <c r="G467" s="52">
        <v>332.42477400000001</v>
      </c>
      <c r="H467" s="52">
        <v>90.288887000000003</v>
      </c>
      <c r="I467" s="120">
        <f t="shared" si="12"/>
        <v>8.8627572308157543E-3</v>
      </c>
      <c r="J467" s="120">
        <f t="shared" si="13"/>
        <v>0</v>
      </c>
    </row>
    <row r="468" spans="6:10" x14ac:dyDescent="0.55000000000000004">
      <c r="F468" s="119">
        <v>44113</v>
      </c>
      <c r="G468" s="52">
        <v>335.39328</v>
      </c>
      <c r="H468" s="52">
        <v>90.288887000000003</v>
      </c>
      <c r="I468" s="120">
        <f t="shared" si="12"/>
        <v>8.9298579172683024E-3</v>
      </c>
      <c r="J468" s="120">
        <f t="shared" si="13"/>
        <v>0</v>
      </c>
    </row>
    <row r="469" spans="6:10" x14ac:dyDescent="0.55000000000000004">
      <c r="F469" s="119">
        <v>44116</v>
      </c>
      <c r="G469" s="52">
        <v>340.788971</v>
      </c>
      <c r="H469" s="52">
        <v>90.298743999999999</v>
      </c>
      <c r="I469" s="120">
        <f t="shared" si="12"/>
        <v>1.608765387308897E-2</v>
      </c>
      <c r="J469" s="120">
        <f t="shared" si="13"/>
        <v>1.0917179652469855E-4</v>
      </c>
    </row>
    <row r="470" spans="6:10" x14ac:dyDescent="0.55000000000000004">
      <c r="F470" s="119">
        <v>44117</v>
      </c>
      <c r="G470" s="52">
        <v>338.56500199999999</v>
      </c>
      <c r="H470" s="52">
        <v>90.288887000000003</v>
      </c>
      <c r="I470" s="120">
        <f t="shared" ref="I470:I525" si="14">G470/G469-1</f>
        <v>-6.5259418269143499E-3</v>
      </c>
      <c r="J470" s="120">
        <f t="shared" ref="J470:J525" si="15">H470/H469-1</f>
        <v>-1.0915987934445592E-4</v>
      </c>
    </row>
    <row r="471" spans="6:10" x14ac:dyDescent="0.55000000000000004">
      <c r="F471" s="119">
        <v>44118</v>
      </c>
      <c r="G471" s="52">
        <v>336.43765300000001</v>
      </c>
      <c r="H471" s="52">
        <v>90.288887000000003</v>
      </c>
      <c r="I471" s="120">
        <f t="shared" si="14"/>
        <v>-6.2834285511884636E-3</v>
      </c>
      <c r="J471" s="120">
        <f t="shared" si="15"/>
        <v>0</v>
      </c>
    </row>
    <row r="472" spans="6:10" x14ac:dyDescent="0.55000000000000004">
      <c r="F472" s="119">
        <v>44119</v>
      </c>
      <c r="G472" s="52">
        <v>336.02181999999999</v>
      </c>
      <c r="H472" s="52">
        <v>90.288887000000003</v>
      </c>
      <c r="I472" s="120">
        <f t="shared" si="14"/>
        <v>-1.2359882917148957E-3</v>
      </c>
      <c r="J472" s="120">
        <f t="shared" si="15"/>
        <v>0</v>
      </c>
    </row>
    <row r="473" spans="6:10" x14ac:dyDescent="0.55000000000000004">
      <c r="F473" s="119">
        <v>44120</v>
      </c>
      <c r="G473" s="52">
        <v>335.81875600000001</v>
      </c>
      <c r="H473" s="52">
        <v>90.298743999999999</v>
      </c>
      <c r="I473" s="120">
        <f t="shared" si="14"/>
        <v>-6.0431789816506321E-4</v>
      </c>
      <c r="J473" s="120">
        <f t="shared" si="15"/>
        <v>1.0917179652469855E-4</v>
      </c>
    </row>
    <row r="474" spans="6:10" x14ac:dyDescent="0.55000000000000004">
      <c r="F474" s="119">
        <v>44123</v>
      </c>
      <c r="G474" s="52">
        <v>330.71319599999998</v>
      </c>
      <c r="H474" s="52">
        <v>90.298743999999999</v>
      </c>
      <c r="I474" s="120">
        <f t="shared" si="14"/>
        <v>-1.5203319971800577E-2</v>
      </c>
      <c r="J474" s="120">
        <f t="shared" si="15"/>
        <v>0</v>
      </c>
    </row>
    <row r="475" spans="6:10" x14ac:dyDescent="0.55000000000000004">
      <c r="F475" s="119">
        <v>44124</v>
      </c>
      <c r="G475" s="52">
        <v>332.03793300000001</v>
      </c>
      <c r="H475" s="52">
        <v>90.288887000000003</v>
      </c>
      <c r="I475" s="120">
        <f t="shared" si="14"/>
        <v>4.0056974321642791E-3</v>
      </c>
      <c r="J475" s="120">
        <f t="shared" si="15"/>
        <v>-1.0915987934445592E-4</v>
      </c>
    </row>
    <row r="476" spans="6:10" x14ac:dyDescent="0.55000000000000004">
      <c r="F476" s="119">
        <v>44125</v>
      </c>
      <c r="G476" s="52">
        <v>331.40936299999998</v>
      </c>
      <c r="H476" s="52">
        <v>90.288887000000003</v>
      </c>
      <c r="I476" s="120">
        <f t="shared" si="14"/>
        <v>-1.8930668382398652E-3</v>
      </c>
      <c r="J476" s="120">
        <f t="shared" si="15"/>
        <v>0</v>
      </c>
    </row>
    <row r="477" spans="6:10" x14ac:dyDescent="0.55000000000000004">
      <c r="F477" s="119">
        <v>44126</v>
      </c>
      <c r="G477" s="52">
        <v>333.22726399999999</v>
      </c>
      <c r="H477" s="52">
        <v>90.298743999999999</v>
      </c>
      <c r="I477" s="120">
        <f t="shared" si="14"/>
        <v>5.4853640330010389E-3</v>
      </c>
      <c r="J477" s="120">
        <f t="shared" si="15"/>
        <v>1.0917179652469855E-4</v>
      </c>
    </row>
    <row r="478" spans="6:10" x14ac:dyDescent="0.55000000000000004">
      <c r="F478" s="119">
        <v>44127</v>
      </c>
      <c r="G478" s="52">
        <v>334.35870399999999</v>
      </c>
      <c r="H478" s="52">
        <v>90.298743999999999</v>
      </c>
      <c r="I478" s="120">
        <f t="shared" si="14"/>
        <v>3.3954004435843288E-3</v>
      </c>
      <c r="J478" s="120">
        <f t="shared" si="15"/>
        <v>0</v>
      </c>
    </row>
    <row r="479" spans="6:10" x14ac:dyDescent="0.55000000000000004">
      <c r="F479" s="119">
        <v>44130</v>
      </c>
      <c r="G479" s="52">
        <v>328.17974900000002</v>
      </c>
      <c r="H479" s="52">
        <v>90.298743999999999</v>
      </c>
      <c r="I479" s="120">
        <f t="shared" si="14"/>
        <v>-1.8480018393658981E-2</v>
      </c>
      <c r="J479" s="120">
        <f t="shared" si="15"/>
        <v>0</v>
      </c>
    </row>
    <row r="480" spans="6:10" x14ac:dyDescent="0.55000000000000004">
      <c r="F480" s="119">
        <v>44131</v>
      </c>
      <c r="G480" s="52">
        <v>327.04840100000001</v>
      </c>
      <c r="H480" s="52">
        <v>90.288887000000003</v>
      </c>
      <c r="I480" s="120">
        <f t="shared" si="14"/>
        <v>-3.4473425110700395E-3</v>
      </c>
      <c r="J480" s="120">
        <f t="shared" si="15"/>
        <v>-1.0915987934445592E-4</v>
      </c>
    </row>
    <row r="481" spans="6:10" x14ac:dyDescent="0.55000000000000004">
      <c r="F481" s="119">
        <v>44132</v>
      </c>
      <c r="G481" s="52">
        <v>315.87023900000003</v>
      </c>
      <c r="H481" s="52">
        <v>90.288887000000003</v>
      </c>
      <c r="I481" s="120">
        <f t="shared" si="14"/>
        <v>-3.4178922648210652E-2</v>
      </c>
      <c r="J481" s="120">
        <f t="shared" si="15"/>
        <v>0</v>
      </c>
    </row>
    <row r="482" spans="6:10" x14ac:dyDescent="0.55000000000000004">
      <c r="F482" s="119">
        <v>44133</v>
      </c>
      <c r="G482" s="52">
        <v>319.08056599999998</v>
      </c>
      <c r="H482" s="52">
        <v>90.298743999999999</v>
      </c>
      <c r="I482" s="120">
        <f t="shared" si="14"/>
        <v>1.0163436131759074E-2</v>
      </c>
      <c r="J482" s="120">
        <f t="shared" si="15"/>
        <v>1.0917179652469855E-4</v>
      </c>
    </row>
    <row r="483" spans="6:10" x14ac:dyDescent="0.55000000000000004">
      <c r="F483" s="119">
        <v>44134</v>
      </c>
      <c r="G483" s="52">
        <v>315.75418100000002</v>
      </c>
      <c r="H483" s="52">
        <v>90.298743999999999</v>
      </c>
      <c r="I483" s="120">
        <f t="shared" si="14"/>
        <v>-1.042490629153503E-2</v>
      </c>
      <c r="J483" s="120">
        <f t="shared" si="15"/>
        <v>0</v>
      </c>
    </row>
    <row r="484" spans="6:10" x14ac:dyDescent="0.55000000000000004">
      <c r="F484" s="119">
        <v>44137</v>
      </c>
      <c r="G484" s="52">
        <v>319.29330399999998</v>
      </c>
      <c r="H484" s="52">
        <v>90.298743999999999</v>
      </c>
      <c r="I484" s="120">
        <f t="shared" si="14"/>
        <v>1.1208475494422609E-2</v>
      </c>
      <c r="J484" s="120">
        <f t="shared" si="15"/>
        <v>0</v>
      </c>
    </row>
    <row r="485" spans="6:10" x14ac:dyDescent="0.55000000000000004">
      <c r="F485" s="119">
        <v>44138</v>
      </c>
      <c r="G485" s="52">
        <v>324.930725</v>
      </c>
      <c r="H485" s="52">
        <v>90.298743999999999</v>
      </c>
      <c r="I485" s="120">
        <f t="shared" si="14"/>
        <v>1.7655932427571353E-2</v>
      </c>
      <c r="J485" s="120">
        <f t="shared" si="15"/>
        <v>0</v>
      </c>
    </row>
    <row r="486" spans="6:10" x14ac:dyDescent="0.55000000000000004">
      <c r="F486" s="119">
        <v>44139</v>
      </c>
      <c r="G486" s="52">
        <v>332.192657</v>
      </c>
      <c r="H486" s="52">
        <v>90.288887000000003</v>
      </c>
      <c r="I486" s="120">
        <f t="shared" si="14"/>
        <v>2.2349169965382609E-2</v>
      </c>
      <c r="J486" s="120">
        <f t="shared" si="15"/>
        <v>-1.0915987934445592E-4</v>
      </c>
    </row>
    <row r="487" spans="6:10" x14ac:dyDescent="0.55000000000000004">
      <c r="F487" s="119">
        <v>44140</v>
      </c>
      <c r="G487" s="52">
        <v>338.67138699999998</v>
      </c>
      <c r="H487" s="52">
        <v>90.298743999999999</v>
      </c>
      <c r="I487" s="120">
        <f t="shared" si="14"/>
        <v>1.9502929590644147E-2</v>
      </c>
      <c r="J487" s="120">
        <f t="shared" si="15"/>
        <v>1.0917179652469855E-4</v>
      </c>
    </row>
    <row r="488" spans="6:10" x14ac:dyDescent="0.55000000000000004">
      <c r="F488" s="119">
        <v>44141</v>
      </c>
      <c r="G488" s="52">
        <v>338.59399400000001</v>
      </c>
      <c r="H488" s="52">
        <v>90.288887000000003</v>
      </c>
      <c r="I488" s="120">
        <f t="shared" si="14"/>
        <v>-2.2851945269286578E-4</v>
      </c>
      <c r="J488" s="120">
        <f t="shared" si="15"/>
        <v>-1.0915987934445592E-4</v>
      </c>
    </row>
    <row r="489" spans="6:10" x14ac:dyDescent="0.55000000000000004">
      <c r="F489" s="119">
        <v>44144</v>
      </c>
      <c r="G489" s="52">
        <v>342.84863300000001</v>
      </c>
      <c r="H489" s="52">
        <v>90.298743999999999</v>
      </c>
      <c r="I489" s="120">
        <f t="shared" si="14"/>
        <v>1.2565606819357811E-2</v>
      </c>
      <c r="J489" s="120">
        <f t="shared" si="15"/>
        <v>1.0917179652469855E-4</v>
      </c>
    </row>
    <row r="490" spans="6:10" x14ac:dyDescent="0.55000000000000004">
      <c r="F490" s="119">
        <v>44145</v>
      </c>
      <c r="G490" s="52">
        <v>342.34582499999999</v>
      </c>
      <c r="H490" s="52">
        <v>90.288887000000003</v>
      </c>
      <c r="I490" s="120">
        <f t="shared" si="14"/>
        <v>-1.4665597339570402E-3</v>
      </c>
      <c r="J490" s="120">
        <f t="shared" si="15"/>
        <v>-1.0915987934445592E-4</v>
      </c>
    </row>
    <row r="491" spans="6:10" x14ac:dyDescent="0.55000000000000004">
      <c r="F491" s="119">
        <v>44146</v>
      </c>
      <c r="G491" s="52">
        <v>344.88897700000001</v>
      </c>
      <c r="H491" s="52">
        <v>90.288887000000003</v>
      </c>
      <c r="I491" s="120">
        <f t="shared" si="14"/>
        <v>7.4286052707084327E-3</v>
      </c>
      <c r="J491" s="120">
        <f t="shared" si="15"/>
        <v>0</v>
      </c>
    </row>
    <row r="492" spans="6:10" x14ac:dyDescent="0.55000000000000004">
      <c r="F492" s="119">
        <v>44147</v>
      </c>
      <c r="G492" s="52">
        <v>341.54321299999998</v>
      </c>
      <c r="H492" s="52">
        <v>90.288887000000003</v>
      </c>
      <c r="I492" s="120">
        <f t="shared" si="14"/>
        <v>-9.700988501003982E-3</v>
      </c>
      <c r="J492" s="120">
        <f t="shared" si="15"/>
        <v>0</v>
      </c>
    </row>
    <row r="493" spans="6:10" x14ac:dyDescent="0.55000000000000004">
      <c r="F493" s="119">
        <v>44148</v>
      </c>
      <c r="G493" s="52">
        <v>346.27172899999999</v>
      </c>
      <c r="H493" s="52">
        <v>90.298743999999999</v>
      </c>
      <c r="I493" s="120">
        <f t="shared" si="14"/>
        <v>1.3844561449388282E-2</v>
      </c>
      <c r="J493" s="120">
        <f t="shared" si="15"/>
        <v>1.0917179652469855E-4</v>
      </c>
    </row>
    <row r="494" spans="6:10" x14ac:dyDescent="0.55000000000000004">
      <c r="F494" s="119">
        <v>44151</v>
      </c>
      <c r="G494" s="52">
        <v>350.594086</v>
      </c>
      <c r="H494" s="52">
        <v>90.298743999999999</v>
      </c>
      <c r="I494" s="120">
        <f t="shared" si="14"/>
        <v>1.2482558170378466E-2</v>
      </c>
      <c r="J494" s="120">
        <f t="shared" si="15"/>
        <v>0</v>
      </c>
    </row>
    <row r="495" spans="6:10" x14ac:dyDescent="0.55000000000000004">
      <c r="F495" s="119">
        <v>44152</v>
      </c>
      <c r="G495" s="52">
        <v>348.70843500000001</v>
      </c>
      <c r="H495" s="52">
        <v>90.298743999999999</v>
      </c>
      <c r="I495" s="120">
        <f t="shared" si="14"/>
        <v>-5.3784449746822061E-3</v>
      </c>
      <c r="J495" s="120">
        <f t="shared" si="15"/>
        <v>0</v>
      </c>
    </row>
    <row r="496" spans="6:10" x14ac:dyDescent="0.55000000000000004">
      <c r="F496" s="119">
        <v>44153</v>
      </c>
      <c r="G496" s="52">
        <v>344.511841</v>
      </c>
      <c r="H496" s="52">
        <v>90.298743999999999</v>
      </c>
      <c r="I496" s="120">
        <f t="shared" si="14"/>
        <v>-1.2034678771105756E-2</v>
      </c>
      <c r="J496" s="120">
        <f t="shared" si="15"/>
        <v>0</v>
      </c>
    </row>
    <row r="497" spans="6:10" x14ac:dyDescent="0.55000000000000004">
      <c r="F497" s="119">
        <v>44154</v>
      </c>
      <c r="G497" s="52">
        <v>345.962311</v>
      </c>
      <c r="H497" s="52">
        <v>90.298743999999999</v>
      </c>
      <c r="I497" s="120">
        <f t="shared" si="14"/>
        <v>4.2102181329668475E-3</v>
      </c>
      <c r="J497" s="120">
        <f t="shared" si="15"/>
        <v>0</v>
      </c>
    </row>
    <row r="498" spans="6:10" x14ac:dyDescent="0.55000000000000004">
      <c r="F498" s="119">
        <v>44155</v>
      </c>
      <c r="G498" s="52">
        <v>343.59320100000002</v>
      </c>
      <c r="H498" s="52">
        <v>90.298743999999999</v>
      </c>
      <c r="I498" s="120">
        <f t="shared" si="14"/>
        <v>-6.847884652961489E-3</v>
      </c>
      <c r="J498" s="120">
        <f t="shared" si="15"/>
        <v>0</v>
      </c>
    </row>
    <row r="499" spans="6:10" x14ac:dyDescent="0.55000000000000004">
      <c r="F499" s="119">
        <v>44158</v>
      </c>
      <c r="G499" s="52">
        <v>345.65289300000001</v>
      </c>
      <c r="H499" s="52">
        <v>90.298743999999999</v>
      </c>
      <c r="I499" s="120">
        <f t="shared" si="14"/>
        <v>5.994565649161343E-3</v>
      </c>
      <c r="J499" s="120">
        <f t="shared" si="15"/>
        <v>0</v>
      </c>
    </row>
    <row r="500" spans="6:10" x14ac:dyDescent="0.55000000000000004">
      <c r="F500" s="119">
        <v>44159</v>
      </c>
      <c r="G500" s="52">
        <v>351.22262599999999</v>
      </c>
      <c r="H500" s="52">
        <v>90.298743999999999</v>
      </c>
      <c r="I500" s="120">
        <f t="shared" si="14"/>
        <v>1.611365943348253E-2</v>
      </c>
      <c r="J500" s="120">
        <f t="shared" si="15"/>
        <v>0</v>
      </c>
    </row>
    <row r="501" spans="6:10" x14ac:dyDescent="0.55000000000000004">
      <c r="F501" s="119">
        <v>44160</v>
      </c>
      <c r="G501" s="52">
        <v>350.68112200000002</v>
      </c>
      <c r="H501" s="52">
        <v>90.288887000000003</v>
      </c>
      <c r="I501" s="120">
        <f t="shared" si="14"/>
        <v>-1.5417685533732906E-3</v>
      </c>
      <c r="J501" s="120">
        <f t="shared" si="15"/>
        <v>-1.0915987934445592E-4</v>
      </c>
    </row>
    <row r="502" spans="6:10" x14ac:dyDescent="0.55000000000000004">
      <c r="F502" s="119">
        <v>44162</v>
      </c>
      <c r="G502" s="52">
        <v>351.65780599999999</v>
      </c>
      <c r="H502" s="52">
        <v>90.298743999999999</v>
      </c>
      <c r="I502" s="120">
        <f t="shared" si="14"/>
        <v>2.7851057234840049E-3</v>
      </c>
      <c r="J502" s="120">
        <f t="shared" si="15"/>
        <v>1.0917179652469855E-4</v>
      </c>
    </row>
    <row r="503" spans="6:10" x14ac:dyDescent="0.55000000000000004">
      <c r="F503" s="119">
        <v>44165</v>
      </c>
      <c r="G503" s="52">
        <v>350.10095200000001</v>
      </c>
      <c r="H503" s="52">
        <v>90.288887000000003</v>
      </c>
      <c r="I503" s="120">
        <f t="shared" si="14"/>
        <v>-4.4271845340466687E-3</v>
      </c>
      <c r="J503" s="120">
        <f t="shared" si="15"/>
        <v>-1.0915987934445592E-4</v>
      </c>
    </row>
    <row r="504" spans="6:10" x14ac:dyDescent="0.55000000000000004">
      <c r="F504" s="119">
        <v>44166</v>
      </c>
      <c r="G504" s="52">
        <v>353.93008400000002</v>
      </c>
      <c r="H504" s="52">
        <v>90.281981999999999</v>
      </c>
      <c r="I504" s="120">
        <f t="shared" si="14"/>
        <v>1.0937222472905406E-2</v>
      </c>
      <c r="J504" s="120">
        <f t="shared" si="15"/>
        <v>-7.6476742924103114E-5</v>
      </c>
    </row>
    <row r="505" spans="6:10" x14ac:dyDescent="0.55000000000000004">
      <c r="F505" s="119">
        <v>44167</v>
      </c>
      <c r="G505" s="52">
        <v>354.67468300000002</v>
      </c>
      <c r="H505" s="52">
        <v>90.291847000000004</v>
      </c>
      <c r="I505" s="120">
        <f t="shared" si="14"/>
        <v>2.1038025125887927E-3</v>
      </c>
      <c r="J505" s="120">
        <f t="shared" si="15"/>
        <v>1.0926875752459431E-4</v>
      </c>
    </row>
    <row r="506" spans="6:10" x14ac:dyDescent="0.55000000000000004">
      <c r="F506" s="119">
        <v>44168</v>
      </c>
      <c r="G506" s="52">
        <v>354.57797199999999</v>
      </c>
      <c r="H506" s="52">
        <v>90.291847000000004</v>
      </c>
      <c r="I506" s="120">
        <f t="shared" si="14"/>
        <v>-2.7267522785101583E-4</v>
      </c>
      <c r="J506" s="120">
        <f t="shared" si="15"/>
        <v>0</v>
      </c>
    </row>
    <row r="507" spans="6:10" x14ac:dyDescent="0.55000000000000004">
      <c r="F507" s="119">
        <v>44169</v>
      </c>
      <c r="G507" s="52">
        <v>357.633667</v>
      </c>
      <c r="H507" s="52">
        <v>90.301711999999995</v>
      </c>
      <c r="I507" s="120">
        <f t="shared" si="14"/>
        <v>8.6178365304656612E-3</v>
      </c>
      <c r="J507" s="120">
        <f t="shared" si="15"/>
        <v>1.0925681916762464E-4</v>
      </c>
    </row>
    <row r="508" spans="6:10" x14ac:dyDescent="0.55000000000000004">
      <c r="F508" s="119">
        <v>44172</v>
      </c>
      <c r="G508" s="52">
        <v>356.89871199999999</v>
      </c>
      <c r="H508" s="52">
        <v>90.281981999999999</v>
      </c>
      <c r="I508" s="120">
        <f t="shared" si="14"/>
        <v>-2.0550498116275184E-3</v>
      </c>
      <c r="J508" s="120">
        <f t="shared" si="15"/>
        <v>-2.1848976683846999E-4</v>
      </c>
    </row>
    <row r="509" spans="6:10" x14ac:dyDescent="0.55000000000000004">
      <c r="F509" s="119">
        <v>44173</v>
      </c>
      <c r="G509" s="52">
        <v>357.94305400000002</v>
      </c>
      <c r="H509" s="52">
        <v>90.281981999999999</v>
      </c>
      <c r="I509" s="120">
        <f t="shared" si="14"/>
        <v>2.9261579402954929E-3</v>
      </c>
      <c r="J509" s="120">
        <f t="shared" si="15"/>
        <v>0</v>
      </c>
    </row>
    <row r="510" spans="6:10" x14ac:dyDescent="0.55000000000000004">
      <c r="F510" s="119">
        <v>44174</v>
      </c>
      <c r="G510" s="52">
        <v>354.73272700000001</v>
      </c>
      <c r="H510" s="52">
        <v>90.281981999999999</v>
      </c>
      <c r="I510" s="120">
        <f t="shared" si="14"/>
        <v>-8.9688204984695874E-3</v>
      </c>
      <c r="J510" s="120">
        <f t="shared" si="15"/>
        <v>0</v>
      </c>
    </row>
    <row r="511" spans="6:10" x14ac:dyDescent="0.55000000000000004">
      <c r="F511" s="119">
        <v>44175</v>
      </c>
      <c r="G511" s="52">
        <v>354.61663800000002</v>
      </c>
      <c r="H511" s="52">
        <v>90.281981999999999</v>
      </c>
      <c r="I511" s="120">
        <f t="shared" si="14"/>
        <v>-3.2725765390118067E-4</v>
      </c>
      <c r="J511" s="120">
        <f t="shared" si="15"/>
        <v>0</v>
      </c>
    </row>
    <row r="512" spans="6:10" x14ac:dyDescent="0.55000000000000004">
      <c r="F512" s="119">
        <v>44176</v>
      </c>
      <c r="G512" s="52">
        <v>354.200897</v>
      </c>
      <c r="H512" s="52">
        <v>90.291847000000004</v>
      </c>
      <c r="I512" s="120">
        <f t="shared" si="14"/>
        <v>-1.1723674397928763E-3</v>
      </c>
      <c r="J512" s="120">
        <f t="shared" si="15"/>
        <v>1.0926875752459431E-4</v>
      </c>
    </row>
    <row r="513" spans="6:10" x14ac:dyDescent="0.55000000000000004">
      <c r="F513" s="119">
        <v>44179</v>
      </c>
      <c r="G513" s="52">
        <v>352.61508199999997</v>
      </c>
      <c r="H513" s="52">
        <v>90.281981999999999</v>
      </c>
      <c r="I513" s="120">
        <f t="shared" si="14"/>
        <v>-4.4771625747747068E-3</v>
      </c>
      <c r="J513" s="120">
        <f t="shared" si="15"/>
        <v>-1.0925681916784669E-4</v>
      </c>
    </row>
    <row r="514" spans="6:10" x14ac:dyDescent="0.55000000000000004">
      <c r="F514" s="119">
        <v>44180</v>
      </c>
      <c r="G514" s="52">
        <v>357.38220200000001</v>
      </c>
      <c r="H514" s="52">
        <v>90.281981999999999</v>
      </c>
      <c r="I514" s="120">
        <f t="shared" si="14"/>
        <v>1.351933097405067E-2</v>
      </c>
      <c r="J514" s="120">
        <f t="shared" si="15"/>
        <v>0</v>
      </c>
    </row>
    <row r="515" spans="6:10" x14ac:dyDescent="0.55000000000000004">
      <c r="F515" s="119">
        <v>44181</v>
      </c>
      <c r="G515" s="52">
        <v>357.94305400000002</v>
      </c>
      <c r="H515" s="52">
        <v>90.291847000000004</v>
      </c>
      <c r="I515" s="120">
        <f t="shared" si="14"/>
        <v>1.5693338864144479E-3</v>
      </c>
      <c r="J515" s="120">
        <f t="shared" si="15"/>
        <v>1.0926875752459431E-4</v>
      </c>
    </row>
    <row r="516" spans="6:10" x14ac:dyDescent="0.55000000000000004">
      <c r="F516" s="119">
        <v>44182</v>
      </c>
      <c r="G516" s="52">
        <v>359.94464099999999</v>
      </c>
      <c r="H516" s="52">
        <v>90.291847000000004</v>
      </c>
      <c r="I516" s="120">
        <f t="shared" si="14"/>
        <v>5.5919146289677979E-3</v>
      </c>
      <c r="J516" s="120">
        <f t="shared" si="15"/>
        <v>0</v>
      </c>
    </row>
    <row r="517" spans="6:10" x14ac:dyDescent="0.55000000000000004">
      <c r="F517" s="119">
        <v>44183</v>
      </c>
      <c r="G517" s="52">
        <v>358.50741599999998</v>
      </c>
      <c r="H517" s="52">
        <v>90.291847000000004</v>
      </c>
      <c r="I517" s="120">
        <f t="shared" si="14"/>
        <v>-3.9929056757369574E-3</v>
      </c>
      <c r="J517" s="120">
        <f t="shared" si="15"/>
        <v>0</v>
      </c>
    </row>
    <row r="518" spans="6:10" x14ac:dyDescent="0.55000000000000004">
      <c r="F518" s="119">
        <v>44186</v>
      </c>
      <c r="G518" s="52">
        <v>357.22555499999999</v>
      </c>
      <c r="H518" s="52">
        <v>90.291847000000004</v>
      </c>
      <c r="I518" s="120">
        <f t="shared" si="14"/>
        <v>-3.5755494664578835E-3</v>
      </c>
      <c r="J518" s="120">
        <f t="shared" si="15"/>
        <v>0</v>
      </c>
    </row>
    <row r="519" spans="6:10" x14ac:dyDescent="0.55000000000000004">
      <c r="F519" s="119">
        <v>44187</v>
      </c>
      <c r="G519" s="52">
        <v>356.62350500000002</v>
      </c>
      <c r="H519" s="52">
        <v>90.291847000000004</v>
      </c>
      <c r="I519" s="120">
        <f t="shared" si="14"/>
        <v>-1.6853497505238124E-3</v>
      </c>
      <c r="J519" s="120">
        <f t="shared" si="15"/>
        <v>0</v>
      </c>
    </row>
    <row r="520" spans="6:10" x14ac:dyDescent="0.55000000000000004">
      <c r="F520" s="119">
        <v>44188</v>
      </c>
      <c r="G520" s="52">
        <v>356.94400000000002</v>
      </c>
      <c r="H520" s="52">
        <v>90.281981999999999</v>
      </c>
      <c r="I520" s="120">
        <f t="shared" si="14"/>
        <v>8.9869286658483816E-4</v>
      </c>
      <c r="J520" s="120">
        <f t="shared" si="15"/>
        <v>-1.0925681916784669E-4</v>
      </c>
    </row>
    <row r="521" spans="6:10" x14ac:dyDescent="0.55000000000000004">
      <c r="F521" s="119">
        <v>44189</v>
      </c>
      <c r="G521" s="52">
        <v>358.33264200000002</v>
      </c>
      <c r="H521" s="52">
        <v>90.291847000000004</v>
      </c>
      <c r="I521" s="120">
        <f t="shared" si="14"/>
        <v>3.8903637545384395E-3</v>
      </c>
      <c r="J521" s="120">
        <f t="shared" si="15"/>
        <v>1.0926875752459431E-4</v>
      </c>
    </row>
    <row r="522" spans="6:10" x14ac:dyDescent="0.55000000000000004">
      <c r="F522" s="119">
        <v>44193</v>
      </c>
      <c r="G522" s="52">
        <v>361.41101099999997</v>
      </c>
      <c r="H522" s="52">
        <v>90.291847000000004</v>
      </c>
      <c r="I522" s="120">
        <f t="shared" si="14"/>
        <v>8.5908137835792875E-3</v>
      </c>
      <c r="J522" s="120">
        <f t="shared" si="15"/>
        <v>0</v>
      </c>
    </row>
    <row r="523" spans="6:10" x14ac:dyDescent="0.55000000000000004">
      <c r="F523" s="119">
        <v>44194</v>
      </c>
      <c r="G523" s="52">
        <v>360.72155800000002</v>
      </c>
      <c r="H523" s="52">
        <v>90.291847000000004</v>
      </c>
      <c r="I523" s="120">
        <f t="shared" si="14"/>
        <v>-1.9076701567345422E-3</v>
      </c>
      <c r="J523" s="120">
        <f t="shared" si="15"/>
        <v>0</v>
      </c>
    </row>
    <row r="524" spans="6:10" x14ac:dyDescent="0.55000000000000004">
      <c r="F524" s="119">
        <v>44195</v>
      </c>
      <c r="G524" s="52">
        <v>361.236176</v>
      </c>
      <c r="H524" s="52">
        <v>90.281981999999999</v>
      </c>
      <c r="I524" s="120">
        <f t="shared" si="14"/>
        <v>1.4266350002845041E-3</v>
      </c>
      <c r="J524" s="120">
        <f t="shared" si="15"/>
        <v>-1.0925681916784669E-4</v>
      </c>
    </row>
    <row r="525" spans="6:10" x14ac:dyDescent="0.55000000000000004">
      <c r="F525" s="119">
        <v>44196</v>
      </c>
      <c r="G525" s="52">
        <v>363.07156400000002</v>
      </c>
      <c r="H525" s="52">
        <v>90.291847000000004</v>
      </c>
      <c r="I525" s="120">
        <f t="shared" si="14"/>
        <v>5.0808532531914086E-3</v>
      </c>
      <c r="J525" s="120">
        <f t="shared" si="15"/>
        <v>1.0926875752459431E-4</v>
      </c>
    </row>
  </sheetData>
  <mergeCells count="1">
    <mergeCell ref="D21:D22"/>
  </mergeCells>
  <phoneticPr fontId="26" type="noConversion"/>
  <pageMargins left="0.511811024" right="0.511811024" top="0.78740157499999996" bottom="0.78740157499999996" header="0.31496062000000002" footer="0.31496062000000002"/>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5F51E-AF9F-48F3-9288-3F9591DA4D11}">
  <sheetPr codeName="Planilha67">
    <tabColor theme="9" tint="0.59999389629810485"/>
  </sheetPr>
  <dimension ref="A1:Y526"/>
  <sheetViews>
    <sheetView showGridLines="0" zoomScale="85" zoomScaleNormal="85" workbookViewId="0">
      <selection activeCell="A8" sqref="A8"/>
    </sheetView>
  </sheetViews>
  <sheetFormatPr defaultColWidth="8.796875" defaultRowHeight="18" x14ac:dyDescent="0.55000000000000004"/>
  <cols>
    <col min="1" max="1" width="18.6640625" style="17" customWidth="1"/>
    <col min="2" max="2" width="49" customWidth="1"/>
    <col min="4" max="4" width="8.6640625" bestFit="1" customWidth="1"/>
    <col min="5" max="5" width="4.6640625" customWidth="1"/>
    <col min="6" max="6" width="8.6640625" bestFit="1" customWidth="1"/>
    <col min="7" max="10" width="17" bestFit="1" customWidth="1"/>
    <col min="11" max="12" width="12.796875" bestFit="1" customWidth="1"/>
    <col min="14" max="16" width="9" style="15" customWidth="1"/>
    <col min="17" max="25" width="8.796875" style="15"/>
  </cols>
  <sheetData>
    <row r="1" spans="1:25" x14ac:dyDescent="0.55000000000000004">
      <c r="A1" s="16" t="s">
        <v>651</v>
      </c>
      <c r="N1" s="14"/>
      <c r="O1" s="14"/>
      <c r="P1" s="14"/>
      <c r="Q1" s="14"/>
      <c r="R1" s="14"/>
      <c r="S1" s="14"/>
      <c r="T1" s="14"/>
      <c r="U1" s="14"/>
      <c r="V1" s="14"/>
      <c r="W1" s="14"/>
      <c r="X1" s="14"/>
      <c r="Y1" s="14"/>
    </row>
    <row r="2" spans="1:25" x14ac:dyDescent="0.55000000000000004">
      <c r="A2" s="17" t="s">
        <v>652</v>
      </c>
      <c r="N2" s="14"/>
      <c r="O2" s="14"/>
      <c r="P2" s="14"/>
      <c r="Q2" s="14"/>
      <c r="R2" s="14"/>
      <c r="S2" s="14"/>
      <c r="T2" s="14"/>
      <c r="U2" s="14"/>
      <c r="V2" s="14"/>
      <c r="W2" s="14"/>
      <c r="X2" s="14"/>
      <c r="Y2" s="14"/>
    </row>
    <row r="3" spans="1:25" ht="14.25" x14ac:dyDescent="0.45">
      <c r="A3" s="118" t="s">
        <v>631</v>
      </c>
    </row>
    <row r="4" spans="1:25" ht="14.25" x14ac:dyDescent="0.45">
      <c r="A4" s="118" t="s">
        <v>632</v>
      </c>
    </row>
    <row r="5" spans="1:25" ht="14.25" x14ac:dyDescent="0.45">
      <c r="A5" s="118" t="s">
        <v>633</v>
      </c>
    </row>
    <row r="6" spans="1:25" ht="14.25" x14ac:dyDescent="0.45">
      <c r="A6" s="118" t="s">
        <v>647</v>
      </c>
    </row>
    <row r="7" spans="1:25" ht="14.25" x14ac:dyDescent="0.45">
      <c r="A7" s="118"/>
    </row>
    <row r="8" spans="1:25" x14ac:dyDescent="0.55000000000000004">
      <c r="A8" s="17" t="s">
        <v>1053</v>
      </c>
    </row>
    <row r="10" spans="1:25" ht="15.75" x14ac:dyDescent="0.5">
      <c r="A10" s="2" t="s">
        <v>15</v>
      </c>
      <c r="B10" s="2" t="s">
        <v>16</v>
      </c>
    </row>
    <row r="11" spans="1:25" ht="15.75" x14ac:dyDescent="0.5">
      <c r="A11" s="23" t="s">
        <v>636</v>
      </c>
      <c r="B11" s="24" t="s">
        <v>640</v>
      </c>
    </row>
    <row r="12" spans="1:25" ht="15.75" x14ac:dyDescent="0.5">
      <c r="A12" s="23" t="s">
        <v>637</v>
      </c>
      <c r="B12" s="24" t="s">
        <v>641</v>
      </c>
    </row>
    <row r="13" spans="1:25" ht="15.75" x14ac:dyDescent="0.5">
      <c r="A13" s="23" t="s">
        <v>638</v>
      </c>
      <c r="B13" s="24" t="s">
        <v>642</v>
      </c>
    </row>
    <row r="14" spans="1:25" ht="15.75" x14ac:dyDescent="0.5">
      <c r="A14" s="23" t="s">
        <v>639</v>
      </c>
      <c r="B14" s="24" t="s">
        <v>643</v>
      </c>
    </row>
    <row r="15" spans="1:25" ht="31.5" x14ac:dyDescent="0.5">
      <c r="A15" s="23" t="s">
        <v>242</v>
      </c>
      <c r="B15" s="24" t="s">
        <v>804</v>
      </c>
    </row>
    <row r="16" spans="1:25" ht="47.25" x14ac:dyDescent="0.5">
      <c r="A16" s="23" t="s">
        <v>650</v>
      </c>
      <c r="B16" s="24" t="s">
        <v>803</v>
      </c>
    </row>
    <row r="17" spans="4:25" x14ac:dyDescent="0.55000000000000004">
      <c r="I17" t="s">
        <v>629</v>
      </c>
      <c r="J17" t="s">
        <v>630</v>
      </c>
    </row>
    <row r="18" spans="4:25" x14ac:dyDescent="0.55000000000000004">
      <c r="D18" s="1" t="s">
        <v>17</v>
      </c>
      <c r="G18" s="1" t="s">
        <v>627</v>
      </c>
      <c r="H18" s="1" t="s">
        <v>628</v>
      </c>
      <c r="I18" s="13" t="s">
        <v>636</v>
      </c>
      <c r="J18" s="13" t="s">
        <v>637</v>
      </c>
      <c r="K18" s="13" t="s">
        <v>242</v>
      </c>
      <c r="L18" s="13" t="s">
        <v>650</v>
      </c>
      <c r="N18" s="15" t="s">
        <v>645</v>
      </c>
      <c r="P18" s="15" t="s">
        <v>646</v>
      </c>
    </row>
    <row r="19" spans="4:25" x14ac:dyDescent="0.55000000000000004">
      <c r="F19" s="119">
        <v>43465</v>
      </c>
      <c r="G19" s="52">
        <v>233.81840500000001</v>
      </c>
      <c r="H19" s="52">
        <v>88.142380000000003</v>
      </c>
      <c r="I19" s="101"/>
      <c r="J19" s="101"/>
      <c r="K19" s="54" t="b">
        <v>0</v>
      </c>
      <c r="L19" s="54" t="b">
        <v>0</v>
      </c>
      <c r="N19" s="121"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_xlpm.coKurNonCrisis_1_3, AVERAGE(
        (_xlpm.sampleNonCrisis_1 - _xlpm.meanNonCrisis_1) / _xlpm.volNonCrisis_1 *
            ((_xlpm.sampleNonCrisis_2 - _xlpm.meanNonCrisis_2) / _xlpm.volNonCrisis_2) ^ 3
    ) - (3 * _xlpm.corrNonCrisis),
    _xlpm.coKurCrisis_1_3, AVERAGE(
        (_xlpm.sampleCrisis_1 - _xlpm.meanCrisis_1) / _xlpm.volCrisis_1 *
            ((_xlpm.sampleCrisis_2 - _xlpm.meanCrisis_2) / _xlpm.volCrisis_2) ^ 3
    ) - (3 * _xlpm.corrCrisisAdj),
    _xlpm.coKurNonCrisis_3_1, AVERAGE(
        ((_xlpm.sampleNonCrisis_1 - _xlpm.meanNonCrisis_1) / _xlpm.volNonCrisis_1) ^ 3 *
            ((_xlpm.sampleNonCrisis_2 - _xlpm.meanNonCrisis_2) / _xlpm.volNonCrisis_2)
    ) - (3 * _xlpm.corrNonCrisis),
    _xlpm.coKurCrisis_3_1, AVERAGE(
        ((_xlpm.sampleCrisis_1 - _xlpm.meanCrisis_1) / _xlpm.volCrisis_1) ^ 3 *
            ((_xlpm.sampleCrisis_2 - _xlpm.meanCrisis_2) / _xlpm.volCrisis_2)
    ) - (3 * _xlpm.corrCrisisAdj),
    _xlpm.chiSquared_1_3, (
        (_xlpm.coKurCrisis_1_3 - _xlpm.coKurNonCrisis_1_3) /
            SQRT(
                (18 * _xlpm.corrCrisisAdj ^ 2 + 6) / _xlpm.nCrisis_1 +
                    (18 * _xlpm.corrNonCrisis ^ 2 + 6) / _xlpm.nNonCrisis_1
            )
    ) ^ 2,
    _xlpm.chiSquared_3_1, (
        (_xlpm.coKurCrisis_3_1 - _xlpm.coKurNonCrisis_3_1) /
            SQRT(
                (18 * _xlpm.corrCrisisAdj ^ 2 + 6) / _xlpm.nCrisis_1 +
                    (18 * _xlpm.corrNonCrisis ^ 2 + 6) / _xlpm.nNonCrisis_1
            )
    ) ^ 2,
    _xlpm.pTest_1_3, _xlfn.CHISQ.DIST.RT(_xlpm.chiSquared_1_3, 1),
    _xlpm.pTest_3_1, _xlfn.CHISQ.DIST.RT(_xlpm.chiSquared_3_1, 1),
    IF(
        OR(_xlfn.ISOMITTED(_xlpm.returnInverse), _xlpm.returnInverse = FALSE),
        IF(OR(_xlfn.ISOMITTED(_xlpm.returnPValue), _xlpm.returnPValue = FALSE), _xlpm.chiSquared_1_3, _xlpm.pTest_1_3),
        IF(OR(_xlfn.ISOMITTED(_xlpm.returnPValue), _xlpm.returnPValue = FALSE), _xlpm.chiSquared_3_1, _xlpm.pTest_3_1)
    )
))(I20:I318,J20:J318,I321:I526,J321:J526,K19,L19)</f>
        <v>1.5365380126434922</v>
      </c>
      <c r="O19" s="53"/>
      <c r="P19" s="27" cm="1">
        <f t="array" ref="P19">CONTAGION_COKURTOSIS(I20:I318,J20:J318,I321:I526,J321:J526,K19,L19)</f>
        <v>1.5365380126434922</v>
      </c>
    </row>
    <row r="20" spans="4:25" x14ac:dyDescent="0.55000000000000004">
      <c r="F20" s="119">
        <v>43467</v>
      </c>
      <c r="G20" s="52">
        <v>234.0616</v>
      </c>
      <c r="H20" s="52">
        <v>88.132744000000002</v>
      </c>
      <c r="I20" s="120">
        <f>G20/G19-1</f>
        <v>1.0401020398713712E-3</v>
      </c>
      <c r="J20" s="120">
        <f>H20/H19-1</f>
        <v>-1.0932312016076473E-4</v>
      </c>
      <c r="N20" s="53"/>
      <c r="O20" s="53"/>
      <c r="P20" s="53"/>
    </row>
    <row r="21" spans="4:25" x14ac:dyDescent="0.55000000000000004">
      <c r="F21" s="119">
        <v>43468</v>
      </c>
      <c r="G21" s="52">
        <v>228.476257</v>
      </c>
      <c r="H21" s="52">
        <v>88.161666999999994</v>
      </c>
      <c r="I21" s="120">
        <f t="shared" ref="I21:J84" si="0">G21/G20-1</f>
        <v>-2.3862705373286275E-2</v>
      </c>
      <c r="J21" s="120">
        <f t="shared" si="0"/>
        <v>3.2817541684604379E-4</v>
      </c>
      <c r="N21" s="53"/>
      <c r="O21" s="53"/>
      <c r="P21" s="53"/>
    </row>
    <row r="22" spans="4:25" ht="18.75" customHeight="1" x14ac:dyDescent="0.55000000000000004">
      <c r="D22" s="173"/>
      <c r="F22" s="119">
        <v>43469</v>
      </c>
      <c r="G22" s="52">
        <v>236.129257</v>
      </c>
      <c r="H22" s="52">
        <v>88.171302999999995</v>
      </c>
      <c r="I22" s="120">
        <f t="shared" si="0"/>
        <v>3.3495821843755103E-2</v>
      </c>
      <c r="J22" s="120">
        <f t="shared" si="0"/>
        <v>1.0929920370039703E-4</v>
      </c>
      <c r="N22" s="53"/>
      <c r="O22" s="53"/>
      <c r="P22" s="53"/>
    </row>
    <row r="23" spans="4:25" x14ac:dyDescent="0.55000000000000004">
      <c r="D23" s="173"/>
      <c r="F23" s="119">
        <v>43472</v>
      </c>
      <c r="G23" s="52">
        <v>237.991028</v>
      </c>
      <c r="H23" s="52">
        <v>88.171302999999995</v>
      </c>
      <c r="I23" s="120">
        <f t="shared" si="0"/>
        <v>7.8845418126225475E-3</v>
      </c>
      <c r="J23" s="120">
        <f t="shared" si="0"/>
        <v>0</v>
      </c>
      <c r="N23" s="53"/>
      <c r="O23" s="53"/>
      <c r="P23" s="53"/>
    </row>
    <row r="24" spans="4:25" x14ac:dyDescent="0.55000000000000004">
      <c r="D24" s="46"/>
      <c r="F24" s="119">
        <v>43473</v>
      </c>
      <c r="G24" s="52">
        <v>240.22705099999999</v>
      </c>
      <c r="H24" s="52">
        <v>88.171302999999995</v>
      </c>
      <c r="I24" s="120">
        <f t="shared" si="0"/>
        <v>9.3954088050747231E-3</v>
      </c>
      <c r="J24" s="120">
        <f t="shared" si="0"/>
        <v>0</v>
      </c>
      <c r="N24" s="53"/>
      <c r="O24" s="53"/>
      <c r="P24" s="53"/>
    </row>
    <row r="25" spans="4:25" x14ac:dyDescent="0.55000000000000004">
      <c r="F25" s="119">
        <v>43474</v>
      </c>
      <c r="G25" s="52">
        <v>241.349762</v>
      </c>
      <c r="H25" s="52">
        <v>88.171302999999995</v>
      </c>
      <c r="I25" s="120">
        <f t="shared" si="0"/>
        <v>4.6735411159004592E-3</v>
      </c>
      <c r="J25" s="120">
        <f t="shared" si="0"/>
        <v>0</v>
      </c>
      <c r="N25" s="53"/>
      <c r="O25" s="53"/>
      <c r="P25" s="53"/>
    </row>
    <row r="26" spans="4:25" x14ac:dyDescent="0.55000000000000004">
      <c r="F26" s="119">
        <v>43475</v>
      </c>
      <c r="G26" s="52">
        <v>242.20112599999999</v>
      </c>
      <c r="H26" s="52">
        <v>88.180938999999995</v>
      </c>
      <c r="I26" s="120">
        <f t="shared" si="0"/>
        <v>3.5275112473489578E-3</v>
      </c>
      <c r="J26" s="120">
        <f t="shared" si="0"/>
        <v>1.0928725869008282E-4</v>
      </c>
      <c r="N26" s="53"/>
      <c r="O26" s="53"/>
      <c r="P26" s="53"/>
    </row>
    <row r="27" spans="4:25" x14ac:dyDescent="0.55000000000000004">
      <c r="F27" s="119">
        <v>43476</v>
      </c>
      <c r="G27" s="52">
        <v>242.294647</v>
      </c>
      <c r="H27" s="52">
        <v>88.200203000000002</v>
      </c>
      <c r="I27" s="120">
        <f t="shared" si="0"/>
        <v>3.8612950131367008E-4</v>
      </c>
      <c r="J27" s="120">
        <f t="shared" si="0"/>
        <v>2.1845991002655829E-4</v>
      </c>
      <c r="N27" s="53"/>
      <c r="O27" s="53"/>
      <c r="P27" s="53"/>
    </row>
    <row r="28" spans="4:25" s="21" customFormat="1" ht="14.25" x14ac:dyDescent="0.45">
      <c r="D28"/>
      <c r="E28"/>
      <c r="F28" s="119">
        <v>43479</v>
      </c>
      <c r="G28" s="52">
        <v>240.816452</v>
      </c>
      <c r="H28" s="52">
        <v>88.190574999999995</v>
      </c>
      <c r="I28" s="120">
        <f t="shared" si="0"/>
        <v>-6.1008157559502285E-3</v>
      </c>
      <c r="J28" s="120">
        <f t="shared" si="0"/>
        <v>-1.0916074648947838E-4</v>
      </c>
      <c r="K28"/>
      <c r="L28"/>
      <c r="M28"/>
      <c r="N28" s="53"/>
      <c r="O28" s="53"/>
      <c r="P28" s="53"/>
      <c r="Q28" s="15"/>
      <c r="R28" s="15"/>
      <c r="S28" s="15"/>
      <c r="T28" s="15"/>
      <c r="U28" s="15"/>
      <c r="V28" s="15"/>
      <c r="W28" s="15"/>
      <c r="X28" s="15"/>
      <c r="Y28" s="15"/>
    </row>
    <row r="29" spans="4:25" s="21" customFormat="1" ht="14.25" x14ac:dyDescent="0.45">
      <c r="D29"/>
      <c r="E29"/>
      <c r="F29" s="119">
        <v>43480</v>
      </c>
      <c r="G29" s="52">
        <v>243.57638499999999</v>
      </c>
      <c r="H29" s="52">
        <v>88.209868999999998</v>
      </c>
      <c r="I29" s="120">
        <f t="shared" si="0"/>
        <v>1.146073275757753E-2</v>
      </c>
      <c r="J29" s="120">
        <f t="shared" si="0"/>
        <v>2.1877621276433779E-4</v>
      </c>
      <c r="K29"/>
      <c r="L29"/>
      <c r="M29"/>
      <c r="N29" s="53"/>
      <c r="O29" s="53"/>
      <c r="P29" s="53"/>
      <c r="Q29" s="15"/>
      <c r="R29" s="15"/>
      <c r="S29" s="15"/>
      <c r="T29" s="15"/>
      <c r="U29" s="15"/>
      <c r="V29" s="15"/>
      <c r="W29" s="15"/>
      <c r="X29" s="15"/>
      <c r="Y29" s="15"/>
    </row>
    <row r="30" spans="4:25" s="21" customFormat="1" ht="14.25" x14ac:dyDescent="0.45">
      <c r="D30"/>
      <c r="E30"/>
      <c r="F30" s="119">
        <v>43481</v>
      </c>
      <c r="G30" s="52">
        <v>244.16583299999999</v>
      </c>
      <c r="H30" s="52">
        <v>88.219466999999995</v>
      </c>
      <c r="I30" s="120">
        <f t="shared" si="0"/>
        <v>2.4199718704258633E-3</v>
      </c>
      <c r="J30" s="120">
        <f t="shared" si="0"/>
        <v>1.0880868670137822E-4</v>
      </c>
      <c r="K30"/>
      <c r="L30"/>
      <c r="M30"/>
      <c r="N30" s="53"/>
      <c r="O30" s="53"/>
      <c r="P30" s="53"/>
      <c r="Q30" s="15"/>
      <c r="R30" s="15"/>
      <c r="S30" s="15"/>
      <c r="T30" s="15"/>
      <c r="U30" s="15"/>
      <c r="V30" s="15"/>
      <c r="W30" s="15"/>
      <c r="X30" s="15"/>
      <c r="Y30" s="15"/>
    </row>
    <row r="31" spans="4:25" s="21" customFormat="1" ht="14.25" x14ac:dyDescent="0.45">
      <c r="D31"/>
      <c r="E31"/>
      <c r="F31" s="119">
        <v>43482</v>
      </c>
      <c r="G31" s="52">
        <v>246.01823400000001</v>
      </c>
      <c r="H31" s="52">
        <v>88.238761999999994</v>
      </c>
      <c r="I31" s="120">
        <f t="shared" si="0"/>
        <v>7.5866511593374319E-3</v>
      </c>
      <c r="J31" s="120">
        <f t="shared" si="0"/>
        <v>2.1871589861222063E-4</v>
      </c>
      <c r="K31"/>
      <c r="L31"/>
      <c r="M31"/>
      <c r="N31" s="53"/>
      <c r="O31" s="53"/>
      <c r="P31" s="53"/>
      <c r="Q31" s="15"/>
      <c r="R31" s="15"/>
      <c r="S31" s="15"/>
      <c r="T31" s="15"/>
      <c r="U31" s="15"/>
      <c r="V31" s="15"/>
      <c r="W31" s="15"/>
      <c r="X31" s="15"/>
      <c r="Y31" s="15"/>
    </row>
    <row r="32" spans="4:25" s="21" customFormat="1" ht="14.25" x14ac:dyDescent="0.45">
      <c r="D32"/>
      <c r="E32"/>
      <c r="F32" s="119">
        <v>43483</v>
      </c>
      <c r="G32" s="52">
        <v>249.29276999999999</v>
      </c>
      <c r="H32" s="52">
        <v>88.238761999999994</v>
      </c>
      <c r="I32" s="120">
        <f t="shared" si="0"/>
        <v>1.3310135378014287E-2</v>
      </c>
      <c r="J32" s="120">
        <f t="shared" si="0"/>
        <v>0</v>
      </c>
      <c r="K32"/>
      <c r="L32"/>
      <c r="M32"/>
      <c r="N32" s="53"/>
      <c r="O32" s="53"/>
      <c r="P32" s="53"/>
      <c r="Q32" s="15"/>
      <c r="R32" s="15"/>
      <c r="S32" s="15"/>
      <c r="T32" s="15"/>
      <c r="U32" s="15"/>
      <c r="V32" s="15"/>
      <c r="W32" s="15"/>
      <c r="X32" s="15"/>
      <c r="Y32" s="15"/>
    </row>
    <row r="33" spans="6:25" s="21" customFormat="1" ht="14.25" x14ac:dyDescent="0.45">
      <c r="F33" s="119">
        <v>43487</v>
      </c>
      <c r="G33" s="52">
        <v>245.92463699999999</v>
      </c>
      <c r="H33" s="52">
        <v>88.248405000000005</v>
      </c>
      <c r="I33" s="120">
        <f t="shared" si="0"/>
        <v>-1.3510752838921114E-2</v>
      </c>
      <c r="J33" s="120">
        <f t="shared" si="0"/>
        <v>1.0928303821855501E-4</v>
      </c>
      <c r="K33"/>
      <c r="L33"/>
      <c r="N33" s="15"/>
      <c r="O33" s="15"/>
      <c r="P33" s="15"/>
      <c r="Q33" s="15"/>
      <c r="R33" s="15"/>
      <c r="S33" s="15"/>
      <c r="T33" s="15"/>
      <c r="U33" s="15"/>
      <c r="V33" s="15"/>
      <c r="W33" s="15"/>
      <c r="X33" s="15"/>
      <c r="Y33" s="15"/>
    </row>
    <row r="34" spans="6:25" s="21" customFormat="1" ht="14.25" x14ac:dyDescent="0.45">
      <c r="F34" s="119">
        <v>43488</v>
      </c>
      <c r="G34" s="52">
        <v>246.439255</v>
      </c>
      <c r="H34" s="52">
        <v>88.248405000000005</v>
      </c>
      <c r="I34" s="120">
        <f t="shared" si="0"/>
        <v>2.0925841602441597E-3</v>
      </c>
      <c r="J34" s="120">
        <f t="shared" si="0"/>
        <v>0</v>
      </c>
      <c r="K34"/>
      <c r="L34"/>
      <c r="N34" s="15"/>
      <c r="O34" s="15"/>
      <c r="P34" s="15"/>
      <c r="Q34" s="15"/>
      <c r="R34" s="15"/>
      <c r="S34" s="15"/>
      <c r="T34" s="15"/>
      <c r="U34" s="15"/>
      <c r="V34" s="15"/>
      <c r="W34" s="15"/>
      <c r="X34" s="15"/>
      <c r="Y34" s="15"/>
    </row>
    <row r="35" spans="6:25" s="21" customFormat="1" ht="14.25" x14ac:dyDescent="0.45">
      <c r="F35" s="119">
        <v>43489</v>
      </c>
      <c r="G35" s="52">
        <v>246.57023599999999</v>
      </c>
      <c r="H35" s="52">
        <v>88.277289999999994</v>
      </c>
      <c r="I35" s="120">
        <f t="shared" si="0"/>
        <v>5.3149405925601023E-4</v>
      </c>
      <c r="J35" s="120">
        <f t="shared" si="0"/>
        <v>3.2731469764235577E-4</v>
      </c>
      <c r="K35"/>
      <c r="L35"/>
      <c r="N35" s="15"/>
      <c r="O35" s="15"/>
      <c r="P35" s="15"/>
      <c r="Q35" s="15"/>
      <c r="R35" s="15"/>
      <c r="S35" s="15"/>
      <c r="T35" s="15"/>
      <c r="U35" s="15"/>
      <c r="V35" s="15"/>
      <c r="W35" s="15"/>
      <c r="X35" s="15"/>
      <c r="Y35" s="15"/>
    </row>
    <row r="36" spans="6:25" s="21" customFormat="1" ht="14.25" x14ac:dyDescent="0.45">
      <c r="F36" s="119">
        <v>43490</v>
      </c>
      <c r="G36" s="52">
        <v>248.65656999999999</v>
      </c>
      <c r="H36" s="52">
        <v>88.267669999999995</v>
      </c>
      <c r="I36" s="120">
        <f t="shared" si="0"/>
        <v>8.4614186766645005E-3</v>
      </c>
      <c r="J36" s="120">
        <f t="shared" si="0"/>
        <v>-1.0897479974747437E-4</v>
      </c>
      <c r="K36"/>
      <c r="L36"/>
      <c r="N36" s="15"/>
      <c r="O36" s="15"/>
      <c r="P36" s="15"/>
      <c r="Q36" s="15"/>
      <c r="R36" s="15"/>
      <c r="S36" s="15"/>
      <c r="T36" s="15"/>
      <c r="U36" s="15"/>
      <c r="V36" s="15"/>
      <c r="W36" s="15"/>
      <c r="X36" s="15"/>
      <c r="Y36" s="15"/>
    </row>
    <row r="37" spans="6:25" s="21" customFormat="1" ht="14.25" x14ac:dyDescent="0.45">
      <c r="F37" s="119">
        <v>43493</v>
      </c>
      <c r="G37" s="52">
        <v>246.76676900000001</v>
      </c>
      <c r="H37" s="52">
        <v>88.277289999999994</v>
      </c>
      <c r="I37" s="120">
        <f t="shared" si="0"/>
        <v>-7.6000445111905623E-3</v>
      </c>
      <c r="J37" s="120">
        <f t="shared" si="0"/>
        <v>1.0898667654868355E-4</v>
      </c>
      <c r="K37"/>
      <c r="L37"/>
      <c r="N37" s="15"/>
      <c r="O37" s="15"/>
      <c r="P37" s="15"/>
      <c r="Q37" s="15"/>
      <c r="R37" s="15"/>
      <c r="S37" s="15"/>
      <c r="T37" s="15"/>
      <c r="U37" s="15"/>
      <c r="V37" s="15"/>
      <c r="W37" s="15"/>
      <c r="X37" s="15"/>
      <c r="Y37" s="15"/>
    </row>
    <row r="38" spans="6:25" s="21" customFormat="1" ht="14.25" x14ac:dyDescent="0.45">
      <c r="F38" s="119">
        <v>43494</v>
      </c>
      <c r="G38" s="52">
        <v>246.439255</v>
      </c>
      <c r="H38" s="52">
        <v>88.277289999999994</v>
      </c>
      <c r="I38" s="120">
        <f t="shared" si="0"/>
        <v>-1.3272208463369628E-3</v>
      </c>
      <c r="J38" s="120">
        <f t="shared" si="0"/>
        <v>0</v>
      </c>
      <c r="K38"/>
      <c r="L38"/>
      <c r="N38" s="15"/>
      <c r="O38" s="15"/>
      <c r="P38" s="15"/>
      <c r="Q38" s="15"/>
      <c r="R38" s="15"/>
      <c r="S38" s="15"/>
      <c r="T38" s="15"/>
      <c r="U38" s="15"/>
      <c r="V38" s="15"/>
      <c r="W38" s="15"/>
      <c r="X38" s="15"/>
      <c r="Y38" s="15"/>
    </row>
    <row r="39" spans="6:25" s="21" customFormat="1" ht="14.25" x14ac:dyDescent="0.45">
      <c r="F39" s="119">
        <v>43495</v>
      </c>
      <c r="G39" s="52">
        <v>250.34056100000001</v>
      </c>
      <c r="H39" s="52">
        <v>88.296570000000003</v>
      </c>
      <c r="I39" s="120">
        <f t="shared" si="0"/>
        <v>1.5830700348449023E-2</v>
      </c>
      <c r="J39" s="120">
        <f t="shared" si="0"/>
        <v>2.1840271716544457E-4</v>
      </c>
      <c r="K39"/>
      <c r="L39"/>
      <c r="N39" s="15"/>
      <c r="O39" s="15"/>
      <c r="P39" s="15"/>
      <c r="Q39" s="15"/>
      <c r="R39" s="15"/>
      <c r="S39" s="15"/>
      <c r="T39" s="15"/>
      <c r="U39" s="15"/>
      <c r="V39" s="15"/>
      <c r="W39" s="15"/>
      <c r="X39" s="15"/>
      <c r="Y39" s="15"/>
    </row>
    <row r="40" spans="6:25" s="21" customFormat="1" ht="14.25" x14ac:dyDescent="0.45">
      <c r="F40" s="119">
        <v>43496</v>
      </c>
      <c r="G40" s="52">
        <v>252.539185</v>
      </c>
      <c r="H40" s="52">
        <v>88.296570000000003</v>
      </c>
      <c r="I40" s="120">
        <f t="shared" si="0"/>
        <v>8.7825320484122837E-3</v>
      </c>
      <c r="J40" s="120">
        <f t="shared" si="0"/>
        <v>0</v>
      </c>
      <c r="K40"/>
      <c r="L40"/>
      <c r="N40" s="15"/>
      <c r="O40" s="15"/>
      <c r="P40" s="15"/>
      <c r="Q40" s="15"/>
      <c r="R40" s="15"/>
      <c r="S40" s="15"/>
      <c r="T40" s="15"/>
      <c r="U40" s="15"/>
      <c r="V40" s="15"/>
      <c r="W40" s="15"/>
      <c r="X40" s="15"/>
      <c r="Y40" s="15"/>
    </row>
    <row r="41" spans="6:25" s="21" customFormat="1" ht="14.25" x14ac:dyDescent="0.45">
      <c r="F41" s="119">
        <v>43497</v>
      </c>
      <c r="G41" s="52">
        <v>252.660751</v>
      </c>
      <c r="H41" s="52">
        <v>88.305267000000001</v>
      </c>
      <c r="I41" s="120">
        <f t="shared" si="0"/>
        <v>4.8137480130061583E-4</v>
      </c>
      <c r="J41" s="120">
        <f t="shared" si="0"/>
        <v>9.8497597358582212E-5</v>
      </c>
      <c r="K41"/>
      <c r="L41"/>
      <c r="N41" s="15"/>
      <c r="O41" s="15"/>
      <c r="P41" s="15"/>
      <c r="Q41" s="15"/>
      <c r="R41" s="15"/>
      <c r="S41" s="15"/>
      <c r="T41" s="15"/>
      <c r="U41" s="15"/>
      <c r="V41" s="15"/>
      <c r="W41" s="15"/>
      <c r="X41" s="15"/>
      <c r="Y41" s="15"/>
    </row>
    <row r="42" spans="6:25" s="21" customFormat="1" ht="14.25" x14ac:dyDescent="0.45">
      <c r="F42" s="119">
        <v>43500</v>
      </c>
      <c r="G42" s="52">
        <v>254.43838500000001</v>
      </c>
      <c r="H42" s="52">
        <v>88.314933999999994</v>
      </c>
      <c r="I42" s="120">
        <f t="shared" si="0"/>
        <v>7.0356554904722479E-3</v>
      </c>
      <c r="J42" s="120">
        <f t="shared" si="0"/>
        <v>1.094725187795742E-4</v>
      </c>
      <c r="K42"/>
      <c r="L42"/>
      <c r="N42" s="15"/>
      <c r="O42" s="15"/>
      <c r="P42" s="15"/>
      <c r="Q42" s="15"/>
      <c r="R42" s="15"/>
      <c r="S42" s="15"/>
      <c r="T42" s="15"/>
      <c r="U42" s="15"/>
      <c r="V42" s="15"/>
      <c r="W42" s="15"/>
      <c r="X42" s="15"/>
      <c r="Y42" s="15"/>
    </row>
    <row r="43" spans="6:25" s="21" customFormat="1" ht="14.25" x14ac:dyDescent="0.45">
      <c r="F43" s="119">
        <v>43501</v>
      </c>
      <c r="G43" s="52">
        <v>255.504974</v>
      </c>
      <c r="H43" s="52">
        <v>88.314933999999994</v>
      </c>
      <c r="I43" s="120">
        <f t="shared" si="0"/>
        <v>4.191934326261304E-3</v>
      </c>
      <c r="J43" s="120">
        <f t="shared" si="0"/>
        <v>0</v>
      </c>
      <c r="K43"/>
      <c r="L43"/>
      <c r="N43" s="15"/>
      <c r="O43" s="15"/>
      <c r="P43" s="15"/>
      <c r="Q43" s="15"/>
      <c r="R43" s="15"/>
      <c r="S43" s="15"/>
      <c r="T43" s="15"/>
      <c r="U43" s="15"/>
      <c r="V43" s="15"/>
      <c r="W43" s="15"/>
      <c r="X43" s="15"/>
      <c r="Y43" s="15"/>
    </row>
    <row r="44" spans="6:25" s="21" customFormat="1" ht="14.25" x14ac:dyDescent="0.45">
      <c r="F44" s="119">
        <v>43502</v>
      </c>
      <c r="G44" s="52">
        <v>255.16816700000001</v>
      </c>
      <c r="H44" s="52">
        <v>88.334259000000003</v>
      </c>
      <c r="I44" s="120">
        <f t="shared" si="0"/>
        <v>-1.3182013435087958E-3</v>
      </c>
      <c r="J44" s="120">
        <f t="shared" si="0"/>
        <v>2.1881916369892451E-4</v>
      </c>
      <c r="K44"/>
      <c r="L44"/>
      <c r="N44" s="15"/>
      <c r="O44" s="15"/>
      <c r="P44" s="15"/>
      <c r="Q44" s="15"/>
      <c r="R44" s="15"/>
      <c r="S44" s="15"/>
      <c r="T44" s="15"/>
      <c r="U44" s="15"/>
      <c r="V44" s="15"/>
      <c r="W44" s="15"/>
      <c r="X44" s="15"/>
      <c r="Y44" s="15"/>
    </row>
    <row r="45" spans="6:25" s="21" customFormat="1" ht="14.25" x14ac:dyDescent="0.45">
      <c r="F45" s="119">
        <v>43503</v>
      </c>
      <c r="G45" s="52">
        <v>252.735657</v>
      </c>
      <c r="H45" s="52">
        <v>88.334259000000003</v>
      </c>
      <c r="I45" s="120">
        <f t="shared" si="0"/>
        <v>-9.5329681151019585E-3</v>
      </c>
      <c r="J45" s="120">
        <f t="shared" si="0"/>
        <v>0</v>
      </c>
      <c r="K45"/>
      <c r="L45"/>
      <c r="N45" s="15"/>
      <c r="O45" s="15"/>
      <c r="P45" s="15"/>
      <c r="Q45" s="15"/>
      <c r="R45" s="15"/>
      <c r="S45" s="15"/>
      <c r="T45" s="15"/>
      <c r="U45" s="15"/>
      <c r="V45" s="15"/>
      <c r="W45" s="15"/>
      <c r="X45" s="15"/>
      <c r="Y45" s="15"/>
    </row>
    <row r="46" spans="6:25" s="21" customFormat="1" ht="14.25" x14ac:dyDescent="0.45">
      <c r="F46" s="119">
        <v>43504</v>
      </c>
      <c r="G46" s="52">
        <v>253.04437300000001</v>
      </c>
      <c r="H46" s="52">
        <v>88.353545999999994</v>
      </c>
      <c r="I46" s="120">
        <f t="shared" si="0"/>
        <v>1.22149760609358E-3</v>
      </c>
      <c r="J46" s="120">
        <f t="shared" si="0"/>
        <v>2.18341108176201E-4</v>
      </c>
      <c r="K46"/>
      <c r="L46"/>
      <c r="N46" s="15"/>
      <c r="O46" s="15"/>
      <c r="P46" s="15"/>
      <c r="Q46" s="15"/>
      <c r="R46" s="15"/>
      <c r="S46" s="15"/>
      <c r="T46" s="15"/>
      <c r="U46" s="15"/>
      <c r="V46" s="15"/>
      <c r="W46" s="15"/>
      <c r="X46" s="15"/>
      <c r="Y46" s="15"/>
    </row>
    <row r="47" spans="6:25" s="21" customFormat="1" ht="14.25" x14ac:dyDescent="0.45">
      <c r="F47" s="119">
        <v>43507</v>
      </c>
      <c r="G47" s="52">
        <v>253.184753</v>
      </c>
      <c r="H47" s="52">
        <v>88.343886999999995</v>
      </c>
      <c r="I47" s="120">
        <f t="shared" si="0"/>
        <v>5.5476436142676278E-4</v>
      </c>
      <c r="J47" s="120">
        <f t="shared" si="0"/>
        <v>-1.0932215442716053E-4</v>
      </c>
      <c r="K47"/>
      <c r="L47"/>
      <c r="N47" s="15"/>
      <c r="O47" s="15"/>
      <c r="P47" s="15"/>
      <c r="Q47" s="15"/>
      <c r="R47" s="15"/>
      <c r="S47" s="15"/>
      <c r="T47" s="15"/>
      <c r="U47" s="15"/>
      <c r="V47" s="15"/>
      <c r="W47" s="15"/>
      <c r="X47" s="15"/>
      <c r="Y47" s="15"/>
    </row>
    <row r="48" spans="6:25" s="21" customFormat="1" ht="14.25" x14ac:dyDescent="0.45">
      <c r="F48" s="119">
        <v>43508</v>
      </c>
      <c r="G48" s="52">
        <v>256.44058200000001</v>
      </c>
      <c r="H48" s="52">
        <v>88.363213000000002</v>
      </c>
      <c r="I48" s="120">
        <f t="shared" si="0"/>
        <v>1.2859498691850657E-2</v>
      </c>
      <c r="J48" s="120">
        <f t="shared" si="0"/>
        <v>2.1875876935339988E-4</v>
      </c>
      <c r="K48"/>
      <c r="L48"/>
      <c r="N48" s="15"/>
      <c r="O48" s="15"/>
      <c r="P48" s="15"/>
      <c r="Q48" s="15"/>
      <c r="R48" s="15"/>
      <c r="S48" s="15"/>
      <c r="T48" s="15"/>
      <c r="U48" s="15"/>
      <c r="V48" s="15"/>
      <c r="W48" s="15"/>
      <c r="X48" s="15"/>
      <c r="Y48" s="15"/>
    </row>
    <row r="49" spans="6:25" s="21" customFormat="1" ht="14.25" x14ac:dyDescent="0.45">
      <c r="F49" s="119">
        <v>43509</v>
      </c>
      <c r="G49" s="52">
        <v>257.27319299999999</v>
      </c>
      <c r="H49" s="52">
        <v>88.363213000000002</v>
      </c>
      <c r="I49" s="120">
        <f t="shared" si="0"/>
        <v>3.2467989017432863E-3</v>
      </c>
      <c r="J49" s="120">
        <f t="shared" si="0"/>
        <v>0</v>
      </c>
      <c r="K49"/>
      <c r="L49"/>
      <c r="N49" s="15"/>
      <c r="O49" s="15"/>
      <c r="P49" s="15"/>
      <c r="Q49" s="15"/>
      <c r="R49" s="15"/>
      <c r="S49" s="15"/>
      <c r="T49" s="15"/>
      <c r="U49" s="15"/>
      <c r="V49" s="15"/>
      <c r="W49" s="15"/>
      <c r="X49" s="15"/>
      <c r="Y49" s="15"/>
    </row>
    <row r="50" spans="6:25" s="21" customFormat="1" ht="14.25" x14ac:dyDescent="0.45">
      <c r="F50" s="119">
        <v>43510</v>
      </c>
      <c r="G50" s="52">
        <v>256.70248400000003</v>
      </c>
      <c r="H50" s="52">
        <v>88.382544999999993</v>
      </c>
      <c r="I50" s="120">
        <f t="shared" si="0"/>
        <v>-2.2182995178979814E-3</v>
      </c>
      <c r="J50" s="120">
        <f t="shared" si="0"/>
        <v>2.1877882598042575E-4</v>
      </c>
      <c r="K50"/>
      <c r="L50"/>
      <c r="N50" s="15"/>
      <c r="O50" s="15"/>
      <c r="P50" s="15"/>
      <c r="Q50" s="15"/>
      <c r="R50" s="15"/>
      <c r="S50" s="15"/>
      <c r="T50" s="15"/>
      <c r="U50" s="15"/>
      <c r="V50" s="15"/>
      <c r="W50" s="15"/>
      <c r="X50" s="15"/>
      <c r="Y50" s="15"/>
    </row>
    <row r="51" spans="6:25" s="21" customFormat="1" ht="14.25" x14ac:dyDescent="0.45">
      <c r="F51" s="119">
        <v>43511</v>
      </c>
      <c r="G51" s="52">
        <v>259.49987800000002</v>
      </c>
      <c r="H51" s="52">
        <v>88.382544999999993</v>
      </c>
      <c r="I51" s="120">
        <f t="shared" si="0"/>
        <v>1.0897416949031236E-2</v>
      </c>
      <c r="J51" s="120">
        <f t="shared" si="0"/>
        <v>0</v>
      </c>
      <c r="K51"/>
      <c r="L51"/>
      <c r="N51" s="15"/>
      <c r="O51" s="15"/>
      <c r="P51" s="15"/>
      <c r="Q51" s="15"/>
      <c r="R51" s="15"/>
      <c r="S51" s="15"/>
      <c r="T51" s="15"/>
      <c r="U51" s="15"/>
      <c r="V51" s="15"/>
      <c r="W51" s="15"/>
      <c r="X51" s="15"/>
      <c r="Y51" s="15"/>
    </row>
    <row r="52" spans="6:25" s="21" customFormat="1" ht="14.25" x14ac:dyDescent="0.45">
      <c r="F52" s="119">
        <v>43515</v>
      </c>
      <c r="G52" s="52">
        <v>259.94894399999998</v>
      </c>
      <c r="H52" s="52">
        <v>88.401840000000007</v>
      </c>
      <c r="I52" s="120">
        <f t="shared" si="0"/>
        <v>1.7305056305265687E-3</v>
      </c>
      <c r="J52" s="120">
        <f t="shared" si="0"/>
        <v>2.183123375776308E-4</v>
      </c>
      <c r="K52"/>
      <c r="L52"/>
      <c r="N52" s="15"/>
      <c r="O52" s="15"/>
      <c r="P52" s="15"/>
      <c r="Q52" s="15"/>
      <c r="R52" s="15"/>
      <c r="S52" s="15"/>
      <c r="T52" s="15"/>
      <c r="U52" s="15"/>
      <c r="V52" s="15"/>
      <c r="W52" s="15"/>
      <c r="X52" s="15"/>
      <c r="Y52" s="15"/>
    </row>
    <row r="53" spans="6:25" s="21" customFormat="1" ht="14.25" x14ac:dyDescent="0.45">
      <c r="F53" s="119">
        <v>43516</v>
      </c>
      <c r="G53" s="52">
        <v>260.47283900000002</v>
      </c>
      <c r="H53" s="52">
        <v>88.401840000000007</v>
      </c>
      <c r="I53" s="120">
        <f t="shared" si="0"/>
        <v>2.0153765271693214E-3</v>
      </c>
      <c r="J53" s="120">
        <f t="shared" si="0"/>
        <v>0</v>
      </c>
      <c r="K53"/>
      <c r="L53"/>
      <c r="N53" s="15"/>
      <c r="O53" s="15"/>
      <c r="P53" s="15"/>
      <c r="Q53" s="15"/>
      <c r="R53" s="15"/>
      <c r="S53" s="15"/>
      <c r="T53" s="15"/>
      <c r="U53" s="15"/>
      <c r="V53" s="15"/>
      <c r="W53" s="15"/>
      <c r="X53" s="15"/>
      <c r="Y53" s="15"/>
    </row>
    <row r="54" spans="6:25" s="21" customFormat="1" ht="14.25" x14ac:dyDescent="0.45">
      <c r="F54" s="119">
        <v>43517</v>
      </c>
      <c r="G54" s="52">
        <v>259.54660000000001</v>
      </c>
      <c r="H54" s="52">
        <v>88.411484000000002</v>
      </c>
      <c r="I54" s="120">
        <f t="shared" si="0"/>
        <v>-3.5559907265417801E-3</v>
      </c>
      <c r="J54" s="120">
        <f t="shared" si="0"/>
        <v>1.0909275191561818E-4</v>
      </c>
      <c r="K54"/>
      <c r="L54"/>
      <c r="N54" s="15"/>
      <c r="O54" s="15"/>
      <c r="P54" s="15"/>
      <c r="Q54" s="15"/>
      <c r="R54" s="15"/>
      <c r="S54" s="15"/>
      <c r="T54" s="15"/>
      <c r="U54" s="15"/>
      <c r="V54" s="15"/>
      <c r="W54" s="15"/>
      <c r="X54" s="15"/>
      <c r="Y54" s="15"/>
    </row>
    <row r="55" spans="6:25" s="21" customFormat="1" ht="14.25" x14ac:dyDescent="0.45">
      <c r="F55" s="119">
        <v>43518</v>
      </c>
      <c r="G55" s="52">
        <v>261.155823</v>
      </c>
      <c r="H55" s="52">
        <v>88.430817000000005</v>
      </c>
      <c r="I55" s="120">
        <f t="shared" si="0"/>
        <v>6.2001313059003582E-3</v>
      </c>
      <c r="J55" s="120">
        <f t="shared" si="0"/>
        <v>2.1867068762237984E-4</v>
      </c>
      <c r="K55"/>
      <c r="L55"/>
      <c r="N55" s="15"/>
      <c r="O55" s="15"/>
      <c r="P55" s="15"/>
      <c r="Q55" s="15"/>
      <c r="R55" s="15"/>
      <c r="S55" s="15"/>
      <c r="T55" s="15"/>
      <c r="U55" s="15"/>
      <c r="V55" s="15"/>
      <c r="W55" s="15"/>
      <c r="X55" s="15"/>
      <c r="Y55" s="15"/>
    </row>
    <row r="56" spans="6:25" s="21" customFormat="1" ht="14.25" x14ac:dyDescent="0.45">
      <c r="F56" s="119">
        <v>43521</v>
      </c>
      <c r="G56" s="52">
        <v>261.51129200000003</v>
      </c>
      <c r="H56" s="52">
        <v>88.421149999999997</v>
      </c>
      <c r="I56" s="120">
        <f t="shared" si="0"/>
        <v>1.3611375611564114E-3</v>
      </c>
      <c r="J56" s="120">
        <f t="shared" si="0"/>
        <v>-1.0931709474093498E-4</v>
      </c>
      <c r="K56"/>
      <c r="L56"/>
      <c r="N56" s="15"/>
      <c r="O56" s="15"/>
      <c r="P56" s="15"/>
      <c r="Q56" s="15"/>
      <c r="R56" s="15"/>
      <c r="S56" s="15"/>
      <c r="T56" s="15"/>
      <c r="U56" s="15"/>
      <c r="V56" s="15"/>
      <c r="W56" s="15"/>
      <c r="X56" s="15"/>
      <c r="Y56" s="15"/>
    </row>
    <row r="57" spans="6:25" s="21" customFormat="1" ht="14.25" x14ac:dyDescent="0.45">
      <c r="F57" s="119">
        <v>43522</v>
      </c>
      <c r="G57" s="52">
        <v>261.32421900000003</v>
      </c>
      <c r="H57" s="52">
        <v>88.430817000000005</v>
      </c>
      <c r="I57" s="120">
        <f t="shared" si="0"/>
        <v>-7.1535343108619642E-4</v>
      </c>
      <c r="J57" s="120">
        <f t="shared" si="0"/>
        <v>1.0932904627458662E-4</v>
      </c>
      <c r="K57"/>
      <c r="L57"/>
      <c r="N57" s="15"/>
      <c r="O57" s="15"/>
      <c r="P57" s="15"/>
      <c r="Q57" s="15"/>
      <c r="R57" s="15"/>
      <c r="S57" s="15"/>
      <c r="T57" s="15"/>
      <c r="U57" s="15"/>
      <c r="V57" s="15"/>
      <c r="W57" s="15"/>
      <c r="X57" s="15"/>
      <c r="Y57" s="15"/>
    </row>
    <row r="58" spans="6:25" s="21" customFormat="1" ht="14.25" x14ac:dyDescent="0.45">
      <c r="F58" s="119">
        <v>43523</v>
      </c>
      <c r="G58" s="52">
        <v>261.21200599999997</v>
      </c>
      <c r="H58" s="52">
        <v>88.440453000000005</v>
      </c>
      <c r="I58" s="120">
        <f t="shared" si="0"/>
        <v>-4.2940145551551012E-4</v>
      </c>
      <c r="J58" s="120">
        <f t="shared" si="0"/>
        <v>1.0896653821479418E-4</v>
      </c>
      <c r="K58"/>
      <c r="L58"/>
      <c r="N58" s="15"/>
      <c r="O58" s="15"/>
      <c r="P58" s="15"/>
      <c r="Q58" s="15"/>
      <c r="R58" s="15"/>
      <c r="S58" s="15"/>
      <c r="T58" s="15"/>
      <c r="U58" s="15"/>
      <c r="V58" s="15"/>
      <c r="W58" s="15"/>
      <c r="X58" s="15"/>
      <c r="Y58" s="15"/>
    </row>
    <row r="59" spans="6:25" s="21" customFormat="1" ht="14.25" x14ac:dyDescent="0.45">
      <c r="F59" s="119">
        <v>43524</v>
      </c>
      <c r="G59" s="52">
        <v>260.72543300000001</v>
      </c>
      <c r="H59" s="52">
        <v>88.459770000000006</v>
      </c>
      <c r="I59" s="120">
        <f t="shared" si="0"/>
        <v>-1.8627512856356221E-3</v>
      </c>
      <c r="J59" s="120">
        <f t="shared" si="0"/>
        <v>2.1841814853673647E-4</v>
      </c>
      <c r="K59"/>
      <c r="L59"/>
      <c r="N59" s="15"/>
      <c r="O59" s="15"/>
      <c r="P59" s="15"/>
      <c r="Q59" s="15"/>
      <c r="R59" s="15"/>
      <c r="S59" s="15"/>
      <c r="T59" s="15"/>
      <c r="U59" s="15"/>
      <c r="V59" s="15"/>
      <c r="W59" s="15"/>
      <c r="X59" s="15"/>
      <c r="Y59" s="15"/>
    </row>
    <row r="60" spans="6:25" s="21" customFormat="1" ht="14.25" x14ac:dyDescent="0.45">
      <c r="F60" s="119">
        <v>43525</v>
      </c>
      <c r="G60" s="52">
        <v>262.35327100000001</v>
      </c>
      <c r="H60" s="52">
        <v>88.469436999999999</v>
      </c>
      <c r="I60" s="120">
        <f t="shared" si="0"/>
        <v>6.2434952404508692E-3</v>
      </c>
      <c r="J60" s="120">
        <f t="shared" si="0"/>
        <v>1.092813151106764E-4</v>
      </c>
      <c r="K60"/>
      <c r="L60"/>
      <c r="N60" s="15"/>
      <c r="O60" s="15"/>
      <c r="P60" s="15"/>
      <c r="Q60" s="15"/>
      <c r="R60" s="15"/>
      <c r="S60" s="15"/>
      <c r="T60" s="15"/>
      <c r="U60" s="15"/>
      <c r="V60" s="15"/>
      <c r="W60" s="15"/>
      <c r="X60" s="15"/>
      <c r="Y60" s="15"/>
    </row>
    <row r="61" spans="6:25" s="21" customFormat="1" ht="14.25" x14ac:dyDescent="0.45">
      <c r="F61" s="119">
        <v>43528</v>
      </c>
      <c r="G61" s="52">
        <v>261.39904799999999</v>
      </c>
      <c r="H61" s="52">
        <v>88.459762999999995</v>
      </c>
      <c r="I61" s="120">
        <f t="shared" si="0"/>
        <v>-3.6371682973985742E-3</v>
      </c>
      <c r="J61" s="120">
        <f t="shared" si="0"/>
        <v>-1.0934849737997965E-4</v>
      </c>
      <c r="K61"/>
      <c r="L61"/>
      <c r="N61" s="15"/>
      <c r="O61" s="15"/>
      <c r="P61" s="15"/>
      <c r="Q61" s="15"/>
      <c r="R61" s="15"/>
      <c r="S61" s="15"/>
      <c r="T61" s="15"/>
      <c r="U61" s="15"/>
      <c r="V61" s="15"/>
      <c r="W61" s="15"/>
      <c r="X61" s="15"/>
      <c r="Y61" s="15"/>
    </row>
    <row r="62" spans="6:25" s="21" customFormat="1" ht="14.25" x14ac:dyDescent="0.45">
      <c r="F62" s="119">
        <v>43529</v>
      </c>
      <c r="G62" s="52">
        <v>261.04351800000001</v>
      </c>
      <c r="H62" s="52">
        <v>88.469436999999999</v>
      </c>
      <c r="I62" s="120">
        <f t="shared" si="0"/>
        <v>-1.3601044178247479E-3</v>
      </c>
      <c r="J62" s="120">
        <f t="shared" si="0"/>
        <v>1.0936045578158193E-4</v>
      </c>
      <c r="K62"/>
      <c r="L62"/>
      <c r="N62" s="15"/>
      <c r="O62" s="15"/>
      <c r="P62" s="15"/>
      <c r="Q62" s="15"/>
      <c r="R62" s="15"/>
      <c r="S62" s="15"/>
      <c r="T62" s="15"/>
      <c r="U62" s="15"/>
      <c r="V62" s="15"/>
      <c r="W62" s="15"/>
      <c r="X62" s="15"/>
      <c r="Y62" s="15"/>
    </row>
    <row r="63" spans="6:25" s="21" customFormat="1" ht="14.25" x14ac:dyDescent="0.45">
      <c r="F63" s="119">
        <v>43530</v>
      </c>
      <c r="G63" s="52">
        <v>259.46246300000001</v>
      </c>
      <c r="H63" s="52">
        <v>88.479111000000003</v>
      </c>
      <c r="I63" s="120">
        <f t="shared" si="0"/>
        <v>-6.0566721292807379E-3</v>
      </c>
      <c r="J63" s="120">
        <f t="shared" si="0"/>
        <v>1.0934849737997965E-4</v>
      </c>
      <c r="K63"/>
      <c r="L63"/>
      <c r="N63" s="15"/>
      <c r="O63" s="15"/>
      <c r="P63" s="15"/>
      <c r="Q63" s="15"/>
      <c r="R63" s="15"/>
      <c r="S63" s="15"/>
      <c r="T63" s="15"/>
      <c r="U63" s="15"/>
      <c r="V63" s="15"/>
      <c r="W63" s="15"/>
      <c r="X63" s="15"/>
      <c r="Y63" s="15"/>
    </row>
    <row r="64" spans="6:25" s="21" customFormat="1" ht="14.25" x14ac:dyDescent="0.45">
      <c r="F64" s="119">
        <v>43531</v>
      </c>
      <c r="G64" s="52">
        <v>257.29187000000002</v>
      </c>
      <c r="H64" s="52">
        <v>88.498474000000002</v>
      </c>
      <c r="I64" s="120">
        <f t="shared" si="0"/>
        <v>-8.3657303445855424E-3</v>
      </c>
      <c r="J64" s="120">
        <f t="shared" si="0"/>
        <v>2.1884261472737698E-4</v>
      </c>
      <c r="K64"/>
      <c r="L64"/>
      <c r="N64" s="15"/>
      <c r="O64" s="15"/>
      <c r="P64" s="15"/>
      <c r="Q64" s="15"/>
      <c r="R64" s="15"/>
      <c r="S64" s="15"/>
      <c r="T64" s="15"/>
      <c r="U64" s="15"/>
      <c r="V64" s="15"/>
      <c r="W64" s="15"/>
      <c r="X64" s="15"/>
      <c r="Y64" s="15"/>
    </row>
    <row r="65" spans="6:25" s="21" customFormat="1" ht="14.25" x14ac:dyDescent="0.45">
      <c r="F65" s="119">
        <v>43532</v>
      </c>
      <c r="G65" s="52">
        <v>256.77737400000001</v>
      </c>
      <c r="H65" s="52">
        <v>88.508156</v>
      </c>
      <c r="I65" s="120">
        <f t="shared" si="0"/>
        <v>-1.9996589865043379E-3</v>
      </c>
      <c r="J65" s="120">
        <f t="shared" si="0"/>
        <v>1.0940301637285543E-4</v>
      </c>
      <c r="K65"/>
      <c r="L65"/>
      <c r="N65" s="15"/>
      <c r="O65" s="15"/>
      <c r="P65" s="15"/>
      <c r="Q65" s="15"/>
      <c r="R65" s="15"/>
      <c r="S65" s="15"/>
      <c r="T65" s="15"/>
      <c r="U65" s="15"/>
      <c r="V65" s="15"/>
      <c r="W65" s="15"/>
      <c r="X65" s="15"/>
      <c r="Y65" s="15"/>
    </row>
    <row r="66" spans="6:25" s="21" customFormat="1" ht="14.25" x14ac:dyDescent="0.45">
      <c r="F66" s="119">
        <v>43535</v>
      </c>
      <c r="G66" s="52">
        <v>260.50091600000002</v>
      </c>
      <c r="H66" s="52">
        <v>88.508156</v>
      </c>
      <c r="I66" s="120">
        <f t="shared" si="0"/>
        <v>1.4501051794384434E-2</v>
      </c>
      <c r="J66" s="120">
        <f t="shared" si="0"/>
        <v>0</v>
      </c>
      <c r="K66"/>
      <c r="L66"/>
      <c r="N66" s="15"/>
      <c r="O66" s="15"/>
      <c r="P66" s="15"/>
      <c r="Q66" s="15"/>
      <c r="R66" s="15"/>
      <c r="S66" s="15"/>
      <c r="T66" s="15"/>
      <c r="U66" s="15"/>
      <c r="V66" s="15"/>
      <c r="W66" s="15"/>
      <c r="X66" s="15"/>
      <c r="Y66" s="15"/>
    </row>
    <row r="67" spans="6:25" s="21" customFormat="1" ht="14.25" x14ac:dyDescent="0.45">
      <c r="F67" s="119">
        <v>43536</v>
      </c>
      <c r="G67" s="52">
        <v>261.48327599999999</v>
      </c>
      <c r="H67" s="52">
        <v>88.517821999999995</v>
      </c>
      <c r="I67" s="120">
        <f t="shared" si="0"/>
        <v>3.7710424020158673E-3</v>
      </c>
      <c r="J67" s="120">
        <f t="shared" si="0"/>
        <v>1.0921027436161523E-4</v>
      </c>
      <c r="K67"/>
      <c r="L67"/>
      <c r="N67" s="15"/>
      <c r="O67" s="15"/>
      <c r="P67" s="15"/>
      <c r="Q67" s="15"/>
      <c r="R67" s="15"/>
      <c r="S67" s="15"/>
      <c r="T67" s="15"/>
      <c r="U67" s="15"/>
      <c r="V67" s="15"/>
      <c r="W67" s="15"/>
      <c r="X67" s="15"/>
      <c r="Y67" s="15"/>
    </row>
    <row r="68" spans="6:25" s="21" customFormat="1" ht="14.25" x14ac:dyDescent="0.45">
      <c r="F68" s="119">
        <v>43537</v>
      </c>
      <c r="G68" s="52">
        <v>263.214111</v>
      </c>
      <c r="H68" s="52">
        <v>88.527495999999999</v>
      </c>
      <c r="I68" s="120">
        <f t="shared" si="0"/>
        <v>6.6192952240662351E-3</v>
      </c>
      <c r="J68" s="120">
        <f t="shared" si="0"/>
        <v>1.0928872606030815E-4</v>
      </c>
      <c r="K68"/>
      <c r="L68"/>
      <c r="N68" s="15"/>
      <c r="O68" s="15"/>
      <c r="P68" s="15"/>
      <c r="Q68" s="15"/>
      <c r="R68" s="15"/>
      <c r="S68" s="15"/>
      <c r="T68" s="15"/>
      <c r="U68" s="15"/>
      <c r="V68" s="15"/>
      <c r="W68" s="15"/>
      <c r="X68" s="15"/>
      <c r="Y68" s="15"/>
    </row>
    <row r="69" spans="6:25" s="21" customFormat="1" ht="14.25" x14ac:dyDescent="0.45">
      <c r="F69" s="119">
        <v>43538</v>
      </c>
      <c r="G69" s="52">
        <v>263.04562399999998</v>
      </c>
      <c r="H69" s="52">
        <v>88.527495999999999</v>
      </c>
      <c r="I69" s="120">
        <f t="shared" si="0"/>
        <v>-6.4011385772566598E-4</v>
      </c>
      <c r="J69" s="120">
        <f t="shared" si="0"/>
        <v>0</v>
      </c>
      <c r="K69"/>
      <c r="L69"/>
      <c r="N69" s="15"/>
      <c r="O69" s="15"/>
      <c r="P69" s="15"/>
      <c r="Q69" s="15"/>
      <c r="R69" s="15"/>
      <c r="S69" s="15"/>
      <c r="T69" s="15"/>
      <c r="U69" s="15"/>
      <c r="V69" s="15"/>
      <c r="W69" s="15"/>
      <c r="X69" s="15"/>
      <c r="Y69" s="15"/>
    </row>
    <row r="70" spans="6:25" s="21" customFormat="1" ht="14.25" x14ac:dyDescent="0.45">
      <c r="F70" s="119">
        <v>43539</v>
      </c>
      <c r="G70" s="52">
        <v>264.34527600000001</v>
      </c>
      <c r="H70" s="52">
        <v>88.537139999999994</v>
      </c>
      <c r="I70" s="120">
        <f t="shared" si="0"/>
        <v>4.9407854813812158E-3</v>
      </c>
      <c r="J70" s="120">
        <f t="shared" si="0"/>
        <v>1.0893790557453542E-4</v>
      </c>
      <c r="K70"/>
      <c r="L70"/>
      <c r="N70" s="15"/>
      <c r="O70" s="15"/>
      <c r="P70" s="15"/>
      <c r="Q70" s="15"/>
      <c r="R70" s="15"/>
      <c r="S70" s="15"/>
      <c r="T70" s="15"/>
      <c r="U70" s="15"/>
      <c r="V70" s="15"/>
      <c r="W70" s="15"/>
      <c r="X70" s="15"/>
      <c r="Y70" s="15"/>
    </row>
    <row r="71" spans="6:25" s="21" customFormat="1" ht="14.25" x14ac:dyDescent="0.45">
      <c r="F71" s="119">
        <v>43542</v>
      </c>
      <c r="G71" s="52">
        <v>265.30377199999998</v>
      </c>
      <c r="H71" s="52">
        <v>88.546852000000001</v>
      </c>
      <c r="I71" s="120">
        <f t="shared" si="0"/>
        <v>3.6259244519276645E-3</v>
      </c>
      <c r="J71" s="120">
        <f t="shared" si="0"/>
        <v>1.0969407866578962E-4</v>
      </c>
      <c r="K71"/>
      <c r="L71"/>
      <c r="N71" s="15"/>
      <c r="O71" s="15"/>
      <c r="P71" s="15"/>
      <c r="Q71" s="15"/>
      <c r="R71" s="15"/>
      <c r="S71" s="15"/>
      <c r="T71" s="15"/>
      <c r="U71" s="15"/>
      <c r="V71" s="15"/>
      <c r="W71" s="15"/>
      <c r="X71" s="15"/>
      <c r="Y71" s="15"/>
    </row>
    <row r="72" spans="6:25" s="21" customFormat="1" ht="14.25" x14ac:dyDescent="0.45">
      <c r="F72" s="119">
        <v>43543</v>
      </c>
      <c r="G72" s="52">
        <v>265.369507</v>
      </c>
      <c r="H72" s="52">
        <v>88.546852000000001</v>
      </c>
      <c r="I72" s="120">
        <f t="shared" si="0"/>
        <v>2.4777257972807831E-4</v>
      </c>
      <c r="J72" s="120">
        <f t="shared" si="0"/>
        <v>0</v>
      </c>
      <c r="K72"/>
      <c r="L72"/>
      <c r="N72" s="15"/>
      <c r="O72" s="15"/>
      <c r="P72" s="15"/>
      <c r="Q72" s="15"/>
      <c r="R72" s="15"/>
      <c r="S72" s="15"/>
      <c r="T72" s="15"/>
      <c r="U72" s="15"/>
      <c r="V72" s="15"/>
      <c r="W72" s="15"/>
      <c r="X72" s="15"/>
      <c r="Y72" s="15"/>
    </row>
    <row r="73" spans="6:25" s="21" customFormat="1" ht="14.25" x14ac:dyDescent="0.45">
      <c r="F73" s="119">
        <v>43544</v>
      </c>
      <c r="G73" s="52">
        <v>264.57080100000002</v>
      </c>
      <c r="H73" s="52">
        <v>88.546852000000001</v>
      </c>
      <c r="I73" s="120">
        <f t="shared" si="0"/>
        <v>-3.0097881592702214E-3</v>
      </c>
      <c r="J73" s="120">
        <f t="shared" si="0"/>
        <v>0</v>
      </c>
      <c r="K73"/>
      <c r="L73"/>
      <c r="N73" s="15"/>
      <c r="O73" s="15"/>
      <c r="P73" s="15"/>
      <c r="Q73" s="15"/>
      <c r="R73" s="15"/>
      <c r="S73" s="15"/>
      <c r="T73" s="15"/>
      <c r="U73" s="15"/>
      <c r="V73" s="15"/>
      <c r="W73" s="15"/>
      <c r="X73" s="15"/>
      <c r="Y73" s="15"/>
    </row>
    <row r="74" spans="6:25" s="21" customFormat="1" ht="14.25" x14ac:dyDescent="0.45">
      <c r="F74" s="119">
        <v>43545</v>
      </c>
      <c r="G74" s="52">
        <v>267.55898999999999</v>
      </c>
      <c r="H74" s="52">
        <v>88.575858999999994</v>
      </c>
      <c r="I74" s="120">
        <f t="shared" si="0"/>
        <v>1.1294477654773205E-2</v>
      </c>
      <c r="J74" s="120">
        <f t="shared" si="0"/>
        <v>3.27589285726404E-4</v>
      </c>
      <c r="K74"/>
      <c r="L74"/>
      <c r="N74" s="15"/>
      <c r="O74" s="15"/>
      <c r="P74" s="15"/>
      <c r="Q74" s="15"/>
      <c r="R74" s="15"/>
      <c r="S74" s="15"/>
      <c r="T74" s="15"/>
      <c r="U74" s="15"/>
      <c r="V74" s="15"/>
      <c r="W74" s="15"/>
      <c r="X74" s="15"/>
      <c r="Y74" s="15"/>
    </row>
    <row r="75" spans="6:25" s="21" customFormat="1" ht="14.25" x14ac:dyDescent="0.45">
      <c r="F75" s="119">
        <v>43546</v>
      </c>
      <c r="G75" s="52">
        <v>262.40948500000002</v>
      </c>
      <c r="H75" s="52">
        <v>88.575858999999994</v>
      </c>
      <c r="I75" s="120">
        <f t="shared" si="0"/>
        <v>-1.9246241735327185E-2</v>
      </c>
      <c r="J75" s="120">
        <f t="shared" si="0"/>
        <v>0</v>
      </c>
      <c r="K75"/>
      <c r="L75"/>
      <c r="N75" s="15"/>
      <c r="O75" s="15"/>
      <c r="P75" s="15"/>
      <c r="Q75" s="15"/>
      <c r="R75" s="15"/>
      <c r="S75" s="15"/>
      <c r="T75" s="15"/>
      <c r="U75" s="15"/>
      <c r="V75" s="15"/>
      <c r="W75" s="15"/>
      <c r="X75" s="15"/>
      <c r="Y75" s="15"/>
    </row>
    <row r="76" spans="6:25" s="21" customFormat="1" ht="14.25" x14ac:dyDescent="0.45">
      <c r="F76" s="119">
        <v>43549</v>
      </c>
      <c r="G76" s="52">
        <v>262.21212800000001</v>
      </c>
      <c r="H76" s="52">
        <v>88.575858999999994</v>
      </c>
      <c r="I76" s="120">
        <f t="shared" si="0"/>
        <v>-7.520955273396801E-4</v>
      </c>
      <c r="J76" s="120">
        <f t="shared" si="0"/>
        <v>0</v>
      </c>
      <c r="K76"/>
      <c r="L76"/>
      <c r="N76" s="15"/>
      <c r="O76" s="15"/>
      <c r="P76" s="15"/>
      <c r="Q76" s="15"/>
      <c r="R76" s="15"/>
      <c r="S76" s="15"/>
      <c r="T76" s="15"/>
      <c r="U76" s="15"/>
      <c r="V76" s="15"/>
      <c r="W76" s="15"/>
      <c r="X76" s="15"/>
      <c r="Y76" s="15"/>
    </row>
    <row r="77" spans="6:25" s="21" customFormat="1" ht="14.25" x14ac:dyDescent="0.45">
      <c r="F77" s="119">
        <v>43550</v>
      </c>
      <c r="G77" s="52">
        <v>264.16674799999998</v>
      </c>
      <c r="H77" s="52">
        <v>88.585548000000003</v>
      </c>
      <c r="I77" s="120">
        <f t="shared" si="0"/>
        <v>7.4543462764620205E-3</v>
      </c>
      <c r="J77" s="120">
        <f t="shared" si="0"/>
        <v>1.0938646386726703E-4</v>
      </c>
      <c r="K77"/>
      <c r="L77"/>
      <c r="N77" s="15"/>
      <c r="O77" s="15"/>
      <c r="P77" s="15"/>
      <c r="Q77" s="15"/>
      <c r="R77" s="15"/>
      <c r="S77" s="15"/>
      <c r="T77" s="15"/>
      <c r="U77" s="15"/>
      <c r="V77" s="15"/>
      <c r="W77" s="15"/>
      <c r="X77" s="15"/>
      <c r="Y77" s="15"/>
    </row>
    <row r="78" spans="6:25" s="21" customFormat="1" ht="14.25" x14ac:dyDescent="0.45">
      <c r="F78" s="119">
        <v>43551</v>
      </c>
      <c r="G78" s="52">
        <v>262.78539999999998</v>
      </c>
      <c r="H78" s="52">
        <v>88.595191999999997</v>
      </c>
      <c r="I78" s="120">
        <f t="shared" si="0"/>
        <v>-5.22907599256206E-3</v>
      </c>
      <c r="J78" s="120">
        <f t="shared" si="0"/>
        <v>1.0886651624031352E-4</v>
      </c>
      <c r="K78"/>
      <c r="L78"/>
      <c r="N78" s="15"/>
      <c r="O78" s="15"/>
      <c r="P78" s="15"/>
      <c r="Q78" s="15"/>
      <c r="R78" s="15"/>
      <c r="S78" s="15"/>
      <c r="T78" s="15"/>
      <c r="U78" s="15"/>
      <c r="V78" s="15"/>
      <c r="W78" s="15"/>
      <c r="X78" s="15"/>
      <c r="Y78" s="15"/>
    </row>
    <row r="79" spans="6:25" s="21" customFormat="1" ht="14.25" x14ac:dyDescent="0.45">
      <c r="F79" s="119">
        <v>43552</v>
      </c>
      <c r="G79" s="52">
        <v>263.78146400000003</v>
      </c>
      <c r="H79" s="52">
        <v>88.614554999999996</v>
      </c>
      <c r="I79" s="120">
        <f t="shared" si="0"/>
        <v>3.7904084473492361E-3</v>
      </c>
      <c r="J79" s="120">
        <f t="shared" si="0"/>
        <v>2.1855587829189282E-4</v>
      </c>
      <c r="K79"/>
      <c r="L79"/>
      <c r="N79" s="15"/>
      <c r="O79" s="15"/>
      <c r="P79" s="15"/>
      <c r="Q79" s="15"/>
      <c r="R79" s="15"/>
      <c r="S79" s="15"/>
      <c r="T79" s="15"/>
      <c r="U79" s="15"/>
      <c r="V79" s="15"/>
      <c r="W79" s="15"/>
      <c r="X79" s="15"/>
      <c r="Y79" s="15"/>
    </row>
    <row r="80" spans="6:25" s="21" customFormat="1" ht="14.25" x14ac:dyDescent="0.45">
      <c r="F80" s="119">
        <v>43553</v>
      </c>
      <c r="G80" s="52">
        <v>265.44473299999999</v>
      </c>
      <c r="H80" s="52">
        <v>88.614554999999996</v>
      </c>
      <c r="I80" s="120">
        <f t="shared" si="0"/>
        <v>6.3054809643483534E-3</v>
      </c>
      <c r="J80" s="120">
        <f t="shared" si="0"/>
        <v>0</v>
      </c>
      <c r="K80"/>
      <c r="L80"/>
      <c r="N80" s="15"/>
      <c r="O80" s="15"/>
      <c r="P80" s="15"/>
      <c r="Q80" s="15"/>
      <c r="R80" s="15"/>
      <c r="S80" s="15"/>
      <c r="T80" s="15"/>
      <c r="U80" s="15"/>
      <c r="V80" s="15"/>
      <c r="W80" s="15"/>
      <c r="X80" s="15"/>
      <c r="Y80" s="15"/>
    </row>
    <row r="81" spans="6:25" s="21" customFormat="1" ht="14.25" x14ac:dyDescent="0.45">
      <c r="F81" s="119">
        <v>43556</v>
      </c>
      <c r="G81" s="52">
        <v>268.59265099999999</v>
      </c>
      <c r="H81" s="52">
        <v>88.630081000000004</v>
      </c>
      <c r="I81" s="120">
        <f t="shared" si="0"/>
        <v>1.1859033571406385E-2</v>
      </c>
      <c r="J81" s="120">
        <f t="shared" si="0"/>
        <v>1.7520823751815406E-4</v>
      </c>
      <c r="K81"/>
      <c r="L81"/>
      <c r="N81" s="15"/>
      <c r="O81" s="15"/>
      <c r="P81" s="15"/>
      <c r="Q81" s="15"/>
      <c r="R81" s="15"/>
      <c r="S81" s="15"/>
      <c r="T81" s="15"/>
      <c r="U81" s="15"/>
      <c r="V81" s="15"/>
      <c r="W81" s="15"/>
      <c r="X81" s="15"/>
      <c r="Y81" s="15"/>
    </row>
    <row r="82" spans="6:25" s="21" customFormat="1" ht="14.25" x14ac:dyDescent="0.45">
      <c r="F82" s="119">
        <v>43557</v>
      </c>
      <c r="G82" s="52">
        <v>268.724243</v>
      </c>
      <c r="H82" s="52">
        <v>88.620377000000005</v>
      </c>
      <c r="I82" s="120">
        <f t="shared" si="0"/>
        <v>4.8993149853537865E-4</v>
      </c>
      <c r="J82" s="120">
        <f t="shared" si="0"/>
        <v>-1.0948878631844572E-4</v>
      </c>
      <c r="K82"/>
      <c r="L82"/>
      <c r="N82" s="15"/>
      <c r="O82" s="15"/>
      <c r="P82" s="15"/>
      <c r="Q82" s="15"/>
      <c r="R82" s="15"/>
      <c r="S82" s="15"/>
      <c r="T82" s="15"/>
      <c r="U82" s="15"/>
      <c r="V82" s="15"/>
      <c r="W82" s="15"/>
      <c r="X82" s="15"/>
      <c r="Y82" s="15"/>
    </row>
    <row r="83" spans="6:25" s="21" customFormat="1" ht="14.25" x14ac:dyDescent="0.45">
      <c r="F83" s="119">
        <v>43558</v>
      </c>
      <c r="G83" s="52">
        <v>269.14718599999998</v>
      </c>
      <c r="H83" s="52">
        <v>88.630081000000004</v>
      </c>
      <c r="I83" s="120">
        <f t="shared" si="0"/>
        <v>1.5738922371808517E-3</v>
      </c>
      <c r="J83" s="120">
        <f t="shared" si="0"/>
        <v>1.095007754254862E-4</v>
      </c>
      <c r="K83"/>
      <c r="L83"/>
      <c r="N83" s="15"/>
      <c r="O83" s="15"/>
      <c r="P83" s="15"/>
      <c r="Q83" s="15"/>
      <c r="R83" s="15"/>
      <c r="S83" s="15"/>
      <c r="T83" s="15"/>
      <c r="U83" s="15"/>
      <c r="V83" s="15"/>
      <c r="W83" s="15"/>
      <c r="X83" s="15"/>
      <c r="Y83" s="15"/>
    </row>
    <row r="84" spans="6:25" s="21" customFormat="1" ht="14.25" x14ac:dyDescent="0.45">
      <c r="F84" s="119">
        <v>43559</v>
      </c>
      <c r="G84" s="52">
        <v>269.861267</v>
      </c>
      <c r="H84" s="52">
        <v>88.659142000000003</v>
      </c>
      <c r="I84" s="120">
        <f t="shared" si="0"/>
        <v>2.6531245249579172E-3</v>
      </c>
      <c r="J84" s="120">
        <f t="shared" si="0"/>
        <v>3.2789093355334309E-4</v>
      </c>
      <c r="K84"/>
      <c r="L84"/>
      <c r="N84" s="15"/>
      <c r="O84" s="15"/>
      <c r="P84" s="15"/>
      <c r="Q84" s="15"/>
      <c r="R84" s="15"/>
      <c r="S84" s="15"/>
      <c r="T84" s="15"/>
      <c r="U84" s="15"/>
      <c r="V84" s="15"/>
      <c r="W84" s="15"/>
      <c r="X84" s="15"/>
      <c r="Y84" s="15"/>
    </row>
    <row r="85" spans="6:25" s="21" customFormat="1" ht="14.25" x14ac:dyDescent="0.45">
      <c r="F85" s="119">
        <v>43560</v>
      </c>
      <c r="G85" s="52">
        <v>271.16744999999997</v>
      </c>
      <c r="H85" s="52">
        <v>88.659142000000003</v>
      </c>
      <c r="I85" s="120">
        <f t="shared" ref="I85:J148" si="1">G85/G84-1</f>
        <v>4.8402018360047538E-3</v>
      </c>
      <c r="J85" s="120">
        <f t="shared" si="1"/>
        <v>0</v>
      </c>
      <c r="K85"/>
      <c r="L85"/>
      <c r="N85" s="15"/>
      <c r="O85" s="15"/>
      <c r="P85" s="15"/>
      <c r="Q85" s="15"/>
      <c r="R85" s="15"/>
      <c r="S85" s="15"/>
      <c r="T85" s="15"/>
      <c r="U85" s="15"/>
      <c r="V85" s="15"/>
      <c r="W85" s="15"/>
      <c r="X85" s="15"/>
      <c r="Y85" s="15"/>
    </row>
    <row r="86" spans="6:25" s="21" customFormat="1" ht="14.25" x14ac:dyDescent="0.45">
      <c r="F86" s="119">
        <v>43563</v>
      </c>
      <c r="G86" s="52">
        <v>271.374146</v>
      </c>
      <c r="H86" s="52">
        <v>88.659142000000003</v>
      </c>
      <c r="I86" s="120">
        <f t="shared" si="1"/>
        <v>7.6224487857978751E-4</v>
      </c>
      <c r="J86" s="120">
        <f t="shared" si="1"/>
        <v>0</v>
      </c>
      <c r="K86"/>
      <c r="L86"/>
      <c r="N86" s="15"/>
      <c r="O86" s="15"/>
      <c r="P86" s="15"/>
      <c r="Q86" s="15"/>
      <c r="R86" s="15"/>
      <c r="S86" s="15"/>
      <c r="T86" s="15"/>
      <c r="U86" s="15"/>
      <c r="V86" s="15"/>
      <c r="W86" s="15"/>
      <c r="X86" s="15"/>
      <c r="Y86" s="15"/>
    </row>
    <row r="87" spans="6:25" s="21" customFormat="1" ht="14.25" x14ac:dyDescent="0.45">
      <c r="F87" s="119">
        <v>43564</v>
      </c>
      <c r="G87" s="52">
        <v>269.98345899999998</v>
      </c>
      <c r="H87" s="52">
        <v>88.668846000000002</v>
      </c>
      <c r="I87" s="120">
        <f t="shared" si="1"/>
        <v>-5.1246112442856484E-3</v>
      </c>
      <c r="J87" s="120">
        <f t="shared" si="1"/>
        <v>1.0945289770569744E-4</v>
      </c>
      <c r="K87"/>
      <c r="L87"/>
      <c r="N87" s="15"/>
      <c r="O87" s="15"/>
      <c r="P87" s="15"/>
      <c r="Q87" s="15"/>
      <c r="R87" s="15"/>
      <c r="S87" s="15"/>
      <c r="T87" s="15"/>
      <c r="U87" s="15"/>
      <c r="V87" s="15"/>
      <c r="W87" s="15"/>
      <c r="X87" s="15"/>
      <c r="Y87" s="15"/>
    </row>
    <row r="88" spans="6:25" s="21" customFormat="1" ht="14.25" x14ac:dyDescent="0.45">
      <c r="F88" s="119">
        <v>43565</v>
      </c>
      <c r="G88" s="52">
        <v>270.904358</v>
      </c>
      <c r="H88" s="52">
        <v>88.668846000000002</v>
      </c>
      <c r="I88" s="120">
        <f t="shared" si="1"/>
        <v>3.4109460016957804E-3</v>
      </c>
      <c r="J88" s="120">
        <f t="shared" si="1"/>
        <v>0</v>
      </c>
      <c r="K88"/>
      <c r="L88"/>
      <c r="N88" s="15"/>
      <c r="O88" s="15"/>
      <c r="P88" s="15"/>
      <c r="Q88" s="15"/>
      <c r="R88" s="15"/>
      <c r="S88" s="15"/>
      <c r="T88" s="15"/>
      <c r="U88" s="15"/>
      <c r="V88" s="15"/>
      <c r="W88" s="15"/>
      <c r="X88" s="15"/>
      <c r="Y88" s="15"/>
    </row>
    <row r="89" spans="6:25" s="21" customFormat="1" ht="14.25" x14ac:dyDescent="0.45">
      <c r="F89" s="119">
        <v>43566</v>
      </c>
      <c r="G89" s="52">
        <v>270.82913200000002</v>
      </c>
      <c r="H89" s="52">
        <v>88.697906000000003</v>
      </c>
      <c r="I89" s="120">
        <f t="shared" si="1"/>
        <v>-2.7768471705424957E-4</v>
      </c>
      <c r="J89" s="120">
        <f t="shared" si="1"/>
        <v>3.2773630548876831E-4</v>
      </c>
      <c r="K89"/>
      <c r="L89"/>
      <c r="N89" s="15"/>
      <c r="O89" s="15"/>
      <c r="P89" s="15"/>
      <c r="Q89" s="15"/>
      <c r="R89" s="15"/>
      <c r="S89" s="15"/>
      <c r="T89" s="15"/>
      <c r="U89" s="15"/>
      <c r="V89" s="15"/>
      <c r="W89" s="15"/>
      <c r="X89" s="15"/>
      <c r="Y89" s="15"/>
    </row>
    <row r="90" spans="6:25" s="21" customFormat="1" ht="14.25" x14ac:dyDescent="0.45">
      <c r="F90" s="119">
        <v>43567</v>
      </c>
      <c r="G90" s="52">
        <v>272.66162100000003</v>
      </c>
      <c r="H90" s="52">
        <v>88.697906000000003</v>
      </c>
      <c r="I90" s="120">
        <f t="shared" si="1"/>
        <v>6.7662181925096654E-3</v>
      </c>
      <c r="J90" s="120">
        <f t="shared" si="1"/>
        <v>0</v>
      </c>
      <c r="K90"/>
      <c r="L90"/>
      <c r="N90" s="15"/>
      <c r="O90" s="15"/>
      <c r="P90" s="15"/>
      <c r="Q90" s="15"/>
      <c r="R90" s="15"/>
      <c r="S90" s="15"/>
      <c r="T90" s="15"/>
      <c r="U90" s="15"/>
      <c r="V90" s="15"/>
      <c r="W90" s="15"/>
      <c r="X90" s="15"/>
      <c r="Y90" s="15"/>
    </row>
    <row r="91" spans="6:25" s="21" customFormat="1" ht="14.25" x14ac:dyDescent="0.45">
      <c r="F91" s="119">
        <v>43570</v>
      </c>
      <c r="G91" s="52">
        <v>272.48303199999998</v>
      </c>
      <c r="H91" s="52">
        <v>88.707611</v>
      </c>
      <c r="I91" s="120">
        <f t="shared" si="1"/>
        <v>-6.5498400304764282E-4</v>
      </c>
      <c r="J91" s="120">
        <f t="shared" si="1"/>
        <v>1.0941633729211198E-4</v>
      </c>
      <c r="K91"/>
      <c r="L91"/>
      <c r="N91" s="15"/>
      <c r="O91" s="15"/>
      <c r="P91" s="15"/>
      <c r="Q91" s="15"/>
      <c r="R91" s="15"/>
      <c r="S91" s="15"/>
      <c r="T91" s="15"/>
      <c r="U91" s="15"/>
      <c r="V91" s="15"/>
      <c r="W91" s="15"/>
      <c r="X91" s="15"/>
      <c r="Y91" s="15"/>
    </row>
    <row r="92" spans="6:25" s="21" customFormat="1" ht="14.25" x14ac:dyDescent="0.45">
      <c r="F92" s="119">
        <v>43571</v>
      </c>
      <c r="G92" s="52">
        <v>272.66162100000003</v>
      </c>
      <c r="H92" s="52">
        <v>88.707611</v>
      </c>
      <c r="I92" s="120">
        <f t="shared" si="1"/>
        <v>6.554132882667929E-4</v>
      </c>
      <c r="J92" s="120">
        <f t="shared" si="1"/>
        <v>0</v>
      </c>
      <c r="K92"/>
      <c r="L92"/>
      <c r="N92" s="15"/>
      <c r="O92" s="15"/>
      <c r="P92" s="15"/>
      <c r="Q92" s="15"/>
      <c r="R92" s="15"/>
      <c r="S92" s="15"/>
      <c r="T92" s="15"/>
      <c r="U92" s="15"/>
      <c r="V92" s="15"/>
      <c r="W92" s="15"/>
      <c r="X92" s="15"/>
      <c r="Y92" s="15"/>
    </row>
    <row r="93" spans="6:25" s="21" customFormat="1" ht="14.25" x14ac:dyDescent="0.45">
      <c r="F93" s="119">
        <v>43572</v>
      </c>
      <c r="G93" s="52">
        <v>271.99438500000002</v>
      </c>
      <c r="H93" s="52">
        <v>88.726982000000007</v>
      </c>
      <c r="I93" s="120">
        <f t="shared" si="1"/>
        <v>-2.4471210783273412E-3</v>
      </c>
      <c r="J93" s="120">
        <f t="shared" si="1"/>
        <v>2.1836908672923094E-4</v>
      </c>
      <c r="K93"/>
      <c r="L93"/>
      <c r="N93" s="15"/>
      <c r="O93" s="15"/>
      <c r="P93" s="15"/>
      <c r="Q93" s="15"/>
      <c r="R93" s="15"/>
      <c r="S93" s="15"/>
      <c r="T93" s="15"/>
      <c r="U93" s="15"/>
      <c r="V93" s="15"/>
      <c r="W93" s="15"/>
      <c r="X93" s="15"/>
      <c r="Y93" s="15"/>
    </row>
    <row r="94" spans="6:25" s="21" customFormat="1" ht="14.25" x14ac:dyDescent="0.45">
      <c r="F94" s="119">
        <v>43573</v>
      </c>
      <c r="G94" s="52">
        <v>272.529968</v>
      </c>
      <c r="H94" s="52">
        <v>88.736716999999999</v>
      </c>
      <c r="I94" s="120">
        <f t="shared" si="1"/>
        <v>1.969095795856024E-3</v>
      </c>
      <c r="J94" s="120">
        <f t="shared" si="1"/>
        <v>1.0971859721320421E-4</v>
      </c>
      <c r="K94"/>
      <c r="L94"/>
      <c r="N94" s="15"/>
      <c r="O94" s="15"/>
      <c r="P94" s="15"/>
      <c r="Q94" s="15"/>
      <c r="R94" s="15"/>
      <c r="S94" s="15"/>
      <c r="T94" s="15"/>
      <c r="U94" s="15"/>
      <c r="V94" s="15"/>
      <c r="W94" s="15"/>
      <c r="X94" s="15"/>
      <c r="Y94" s="15"/>
    </row>
    <row r="95" spans="6:25" s="21" customFormat="1" ht="14.25" x14ac:dyDescent="0.45">
      <c r="F95" s="119">
        <v>43577</v>
      </c>
      <c r="G95" s="52">
        <v>272.76492300000001</v>
      </c>
      <c r="H95" s="52">
        <v>88.736716999999999</v>
      </c>
      <c r="I95" s="120">
        <f t="shared" si="1"/>
        <v>8.6212537184171545E-4</v>
      </c>
      <c r="J95" s="120">
        <f t="shared" si="1"/>
        <v>0</v>
      </c>
      <c r="K95"/>
      <c r="L95"/>
      <c r="N95" s="15"/>
      <c r="O95" s="15"/>
      <c r="P95" s="15"/>
      <c r="Q95" s="15"/>
      <c r="R95" s="15"/>
      <c r="S95" s="15"/>
      <c r="T95" s="15"/>
      <c r="U95" s="15"/>
      <c r="V95" s="15"/>
      <c r="W95" s="15"/>
      <c r="X95" s="15"/>
      <c r="Y95" s="15"/>
    </row>
    <row r="96" spans="6:25" s="21" customFormat="1" ht="14.25" x14ac:dyDescent="0.45">
      <c r="F96" s="119">
        <v>43578</v>
      </c>
      <c r="G96" s="52">
        <v>275.21755999999999</v>
      </c>
      <c r="H96" s="52">
        <v>88.736716999999999</v>
      </c>
      <c r="I96" s="120">
        <f t="shared" si="1"/>
        <v>8.9917610117338231E-3</v>
      </c>
      <c r="J96" s="120">
        <f t="shared" si="1"/>
        <v>0</v>
      </c>
      <c r="K96"/>
      <c r="L96"/>
      <c r="N96" s="15"/>
      <c r="O96" s="15"/>
      <c r="P96" s="15"/>
      <c r="Q96" s="15"/>
      <c r="R96" s="15"/>
      <c r="S96" s="15"/>
      <c r="T96" s="15"/>
      <c r="U96" s="15"/>
      <c r="V96" s="15"/>
      <c r="W96" s="15"/>
      <c r="X96" s="15"/>
      <c r="Y96" s="15"/>
    </row>
    <row r="97" spans="6:25" s="21" customFormat="1" ht="14.25" x14ac:dyDescent="0.45">
      <c r="F97" s="119">
        <v>43579</v>
      </c>
      <c r="G97" s="52">
        <v>274.60674999999998</v>
      </c>
      <c r="H97" s="52">
        <v>88.756073000000001</v>
      </c>
      <c r="I97" s="120">
        <f t="shared" si="1"/>
        <v>-2.2193714674311193E-3</v>
      </c>
      <c r="J97" s="120">
        <f t="shared" si="1"/>
        <v>2.1812842140644939E-4</v>
      </c>
      <c r="K97"/>
      <c r="L97"/>
      <c r="N97" s="15"/>
      <c r="O97" s="15"/>
      <c r="P97" s="15"/>
      <c r="Q97" s="15"/>
      <c r="R97" s="15"/>
      <c r="S97" s="15"/>
      <c r="T97" s="15"/>
      <c r="U97" s="15"/>
      <c r="V97" s="15"/>
      <c r="W97" s="15"/>
      <c r="X97" s="15"/>
      <c r="Y97" s="15"/>
    </row>
    <row r="98" spans="6:25" s="21" customFormat="1" ht="14.25" x14ac:dyDescent="0.45">
      <c r="F98" s="119">
        <v>43580</v>
      </c>
      <c r="G98" s="52">
        <v>274.43753099999998</v>
      </c>
      <c r="H98" s="52">
        <v>88.775435999999999</v>
      </c>
      <c r="I98" s="120">
        <f t="shared" si="1"/>
        <v>-6.1622301709629568E-4</v>
      </c>
      <c r="J98" s="120">
        <f t="shared" si="1"/>
        <v>2.181597196171392E-4</v>
      </c>
      <c r="K98"/>
      <c r="L98"/>
      <c r="N98" s="15"/>
      <c r="O98" s="15"/>
      <c r="P98" s="15"/>
      <c r="Q98" s="15"/>
      <c r="R98" s="15"/>
      <c r="S98" s="15"/>
      <c r="T98" s="15"/>
      <c r="U98" s="15"/>
      <c r="V98" s="15"/>
      <c r="W98" s="15"/>
      <c r="X98" s="15"/>
      <c r="Y98" s="15"/>
    </row>
    <row r="99" spans="6:25" s="21" customFormat="1" ht="14.25" x14ac:dyDescent="0.45">
      <c r="F99" s="119">
        <v>43581</v>
      </c>
      <c r="G99" s="52">
        <v>275.71554600000002</v>
      </c>
      <c r="H99" s="52">
        <v>88.765761999999995</v>
      </c>
      <c r="I99" s="120">
        <f t="shared" si="1"/>
        <v>4.6568521271241892E-3</v>
      </c>
      <c r="J99" s="120">
        <f t="shared" si="1"/>
        <v>-1.0897158533818008E-4</v>
      </c>
      <c r="K99"/>
      <c r="L99"/>
      <c r="N99" s="15"/>
      <c r="O99" s="15"/>
      <c r="P99" s="15"/>
      <c r="Q99" s="15"/>
      <c r="R99" s="15"/>
      <c r="S99" s="15"/>
      <c r="T99" s="15"/>
      <c r="U99" s="15"/>
      <c r="V99" s="15"/>
      <c r="W99" s="15"/>
      <c r="X99" s="15"/>
      <c r="Y99" s="15"/>
    </row>
    <row r="100" spans="6:25" s="21" customFormat="1" ht="14.25" x14ac:dyDescent="0.45">
      <c r="F100" s="119">
        <v>43584</v>
      </c>
      <c r="G100" s="52">
        <v>276.14782700000001</v>
      </c>
      <c r="H100" s="52">
        <v>88.775435999999999</v>
      </c>
      <c r="I100" s="120">
        <f t="shared" si="1"/>
        <v>1.5678513825985174E-3</v>
      </c>
      <c r="J100" s="120">
        <f t="shared" si="1"/>
        <v>1.089834614387275E-4</v>
      </c>
      <c r="K100"/>
      <c r="L100"/>
      <c r="N100" s="15"/>
      <c r="O100" s="15"/>
      <c r="P100" s="15"/>
      <c r="Q100" s="15"/>
      <c r="R100" s="15"/>
      <c r="S100" s="15"/>
      <c r="T100" s="15"/>
      <c r="U100" s="15"/>
      <c r="V100" s="15"/>
      <c r="W100" s="15"/>
      <c r="X100" s="15"/>
      <c r="Y100" s="15"/>
    </row>
    <row r="101" spans="6:25" s="21" customFormat="1" ht="14.25" x14ac:dyDescent="0.45">
      <c r="F101" s="119">
        <v>43585</v>
      </c>
      <c r="G101" s="52">
        <v>276.28872699999999</v>
      </c>
      <c r="H101" s="52">
        <v>88.785149000000004</v>
      </c>
      <c r="I101" s="120">
        <f t="shared" si="1"/>
        <v>5.1023396247829034E-4</v>
      </c>
      <c r="J101" s="120">
        <f t="shared" si="1"/>
        <v>1.0941089605021048E-4</v>
      </c>
      <c r="K101"/>
      <c r="L101"/>
      <c r="N101" s="15"/>
      <c r="O101" s="15"/>
      <c r="P101" s="15"/>
      <c r="Q101" s="15"/>
      <c r="R101" s="15"/>
      <c r="S101" s="15"/>
      <c r="T101" s="15"/>
      <c r="U101" s="15"/>
      <c r="V101" s="15"/>
      <c r="W101" s="15"/>
      <c r="X101" s="15"/>
      <c r="Y101" s="15"/>
    </row>
    <row r="102" spans="6:25" s="21" customFormat="1" ht="14.25" x14ac:dyDescent="0.45">
      <c r="F102" s="119">
        <v>43586</v>
      </c>
      <c r="G102" s="52">
        <v>274.21206699999999</v>
      </c>
      <c r="H102" s="52">
        <v>88.789023999999998</v>
      </c>
      <c r="I102" s="120">
        <f t="shared" si="1"/>
        <v>-7.5162675746810459E-3</v>
      </c>
      <c r="J102" s="120">
        <f t="shared" si="1"/>
        <v>4.3644686567922975E-5</v>
      </c>
      <c r="K102"/>
      <c r="L102"/>
      <c r="N102" s="15"/>
      <c r="O102" s="15"/>
      <c r="P102" s="15"/>
      <c r="Q102" s="15"/>
      <c r="R102" s="15"/>
      <c r="S102" s="15"/>
      <c r="T102" s="15"/>
      <c r="U102" s="15"/>
      <c r="V102" s="15"/>
      <c r="W102" s="15"/>
      <c r="X102" s="15"/>
      <c r="Y102" s="15"/>
    </row>
    <row r="103" spans="6:25" s="21" customFormat="1" ht="14.25" x14ac:dyDescent="0.45">
      <c r="F103" s="119">
        <v>43587</v>
      </c>
      <c r="G103" s="52">
        <v>273.620026</v>
      </c>
      <c r="H103" s="52">
        <v>88.798766999999998</v>
      </c>
      <c r="I103" s="120">
        <f t="shared" si="1"/>
        <v>-2.1590625331597835E-3</v>
      </c>
      <c r="J103" s="120">
        <f t="shared" si="1"/>
        <v>1.0973203174291513E-4</v>
      </c>
      <c r="K103"/>
      <c r="L103"/>
      <c r="N103" s="15"/>
      <c r="O103" s="15"/>
      <c r="P103" s="15"/>
      <c r="Q103" s="15"/>
      <c r="R103" s="15"/>
      <c r="S103" s="15"/>
      <c r="T103" s="15"/>
      <c r="U103" s="15"/>
      <c r="V103" s="15"/>
      <c r="W103" s="15"/>
      <c r="X103" s="15"/>
      <c r="Y103" s="15"/>
    </row>
    <row r="104" spans="6:25" s="21" customFormat="1" ht="14.25" x14ac:dyDescent="0.45">
      <c r="F104" s="119">
        <v>43588</v>
      </c>
      <c r="G104" s="52">
        <v>276.29818699999998</v>
      </c>
      <c r="H104" s="52">
        <v>88.808456000000007</v>
      </c>
      <c r="I104" s="120">
        <f t="shared" si="1"/>
        <v>9.7878837274871788E-3</v>
      </c>
      <c r="J104" s="120">
        <f t="shared" si="1"/>
        <v>1.0911187539353051E-4</v>
      </c>
      <c r="K104"/>
      <c r="L104"/>
      <c r="N104" s="15"/>
      <c r="O104" s="15"/>
      <c r="P104" s="15"/>
      <c r="Q104" s="15"/>
      <c r="R104" s="15"/>
      <c r="S104" s="15"/>
      <c r="T104" s="15"/>
      <c r="U104" s="15"/>
      <c r="V104" s="15"/>
      <c r="W104" s="15"/>
      <c r="X104" s="15"/>
      <c r="Y104" s="15"/>
    </row>
    <row r="105" spans="6:25" s="21" customFormat="1" ht="14.25" x14ac:dyDescent="0.45">
      <c r="F105" s="119">
        <v>43591</v>
      </c>
      <c r="G105" s="52">
        <v>275.16110200000003</v>
      </c>
      <c r="H105" s="52">
        <v>88.818152999999995</v>
      </c>
      <c r="I105" s="120">
        <f t="shared" si="1"/>
        <v>-4.1154269318457448E-3</v>
      </c>
      <c r="J105" s="120">
        <f t="shared" si="1"/>
        <v>1.0919005280296545E-4</v>
      </c>
      <c r="K105"/>
      <c r="L105"/>
      <c r="N105" s="15"/>
      <c r="O105" s="15"/>
      <c r="P105" s="15"/>
      <c r="Q105" s="15"/>
      <c r="R105" s="15"/>
      <c r="S105" s="15"/>
      <c r="T105" s="15"/>
      <c r="U105" s="15"/>
      <c r="V105" s="15"/>
      <c r="W105" s="15"/>
      <c r="X105" s="15"/>
      <c r="Y105" s="15"/>
    </row>
    <row r="106" spans="6:25" s="21" customFormat="1" ht="14.25" x14ac:dyDescent="0.45">
      <c r="F106" s="119">
        <v>43592</v>
      </c>
      <c r="G106" s="52">
        <v>270.56607100000002</v>
      </c>
      <c r="H106" s="52">
        <v>88.827866</v>
      </c>
      <c r="I106" s="120">
        <f t="shared" si="1"/>
        <v>-1.6699420690646893E-2</v>
      </c>
      <c r="J106" s="120">
        <f t="shared" si="1"/>
        <v>1.0935827499136686E-4</v>
      </c>
      <c r="K106"/>
      <c r="L106"/>
      <c r="N106" s="15"/>
      <c r="O106" s="15"/>
      <c r="P106" s="15"/>
      <c r="Q106" s="15"/>
      <c r="R106" s="15"/>
      <c r="S106" s="15"/>
      <c r="T106" s="15"/>
      <c r="U106" s="15"/>
      <c r="V106" s="15"/>
      <c r="W106" s="15"/>
      <c r="X106" s="15"/>
      <c r="Y106" s="15"/>
    </row>
    <row r="107" spans="6:25" s="21" customFormat="1" ht="14.25" x14ac:dyDescent="0.45">
      <c r="F107" s="119">
        <v>43593</v>
      </c>
      <c r="G107" s="52">
        <v>270.190155</v>
      </c>
      <c r="H107" s="52">
        <v>88.827866</v>
      </c>
      <c r="I107" s="120">
        <f t="shared" si="1"/>
        <v>-1.3893685879040607E-3</v>
      </c>
      <c r="J107" s="120">
        <f t="shared" si="1"/>
        <v>0</v>
      </c>
      <c r="K107"/>
      <c r="L107"/>
      <c r="N107" s="15"/>
      <c r="O107" s="15"/>
      <c r="P107" s="15"/>
      <c r="Q107" s="15"/>
      <c r="R107" s="15"/>
      <c r="S107" s="15"/>
      <c r="T107" s="15"/>
      <c r="U107" s="15"/>
      <c r="V107" s="15"/>
      <c r="W107" s="15"/>
      <c r="X107" s="15"/>
      <c r="Y107" s="15"/>
    </row>
    <row r="108" spans="6:25" s="21" customFormat="1" ht="14.25" x14ac:dyDescent="0.45">
      <c r="F108" s="119">
        <v>43594</v>
      </c>
      <c r="G108" s="52">
        <v>269.372589</v>
      </c>
      <c r="H108" s="52">
        <v>88.837585000000004</v>
      </c>
      <c r="I108" s="120">
        <f t="shared" si="1"/>
        <v>-3.0258911543242784E-3</v>
      </c>
      <c r="J108" s="120">
        <f t="shared" si="1"/>
        <v>1.094138634378794E-4</v>
      </c>
      <c r="K108"/>
      <c r="L108"/>
      <c r="N108" s="15"/>
      <c r="O108" s="15"/>
      <c r="P108" s="15"/>
      <c r="Q108" s="15"/>
      <c r="R108" s="15"/>
      <c r="S108" s="15"/>
      <c r="T108" s="15"/>
      <c r="U108" s="15"/>
      <c r="V108" s="15"/>
      <c r="W108" s="15"/>
      <c r="X108" s="15"/>
      <c r="Y108" s="15"/>
    </row>
    <row r="109" spans="6:25" s="21" customFormat="1" ht="14.25" x14ac:dyDescent="0.45">
      <c r="F109" s="119">
        <v>43595</v>
      </c>
      <c r="G109" s="52">
        <v>270.72582999999997</v>
      </c>
      <c r="H109" s="52">
        <v>88.857017999999997</v>
      </c>
      <c r="I109" s="120">
        <f t="shared" si="1"/>
        <v>5.0236774462599776E-3</v>
      </c>
      <c r="J109" s="120">
        <f t="shared" si="1"/>
        <v>2.187475042234599E-4</v>
      </c>
      <c r="K109"/>
      <c r="L109"/>
      <c r="N109" s="15"/>
      <c r="O109" s="15"/>
      <c r="P109" s="15"/>
      <c r="Q109" s="15"/>
      <c r="R109" s="15"/>
      <c r="S109" s="15"/>
      <c r="T109" s="15"/>
      <c r="U109" s="15"/>
      <c r="V109" s="15"/>
      <c r="W109" s="15"/>
      <c r="X109" s="15"/>
      <c r="Y109" s="15"/>
    </row>
    <row r="110" spans="6:25" s="21" customFormat="1" ht="14.25" x14ac:dyDescent="0.45">
      <c r="F110" s="119">
        <v>43598</v>
      </c>
      <c r="G110" s="52">
        <v>263.92233299999998</v>
      </c>
      <c r="H110" s="52">
        <v>88.847282000000007</v>
      </c>
      <c r="I110" s="120">
        <f t="shared" si="1"/>
        <v>-2.5130579523941265E-2</v>
      </c>
      <c r="J110" s="120">
        <f t="shared" si="1"/>
        <v>-1.0956928579342051E-4</v>
      </c>
      <c r="K110"/>
      <c r="L110"/>
      <c r="N110" s="15"/>
      <c r="O110" s="15"/>
      <c r="P110" s="15"/>
      <c r="Q110" s="15"/>
      <c r="R110" s="15"/>
      <c r="S110" s="15"/>
      <c r="T110" s="15"/>
      <c r="U110" s="15"/>
      <c r="V110" s="15"/>
      <c r="W110" s="15"/>
      <c r="X110" s="15"/>
      <c r="Y110" s="15"/>
    </row>
    <row r="111" spans="6:25" s="21" customFormat="1" ht="14.25" x14ac:dyDescent="0.45">
      <c r="F111" s="119">
        <v>43599</v>
      </c>
      <c r="G111" s="52">
        <v>266.309235</v>
      </c>
      <c r="H111" s="52">
        <v>88.857017999999997</v>
      </c>
      <c r="I111" s="120">
        <f t="shared" si="1"/>
        <v>9.0439561247741551E-3</v>
      </c>
      <c r="J111" s="120">
        <f t="shared" si="1"/>
        <v>1.0958129253735294E-4</v>
      </c>
      <c r="K111"/>
      <c r="L111"/>
      <c r="N111" s="15"/>
      <c r="O111" s="15"/>
      <c r="P111" s="15"/>
      <c r="Q111" s="15"/>
      <c r="R111" s="15"/>
      <c r="S111" s="15"/>
      <c r="T111" s="15"/>
      <c r="U111" s="15"/>
      <c r="V111" s="15"/>
      <c r="W111" s="15"/>
      <c r="X111" s="15"/>
      <c r="Y111" s="15"/>
    </row>
    <row r="112" spans="6:25" s="21" customFormat="1" ht="14.25" x14ac:dyDescent="0.45">
      <c r="F112" s="119">
        <v>43600</v>
      </c>
      <c r="G112" s="52">
        <v>267.86910999999998</v>
      </c>
      <c r="H112" s="52">
        <v>88.866721999999996</v>
      </c>
      <c r="I112" s="120">
        <f t="shared" si="1"/>
        <v>5.8573823021945692E-3</v>
      </c>
      <c r="J112" s="120">
        <f t="shared" si="1"/>
        <v>1.0920915667012032E-4</v>
      </c>
      <c r="K112"/>
      <c r="L112"/>
      <c r="N112" s="15"/>
      <c r="O112" s="15"/>
      <c r="P112" s="15"/>
      <c r="Q112" s="15"/>
      <c r="R112" s="15"/>
      <c r="S112" s="15"/>
      <c r="T112" s="15"/>
      <c r="U112" s="15"/>
      <c r="V112" s="15"/>
      <c r="W112" s="15"/>
      <c r="X112" s="15"/>
      <c r="Y112" s="15"/>
    </row>
    <row r="113" spans="6:25" s="21" customFormat="1" ht="14.25" x14ac:dyDescent="0.45">
      <c r="F113" s="119">
        <v>43601</v>
      </c>
      <c r="G113" s="52">
        <v>270.34988399999997</v>
      </c>
      <c r="H113" s="52">
        <v>88.876434000000003</v>
      </c>
      <c r="I113" s="120">
        <f t="shared" si="1"/>
        <v>9.2611425035160622E-3</v>
      </c>
      <c r="J113" s="120">
        <f t="shared" si="1"/>
        <v>1.0928725378223092E-4</v>
      </c>
      <c r="K113"/>
      <c r="L113"/>
      <c r="N113" s="15"/>
      <c r="O113" s="15"/>
      <c r="P113" s="15"/>
      <c r="Q113" s="15"/>
      <c r="R113" s="15"/>
      <c r="S113" s="15"/>
      <c r="T113" s="15"/>
      <c r="U113" s="15"/>
      <c r="V113" s="15"/>
      <c r="W113" s="15"/>
      <c r="X113" s="15"/>
      <c r="Y113" s="15"/>
    </row>
    <row r="114" spans="6:25" s="21" customFormat="1" ht="14.25" x14ac:dyDescent="0.45">
      <c r="F114" s="119">
        <v>43602</v>
      </c>
      <c r="G114" s="52">
        <v>268.602081</v>
      </c>
      <c r="H114" s="52">
        <v>88.886168999999995</v>
      </c>
      <c r="I114" s="120">
        <f t="shared" si="1"/>
        <v>-6.4649667095842966E-3</v>
      </c>
      <c r="J114" s="120">
        <f t="shared" si="1"/>
        <v>1.0953409764380417E-4</v>
      </c>
      <c r="K114"/>
      <c r="L114"/>
      <c r="N114" s="15"/>
      <c r="O114" s="15"/>
      <c r="P114" s="15"/>
      <c r="Q114" s="15"/>
      <c r="R114" s="15"/>
      <c r="S114" s="15"/>
      <c r="T114" s="15"/>
      <c r="U114" s="15"/>
      <c r="V114" s="15"/>
      <c r="W114" s="15"/>
      <c r="X114" s="15"/>
      <c r="Y114" s="15"/>
    </row>
    <row r="115" spans="6:25" s="21" customFormat="1" ht="14.25" x14ac:dyDescent="0.45">
      <c r="F115" s="119">
        <v>43605</v>
      </c>
      <c r="G115" s="52">
        <v>266.82607999999999</v>
      </c>
      <c r="H115" s="52">
        <v>88.895843999999997</v>
      </c>
      <c r="I115" s="120">
        <f t="shared" si="1"/>
        <v>-6.6120150424300306E-3</v>
      </c>
      <c r="J115" s="120">
        <f t="shared" si="1"/>
        <v>1.0884708058456205E-4</v>
      </c>
      <c r="K115"/>
      <c r="L115"/>
      <c r="N115" s="15"/>
      <c r="O115" s="15"/>
      <c r="P115" s="15"/>
      <c r="Q115" s="15"/>
      <c r="R115" s="15"/>
      <c r="S115" s="15"/>
      <c r="T115" s="15"/>
      <c r="U115" s="15"/>
      <c r="V115" s="15"/>
      <c r="W115" s="15"/>
      <c r="X115" s="15"/>
      <c r="Y115" s="15"/>
    </row>
    <row r="116" spans="6:25" s="21" customFormat="1" ht="14.25" x14ac:dyDescent="0.45">
      <c r="F116" s="119">
        <v>43606</v>
      </c>
      <c r="G116" s="52">
        <v>269.23172</v>
      </c>
      <c r="H116" s="52">
        <v>88.895843999999997</v>
      </c>
      <c r="I116" s="120">
        <f t="shared" si="1"/>
        <v>9.0157603784457585E-3</v>
      </c>
      <c r="J116" s="120">
        <f t="shared" si="1"/>
        <v>0</v>
      </c>
      <c r="K116"/>
      <c r="L116"/>
      <c r="N116" s="15"/>
      <c r="O116" s="15"/>
      <c r="P116" s="15"/>
      <c r="Q116" s="15"/>
      <c r="R116" s="15"/>
      <c r="S116" s="15"/>
      <c r="T116" s="15"/>
      <c r="U116" s="15"/>
      <c r="V116" s="15"/>
      <c r="W116" s="15"/>
      <c r="X116" s="15"/>
      <c r="Y116" s="15"/>
    </row>
    <row r="117" spans="6:25" s="21" customFormat="1" ht="14.25" x14ac:dyDescent="0.45">
      <c r="F117" s="119">
        <v>43607</v>
      </c>
      <c r="G117" s="52">
        <v>268.404785</v>
      </c>
      <c r="H117" s="52">
        <v>88.915276000000006</v>
      </c>
      <c r="I117" s="120">
        <f t="shared" si="1"/>
        <v>-3.0714620104941304E-3</v>
      </c>
      <c r="J117" s="120">
        <f t="shared" si="1"/>
        <v>2.185928961988548E-4</v>
      </c>
      <c r="K117"/>
      <c r="L117"/>
      <c r="N117" s="15"/>
      <c r="O117" s="15"/>
      <c r="P117" s="15"/>
      <c r="Q117" s="15"/>
      <c r="R117" s="15"/>
      <c r="S117" s="15"/>
      <c r="T117" s="15"/>
      <c r="U117" s="15"/>
      <c r="V117" s="15"/>
      <c r="W117" s="15"/>
      <c r="X117" s="15"/>
      <c r="Y117" s="15"/>
    </row>
    <row r="118" spans="6:25" s="21" customFormat="1" ht="14.25" x14ac:dyDescent="0.45">
      <c r="F118" s="119">
        <v>43608</v>
      </c>
      <c r="G118" s="52">
        <v>265.12527499999999</v>
      </c>
      <c r="H118" s="52">
        <v>88.934700000000007</v>
      </c>
      <c r="I118" s="120">
        <f t="shared" si="1"/>
        <v>-1.221852285532099E-2</v>
      </c>
      <c r="J118" s="120">
        <f t="shared" si="1"/>
        <v>2.1845515049623287E-4</v>
      </c>
      <c r="K118"/>
      <c r="L118"/>
      <c r="N118" s="15"/>
      <c r="O118" s="15"/>
      <c r="P118" s="15"/>
      <c r="Q118" s="15"/>
      <c r="R118" s="15"/>
      <c r="S118" s="15"/>
      <c r="T118" s="15"/>
      <c r="U118" s="15"/>
      <c r="V118" s="15"/>
      <c r="W118" s="15"/>
      <c r="X118" s="15"/>
      <c r="Y118" s="15"/>
    </row>
    <row r="119" spans="6:25" s="21" customFormat="1" ht="14.25" x14ac:dyDescent="0.45">
      <c r="F119" s="119">
        <v>43609</v>
      </c>
      <c r="G119" s="52">
        <v>265.726563</v>
      </c>
      <c r="H119" s="52">
        <v>88.934700000000007</v>
      </c>
      <c r="I119" s="120">
        <f t="shared" si="1"/>
        <v>2.2679391845987773E-3</v>
      </c>
      <c r="J119" s="120">
        <f t="shared" si="1"/>
        <v>0</v>
      </c>
      <c r="K119"/>
      <c r="L119"/>
      <c r="N119" s="15"/>
      <c r="O119" s="15"/>
      <c r="P119" s="15"/>
      <c r="Q119" s="15"/>
      <c r="R119" s="15"/>
      <c r="S119" s="15"/>
      <c r="T119" s="15"/>
      <c r="U119" s="15"/>
      <c r="V119" s="15"/>
      <c r="W119" s="15"/>
      <c r="X119" s="15"/>
      <c r="Y119" s="15"/>
    </row>
    <row r="120" spans="6:25" s="21" customFormat="1" ht="14.25" x14ac:dyDescent="0.45">
      <c r="F120" s="119">
        <v>43613</v>
      </c>
      <c r="G120" s="52">
        <v>263.25521900000001</v>
      </c>
      <c r="H120" s="52">
        <v>88.944382000000004</v>
      </c>
      <c r="I120" s="120">
        <f t="shared" si="1"/>
        <v>-9.3003272691258854E-3</v>
      </c>
      <c r="J120" s="120">
        <f t="shared" si="1"/>
        <v>1.0886639298268719E-4</v>
      </c>
      <c r="K120"/>
      <c r="L120"/>
      <c r="N120" s="15"/>
      <c r="O120" s="15"/>
      <c r="P120" s="15"/>
      <c r="Q120" s="15"/>
      <c r="R120" s="15"/>
      <c r="S120" s="15"/>
      <c r="T120" s="15"/>
      <c r="U120" s="15"/>
      <c r="V120" s="15"/>
      <c r="W120" s="15"/>
      <c r="X120" s="15"/>
      <c r="Y120" s="15"/>
    </row>
    <row r="121" spans="6:25" s="21" customFormat="1" ht="14.25" x14ac:dyDescent="0.45">
      <c r="F121" s="119">
        <v>43614</v>
      </c>
      <c r="G121" s="52">
        <v>261.488586</v>
      </c>
      <c r="H121" s="52">
        <v>88.944382000000004</v>
      </c>
      <c r="I121" s="120">
        <f t="shared" si="1"/>
        <v>-6.7107235583429015E-3</v>
      </c>
      <c r="J121" s="120">
        <f t="shared" si="1"/>
        <v>0</v>
      </c>
      <c r="K121"/>
      <c r="L121"/>
      <c r="N121" s="15"/>
      <c r="O121" s="15"/>
      <c r="P121" s="15"/>
      <c r="Q121" s="15"/>
      <c r="R121" s="15"/>
      <c r="S121" s="15"/>
      <c r="T121" s="15"/>
      <c r="U121" s="15"/>
      <c r="V121" s="15"/>
      <c r="W121" s="15"/>
      <c r="X121" s="15"/>
      <c r="Y121" s="15"/>
    </row>
    <row r="122" spans="6:25" s="21" customFormat="1" ht="14.25" x14ac:dyDescent="0.45">
      <c r="F122" s="119">
        <v>43615</v>
      </c>
      <c r="G122" s="52">
        <v>262.20281999999997</v>
      </c>
      <c r="H122" s="52">
        <v>88.973549000000006</v>
      </c>
      <c r="I122" s="120">
        <f t="shared" si="1"/>
        <v>2.7314155884416991E-3</v>
      </c>
      <c r="J122" s="120">
        <f t="shared" si="1"/>
        <v>3.279240278493134E-4</v>
      </c>
      <c r="K122"/>
      <c r="L122"/>
      <c r="N122" s="15"/>
      <c r="O122" s="15"/>
      <c r="P122" s="15"/>
      <c r="Q122" s="15"/>
      <c r="R122" s="15"/>
      <c r="S122" s="15"/>
      <c r="T122" s="15"/>
      <c r="U122" s="15"/>
      <c r="V122" s="15"/>
      <c r="W122" s="15"/>
      <c r="X122" s="15"/>
      <c r="Y122" s="15"/>
    </row>
    <row r="123" spans="6:25" s="21" customFormat="1" ht="14.25" x14ac:dyDescent="0.45">
      <c r="F123" s="119">
        <v>43616</v>
      </c>
      <c r="G123" s="52">
        <v>258.669556</v>
      </c>
      <c r="H123" s="52">
        <v>88.973549000000006</v>
      </c>
      <c r="I123" s="120">
        <f t="shared" si="1"/>
        <v>-1.3475308923069473E-2</v>
      </c>
      <c r="J123" s="120">
        <f t="shared" si="1"/>
        <v>0</v>
      </c>
      <c r="K123"/>
      <c r="L123"/>
      <c r="N123" s="15"/>
      <c r="O123" s="15"/>
      <c r="P123" s="15"/>
      <c r="Q123" s="15"/>
      <c r="R123" s="15"/>
      <c r="S123" s="15"/>
      <c r="T123" s="15"/>
      <c r="U123" s="15"/>
      <c r="V123" s="15"/>
      <c r="W123" s="15"/>
      <c r="X123" s="15"/>
      <c r="Y123" s="15"/>
    </row>
    <row r="124" spans="6:25" s="21" customFormat="1" ht="14.25" x14ac:dyDescent="0.45">
      <c r="F124" s="119">
        <v>43619</v>
      </c>
      <c r="G124" s="52">
        <v>258.01174900000001</v>
      </c>
      <c r="H124" s="52">
        <v>88.969673</v>
      </c>
      <c r="I124" s="120">
        <f t="shared" si="1"/>
        <v>-2.5430398929512377E-3</v>
      </c>
      <c r="J124" s="120">
        <f t="shared" si="1"/>
        <v>-4.3563508970612119E-5</v>
      </c>
      <c r="K124"/>
      <c r="L124"/>
      <c r="N124" s="15"/>
      <c r="O124" s="15"/>
      <c r="P124" s="15"/>
      <c r="Q124" s="15"/>
      <c r="R124" s="15"/>
      <c r="S124" s="15"/>
      <c r="T124" s="15"/>
      <c r="U124" s="15"/>
      <c r="V124" s="15"/>
      <c r="W124" s="15"/>
      <c r="X124" s="15"/>
      <c r="Y124" s="15"/>
    </row>
    <row r="125" spans="6:25" s="21" customFormat="1" ht="14.25" x14ac:dyDescent="0.45">
      <c r="F125" s="119">
        <v>43620</v>
      </c>
      <c r="G125" s="52">
        <v>263.61230499999999</v>
      </c>
      <c r="H125" s="52">
        <v>88.989104999999995</v>
      </c>
      <c r="I125" s="120">
        <f t="shared" si="1"/>
        <v>2.1706592904030764E-2</v>
      </c>
      <c r="J125" s="120">
        <f t="shared" si="1"/>
        <v>2.184115029848499E-4</v>
      </c>
      <c r="K125"/>
      <c r="L125"/>
      <c r="N125" s="15"/>
      <c r="O125" s="15"/>
      <c r="P125" s="15"/>
      <c r="Q125" s="15"/>
      <c r="R125" s="15"/>
      <c r="S125" s="15"/>
      <c r="T125" s="15"/>
      <c r="U125" s="15"/>
      <c r="V125" s="15"/>
      <c r="W125" s="15"/>
      <c r="X125" s="15"/>
      <c r="Y125" s="15"/>
    </row>
    <row r="126" spans="6:25" s="21" customFormat="1" ht="14.25" x14ac:dyDescent="0.45">
      <c r="F126" s="119">
        <v>43621</v>
      </c>
      <c r="G126" s="52">
        <v>265.89575200000002</v>
      </c>
      <c r="H126" s="52">
        <v>88.989104999999995</v>
      </c>
      <c r="I126" s="120">
        <f t="shared" si="1"/>
        <v>8.6621411697758166E-3</v>
      </c>
      <c r="J126" s="120">
        <f t="shared" si="1"/>
        <v>0</v>
      </c>
      <c r="K126"/>
      <c r="L126"/>
      <c r="N126" s="15"/>
      <c r="O126" s="15"/>
      <c r="P126" s="15"/>
      <c r="Q126" s="15"/>
      <c r="R126" s="15"/>
      <c r="S126" s="15"/>
      <c r="T126" s="15"/>
      <c r="U126" s="15"/>
      <c r="V126" s="15"/>
      <c r="W126" s="15"/>
      <c r="X126" s="15"/>
      <c r="Y126" s="15"/>
    </row>
    <row r="127" spans="6:25" s="21" customFormat="1" ht="14.25" x14ac:dyDescent="0.45">
      <c r="F127" s="119">
        <v>43622</v>
      </c>
      <c r="G127" s="52">
        <v>267.62481700000001</v>
      </c>
      <c r="H127" s="52">
        <v>89.018294999999995</v>
      </c>
      <c r="I127" s="120">
        <f t="shared" si="1"/>
        <v>6.5027928689886938E-3</v>
      </c>
      <c r="J127" s="120">
        <f t="shared" si="1"/>
        <v>3.2801768261414566E-4</v>
      </c>
      <c r="K127"/>
      <c r="L127"/>
      <c r="N127" s="15"/>
      <c r="O127" s="15"/>
      <c r="P127" s="15"/>
      <c r="Q127" s="15"/>
      <c r="R127" s="15"/>
      <c r="S127" s="15"/>
      <c r="T127" s="15"/>
      <c r="U127" s="15"/>
      <c r="V127" s="15"/>
      <c r="W127" s="15"/>
      <c r="X127" s="15"/>
      <c r="Y127" s="15"/>
    </row>
    <row r="128" spans="6:25" s="21" customFormat="1" ht="14.25" x14ac:dyDescent="0.45">
      <c r="F128" s="119">
        <v>43623</v>
      </c>
      <c r="G128" s="52">
        <v>270.30291699999998</v>
      </c>
      <c r="H128" s="52">
        <v>89.008567999999997</v>
      </c>
      <c r="I128" s="120">
        <f t="shared" si="1"/>
        <v>1.0006919500294309E-2</v>
      </c>
      <c r="J128" s="120">
        <f t="shared" si="1"/>
        <v>-1.0926967316093883E-4</v>
      </c>
      <c r="K128"/>
      <c r="L128"/>
      <c r="N128" s="15"/>
      <c r="O128" s="15"/>
      <c r="P128" s="15"/>
      <c r="Q128" s="15"/>
      <c r="R128" s="15"/>
      <c r="S128" s="15"/>
      <c r="T128" s="15"/>
      <c r="U128" s="15"/>
      <c r="V128" s="15"/>
      <c r="W128" s="15"/>
      <c r="X128" s="15"/>
      <c r="Y128" s="15"/>
    </row>
    <row r="129" spans="6:25" s="21" customFormat="1" ht="14.25" x14ac:dyDescent="0.45">
      <c r="F129" s="119">
        <v>43626</v>
      </c>
      <c r="G129" s="52">
        <v>271.54330399999998</v>
      </c>
      <c r="H129" s="52">
        <v>89.028037999999995</v>
      </c>
      <c r="I129" s="120">
        <f t="shared" si="1"/>
        <v>4.5888775961673289E-3</v>
      </c>
      <c r="J129" s="120">
        <f t="shared" si="1"/>
        <v>2.1874298663027147E-4</v>
      </c>
      <c r="K129"/>
      <c r="L129"/>
      <c r="N129" s="15"/>
      <c r="O129" s="15"/>
      <c r="P129" s="15"/>
      <c r="Q129" s="15"/>
      <c r="R129" s="15"/>
      <c r="S129" s="15"/>
      <c r="T129" s="15"/>
      <c r="U129" s="15"/>
      <c r="V129" s="15"/>
      <c r="W129" s="15"/>
      <c r="X129" s="15"/>
      <c r="Y129" s="15"/>
    </row>
    <row r="130" spans="6:25" s="21" customFormat="1" ht="14.25" x14ac:dyDescent="0.45">
      <c r="F130" s="119">
        <v>43627</v>
      </c>
      <c r="G130" s="52">
        <v>271.47757000000001</v>
      </c>
      <c r="H130" s="52">
        <v>89.018294999999995</v>
      </c>
      <c r="I130" s="120">
        <f t="shared" si="1"/>
        <v>-2.4207556964828125E-4</v>
      </c>
      <c r="J130" s="120">
        <f t="shared" si="1"/>
        <v>-1.0943743363189817E-4</v>
      </c>
      <c r="K130"/>
      <c r="L130"/>
      <c r="N130" s="15"/>
      <c r="O130" s="15"/>
      <c r="P130" s="15"/>
      <c r="Q130" s="15"/>
      <c r="R130" s="15"/>
      <c r="S130" s="15"/>
      <c r="T130" s="15"/>
      <c r="U130" s="15"/>
      <c r="V130" s="15"/>
      <c r="W130" s="15"/>
      <c r="X130" s="15"/>
      <c r="Y130" s="15"/>
    </row>
    <row r="131" spans="6:25" s="21" customFormat="1" ht="14.25" x14ac:dyDescent="0.45">
      <c r="F131" s="119">
        <v>43628</v>
      </c>
      <c r="G131" s="52">
        <v>270.99829099999999</v>
      </c>
      <c r="H131" s="52">
        <v>89.028037999999995</v>
      </c>
      <c r="I131" s="120">
        <f t="shared" si="1"/>
        <v>-1.7654460366652858E-3</v>
      </c>
      <c r="J131" s="120">
        <f t="shared" si="1"/>
        <v>1.0944941149459986E-4</v>
      </c>
      <c r="K131"/>
      <c r="L131"/>
      <c r="N131" s="15"/>
      <c r="O131" s="15"/>
      <c r="P131" s="15"/>
      <c r="Q131" s="15"/>
      <c r="R131" s="15"/>
      <c r="S131" s="15"/>
      <c r="T131" s="15"/>
      <c r="U131" s="15"/>
      <c r="V131" s="15"/>
      <c r="W131" s="15"/>
      <c r="X131" s="15"/>
      <c r="Y131" s="15"/>
    </row>
    <row r="132" spans="6:25" s="21" customFormat="1" ht="14.25" x14ac:dyDescent="0.45">
      <c r="F132" s="119">
        <v>43629</v>
      </c>
      <c r="G132" s="52">
        <v>272.11648600000001</v>
      </c>
      <c r="H132" s="52">
        <v>89.057243</v>
      </c>
      <c r="I132" s="120">
        <f t="shared" si="1"/>
        <v>4.1262068327951873E-3</v>
      </c>
      <c r="J132" s="120">
        <f t="shared" si="1"/>
        <v>3.2804272290043457E-4</v>
      </c>
      <c r="K132"/>
      <c r="L132"/>
      <c r="N132" s="15"/>
      <c r="O132" s="15"/>
      <c r="P132" s="15"/>
      <c r="Q132" s="15"/>
      <c r="R132" s="15"/>
      <c r="S132" s="15"/>
      <c r="T132" s="15"/>
      <c r="U132" s="15"/>
      <c r="V132" s="15"/>
      <c r="W132" s="15"/>
      <c r="X132" s="15"/>
      <c r="Y132" s="15"/>
    </row>
    <row r="133" spans="6:25" s="21" customFormat="1" ht="14.25" x14ac:dyDescent="0.45">
      <c r="F133" s="119">
        <v>43630</v>
      </c>
      <c r="G133" s="52">
        <v>271.81585699999999</v>
      </c>
      <c r="H133" s="52">
        <v>89.066940000000002</v>
      </c>
      <c r="I133" s="120">
        <f t="shared" si="1"/>
        <v>-1.1047805460784321E-3</v>
      </c>
      <c r="J133" s="120">
        <f t="shared" si="1"/>
        <v>1.0888502353489926E-4</v>
      </c>
      <c r="K133"/>
      <c r="L133"/>
      <c r="N133" s="15"/>
      <c r="O133" s="15"/>
      <c r="P133" s="15"/>
      <c r="Q133" s="15"/>
      <c r="R133" s="15"/>
      <c r="S133" s="15"/>
      <c r="T133" s="15"/>
      <c r="U133" s="15"/>
      <c r="V133" s="15"/>
      <c r="W133" s="15"/>
      <c r="X133" s="15"/>
      <c r="Y133" s="15"/>
    </row>
    <row r="134" spans="6:25" s="21" customFormat="1" ht="14.25" x14ac:dyDescent="0.45">
      <c r="F134" s="119">
        <v>43633</v>
      </c>
      <c r="G134" s="52">
        <v>271.91915899999998</v>
      </c>
      <c r="H134" s="52">
        <v>89.066940000000002</v>
      </c>
      <c r="I134" s="120">
        <f t="shared" si="1"/>
        <v>3.8004405313252221E-4</v>
      </c>
      <c r="J134" s="120">
        <f t="shared" si="1"/>
        <v>0</v>
      </c>
      <c r="K134"/>
      <c r="L134"/>
      <c r="N134" s="15"/>
      <c r="O134" s="15"/>
      <c r="P134" s="15"/>
      <c r="Q134" s="15"/>
      <c r="R134" s="15"/>
      <c r="S134" s="15"/>
      <c r="T134" s="15"/>
      <c r="U134" s="15"/>
      <c r="V134" s="15"/>
      <c r="W134" s="15"/>
      <c r="X134" s="15"/>
      <c r="Y134" s="15"/>
    </row>
    <row r="135" spans="6:25" s="21" customFormat="1" ht="14.25" x14ac:dyDescent="0.45">
      <c r="F135" s="119">
        <v>43634</v>
      </c>
      <c r="G135" s="52">
        <v>274.76641799999999</v>
      </c>
      <c r="H135" s="52">
        <v>89.066940000000002</v>
      </c>
      <c r="I135" s="120">
        <f t="shared" si="1"/>
        <v>1.0470976044758995E-2</v>
      </c>
      <c r="J135" s="120">
        <f t="shared" si="1"/>
        <v>0</v>
      </c>
      <c r="K135"/>
      <c r="L135"/>
      <c r="N135" s="15"/>
      <c r="O135" s="15"/>
      <c r="P135" s="15"/>
      <c r="Q135" s="15"/>
      <c r="R135" s="15"/>
      <c r="S135" s="15"/>
      <c r="T135" s="15"/>
      <c r="U135" s="15"/>
      <c r="V135" s="15"/>
      <c r="W135" s="15"/>
      <c r="X135" s="15"/>
      <c r="Y135" s="15"/>
    </row>
    <row r="136" spans="6:25" s="21" customFormat="1" ht="14.25" x14ac:dyDescent="0.45">
      <c r="F136" s="119">
        <v>43635</v>
      </c>
      <c r="G136" s="52">
        <v>275.38662699999998</v>
      </c>
      <c r="H136" s="52">
        <v>89.086417999999995</v>
      </c>
      <c r="I136" s="120">
        <f t="shared" si="1"/>
        <v>2.2572227148951463E-3</v>
      </c>
      <c r="J136" s="120">
        <f t="shared" si="1"/>
        <v>2.1868944863268069E-4</v>
      </c>
      <c r="K136"/>
      <c r="L136"/>
      <c r="N136" s="15"/>
      <c r="O136" s="15"/>
      <c r="P136" s="15"/>
      <c r="Q136" s="15"/>
      <c r="R136" s="15"/>
      <c r="S136" s="15"/>
      <c r="T136" s="15"/>
      <c r="U136" s="15"/>
      <c r="V136" s="15"/>
      <c r="W136" s="15"/>
      <c r="X136" s="15"/>
      <c r="Y136" s="15"/>
    </row>
    <row r="137" spans="6:25" s="21" customFormat="1" ht="14.25" x14ac:dyDescent="0.45">
      <c r="F137" s="119">
        <v>43636</v>
      </c>
      <c r="G137" s="52">
        <v>278.01776100000001</v>
      </c>
      <c r="H137" s="52">
        <v>89.096130000000002</v>
      </c>
      <c r="I137" s="120">
        <f t="shared" si="1"/>
        <v>9.5543274147442681E-3</v>
      </c>
      <c r="J137" s="120">
        <f t="shared" si="1"/>
        <v>1.0901774050453561E-4</v>
      </c>
      <c r="K137"/>
      <c r="L137"/>
      <c r="N137" s="15"/>
      <c r="O137" s="15"/>
      <c r="P137" s="15"/>
      <c r="Q137" s="15"/>
      <c r="R137" s="15"/>
      <c r="S137" s="15"/>
      <c r="T137" s="15"/>
      <c r="U137" s="15"/>
      <c r="V137" s="15"/>
      <c r="W137" s="15"/>
      <c r="X137" s="15"/>
      <c r="Y137" s="15"/>
    </row>
    <row r="138" spans="6:25" s="21" customFormat="1" ht="14.25" x14ac:dyDescent="0.45">
      <c r="F138" s="119">
        <v>43637</v>
      </c>
      <c r="G138" s="52">
        <v>277.61370799999997</v>
      </c>
      <c r="H138" s="52">
        <v>89.096130000000002</v>
      </c>
      <c r="I138" s="120">
        <f t="shared" si="1"/>
        <v>-1.4533352061634197E-3</v>
      </c>
      <c r="J138" s="120">
        <f t="shared" si="1"/>
        <v>0</v>
      </c>
      <c r="K138"/>
      <c r="L138"/>
      <c r="N138" s="15"/>
      <c r="O138" s="15"/>
      <c r="P138" s="15"/>
      <c r="Q138" s="15"/>
      <c r="R138" s="15"/>
      <c r="S138" s="15"/>
      <c r="T138" s="15"/>
      <c r="U138" s="15"/>
      <c r="V138" s="15"/>
      <c r="W138" s="15"/>
      <c r="X138" s="15"/>
      <c r="Y138" s="15"/>
    </row>
    <row r="139" spans="6:25" s="21" customFormat="1" ht="14.25" x14ac:dyDescent="0.45">
      <c r="F139" s="119">
        <v>43640</v>
      </c>
      <c r="G139" s="52">
        <v>277.27377300000001</v>
      </c>
      <c r="H139" s="52">
        <v>89.105864999999994</v>
      </c>
      <c r="I139" s="120">
        <f t="shared" si="1"/>
        <v>-1.2244892460424595E-3</v>
      </c>
      <c r="J139" s="120">
        <f t="shared" si="1"/>
        <v>1.0926400506949818E-4</v>
      </c>
      <c r="K139"/>
      <c r="L139"/>
      <c r="N139" s="15"/>
      <c r="O139" s="15"/>
      <c r="P139" s="15"/>
      <c r="Q139" s="15"/>
      <c r="R139" s="15"/>
      <c r="S139" s="15"/>
      <c r="T139" s="15"/>
      <c r="U139" s="15"/>
      <c r="V139" s="15"/>
      <c r="W139" s="15"/>
      <c r="X139" s="15"/>
      <c r="Y139" s="15"/>
    </row>
    <row r="140" spans="6:25" s="21" customFormat="1" ht="14.25" x14ac:dyDescent="0.45">
      <c r="F140" s="119">
        <v>43641</v>
      </c>
      <c r="G140" s="52">
        <v>274.55429099999998</v>
      </c>
      <c r="H140" s="52">
        <v>89.105864999999994</v>
      </c>
      <c r="I140" s="120">
        <f t="shared" si="1"/>
        <v>-9.8079308784824182E-3</v>
      </c>
      <c r="J140" s="120">
        <f t="shared" si="1"/>
        <v>0</v>
      </c>
      <c r="K140"/>
      <c r="L140"/>
      <c r="N140" s="15"/>
      <c r="O140" s="15"/>
      <c r="P140" s="15"/>
      <c r="Q140" s="15"/>
      <c r="R140" s="15"/>
      <c r="S140" s="15"/>
      <c r="T140" s="15"/>
      <c r="U140" s="15"/>
      <c r="V140" s="15"/>
      <c r="W140" s="15"/>
      <c r="X140" s="15"/>
      <c r="Y140" s="15"/>
    </row>
    <row r="141" spans="6:25" s="21" customFormat="1" ht="14.25" x14ac:dyDescent="0.45">
      <c r="F141" s="119">
        <v>43642</v>
      </c>
      <c r="G141" s="52">
        <v>274.28042599999998</v>
      </c>
      <c r="H141" s="52">
        <v>89.125327999999996</v>
      </c>
      <c r="I141" s="120">
        <f t="shared" si="1"/>
        <v>-9.9748941822219717E-4</v>
      </c>
      <c r="J141" s="120">
        <f t="shared" si="1"/>
        <v>2.1842557726148293E-4</v>
      </c>
      <c r="K141"/>
      <c r="L141"/>
      <c r="N141" s="15"/>
      <c r="O141" s="15"/>
      <c r="P141" s="15"/>
      <c r="Q141" s="15"/>
      <c r="R141" s="15"/>
      <c r="S141" s="15"/>
      <c r="T141" s="15"/>
      <c r="U141" s="15"/>
      <c r="V141" s="15"/>
      <c r="W141" s="15"/>
      <c r="X141" s="15"/>
      <c r="Y141" s="15"/>
    </row>
    <row r="142" spans="6:25" s="21" customFormat="1" ht="14.25" x14ac:dyDescent="0.45">
      <c r="F142" s="119">
        <v>43643</v>
      </c>
      <c r="G142" s="52">
        <v>275.25302099999999</v>
      </c>
      <c r="H142" s="52">
        <v>89.125327999999996</v>
      </c>
      <c r="I142" s="120">
        <f t="shared" si="1"/>
        <v>3.5459876382137878E-3</v>
      </c>
      <c r="J142" s="120">
        <f t="shared" si="1"/>
        <v>0</v>
      </c>
      <c r="K142"/>
      <c r="L142"/>
      <c r="N142" s="15"/>
      <c r="O142" s="15"/>
      <c r="P142" s="15"/>
      <c r="Q142" s="15"/>
      <c r="R142" s="15"/>
      <c r="S142" s="15"/>
      <c r="T142" s="15"/>
      <c r="U142" s="15"/>
      <c r="V142" s="15"/>
      <c r="W142" s="15"/>
      <c r="X142" s="15"/>
      <c r="Y142" s="15"/>
    </row>
    <row r="143" spans="6:25" s="21" customFormat="1" ht="14.25" x14ac:dyDescent="0.45">
      <c r="F143" s="119">
        <v>43644</v>
      </c>
      <c r="G143" s="52">
        <v>276.669464</v>
      </c>
      <c r="H143" s="52">
        <v>89.135047999999998</v>
      </c>
      <c r="I143" s="120">
        <f t="shared" si="1"/>
        <v>5.1459671354525671E-3</v>
      </c>
      <c r="J143" s="120">
        <f t="shared" si="1"/>
        <v>1.0905990719045633E-4</v>
      </c>
      <c r="K143"/>
      <c r="L143"/>
      <c r="N143" s="15"/>
      <c r="O143" s="15"/>
      <c r="P143" s="15"/>
      <c r="Q143" s="15"/>
      <c r="R143" s="15"/>
      <c r="S143" s="15"/>
      <c r="T143" s="15"/>
      <c r="U143" s="15"/>
      <c r="V143" s="15"/>
      <c r="W143" s="15"/>
      <c r="X143" s="15"/>
      <c r="Y143" s="15"/>
    </row>
    <row r="144" spans="6:25" s="21" customFormat="1" ht="14.25" x14ac:dyDescent="0.45">
      <c r="F144" s="119">
        <v>43647</v>
      </c>
      <c r="G144" s="52">
        <v>279.181152</v>
      </c>
      <c r="H144" s="52">
        <v>89.130211000000003</v>
      </c>
      <c r="I144" s="120">
        <f t="shared" si="1"/>
        <v>9.0782985721908904E-3</v>
      </c>
      <c r="J144" s="120">
        <f t="shared" si="1"/>
        <v>-5.4265971786926492E-5</v>
      </c>
      <c r="K144"/>
      <c r="L144"/>
      <c r="N144" s="15"/>
      <c r="O144" s="15"/>
      <c r="P144" s="15"/>
      <c r="Q144" s="15"/>
      <c r="R144" s="15"/>
      <c r="S144" s="15"/>
      <c r="T144" s="15"/>
      <c r="U144" s="15"/>
      <c r="V144" s="15"/>
      <c r="W144" s="15"/>
      <c r="X144" s="15"/>
      <c r="Y144" s="15"/>
    </row>
    <row r="145" spans="6:25" s="21" customFormat="1" ht="14.25" x14ac:dyDescent="0.45">
      <c r="F145" s="119">
        <v>43648</v>
      </c>
      <c r="G145" s="52">
        <v>279.90823399999999</v>
      </c>
      <c r="H145" s="52">
        <v>89.139938000000001</v>
      </c>
      <c r="I145" s="120">
        <f t="shared" si="1"/>
        <v>2.6043377025681824E-3</v>
      </c>
      <c r="J145" s="120">
        <f t="shared" si="1"/>
        <v>1.0913246912425123E-4</v>
      </c>
      <c r="K145"/>
      <c r="L145"/>
      <c r="N145" s="15"/>
      <c r="O145" s="15"/>
      <c r="P145" s="15"/>
      <c r="Q145" s="15"/>
      <c r="R145" s="15"/>
      <c r="S145" s="15"/>
      <c r="T145" s="15"/>
      <c r="U145" s="15"/>
      <c r="V145" s="15"/>
      <c r="W145" s="15"/>
      <c r="X145" s="15"/>
      <c r="Y145" s="15"/>
    </row>
    <row r="146" spans="6:25" s="21" customFormat="1" ht="14.25" x14ac:dyDescent="0.45">
      <c r="F146" s="119">
        <v>43649</v>
      </c>
      <c r="G146" s="52">
        <v>282.14605699999998</v>
      </c>
      <c r="H146" s="52">
        <v>89.169182000000006</v>
      </c>
      <c r="I146" s="120">
        <f t="shared" si="1"/>
        <v>7.9948451963010037E-3</v>
      </c>
      <c r="J146" s="120">
        <f t="shared" si="1"/>
        <v>3.2806843549759712E-4</v>
      </c>
      <c r="K146"/>
      <c r="L146"/>
      <c r="N146" s="15"/>
      <c r="O146" s="15"/>
      <c r="P146" s="15"/>
      <c r="Q146" s="15"/>
      <c r="R146" s="15"/>
      <c r="S146" s="15"/>
      <c r="T146" s="15"/>
      <c r="U146" s="15"/>
      <c r="V146" s="15"/>
      <c r="W146" s="15"/>
      <c r="X146" s="15"/>
      <c r="Y146" s="15"/>
    </row>
    <row r="147" spans="6:25" s="21" customFormat="1" ht="14.25" x14ac:dyDescent="0.45">
      <c r="F147" s="119">
        <v>43651</v>
      </c>
      <c r="G147" s="52">
        <v>281.82510400000001</v>
      </c>
      <c r="H147" s="52">
        <v>89.159415999999993</v>
      </c>
      <c r="I147" s="120">
        <f t="shared" si="1"/>
        <v>-1.1375420355421717E-3</v>
      </c>
      <c r="J147" s="120">
        <f t="shared" si="1"/>
        <v>-1.0952214409698513E-4</v>
      </c>
      <c r="K147"/>
      <c r="L147"/>
      <c r="N147" s="15"/>
      <c r="O147" s="15"/>
      <c r="P147" s="15"/>
      <c r="Q147" s="15"/>
      <c r="R147" s="15"/>
      <c r="S147" s="15"/>
      <c r="T147" s="15"/>
      <c r="U147" s="15"/>
      <c r="V147" s="15"/>
      <c r="W147" s="15"/>
      <c r="X147" s="15"/>
      <c r="Y147" s="15"/>
    </row>
    <row r="148" spans="6:25" s="21" customFormat="1" ht="14.25" x14ac:dyDescent="0.45">
      <c r="F148" s="119">
        <v>43654</v>
      </c>
      <c r="G148" s="52">
        <v>280.27648900000003</v>
      </c>
      <c r="H148" s="52">
        <v>89.159415999999993</v>
      </c>
      <c r="I148" s="120">
        <f t="shared" si="1"/>
        <v>-5.4949505137057431E-3</v>
      </c>
      <c r="J148" s="120">
        <f t="shared" si="1"/>
        <v>0</v>
      </c>
      <c r="K148"/>
      <c r="L148"/>
      <c r="N148" s="15"/>
      <c r="O148" s="15"/>
      <c r="P148" s="15"/>
      <c r="Q148" s="15"/>
      <c r="R148" s="15"/>
      <c r="S148" s="15"/>
      <c r="T148" s="15"/>
      <c r="U148" s="15"/>
      <c r="V148" s="15"/>
      <c r="W148" s="15"/>
      <c r="X148" s="15"/>
      <c r="Y148" s="15"/>
    </row>
    <row r="149" spans="6:25" s="21" customFormat="1" ht="14.25" x14ac:dyDescent="0.45">
      <c r="F149" s="119">
        <v>43655</v>
      </c>
      <c r="G149" s="52">
        <v>280.625854</v>
      </c>
      <c r="H149" s="52">
        <v>89.169182000000006</v>
      </c>
      <c r="I149" s="120">
        <f t="shared" ref="I149:J212" si="2">G149/G148-1</f>
        <v>1.2465012718207991E-3</v>
      </c>
      <c r="J149" s="120">
        <f t="shared" si="2"/>
        <v>1.0953414051084742E-4</v>
      </c>
      <c r="K149"/>
      <c r="L149"/>
      <c r="N149" s="15"/>
      <c r="O149" s="15"/>
      <c r="P149" s="15"/>
      <c r="Q149" s="15"/>
      <c r="R149" s="15"/>
      <c r="S149" s="15"/>
      <c r="T149" s="15"/>
      <c r="U149" s="15"/>
      <c r="V149" s="15"/>
      <c r="W149" s="15"/>
      <c r="X149" s="15"/>
      <c r="Y149" s="15"/>
    </row>
    <row r="150" spans="6:25" s="21" customFormat="1" ht="14.25" x14ac:dyDescent="0.45">
      <c r="F150" s="119">
        <v>43656</v>
      </c>
      <c r="G150" s="52">
        <v>281.96673600000003</v>
      </c>
      <c r="H150" s="52">
        <v>89.178932000000003</v>
      </c>
      <c r="I150" s="120">
        <f t="shared" si="2"/>
        <v>4.7781841226932631E-3</v>
      </c>
      <c r="J150" s="120">
        <f t="shared" si="2"/>
        <v>1.0934270990614614E-4</v>
      </c>
      <c r="K150"/>
      <c r="L150"/>
      <c r="N150" s="15"/>
      <c r="O150" s="15"/>
      <c r="P150" s="15"/>
      <c r="Q150" s="15"/>
      <c r="R150" s="15"/>
      <c r="S150" s="15"/>
      <c r="T150" s="15"/>
      <c r="U150" s="15"/>
      <c r="V150" s="15"/>
      <c r="W150" s="15"/>
      <c r="X150" s="15"/>
      <c r="Y150" s="15"/>
    </row>
    <row r="151" spans="6:25" s="21" customFormat="1" ht="14.25" x14ac:dyDescent="0.45">
      <c r="F151" s="119">
        <v>43657</v>
      </c>
      <c r="G151" s="52">
        <v>282.627655</v>
      </c>
      <c r="H151" s="52">
        <v>89.198409999999996</v>
      </c>
      <c r="I151" s="120">
        <f t="shared" si="2"/>
        <v>2.3439608848043747E-3</v>
      </c>
      <c r="J151" s="120">
        <f t="shared" si="2"/>
        <v>2.1841481573248167E-4</v>
      </c>
      <c r="K151"/>
      <c r="L151"/>
      <c r="N151" s="15"/>
      <c r="O151" s="15"/>
      <c r="P151" s="15"/>
      <c r="Q151" s="15"/>
      <c r="R151" s="15"/>
      <c r="S151" s="15"/>
      <c r="T151" s="15"/>
      <c r="U151" s="15"/>
      <c r="V151" s="15"/>
      <c r="W151" s="15"/>
      <c r="X151" s="15"/>
      <c r="Y151" s="15"/>
    </row>
    <row r="152" spans="6:25" s="21" customFormat="1" ht="14.25" x14ac:dyDescent="0.45">
      <c r="F152" s="119">
        <v>43658</v>
      </c>
      <c r="G152" s="52">
        <v>283.89306599999998</v>
      </c>
      <c r="H152" s="52">
        <v>89.208175999999995</v>
      </c>
      <c r="I152" s="120">
        <f t="shared" si="2"/>
        <v>4.477307785043072E-3</v>
      </c>
      <c r="J152" s="120">
        <f t="shared" si="2"/>
        <v>1.0948625653761646E-4</v>
      </c>
      <c r="K152"/>
      <c r="L152"/>
      <c r="N152" s="15"/>
      <c r="O152" s="15"/>
      <c r="P152" s="15"/>
      <c r="Q152" s="15"/>
      <c r="R152" s="15"/>
      <c r="S152" s="15"/>
      <c r="T152" s="15"/>
      <c r="U152" s="15"/>
      <c r="V152" s="15"/>
      <c r="W152" s="15"/>
      <c r="X152" s="15"/>
      <c r="Y152" s="15"/>
    </row>
    <row r="153" spans="6:25" s="21" customFormat="1" ht="14.25" x14ac:dyDescent="0.45">
      <c r="F153" s="119">
        <v>43661</v>
      </c>
      <c r="G153" s="52">
        <v>283.98748799999998</v>
      </c>
      <c r="H153" s="52">
        <v>89.208175999999995</v>
      </c>
      <c r="I153" s="120">
        <f t="shared" si="2"/>
        <v>3.3259706314914261E-4</v>
      </c>
      <c r="J153" s="120">
        <f t="shared" si="2"/>
        <v>0</v>
      </c>
      <c r="K153"/>
      <c r="L153"/>
      <c r="N153" s="15"/>
      <c r="O153" s="15"/>
      <c r="P153" s="15"/>
      <c r="Q153" s="15"/>
      <c r="R153" s="15"/>
      <c r="S153" s="15"/>
      <c r="T153" s="15"/>
      <c r="U153" s="15"/>
      <c r="V153" s="15"/>
      <c r="W153" s="15"/>
      <c r="X153" s="15"/>
      <c r="Y153" s="15"/>
    </row>
    <row r="154" spans="6:25" s="21" customFormat="1" ht="14.25" x14ac:dyDescent="0.45">
      <c r="F154" s="119">
        <v>43662</v>
      </c>
      <c r="G154" s="52">
        <v>283.07153299999999</v>
      </c>
      <c r="H154" s="52">
        <v>89.217934</v>
      </c>
      <c r="I154" s="120">
        <f t="shared" si="2"/>
        <v>-3.2253357584542952E-3</v>
      </c>
      <c r="J154" s="120">
        <f t="shared" si="2"/>
        <v>1.0938459273068801E-4</v>
      </c>
      <c r="K154"/>
      <c r="L154"/>
      <c r="N154" s="15"/>
      <c r="O154" s="15"/>
      <c r="P154" s="15"/>
      <c r="Q154" s="15"/>
      <c r="R154" s="15"/>
      <c r="S154" s="15"/>
      <c r="T154" s="15"/>
      <c r="U154" s="15"/>
      <c r="V154" s="15"/>
      <c r="W154" s="15"/>
      <c r="X154" s="15"/>
      <c r="Y154" s="15"/>
    </row>
    <row r="155" spans="6:25" s="21" customFormat="1" ht="14.25" x14ac:dyDescent="0.45">
      <c r="F155" s="119">
        <v>43663</v>
      </c>
      <c r="G155" s="52">
        <v>281.14520299999998</v>
      </c>
      <c r="H155" s="52">
        <v>89.217934</v>
      </c>
      <c r="I155" s="120">
        <f t="shared" si="2"/>
        <v>-6.8050996848206813E-3</v>
      </c>
      <c r="J155" s="120">
        <f t="shared" si="2"/>
        <v>0</v>
      </c>
      <c r="K155"/>
      <c r="L155"/>
      <c r="N155" s="15"/>
      <c r="O155" s="15"/>
      <c r="P155" s="15"/>
      <c r="Q155" s="15"/>
      <c r="R155" s="15"/>
      <c r="S155" s="15"/>
      <c r="T155" s="15"/>
      <c r="U155" s="15"/>
      <c r="V155" s="15"/>
      <c r="W155" s="15"/>
      <c r="X155" s="15"/>
      <c r="Y155" s="15"/>
    </row>
    <row r="156" spans="6:25" s="21" customFormat="1" ht="14.25" x14ac:dyDescent="0.45">
      <c r="F156" s="119">
        <v>43664</v>
      </c>
      <c r="G156" s="52">
        <v>282.17446899999999</v>
      </c>
      <c r="H156" s="52">
        <v>89.247153999999995</v>
      </c>
      <c r="I156" s="120">
        <f t="shared" si="2"/>
        <v>3.6609765666177907E-3</v>
      </c>
      <c r="J156" s="120">
        <f t="shared" si="2"/>
        <v>3.2751262767405365E-4</v>
      </c>
      <c r="K156"/>
      <c r="L156"/>
      <c r="N156" s="15"/>
      <c r="O156" s="15"/>
      <c r="P156" s="15"/>
      <c r="Q156" s="15"/>
      <c r="R156" s="15"/>
      <c r="S156" s="15"/>
      <c r="T156" s="15"/>
      <c r="U156" s="15"/>
      <c r="V156" s="15"/>
      <c r="W156" s="15"/>
      <c r="X156" s="15"/>
      <c r="Y156" s="15"/>
    </row>
    <row r="157" spans="6:25" s="21" customFormat="1" ht="14.25" x14ac:dyDescent="0.45">
      <c r="F157" s="119">
        <v>43665</v>
      </c>
      <c r="G157" s="52">
        <v>280.60699499999998</v>
      </c>
      <c r="H157" s="52">
        <v>89.247153999999995</v>
      </c>
      <c r="I157" s="120">
        <f t="shared" si="2"/>
        <v>-5.5549816592371792E-3</v>
      </c>
      <c r="J157" s="120">
        <f t="shared" si="2"/>
        <v>0</v>
      </c>
      <c r="K157"/>
      <c r="L157"/>
      <c r="N157" s="15"/>
      <c r="O157" s="15"/>
      <c r="P157" s="15"/>
      <c r="Q157" s="15"/>
      <c r="R157" s="15"/>
      <c r="S157" s="15"/>
      <c r="T157" s="15"/>
      <c r="U157" s="15"/>
      <c r="V157" s="15"/>
      <c r="W157" s="15"/>
      <c r="X157" s="15"/>
      <c r="Y157" s="15"/>
    </row>
    <row r="158" spans="6:25" s="21" customFormat="1" ht="14.25" x14ac:dyDescent="0.45">
      <c r="F158" s="119">
        <v>43668</v>
      </c>
      <c r="G158" s="52">
        <v>281.29629499999999</v>
      </c>
      <c r="H158" s="52">
        <v>89.247153999999995</v>
      </c>
      <c r="I158" s="120">
        <f t="shared" si="2"/>
        <v>2.4564605027042052E-3</v>
      </c>
      <c r="J158" s="120">
        <f t="shared" si="2"/>
        <v>0</v>
      </c>
      <c r="K158"/>
      <c r="L158"/>
      <c r="N158" s="15"/>
      <c r="O158" s="15"/>
      <c r="P158" s="15"/>
      <c r="Q158" s="15"/>
      <c r="R158" s="15"/>
      <c r="S158" s="15"/>
      <c r="T158" s="15"/>
      <c r="U158" s="15"/>
      <c r="V158" s="15"/>
      <c r="W158" s="15"/>
      <c r="X158" s="15"/>
      <c r="Y158" s="15"/>
    </row>
    <row r="159" spans="6:25" s="21" customFormat="1" ht="14.25" x14ac:dyDescent="0.45">
      <c r="F159" s="119">
        <v>43669</v>
      </c>
      <c r="G159" s="52">
        <v>283.30755599999998</v>
      </c>
      <c r="H159" s="52">
        <v>89.237426999999997</v>
      </c>
      <c r="I159" s="120">
        <f t="shared" si="2"/>
        <v>7.149973304838575E-3</v>
      </c>
      <c r="J159" s="120">
        <f t="shared" si="2"/>
        <v>-1.0898946984905233E-4</v>
      </c>
      <c r="K159"/>
      <c r="L159"/>
      <c r="N159" s="15"/>
      <c r="O159" s="15"/>
      <c r="P159" s="15"/>
      <c r="Q159" s="15"/>
      <c r="R159" s="15"/>
      <c r="S159" s="15"/>
      <c r="T159" s="15"/>
      <c r="U159" s="15"/>
      <c r="V159" s="15"/>
      <c r="W159" s="15"/>
      <c r="X159" s="15"/>
      <c r="Y159" s="15"/>
    </row>
    <row r="160" spans="6:25" s="21" customFormat="1" ht="14.25" x14ac:dyDescent="0.45">
      <c r="F160" s="119">
        <v>43670</v>
      </c>
      <c r="G160" s="52">
        <v>284.63897700000001</v>
      </c>
      <c r="H160" s="52">
        <v>89.256889000000001</v>
      </c>
      <c r="I160" s="120">
        <f t="shared" si="2"/>
        <v>4.6995605016622033E-3</v>
      </c>
      <c r="J160" s="120">
        <f t="shared" si="2"/>
        <v>2.1809234818026546E-4</v>
      </c>
      <c r="K160"/>
      <c r="L160"/>
      <c r="N160" s="15"/>
      <c r="O160" s="15"/>
      <c r="P160" s="15"/>
      <c r="Q160" s="15"/>
      <c r="R160" s="15"/>
      <c r="S160" s="15"/>
      <c r="T160" s="15"/>
      <c r="U160" s="15"/>
      <c r="V160" s="15"/>
      <c r="W160" s="15"/>
      <c r="X160" s="15"/>
      <c r="Y160" s="15"/>
    </row>
    <row r="161" spans="6:25" s="21" customFormat="1" ht="14.25" x14ac:dyDescent="0.45">
      <c r="F161" s="119">
        <v>43671</v>
      </c>
      <c r="G161" s="52">
        <v>283.27926600000001</v>
      </c>
      <c r="H161" s="52">
        <v>89.276381999999998</v>
      </c>
      <c r="I161" s="120">
        <f t="shared" si="2"/>
        <v>-4.7769669998497521E-3</v>
      </c>
      <c r="J161" s="120">
        <f t="shared" si="2"/>
        <v>2.1839210640650641E-4</v>
      </c>
      <c r="K161"/>
      <c r="L161"/>
      <c r="N161" s="15"/>
      <c r="O161" s="15"/>
      <c r="P161" s="15"/>
      <c r="Q161" s="15"/>
      <c r="R161" s="15"/>
      <c r="S161" s="15"/>
      <c r="T161" s="15"/>
      <c r="U161" s="15"/>
      <c r="V161" s="15"/>
      <c r="W161" s="15"/>
      <c r="X161" s="15"/>
      <c r="Y161" s="15"/>
    </row>
    <row r="162" spans="6:25" s="21" customFormat="1" ht="14.25" x14ac:dyDescent="0.45">
      <c r="F162" s="119">
        <v>43672</v>
      </c>
      <c r="G162" s="52">
        <v>285.17721599999999</v>
      </c>
      <c r="H162" s="52">
        <v>89.266655</v>
      </c>
      <c r="I162" s="120">
        <f t="shared" si="2"/>
        <v>6.6999255780335609E-3</v>
      </c>
      <c r="J162" s="120">
        <f t="shared" si="2"/>
        <v>-1.0895378802422417E-4</v>
      </c>
      <c r="K162"/>
      <c r="L162"/>
      <c r="N162" s="15"/>
      <c r="O162" s="15"/>
      <c r="P162" s="15"/>
      <c r="Q162" s="15"/>
      <c r="R162" s="15"/>
      <c r="S162" s="15"/>
      <c r="T162" s="15"/>
      <c r="U162" s="15"/>
      <c r="V162" s="15"/>
      <c r="W162" s="15"/>
      <c r="X162" s="15"/>
      <c r="Y162" s="15"/>
    </row>
    <row r="163" spans="6:25" s="21" customFormat="1" ht="14.25" x14ac:dyDescent="0.45">
      <c r="F163" s="119">
        <v>43675</v>
      </c>
      <c r="G163" s="52">
        <v>284.65789799999999</v>
      </c>
      <c r="H163" s="52">
        <v>89.286140000000003</v>
      </c>
      <c r="I163" s="120">
        <f t="shared" si="2"/>
        <v>-1.8210360816482973E-3</v>
      </c>
      <c r="J163" s="120">
        <f t="shared" si="2"/>
        <v>2.1827859462186794E-4</v>
      </c>
      <c r="K163"/>
      <c r="L163"/>
      <c r="N163" s="15"/>
      <c r="O163" s="15"/>
      <c r="P163" s="15"/>
      <c r="Q163" s="15"/>
      <c r="R163" s="15"/>
      <c r="S163" s="15"/>
      <c r="T163" s="15"/>
      <c r="U163" s="15"/>
      <c r="V163" s="15"/>
      <c r="W163" s="15"/>
      <c r="X163" s="15"/>
      <c r="Y163" s="15"/>
    </row>
    <row r="164" spans="6:25" s="21" customFormat="1" ht="14.25" x14ac:dyDescent="0.45">
      <c r="F164" s="119">
        <v>43676</v>
      </c>
      <c r="G164" s="52">
        <v>283.959137</v>
      </c>
      <c r="H164" s="52">
        <v>89.286140000000003</v>
      </c>
      <c r="I164" s="120">
        <f t="shared" si="2"/>
        <v>-2.4547395484526557E-3</v>
      </c>
      <c r="J164" s="120">
        <f t="shared" si="2"/>
        <v>0</v>
      </c>
      <c r="K164"/>
      <c r="L164"/>
      <c r="N164" s="15"/>
      <c r="O164" s="15"/>
      <c r="P164" s="15"/>
      <c r="Q164" s="15"/>
      <c r="R164" s="15"/>
      <c r="S164" s="15"/>
      <c r="T164" s="15"/>
      <c r="U164" s="15"/>
      <c r="V164" s="15"/>
      <c r="W164" s="15"/>
      <c r="X164" s="15"/>
      <c r="Y164" s="15"/>
    </row>
    <row r="165" spans="6:25" s="21" customFormat="1" ht="14.25" x14ac:dyDescent="0.45">
      <c r="F165" s="119">
        <v>43677</v>
      </c>
      <c r="G165" s="52">
        <v>280.852509</v>
      </c>
      <c r="H165" s="52">
        <v>89.295876000000007</v>
      </c>
      <c r="I165" s="120">
        <f t="shared" si="2"/>
        <v>-1.0940405133010422E-2</v>
      </c>
      <c r="J165" s="120">
        <f t="shared" si="2"/>
        <v>1.0904268008449236E-4</v>
      </c>
      <c r="K165"/>
      <c r="L165"/>
      <c r="N165" s="15"/>
      <c r="O165" s="15"/>
      <c r="P165" s="15"/>
      <c r="Q165" s="15"/>
      <c r="R165" s="15"/>
      <c r="S165" s="15"/>
      <c r="T165" s="15"/>
      <c r="U165" s="15"/>
      <c r="V165" s="15"/>
      <c r="W165" s="15"/>
      <c r="X165" s="15"/>
      <c r="Y165" s="15"/>
    </row>
    <row r="166" spans="6:25" s="21" customFormat="1" ht="14.25" x14ac:dyDescent="0.45">
      <c r="F166" s="119">
        <v>43678</v>
      </c>
      <c r="G166" s="52">
        <v>278.40683000000001</v>
      </c>
      <c r="H166" s="52">
        <v>89.320312999999999</v>
      </c>
      <c r="I166" s="120">
        <f t="shared" si="2"/>
        <v>-8.7080546608183651E-3</v>
      </c>
      <c r="J166" s="120">
        <f t="shared" si="2"/>
        <v>2.7366325405653313E-4</v>
      </c>
      <c r="K166"/>
      <c r="L166"/>
      <c r="N166" s="15"/>
      <c r="O166" s="15"/>
      <c r="P166" s="15"/>
      <c r="Q166" s="15"/>
      <c r="R166" s="15"/>
      <c r="S166" s="15"/>
      <c r="T166" s="15"/>
      <c r="U166" s="15"/>
      <c r="V166" s="15"/>
      <c r="W166" s="15"/>
      <c r="X166" s="15"/>
      <c r="Y166" s="15"/>
    </row>
    <row r="167" spans="6:25" s="21" customFormat="1" ht="14.25" x14ac:dyDescent="0.45">
      <c r="F167" s="119">
        <v>43679</v>
      </c>
      <c r="G167" s="52">
        <v>276.31057700000002</v>
      </c>
      <c r="H167" s="52">
        <v>89.320312999999999</v>
      </c>
      <c r="I167" s="120">
        <f t="shared" si="2"/>
        <v>-7.5294596759712951E-3</v>
      </c>
      <c r="J167" s="120">
        <f t="shared" si="2"/>
        <v>0</v>
      </c>
      <c r="K167"/>
      <c r="L167"/>
      <c r="N167" s="15"/>
      <c r="O167" s="15"/>
      <c r="P167" s="15"/>
      <c r="Q167" s="15"/>
      <c r="R167" s="15"/>
      <c r="S167" s="15"/>
      <c r="T167" s="15"/>
      <c r="U167" s="15"/>
      <c r="V167" s="15"/>
      <c r="W167" s="15"/>
      <c r="X167" s="15"/>
      <c r="Y167" s="15"/>
    </row>
    <row r="168" spans="6:25" s="21" customFormat="1" ht="14.25" x14ac:dyDescent="0.45">
      <c r="F168" s="119">
        <v>43682</v>
      </c>
      <c r="G168" s="52">
        <v>268.00100700000002</v>
      </c>
      <c r="H168" s="52">
        <v>89.310531999999995</v>
      </c>
      <c r="I168" s="120">
        <f t="shared" si="2"/>
        <v>-3.0073296832209273E-2</v>
      </c>
      <c r="J168" s="120">
        <f t="shared" si="2"/>
        <v>-1.0950476628990291E-4</v>
      </c>
      <c r="K168"/>
      <c r="L168"/>
      <c r="N168" s="15"/>
      <c r="O168" s="15"/>
      <c r="P168" s="15"/>
      <c r="Q168" s="15"/>
      <c r="R168" s="15"/>
      <c r="S168" s="15"/>
      <c r="T168" s="15"/>
      <c r="U168" s="15"/>
      <c r="V168" s="15"/>
      <c r="W168" s="15"/>
      <c r="X168" s="15"/>
      <c r="Y168" s="15"/>
    </row>
    <row r="169" spans="6:25" s="21" customFormat="1" ht="14.25" x14ac:dyDescent="0.45">
      <c r="F169" s="119">
        <v>43683</v>
      </c>
      <c r="G169" s="52">
        <v>271.75924700000002</v>
      </c>
      <c r="H169" s="52">
        <v>89.320312999999999</v>
      </c>
      <c r="I169" s="120">
        <f t="shared" si="2"/>
        <v>1.4023230890322758E-2</v>
      </c>
      <c r="J169" s="120">
        <f t="shared" si="2"/>
        <v>1.0951675889692147E-4</v>
      </c>
      <c r="K169"/>
      <c r="L169"/>
      <c r="N169" s="15"/>
      <c r="O169" s="15"/>
      <c r="P169" s="15"/>
      <c r="Q169" s="15"/>
      <c r="R169" s="15"/>
      <c r="S169" s="15"/>
      <c r="T169" s="15"/>
      <c r="U169" s="15"/>
      <c r="V169" s="15"/>
      <c r="W169" s="15"/>
      <c r="X169" s="15"/>
      <c r="Y169" s="15"/>
    </row>
    <row r="170" spans="6:25" s="21" customFormat="1" ht="14.25" x14ac:dyDescent="0.45">
      <c r="F170" s="119">
        <v>43684</v>
      </c>
      <c r="G170" s="52">
        <v>271.91970800000001</v>
      </c>
      <c r="H170" s="52">
        <v>89.339827999999997</v>
      </c>
      <c r="I170" s="120">
        <f t="shared" si="2"/>
        <v>5.9045276939562186E-4</v>
      </c>
      <c r="J170" s="120">
        <f t="shared" si="2"/>
        <v>2.1848333648355478E-4</v>
      </c>
      <c r="K170"/>
      <c r="L170"/>
      <c r="N170" s="15"/>
      <c r="O170" s="15"/>
      <c r="P170" s="15"/>
      <c r="Q170" s="15"/>
      <c r="R170" s="15"/>
      <c r="S170" s="15"/>
      <c r="T170" s="15"/>
      <c r="U170" s="15"/>
      <c r="V170" s="15"/>
      <c r="W170" s="15"/>
      <c r="X170" s="15"/>
      <c r="Y170" s="15"/>
    </row>
    <row r="171" spans="6:25" s="21" customFormat="1" ht="14.25" x14ac:dyDescent="0.45">
      <c r="F171" s="119">
        <v>43685</v>
      </c>
      <c r="G171" s="52">
        <v>277.25491299999999</v>
      </c>
      <c r="H171" s="52">
        <v>89.349586000000002</v>
      </c>
      <c r="I171" s="120">
        <f t="shared" si="2"/>
        <v>1.9620516067926808E-2</v>
      </c>
      <c r="J171" s="120">
        <f t="shared" si="2"/>
        <v>1.0922340257923935E-4</v>
      </c>
      <c r="K171"/>
      <c r="L171"/>
      <c r="N171" s="15"/>
      <c r="O171" s="15"/>
      <c r="P171" s="15"/>
      <c r="Q171" s="15"/>
      <c r="R171" s="15"/>
      <c r="S171" s="15"/>
      <c r="T171" s="15"/>
      <c r="U171" s="15"/>
      <c r="V171" s="15"/>
      <c r="W171" s="15"/>
      <c r="X171" s="15"/>
      <c r="Y171" s="15"/>
    </row>
    <row r="172" spans="6:25" s="21" customFormat="1" ht="14.25" x14ac:dyDescent="0.45">
      <c r="F172" s="119">
        <v>43686</v>
      </c>
      <c r="G172" s="52">
        <v>275.366333</v>
      </c>
      <c r="H172" s="52">
        <v>89.339827999999997</v>
      </c>
      <c r="I172" s="120">
        <f t="shared" si="2"/>
        <v>-6.8117097712169228E-3</v>
      </c>
      <c r="J172" s="120">
        <f t="shared" si="2"/>
        <v>-1.0921147413045507E-4</v>
      </c>
      <c r="K172"/>
      <c r="L172"/>
      <c r="N172" s="15"/>
      <c r="O172" s="15"/>
      <c r="P172" s="15"/>
      <c r="Q172" s="15"/>
      <c r="R172" s="15"/>
      <c r="S172" s="15"/>
      <c r="T172" s="15"/>
      <c r="U172" s="15"/>
      <c r="V172" s="15"/>
      <c r="W172" s="15"/>
      <c r="X172" s="15"/>
      <c r="Y172" s="15"/>
    </row>
    <row r="173" spans="6:25" s="21" customFormat="1" ht="14.25" x14ac:dyDescent="0.45">
      <c r="F173" s="119">
        <v>43689</v>
      </c>
      <c r="G173" s="52">
        <v>272.01416</v>
      </c>
      <c r="H173" s="52">
        <v>89.359367000000006</v>
      </c>
      <c r="I173" s="120">
        <f t="shared" si="2"/>
        <v>-1.2173503432607369E-2</v>
      </c>
      <c r="J173" s="120">
        <f t="shared" si="2"/>
        <v>2.1870424912839859E-4</v>
      </c>
      <c r="K173"/>
      <c r="L173"/>
      <c r="N173" s="15"/>
      <c r="O173" s="15"/>
      <c r="P173" s="15"/>
      <c r="Q173" s="15"/>
      <c r="R173" s="15"/>
      <c r="S173" s="15"/>
      <c r="T173" s="15"/>
      <c r="U173" s="15"/>
      <c r="V173" s="15"/>
      <c r="W173" s="15"/>
      <c r="X173" s="15"/>
      <c r="Y173" s="15"/>
    </row>
    <row r="174" spans="6:25" s="21" customFormat="1" ht="14.25" x14ac:dyDescent="0.45">
      <c r="F174" s="119">
        <v>43690</v>
      </c>
      <c r="G174" s="52">
        <v>276.244415</v>
      </c>
      <c r="H174" s="52">
        <v>89.369140999999999</v>
      </c>
      <c r="I174" s="120">
        <f t="shared" si="2"/>
        <v>1.5551598490313845E-2</v>
      </c>
      <c r="J174" s="120">
        <f t="shared" si="2"/>
        <v>1.0937857247794724E-4</v>
      </c>
      <c r="K174"/>
      <c r="L174"/>
      <c r="N174" s="15"/>
      <c r="O174" s="15"/>
      <c r="P174" s="15"/>
      <c r="Q174" s="15"/>
      <c r="R174" s="15"/>
      <c r="S174" s="15"/>
      <c r="T174" s="15"/>
      <c r="U174" s="15"/>
      <c r="V174" s="15"/>
      <c r="W174" s="15"/>
      <c r="X174" s="15"/>
      <c r="Y174" s="15"/>
    </row>
    <row r="175" spans="6:25" s="21" customFormat="1" ht="14.25" x14ac:dyDescent="0.45">
      <c r="F175" s="119">
        <v>43691</v>
      </c>
      <c r="G175" s="52">
        <v>268.07656900000001</v>
      </c>
      <c r="H175" s="52">
        <v>89.359367000000006</v>
      </c>
      <c r="I175" s="120">
        <f t="shared" si="2"/>
        <v>-2.956746111953068E-2</v>
      </c>
      <c r="J175" s="120">
        <f t="shared" si="2"/>
        <v>-1.0936661011429205E-4</v>
      </c>
      <c r="K175"/>
      <c r="L175"/>
      <c r="N175" s="15"/>
      <c r="O175" s="15"/>
      <c r="P175" s="15"/>
      <c r="Q175" s="15"/>
      <c r="R175" s="15"/>
      <c r="S175" s="15"/>
      <c r="T175" s="15"/>
      <c r="U175" s="15"/>
      <c r="V175" s="15"/>
      <c r="W175" s="15"/>
      <c r="X175" s="15"/>
      <c r="Y175" s="15"/>
    </row>
    <row r="176" spans="6:25" s="21" customFormat="1" ht="14.25" x14ac:dyDescent="0.45">
      <c r="F176" s="119">
        <v>43692</v>
      </c>
      <c r="G176" s="52">
        <v>268.78478999999999</v>
      </c>
      <c r="H176" s="52">
        <v>89.398398999999998</v>
      </c>
      <c r="I176" s="120">
        <f t="shared" si="2"/>
        <v>2.6418608781879627E-3</v>
      </c>
      <c r="J176" s="120">
        <f t="shared" si="2"/>
        <v>4.3679808072050186E-4</v>
      </c>
      <c r="K176"/>
      <c r="L176"/>
      <c r="N176" s="15"/>
      <c r="O176" s="15"/>
      <c r="P176" s="15"/>
      <c r="Q176" s="15"/>
      <c r="R176" s="15"/>
      <c r="S176" s="15"/>
      <c r="T176" s="15"/>
      <c r="U176" s="15"/>
      <c r="V176" s="15"/>
      <c r="W176" s="15"/>
      <c r="X176" s="15"/>
      <c r="Y176" s="15"/>
    </row>
    <row r="177" spans="6:25" s="21" customFormat="1" ht="14.25" x14ac:dyDescent="0.45">
      <c r="F177" s="119">
        <v>43693</v>
      </c>
      <c r="G177" s="52">
        <v>272.75070199999999</v>
      </c>
      <c r="H177" s="52">
        <v>89.388656999999995</v>
      </c>
      <c r="I177" s="120">
        <f t="shared" si="2"/>
        <v>1.4754971812207085E-2</v>
      </c>
      <c r="J177" s="120">
        <f t="shared" si="2"/>
        <v>-1.089728687423408E-4</v>
      </c>
      <c r="K177"/>
      <c r="L177"/>
      <c r="N177" s="15"/>
      <c r="O177" s="15"/>
      <c r="P177" s="15"/>
      <c r="Q177" s="15"/>
      <c r="R177" s="15"/>
      <c r="S177" s="15"/>
      <c r="T177" s="15"/>
      <c r="U177" s="15"/>
      <c r="V177" s="15"/>
      <c r="W177" s="15"/>
      <c r="X177" s="15"/>
      <c r="Y177" s="15"/>
    </row>
    <row r="178" spans="6:25" s="21" customFormat="1" ht="14.25" x14ac:dyDescent="0.45">
      <c r="F178" s="119">
        <v>43696</v>
      </c>
      <c r="G178" s="52">
        <v>276.03668199999998</v>
      </c>
      <c r="H178" s="52">
        <v>89.388656999999995</v>
      </c>
      <c r="I178" s="120">
        <f t="shared" si="2"/>
        <v>1.2047558359721489E-2</v>
      </c>
      <c r="J178" s="120">
        <f t="shared" si="2"/>
        <v>0</v>
      </c>
      <c r="K178"/>
      <c r="L178"/>
      <c r="N178" s="15"/>
      <c r="O178" s="15"/>
      <c r="P178" s="15"/>
      <c r="Q178" s="15"/>
      <c r="R178" s="15"/>
      <c r="S178" s="15"/>
      <c r="T178" s="15"/>
      <c r="U178" s="15"/>
      <c r="V178" s="15"/>
      <c r="W178" s="15"/>
      <c r="X178" s="15"/>
      <c r="Y178" s="15"/>
    </row>
    <row r="179" spans="6:25" s="21" customFormat="1" ht="14.25" x14ac:dyDescent="0.45">
      <c r="F179" s="119">
        <v>43697</v>
      </c>
      <c r="G179" s="52">
        <v>273.92156999999997</v>
      </c>
      <c r="H179" s="52">
        <v>89.398398999999998</v>
      </c>
      <c r="I179" s="120">
        <f t="shared" si="2"/>
        <v>-7.6624308938766372E-3</v>
      </c>
      <c r="J179" s="120">
        <f t="shared" si="2"/>
        <v>1.0898474512277545E-4</v>
      </c>
      <c r="K179"/>
      <c r="L179"/>
      <c r="N179" s="15"/>
      <c r="O179" s="15"/>
      <c r="P179" s="15"/>
      <c r="Q179" s="15"/>
      <c r="R179" s="15"/>
      <c r="S179" s="15"/>
      <c r="T179" s="15"/>
      <c r="U179" s="15"/>
      <c r="V179" s="15"/>
      <c r="W179" s="15"/>
      <c r="X179" s="15"/>
      <c r="Y179" s="15"/>
    </row>
    <row r="180" spans="6:25" s="21" customFormat="1" ht="14.25" x14ac:dyDescent="0.45">
      <c r="F180" s="119">
        <v>43698</v>
      </c>
      <c r="G180" s="52">
        <v>276.15011600000003</v>
      </c>
      <c r="H180" s="52">
        <v>89.388656999999995</v>
      </c>
      <c r="I180" s="120">
        <f t="shared" si="2"/>
        <v>8.1357083343238656E-3</v>
      </c>
      <c r="J180" s="120">
        <f t="shared" si="2"/>
        <v>-1.089728687423408E-4</v>
      </c>
      <c r="K180"/>
      <c r="L180"/>
      <c r="N180" s="15"/>
      <c r="O180" s="15"/>
      <c r="P180" s="15"/>
      <c r="Q180" s="15"/>
      <c r="R180" s="15"/>
      <c r="S180" s="15"/>
      <c r="T180" s="15"/>
      <c r="U180" s="15"/>
      <c r="V180" s="15"/>
      <c r="W180" s="15"/>
      <c r="X180" s="15"/>
      <c r="Y180" s="15"/>
    </row>
    <row r="181" spans="6:25" s="21" customFormat="1" ht="14.25" x14ac:dyDescent="0.45">
      <c r="F181" s="119">
        <v>43699</v>
      </c>
      <c r="G181" s="52">
        <v>276.06506300000001</v>
      </c>
      <c r="H181" s="52">
        <v>89.417946000000001</v>
      </c>
      <c r="I181" s="120">
        <f t="shared" si="2"/>
        <v>-3.0799552515858863E-4</v>
      </c>
      <c r="J181" s="120">
        <f t="shared" si="2"/>
        <v>3.2765902277742676E-4</v>
      </c>
      <c r="K181"/>
      <c r="L181"/>
      <c r="N181" s="15"/>
      <c r="O181" s="15"/>
      <c r="P181" s="15"/>
      <c r="Q181" s="15"/>
      <c r="R181" s="15"/>
      <c r="S181" s="15"/>
      <c r="T181" s="15"/>
      <c r="U181" s="15"/>
      <c r="V181" s="15"/>
      <c r="W181" s="15"/>
      <c r="X181" s="15"/>
      <c r="Y181" s="15"/>
    </row>
    <row r="182" spans="6:25" s="21" customFormat="1" ht="14.25" x14ac:dyDescent="0.45">
      <c r="F182" s="119">
        <v>43700</v>
      </c>
      <c r="G182" s="52">
        <v>268.97363300000001</v>
      </c>
      <c r="H182" s="52">
        <v>89.408173000000005</v>
      </c>
      <c r="I182" s="120">
        <f t="shared" si="2"/>
        <v>-2.5687531493255311E-2</v>
      </c>
      <c r="J182" s="120">
        <f t="shared" si="2"/>
        <v>-1.0929573354323541E-4</v>
      </c>
      <c r="K182"/>
      <c r="L182"/>
      <c r="N182" s="15"/>
      <c r="O182" s="15"/>
      <c r="P182" s="15"/>
      <c r="Q182" s="15"/>
      <c r="R182" s="15"/>
      <c r="S182" s="15"/>
      <c r="T182" s="15"/>
      <c r="U182" s="15"/>
      <c r="V182" s="15"/>
      <c r="W182" s="15"/>
      <c r="X182" s="15"/>
      <c r="Y182" s="15"/>
    </row>
    <row r="183" spans="6:25" s="21" customFormat="1" ht="14.25" x14ac:dyDescent="0.45">
      <c r="F183" s="119">
        <v>43703</v>
      </c>
      <c r="G183" s="52">
        <v>271.94802900000002</v>
      </c>
      <c r="H183" s="52">
        <v>89.417946000000001</v>
      </c>
      <c r="I183" s="120">
        <f t="shared" si="2"/>
        <v>1.1058318121464294E-2</v>
      </c>
      <c r="J183" s="120">
        <f t="shared" si="2"/>
        <v>1.0930768040640082E-4</v>
      </c>
      <c r="K183"/>
      <c r="L183"/>
      <c r="N183" s="15"/>
      <c r="O183" s="15"/>
      <c r="P183" s="15"/>
      <c r="Q183" s="15"/>
      <c r="R183" s="15"/>
      <c r="S183" s="15"/>
      <c r="T183" s="15"/>
      <c r="U183" s="15"/>
      <c r="V183" s="15"/>
      <c r="W183" s="15"/>
      <c r="X183" s="15"/>
      <c r="Y183" s="15"/>
    </row>
    <row r="184" spans="6:25" s="21" customFormat="1" ht="14.25" x14ac:dyDescent="0.45">
      <c r="F184" s="119">
        <v>43704</v>
      </c>
      <c r="G184" s="52">
        <v>270.88110399999999</v>
      </c>
      <c r="H184" s="52">
        <v>89.427689000000001</v>
      </c>
      <c r="I184" s="120">
        <f t="shared" si="2"/>
        <v>-3.9232680005929499E-3</v>
      </c>
      <c r="J184" s="120">
        <f t="shared" si="2"/>
        <v>1.0896023042183955E-4</v>
      </c>
      <c r="K184"/>
      <c r="L184"/>
      <c r="N184" s="15"/>
      <c r="O184" s="15"/>
      <c r="P184" s="15"/>
      <c r="Q184" s="15"/>
      <c r="R184" s="15"/>
      <c r="S184" s="15"/>
      <c r="T184" s="15"/>
      <c r="U184" s="15"/>
      <c r="V184" s="15"/>
      <c r="W184" s="15"/>
      <c r="X184" s="15"/>
      <c r="Y184" s="15"/>
    </row>
    <row r="185" spans="6:25" s="21" customFormat="1" ht="14.25" x14ac:dyDescent="0.45">
      <c r="F185" s="119">
        <v>43705</v>
      </c>
      <c r="G185" s="52">
        <v>272.78851300000002</v>
      </c>
      <c r="H185" s="52">
        <v>89.417946000000001</v>
      </c>
      <c r="I185" s="120">
        <f t="shared" si="2"/>
        <v>7.0414989153324559E-3</v>
      </c>
      <c r="J185" s="120">
        <f t="shared" si="2"/>
        <v>-1.0894835938346503E-4</v>
      </c>
      <c r="K185"/>
      <c r="L185"/>
      <c r="N185" s="15"/>
      <c r="O185" s="15"/>
      <c r="P185" s="15"/>
      <c r="Q185" s="15"/>
      <c r="R185" s="15"/>
      <c r="S185" s="15"/>
      <c r="T185" s="15"/>
      <c r="U185" s="15"/>
      <c r="V185" s="15"/>
      <c r="W185" s="15"/>
      <c r="X185" s="15"/>
      <c r="Y185" s="15"/>
    </row>
    <row r="186" spans="6:25" s="21" customFormat="1" ht="14.25" x14ac:dyDescent="0.45">
      <c r="F186" s="119">
        <v>43706</v>
      </c>
      <c r="G186" s="52">
        <v>276.27279700000003</v>
      </c>
      <c r="H186" s="52">
        <v>89.437461999999996</v>
      </c>
      <c r="I186" s="120">
        <f t="shared" si="2"/>
        <v>1.2772839888606224E-2</v>
      </c>
      <c r="J186" s="120">
        <f t="shared" si="2"/>
        <v>2.1825596396496394E-4</v>
      </c>
      <c r="K186"/>
      <c r="L186"/>
      <c r="N186" s="15"/>
      <c r="O186" s="15"/>
      <c r="P186" s="15"/>
      <c r="Q186" s="15"/>
      <c r="R186" s="15"/>
      <c r="S186" s="15"/>
      <c r="T186" s="15"/>
      <c r="U186" s="15"/>
      <c r="V186" s="15"/>
      <c r="W186" s="15"/>
      <c r="X186" s="15"/>
      <c r="Y186" s="15"/>
    </row>
    <row r="187" spans="6:25" s="21" customFormat="1" ht="14.25" x14ac:dyDescent="0.45">
      <c r="F187" s="119">
        <v>43707</v>
      </c>
      <c r="G187" s="52">
        <v>276.15011600000003</v>
      </c>
      <c r="H187" s="52">
        <v>89.447211999999993</v>
      </c>
      <c r="I187" s="120">
        <f t="shared" si="2"/>
        <v>-4.4405747265807705E-4</v>
      </c>
      <c r="J187" s="120">
        <f t="shared" si="2"/>
        <v>1.0901472137025969E-4</v>
      </c>
      <c r="K187"/>
      <c r="L187"/>
      <c r="N187" s="15"/>
      <c r="O187" s="15"/>
      <c r="P187" s="15"/>
      <c r="Q187" s="15"/>
      <c r="R187" s="15"/>
      <c r="S187" s="15"/>
      <c r="T187" s="15"/>
      <c r="U187" s="15"/>
      <c r="V187" s="15"/>
      <c r="W187" s="15"/>
      <c r="X187" s="15"/>
      <c r="Y187" s="15"/>
    </row>
    <row r="188" spans="6:25" s="21" customFormat="1" ht="14.25" x14ac:dyDescent="0.45">
      <c r="F188" s="119">
        <v>43711</v>
      </c>
      <c r="G188" s="52">
        <v>274.53533900000002</v>
      </c>
      <c r="H188" s="52">
        <v>89.464850999999996</v>
      </c>
      <c r="I188" s="120">
        <f t="shared" si="2"/>
        <v>-5.8474608788504634E-3</v>
      </c>
      <c r="J188" s="120">
        <f t="shared" si="2"/>
        <v>1.9720010949031419E-4</v>
      </c>
      <c r="K188"/>
      <c r="L188"/>
      <c r="N188" s="15"/>
      <c r="O188" s="15"/>
      <c r="P188" s="15"/>
      <c r="Q188" s="15"/>
      <c r="R188" s="15"/>
      <c r="S188" s="15"/>
      <c r="T188" s="15"/>
      <c r="U188" s="15"/>
      <c r="V188" s="15"/>
      <c r="W188" s="15"/>
      <c r="X188" s="15"/>
      <c r="Y188" s="15"/>
    </row>
    <row r="189" spans="6:25" s="21" customFormat="1" ht="14.25" x14ac:dyDescent="0.45">
      <c r="F189" s="119">
        <v>43712</v>
      </c>
      <c r="G189" s="52">
        <v>277.65145899999999</v>
      </c>
      <c r="H189" s="52">
        <v>89.455062999999996</v>
      </c>
      <c r="I189" s="120">
        <f t="shared" si="2"/>
        <v>1.1350524166945153E-2</v>
      </c>
      <c r="J189" s="120">
        <f t="shared" si="2"/>
        <v>-1.0940609513787614E-4</v>
      </c>
      <c r="K189"/>
      <c r="L189"/>
      <c r="N189" s="15"/>
      <c r="O189" s="15"/>
      <c r="P189" s="15"/>
      <c r="Q189" s="15"/>
      <c r="R189" s="15"/>
      <c r="S189" s="15"/>
      <c r="T189" s="15"/>
      <c r="U189" s="15"/>
      <c r="V189" s="15"/>
      <c r="W189" s="15"/>
      <c r="X189" s="15"/>
      <c r="Y189" s="15"/>
    </row>
    <row r="190" spans="6:25" s="21" customFormat="1" ht="14.25" x14ac:dyDescent="0.45">
      <c r="F190" s="119">
        <v>43713</v>
      </c>
      <c r="G190" s="52">
        <v>281.22076399999997</v>
      </c>
      <c r="H190" s="52">
        <v>89.464850999999996</v>
      </c>
      <c r="I190" s="120">
        <f t="shared" si="2"/>
        <v>1.2855343936802432E-2</v>
      </c>
      <c r="J190" s="120">
        <f t="shared" si="2"/>
        <v>1.0941806614117588E-4</v>
      </c>
      <c r="K190"/>
      <c r="L190"/>
      <c r="N190" s="15"/>
      <c r="O190" s="15"/>
      <c r="P190" s="15"/>
      <c r="Q190" s="15"/>
      <c r="R190" s="15"/>
      <c r="S190" s="15"/>
      <c r="T190" s="15"/>
      <c r="U190" s="15"/>
      <c r="V190" s="15"/>
      <c r="W190" s="15"/>
      <c r="X190" s="15"/>
      <c r="Y190" s="15"/>
    </row>
    <row r="191" spans="6:25" s="21" customFormat="1" ht="14.25" x14ac:dyDescent="0.45">
      <c r="F191" s="119">
        <v>43714</v>
      </c>
      <c r="G191" s="52">
        <v>281.43789700000002</v>
      </c>
      <c r="H191" s="52">
        <v>89.474632</v>
      </c>
      <c r="I191" s="120">
        <f t="shared" si="2"/>
        <v>7.7210870531607689E-4</v>
      </c>
      <c r="J191" s="120">
        <f t="shared" si="2"/>
        <v>1.0932785211936746E-4</v>
      </c>
      <c r="K191"/>
      <c r="L191"/>
      <c r="N191" s="15"/>
      <c r="O191" s="15"/>
      <c r="P191" s="15"/>
      <c r="Q191" s="15"/>
      <c r="R191" s="15"/>
      <c r="S191" s="15"/>
      <c r="T191" s="15"/>
      <c r="U191" s="15"/>
      <c r="V191" s="15"/>
      <c r="W191" s="15"/>
      <c r="X191" s="15"/>
      <c r="Y191" s="15"/>
    </row>
    <row r="192" spans="6:25" s="21" customFormat="1" ht="14.25" x14ac:dyDescent="0.45">
      <c r="F192" s="119">
        <v>43717</v>
      </c>
      <c r="G192" s="52">
        <v>281.579498</v>
      </c>
      <c r="H192" s="52">
        <v>89.474632</v>
      </c>
      <c r="I192" s="120">
        <f t="shared" si="2"/>
        <v>5.0313408929425485E-4</v>
      </c>
      <c r="J192" s="120">
        <f t="shared" si="2"/>
        <v>0</v>
      </c>
      <c r="K192"/>
      <c r="L192"/>
      <c r="N192" s="15"/>
      <c r="O192" s="15"/>
      <c r="P192" s="15"/>
      <c r="Q192" s="15"/>
      <c r="R192" s="15"/>
      <c r="S192" s="15"/>
      <c r="T192" s="15"/>
      <c r="U192" s="15"/>
      <c r="V192" s="15"/>
      <c r="W192" s="15"/>
      <c r="X192" s="15"/>
      <c r="Y192" s="15"/>
    </row>
    <row r="193" spans="6:25" s="21" customFormat="1" ht="14.25" x14ac:dyDescent="0.45">
      <c r="F193" s="119">
        <v>43718</v>
      </c>
      <c r="G193" s="52">
        <v>281.51348899999999</v>
      </c>
      <c r="H193" s="52">
        <v>89.494193999999993</v>
      </c>
      <c r="I193" s="120">
        <f t="shared" si="2"/>
        <v>-2.3442402756190805E-4</v>
      </c>
      <c r="J193" s="120">
        <f t="shared" si="2"/>
        <v>2.1863180169323648E-4</v>
      </c>
      <c r="K193"/>
      <c r="L193"/>
      <c r="N193" s="15"/>
      <c r="O193" s="15"/>
      <c r="P193" s="15"/>
      <c r="Q193" s="15"/>
      <c r="R193" s="15"/>
      <c r="S193" s="15"/>
      <c r="T193" s="15"/>
      <c r="U193" s="15"/>
      <c r="V193" s="15"/>
      <c r="W193" s="15"/>
      <c r="X193" s="15"/>
      <c r="Y193" s="15"/>
    </row>
    <row r="194" spans="6:25" s="21" customFormat="1" ht="14.25" x14ac:dyDescent="0.45">
      <c r="F194" s="119">
        <v>43719</v>
      </c>
      <c r="G194" s="52">
        <v>283.51535000000001</v>
      </c>
      <c r="H194" s="52">
        <v>89.484413000000004</v>
      </c>
      <c r="I194" s="120">
        <f t="shared" si="2"/>
        <v>7.1110659993987024E-3</v>
      </c>
      <c r="J194" s="120">
        <f t="shared" si="2"/>
        <v>-1.0929200613829515E-4</v>
      </c>
      <c r="K194"/>
      <c r="L194"/>
      <c r="N194" s="15"/>
      <c r="O194" s="15"/>
      <c r="P194" s="15"/>
      <c r="Q194" s="15"/>
      <c r="R194" s="15"/>
      <c r="S194" s="15"/>
      <c r="T194" s="15"/>
      <c r="U194" s="15"/>
      <c r="V194" s="15"/>
      <c r="W194" s="15"/>
      <c r="X194" s="15"/>
      <c r="Y194" s="15"/>
    </row>
    <row r="195" spans="6:25" s="21" customFormat="1" ht="14.25" x14ac:dyDescent="0.45">
      <c r="F195" s="119">
        <v>43720</v>
      </c>
      <c r="G195" s="52">
        <v>284.497345</v>
      </c>
      <c r="H195" s="52">
        <v>89.503951999999998</v>
      </c>
      <c r="I195" s="120">
        <f t="shared" si="2"/>
        <v>3.4636396230398603E-3</v>
      </c>
      <c r="J195" s="120">
        <f t="shared" si="2"/>
        <v>2.1835087636978834E-4</v>
      </c>
      <c r="K195"/>
      <c r="L195"/>
      <c r="N195" s="15"/>
      <c r="O195" s="15"/>
      <c r="P195" s="15"/>
      <c r="Q195" s="15"/>
      <c r="R195" s="15"/>
      <c r="S195" s="15"/>
      <c r="T195" s="15"/>
      <c r="U195" s="15"/>
      <c r="V195" s="15"/>
      <c r="W195" s="15"/>
      <c r="X195" s="15"/>
      <c r="Y195" s="15"/>
    </row>
    <row r="196" spans="6:25" s="21" customFormat="1" ht="14.25" x14ac:dyDescent="0.45">
      <c r="F196" s="119">
        <v>43721</v>
      </c>
      <c r="G196" s="52">
        <v>284.30850199999998</v>
      </c>
      <c r="H196" s="52">
        <v>89.503951999999998</v>
      </c>
      <c r="I196" s="120">
        <f t="shared" si="2"/>
        <v>-6.6377772347936403E-4</v>
      </c>
      <c r="J196" s="120">
        <f t="shared" si="2"/>
        <v>0</v>
      </c>
      <c r="K196"/>
      <c r="L196"/>
      <c r="N196" s="15"/>
      <c r="O196" s="15"/>
      <c r="P196" s="15"/>
      <c r="Q196" s="15"/>
      <c r="R196" s="15"/>
      <c r="S196" s="15"/>
      <c r="T196" s="15"/>
      <c r="U196" s="15"/>
      <c r="V196" s="15"/>
      <c r="W196" s="15"/>
      <c r="X196" s="15"/>
      <c r="Y196" s="15"/>
    </row>
    <row r="197" spans="6:25" s="21" customFormat="1" ht="14.25" x14ac:dyDescent="0.45">
      <c r="F197" s="119">
        <v>43724</v>
      </c>
      <c r="G197" s="52">
        <v>283.43032799999997</v>
      </c>
      <c r="H197" s="52">
        <v>89.503951999999998</v>
      </c>
      <c r="I197" s="120">
        <f t="shared" si="2"/>
        <v>-3.0888066794428903E-3</v>
      </c>
      <c r="J197" s="120">
        <f t="shared" si="2"/>
        <v>0</v>
      </c>
      <c r="K197"/>
      <c r="L197"/>
      <c r="N197" s="15"/>
      <c r="O197" s="15"/>
      <c r="P197" s="15"/>
      <c r="Q197" s="15"/>
      <c r="R197" s="15"/>
      <c r="S197" s="15"/>
      <c r="T197" s="15"/>
      <c r="U197" s="15"/>
      <c r="V197" s="15"/>
      <c r="W197" s="15"/>
      <c r="X197" s="15"/>
      <c r="Y197" s="15"/>
    </row>
    <row r="198" spans="6:25" s="21" customFormat="1" ht="14.25" x14ac:dyDescent="0.45">
      <c r="F198" s="119">
        <v>43725</v>
      </c>
      <c r="G198" s="52">
        <v>284.14798000000002</v>
      </c>
      <c r="H198" s="52">
        <v>89.513756000000001</v>
      </c>
      <c r="I198" s="120">
        <f t="shared" si="2"/>
        <v>2.5320226140375102E-3</v>
      </c>
      <c r="J198" s="120">
        <f t="shared" si="2"/>
        <v>1.0953706267624597E-4</v>
      </c>
      <c r="K198"/>
      <c r="L198"/>
      <c r="N198" s="15"/>
      <c r="O198" s="15"/>
      <c r="P198" s="15"/>
      <c r="Q198" s="15"/>
      <c r="R198" s="15"/>
      <c r="S198" s="15"/>
      <c r="T198" s="15"/>
      <c r="U198" s="15"/>
      <c r="V198" s="15"/>
      <c r="W198" s="15"/>
      <c r="X198" s="15"/>
      <c r="Y198" s="15"/>
    </row>
    <row r="199" spans="6:25" s="21" customFormat="1" ht="14.25" x14ac:dyDescent="0.45">
      <c r="F199" s="119">
        <v>43726</v>
      </c>
      <c r="G199" s="52">
        <v>284.317993</v>
      </c>
      <c r="H199" s="52">
        <v>89.53331</v>
      </c>
      <c r="I199" s="120">
        <f t="shared" si="2"/>
        <v>5.9832556261696368E-4</v>
      </c>
      <c r="J199" s="120">
        <f t="shared" si="2"/>
        <v>2.1844687200922586E-4</v>
      </c>
      <c r="K199"/>
      <c r="L199"/>
      <c r="N199" s="15"/>
      <c r="O199" s="15"/>
      <c r="P199" s="15"/>
      <c r="Q199" s="15"/>
      <c r="R199" s="15"/>
      <c r="S199" s="15"/>
      <c r="T199" s="15"/>
      <c r="U199" s="15"/>
      <c r="V199" s="15"/>
      <c r="W199" s="15"/>
      <c r="X199" s="15"/>
      <c r="Y199" s="15"/>
    </row>
    <row r="200" spans="6:25" s="21" customFormat="1" ht="14.25" x14ac:dyDescent="0.45">
      <c r="F200" s="119">
        <v>43727</v>
      </c>
      <c r="G200" s="52">
        <v>284.29904199999999</v>
      </c>
      <c r="H200" s="52">
        <v>89.53331</v>
      </c>
      <c r="I200" s="120">
        <f t="shared" si="2"/>
        <v>-6.665424090834815E-5</v>
      </c>
      <c r="J200" s="120">
        <f t="shared" si="2"/>
        <v>0</v>
      </c>
      <c r="K200"/>
      <c r="L200"/>
      <c r="N200" s="15"/>
      <c r="O200" s="15"/>
      <c r="P200" s="15"/>
      <c r="Q200" s="15"/>
      <c r="R200" s="15"/>
      <c r="S200" s="15"/>
      <c r="T200" s="15"/>
      <c r="U200" s="15"/>
      <c r="V200" s="15"/>
      <c r="W200" s="15"/>
      <c r="X200" s="15"/>
      <c r="Y200" s="15"/>
    </row>
    <row r="201" spans="6:25" s="21" customFormat="1" ht="14.25" x14ac:dyDescent="0.45">
      <c r="F201" s="119">
        <v>43728</v>
      </c>
      <c r="G201" s="52">
        <v>282.95584100000002</v>
      </c>
      <c r="H201" s="52">
        <v>89.543098000000001</v>
      </c>
      <c r="I201" s="120">
        <f t="shared" si="2"/>
        <v>-4.7246061420072039E-3</v>
      </c>
      <c r="J201" s="120">
        <f t="shared" si="2"/>
        <v>1.0932244099981503E-4</v>
      </c>
      <c r="K201"/>
      <c r="L201"/>
      <c r="N201" s="15"/>
      <c r="O201" s="15"/>
      <c r="P201" s="15"/>
      <c r="Q201" s="15"/>
      <c r="R201" s="15"/>
      <c r="S201" s="15"/>
      <c r="T201" s="15"/>
      <c r="U201" s="15"/>
      <c r="V201" s="15"/>
      <c r="W201" s="15"/>
      <c r="X201" s="15"/>
      <c r="Y201" s="15"/>
    </row>
    <row r="202" spans="6:25" s="21" customFormat="1" ht="14.25" x14ac:dyDescent="0.45">
      <c r="F202" s="119">
        <v>43731</v>
      </c>
      <c r="G202" s="52">
        <v>282.88937399999998</v>
      </c>
      <c r="H202" s="52">
        <v>89.562652999999997</v>
      </c>
      <c r="I202" s="120">
        <f t="shared" si="2"/>
        <v>-2.3490237828327487E-4</v>
      </c>
      <c r="J202" s="120">
        <f t="shared" si="2"/>
        <v>2.1838645788196942E-4</v>
      </c>
      <c r="K202"/>
      <c r="L202"/>
      <c r="N202" s="15"/>
      <c r="O202" s="15"/>
      <c r="P202" s="15"/>
      <c r="Q202" s="15"/>
      <c r="R202" s="15"/>
      <c r="S202" s="15"/>
      <c r="T202" s="15"/>
      <c r="U202" s="15"/>
      <c r="V202" s="15"/>
      <c r="W202" s="15"/>
      <c r="X202" s="15"/>
      <c r="Y202" s="15"/>
    </row>
    <row r="203" spans="6:25" s="21" customFormat="1" ht="14.25" x14ac:dyDescent="0.45">
      <c r="F203" s="119">
        <v>43732</v>
      </c>
      <c r="G203" s="52">
        <v>280.66961700000002</v>
      </c>
      <c r="H203" s="52">
        <v>89.562652999999997</v>
      </c>
      <c r="I203" s="120">
        <f t="shared" si="2"/>
        <v>-7.8467316343948657E-3</v>
      </c>
      <c r="J203" s="120">
        <f t="shared" si="2"/>
        <v>0</v>
      </c>
      <c r="K203"/>
      <c r="L203"/>
      <c r="N203" s="15"/>
      <c r="O203" s="15"/>
      <c r="P203" s="15"/>
      <c r="Q203" s="15"/>
      <c r="R203" s="15"/>
      <c r="S203" s="15"/>
      <c r="T203" s="15"/>
      <c r="U203" s="15"/>
      <c r="V203" s="15"/>
      <c r="W203" s="15"/>
      <c r="X203" s="15"/>
      <c r="Y203" s="15"/>
    </row>
    <row r="204" spans="6:25" s="21" customFormat="1" ht="14.25" x14ac:dyDescent="0.45">
      <c r="F204" s="119">
        <v>43733</v>
      </c>
      <c r="G204" s="52">
        <v>282.32974200000001</v>
      </c>
      <c r="H204" s="52">
        <v>89.562652999999997</v>
      </c>
      <c r="I204" s="120">
        <f t="shared" si="2"/>
        <v>5.914872502925661E-3</v>
      </c>
      <c r="J204" s="120">
        <f t="shared" si="2"/>
        <v>0</v>
      </c>
      <c r="K204"/>
      <c r="L204"/>
      <c r="N204" s="15"/>
      <c r="O204" s="15"/>
      <c r="P204" s="15"/>
      <c r="Q204" s="15"/>
      <c r="R204" s="15"/>
      <c r="S204" s="15"/>
      <c r="T204" s="15"/>
      <c r="U204" s="15"/>
      <c r="V204" s="15"/>
      <c r="W204" s="15"/>
      <c r="X204" s="15"/>
      <c r="Y204" s="15"/>
    </row>
    <row r="205" spans="6:25" s="21" customFormat="1" ht="14.25" x14ac:dyDescent="0.45">
      <c r="F205" s="119">
        <v>43734</v>
      </c>
      <c r="G205" s="52">
        <v>281.74154700000003</v>
      </c>
      <c r="H205" s="52">
        <v>89.582222000000002</v>
      </c>
      <c r="I205" s="120">
        <f t="shared" si="2"/>
        <v>-2.0833618018182287E-3</v>
      </c>
      <c r="J205" s="120">
        <f t="shared" si="2"/>
        <v>2.1849509080529295E-4</v>
      </c>
      <c r="K205"/>
      <c r="L205"/>
      <c r="N205" s="15"/>
      <c r="O205" s="15"/>
      <c r="P205" s="15"/>
      <c r="Q205" s="15"/>
      <c r="R205" s="15"/>
      <c r="S205" s="15"/>
      <c r="T205" s="15"/>
      <c r="U205" s="15"/>
      <c r="V205" s="15"/>
      <c r="W205" s="15"/>
      <c r="X205" s="15"/>
      <c r="Y205" s="15"/>
    </row>
    <row r="206" spans="6:25" s="21" customFormat="1" ht="14.25" x14ac:dyDescent="0.45">
      <c r="F206" s="119">
        <v>43735</v>
      </c>
      <c r="G206" s="52">
        <v>280.223724</v>
      </c>
      <c r="H206" s="52">
        <v>89.582222000000002</v>
      </c>
      <c r="I206" s="120">
        <f t="shared" si="2"/>
        <v>-5.3872885137526971E-3</v>
      </c>
      <c r="J206" s="120">
        <f t="shared" si="2"/>
        <v>0</v>
      </c>
      <c r="K206"/>
      <c r="L206"/>
      <c r="N206" s="15"/>
      <c r="O206" s="15"/>
      <c r="P206" s="15"/>
      <c r="Q206" s="15"/>
      <c r="R206" s="15"/>
      <c r="S206" s="15"/>
      <c r="T206" s="15"/>
      <c r="U206" s="15"/>
      <c r="V206" s="15"/>
      <c r="W206" s="15"/>
      <c r="X206" s="15"/>
      <c r="Y206" s="15"/>
    </row>
    <row r="207" spans="6:25" s="21" customFormat="1" ht="14.25" x14ac:dyDescent="0.45">
      <c r="F207" s="119">
        <v>43738</v>
      </c>
      <c r="G207" s="52">
        <v>281.52337599999998</v>
      </c>
      <c r="H207" s="52">
        <v>89.591994999999997</v>
      </c>
      <c r="I207" s="120">
        <f t="shared" si="2"/>
        <v>4.6379085305425782E-3</v>
      </c>
      <c r="J207" s="120">
        <f t="shared" si="2"/>
        <v>1.0909530687897018E-4</v>
      </c>
      <c r="K207"/>
      <c r="L207"/>
      <c r="N207" s="15"/>
      <c r="O207" s="15"/>
      <c r="P207" s="15"/>
      <c r="Q207" s="15"/>
      <c r="R207" s="15"/>
      <c r="S207" s="15"/>
      <c r="T207" s="15"/>
      <c r="U207" s="15"/>
      <c r="V207" s="15"/>
      <c r="W207" s="15"/>
      <c r="X207" s="15"/>
      <c r="Y207" s="15"/>
    </row>
    <row r="208" spans="6:25" s="21" customFormat="1" ht="14.25" x14ac:dyDescent="0.45">
      <c r="F208" s="119">
        <v>43739</v>
      </c>
      <c r="G208" s="52">
        <v>278.17474399999998</v>
      </c>
      <c r="H208" s="52">
        <v>89.58905</v>
      </c>
      <c r="I208" s="120">
        <f t="shared" si="2"/>
        <v>-1.1894685434576502E-2</v>
      </c>
      <c r="J208" s="120">
        <f t="shared" si="2"/>
        <v>-3.2871240337906116E-5</v>
      </c>
      <c r="K208"/>
      <c r="L208"/>
      <c r="N208" s="15"/>
      <c r="O208" s="15"/>
      <c r="P208" s="15"/>
      <c r="Q208" s="15"/>
      <c r="R208" s="15"/>
      <c r="S208" s="15"/>
      <c r="T208" s="15"/>
      <c r="U208" s="15"/>
      <c r="V208" s="15"/>
      <c r="W208" s="15"/>
      <c r="X208" s="15"/>
      <c r="Y208" s="15"/>
    </row>
    <row r="209" spans="6:25" s="21" customFormat="1" ht="14.25" x14ac:dyDescent="0.45">
      <c r="F209" s="119">
        <v>43740</v>
      </c>
      <c r="G209" s="52">
        <v>273.26086400000003</v>
      </c>
      <c r="H209" s="52">
        <v>89.58905</v>
      </c>
      <c r="I209" s="120">
        <f t="shared" si="2"/>
        <v>-1.7664723724882592E-2</v>
      </c>
      <c r="J209" s="120">
        <f t="shared" si="2"/>
        <v>0</v>
      </c>
      <c r="K209"/>
      <c r="L209"/>
      <c r="N209" s="15"/>
      <c r="O209" s="15"/>
      <c r="P209" s="15"/>
      <c r="Q209" s="15"/>
      <c r="R209" s="15"/>
      <c r="S209" s="15"/>
      <c r="T209" s="15"/>
      <c r="U209" s="15"/>
      <c r="V209" s="15"/>
      <c r="W209" s="15"/>
      <c r="X209" s="15"/>
      <c r="Y209" s="15"/>
    </row>
    <row r="210" spans="6:25" s="21" customFormat="1" ht="14.25" x14ac:dyDescent="0.45">
      <c r="F210" s="119">
        <v>43741</v>
      </c>
      <c r="G210" s="52">
        <v>275.49960299999998</v>
      </c>
      <c r="H210" s="52">
        <v>89.618454</v>
      </c>
      <c r="I210" s="120">
        <f t="shared" si="2"/>
        <v>8.19268067600043E-3</v>
      </c>
      <c r="J210" s="120">
        <f t="shared" si="2"/>
        <v>3.2820975331238067E-4</v>
      </c>
      <c r="K210"/>
      <c r="L210"/>
      <c r="N210" s="15"/>
      <c r="O210" s="15"/>
      <c r="P210" s="15"/>
      <c r="Q210" s="15"/>
      <c r="R210" s="15"/>
      <c r="S210" s="15"/>
      <c r="T210" s="15"/>
      <c r="U210" s="15"/>
      <c r="V210" s="15"/>
      <c r="W210" s="15"/>
      <c r="X210" s="15"/>
      <c r="Y210" s="15"/>
    </row>
    <row r="211" spans="6:25" s="21" customFormat="1" ht="14.25" x14ac:dyDescent="0.45">
      <c r="F211" s="119">
        <v>43742</v>
      </c>
      <c r="G211" s="52">
        <v>279.22778299999999</v>
      </c>
      <c r="H211" s="52">
        <v>89.618454</v>
      </c>
      <c r="I211" s="120">
        <f t="shared" si="2"/>
        <v>1.3532433293560908E-2</v>
      </c>
      <c r="J211" s="120">
        <f t="shared" si="2"/>
        <v>0</v>
      </c>
      <c r="K211"/>
      <c r="L211"/>
      <c r="N211" s="15"/>
      <c r="O211" s="15"/>
      <c r="P211" s="15"/>
      <c r="Q211" s="15"/>
      <c r="R211" s="15"/>
      <c r="S211" s="15"/>
      <c r="T211" s="15"/>
      <c r="U211" s="15"/>
      <c r="V211" s="15"/>
      <c r="W211" s="15"/>
      <c r="X211" s="15"/>
      <c r="Y211" s="15"/>
    </row>
    <row r="212" spans="6:25" s="21" customFormat="1" ht="14.25" x14ac:dyDescent="0.45">
      <c r="F212" s="119">
        <v>43745</v>
      </c>
      <c r="G212" s="52">
        <v>278.022919</v>
      </c>
      <c r="H212" s="52">
        <v>89.628264999999999</v>
      </c>
      <c r="I212" s="120">
        <f t="shared" si="2"/>
        <v>-4.3149860914807325E-3</v>
      </c>
      <c r="J212" s="120">
        <f t="shared" si="2"/>
        <v>1.094752203603111E-4</v>
      </c>
      <c r="K212"/>
      <c r="L212"/>
      <c r="N212" s="15"/>
      <c r="O212" s="15"/>
      <c r="P212" s="15"/>
      <c r="Q212" s="15"/>
      <c r="R212" s="15"/>
      <c r="S212" s="15"/>
      <c r="T212" s="15"/>
      <c r="U212" s="15"/>
      <c r="V212" s="15"/>
      <c r="W212" s="15"/>
      <c r="X212" s="15"/>
      <c r="Y212" s="15"/>
    </row>
    <row r="213" spans="6:25" s="21" customFormat="1" ht="14.25" x14ac:dyDescent="0.45">
      <c r="F213" s="119">
        <v>43746</v>
      </c>
      <c r="G213" s="52">
        <v>273.706726</v>
      </c>
      <c r="H213" s="52">
        <v>89.628264999999999</v>
      </c>
      <c r="I213" s="120">
        <f t="shared" ref="I213:J276" si="3">G213/G212-1</f>
        <v>-1.5524594215198473E-2</v>
      </c>
      <c r="J213" s="120">
        <f t="shared" si="3"/>
        <v>0</v>
      </c>
      <c r="K213"/>
      <c r="L213"/>
      <c r="N213" s="15"/>
      <c r="O213" s="15"/>
      <c r="P213" s="15"/>
      <c r="Q213" s="15"/>
      <c r="R213" s="15"/>
      <c r="S213" s="15"/>
      <c r="T213" s="15"/>
      <c r="U213" s="15"/>
      <c r="V213" s="15"/>
      <c r="W213" s="15"/>
      <c r="X213" s="15"/>
      <c r="Y213" s="15"/>
    </row>
    <row r="214" spans="6:25" s="21" customFormat="1" ht="14.25" x14ac:dyDescent="0.45">
      <c r="F214" s="119">
        <v>43747</v>
      </c>
      <c r="G214" s="52">
        <v>276.30590799999999</v>
      </c>
      <c r="H214" s="52">
        <v>89.628264999999999</v>
      </c>
      <c r="I214" s="120">
        <f t="shared" si="3"/>
        <v>9.4962299172727249E-3</v>
      </c>
      <c r="J214" s="120">
        <f t="shared" si="3"/>
        <v>0</v>
      </c>
      <c r="K214"/>
      <c r="L214"/>
      <c r="N214" s="15"/>
      <c r="O214" s="15"/>
      <c r="P214" s="15"/>
      <c r="Q214" s="15"/>
      <c r="R214" s="15"/>
      <c r="S214" s="15"/>
      <c r="T214" s="15"/>
      <c r="U214" s="15"/>
      <c r="V214" s="15"/>
      <c r="W214" s="15"/>
      <c r="X214" s="15"/>
      <c r="Y214" s="15"/>
    </row>
    <row r="215" spans="6:25" s="21" customFormat="1" ht="14.25" x14ac:dyDescent="0.45">
      <c r="F215" s="119">
        <v>43748</v>
      </c>
      <c r="G215" s="52">
        <v>278.17474399999998</v>
      </c>
      <c r="H215" s="52">
        <v>89.647841999999997</v>
      </c>
      <c r="I215" s="120">
        <f t="shared" si="3"/>
        <v>6.7636483545621129E-3</v>
      </c>
      <c r="J215" s="120">
        <f t="shared" si="3"/>
        <v>2.1842439993680074E-4</v>
      </c>
      <c r="K215"/>
      <c r="L215"/>
      <c r="N215" s="15"/>
      <c r="O215" s="15"/>
      <c r="P215" s="15"/>
      <c r="Q215" s="15"/>
      <c r="R215" s="15"/>
      <c r="S215" s="15"/>
      <c r="T215" s="15"/>
      <c r="U215" s="15"/>
      <c r="V215" s="15"/>
      <c r="W215" s="15"/>
      <c r="X215" s="15"/>
      <c r="Y215" s="15"/>
    </row>
    <row r="216" spans="6:25" s="21" customFormat="1" ht="14.25" x14ac:dyDescent="0.45">
      <c r="F216" s="119">
        <v>43749</v>
      </c>
      <c r="G216" s="52">
        <v>281.05856299999999</v>
      </c>
      <c r="H216" s="52">
        <v>89.657639000000003</v>
      </c>
      <c r="I216" s="120">
        <f t="shared" si="3"/>
        <v>1.0366933239633003E-2</v>
      </c>
      <c r="J216" s="120">
        <f t="shared" si="3"/>
        <v>1.0928316601321875E-4</v>
      </c>
      <c r="K216"/>
      <c r="L216"/>
      <c r="N216" s="15"/>
      <c r="O216" s="15"/>
      <c r="P216" s="15"/>
      <c r="Q216" s="15"/>
      <c r="R216" s="15"/>
      <c r="S216" s="15"/>
      <c r="T216" s="15"/>
      <c r="U216" s="15"/>
      <c r="V216" s="15"/>
      <c r="W216" s="15"/>
      <c r="X216" s="15"/>
      <c r="Y216" s="15"/>
    </row>
    <row r="217" spans="6:25" s="21" customFormat="1" ht="14.25" x14ac:dyDescent="0.45">
      <c r="F217" s="119">
        <v>43752</v>
      </c>
      <c r="G217" s="52">
        <v>280.745544</v>
      </c>
      <c r="H217" s="52">
        <v>89.647841999999997</v>
      </c>
      <c r="I217" s="120">
        <f t="shared" si="3"/>
        <v>-1.1137145108082169E-3</v>
      </c>
      <c r="J217" s="120">
        <f t="shared" si="3"/>
        <v>-1.0927122450776761E-4</v>
      </c>
      <c r="K217"/>
      <c r="L217"/>
      <c r="N217" s="15"/>
      <c r="O217" s="15"/>
      <c r="P217" s="15"/>
      <c r="Q217" s="15"/>
      <c r="R217" s="15"/>
      <c r="S217" s="15"/>
      <c r="T217" s="15"/>
      <c r="U217" s="15"/>
      <c r="V217" s="15"/>
      <c r="W217" s="15"/>
      <c r="X217" s="15"/>
      <c r="Y217" s="15"/>
    </row>
    <row r="218" spans="6:25" s="21" customFormat="1" ht="14.25" x14ac:dyDescent="0.45">
      <c r="F218" s="119">
        <v>43753</v>
      </c>
      <c r="G218" s="52">
        <v>283.52499399999999</v>
      </c>
      <c r="H218" s="52">
        <v>89.657639000000003</v>
      </c>
      <c r="I218" s="120">
        <f t="shared" si="3"/>
        <v>9.9002461816455334E-3</v>
      </c>
      <c r="J218" s="120">
        <f t="shared" si="3"/>
        <v>1.0928316601321875E-4</v>
      </c>
      <c r="K218"/>
      <c r="L218"/>
      <c r="N218" s="15"/>
      <c r="O218" s="15"/>
      <c r="P218" s="15"/>
      <c r="Q218" s="15"/>
      <c r="R218" s="15"/>
      <c r="S218" s="15"/>
      <c r="T218" s="15"/>
      <c r="U218" s="15"/>
      <c r="V218" s="15"/>
      <c r="W218" s="15"/>
      <c r="X218" s="15"/>
      <c r="Y218" s="15"/>
    </row>
    <row r="219" spans="6:25" s="21" customFormat="1" ht="14.25" x14ac:dyDescent="0.45">
      <c r="F219" s="119">
        <v>43754</v>
      </c>
      <c r="G219" s="52">
        <v>283.06964099999999</v>
      </c>
      <c r="H219" s="52">
        <v>89.667434999999998</v>
      </c>
      <c r="I219" s="120">
        <f t="shared" si="3"/>
        <v>-1.6060418292435097E-3</v>
      </c>
      <c r="J219" s="120">
        <f t="shared" si="3"/>
        <v>1.0926007096845325E-4</v>
      </c>
      <c r="K219"/>
      <c r="L219"/>
      <c r="N219" s="15"/>
      <c r="O219" s="15"/>
      <c r="P219" s="15"/>
      <c r="Q219" s="15"/>
      <c r="R219" s="15"/>
      <c r="S219" s="15"/>
      <c r="T219" s="15"/>
      <c r="U219" s="15"/>
      <c r="V219" s="15"/>
      <c r="W219" s="15"/>
      <c r="X219" s="15"/>
      <c r="Y219" s="15"/>
    </row>
    <row r="220" spans="6:25" s="21" customFormat="1" ht="14.25" x14ac:dyDescent="0.45">
      <c r="F220" s="119">
        <v>43755</v>
      </c>
      <c r="G220" s="52">
        <v>283.904449</v>
      </c>
      <c r="H220" s="52">
        <v>89.677238000000003</v>
      </c>
      <c r="I220" s="120">
        <f t="shared" si="3"/>
        <v>2.9491258654614771E-3</v>
      </c>
      <c r="J220" s="120">
        <f t="shared" si="3"/>
        <v>1.0932620075521093E-4</v>
      </c>
      <c r="K220"/>
      <c r="L220"/>
      <c r="N220" s="15"/>
      <c r="O220" s="15"/>
      <c r="P220" s="15"/>
      <c r="Q220" s="15"/>
      <c r="R220" s="15"/>
      <c r="S220" s="15"/>
      <c r="T220" s="15"/>
      <c r="U220" s="15"/>
      <c r="V220" s="15"/>
      <c r="W220" s="15"/>
      <c r="X220" s="15"/>
      <c r="Y220" s="15"/>
    </row>
    <row r="221" spans="6:25" s="21" customFormat="1" ht="14.25" x14ac:dyDescent="0.45">
      <c r="F221" s="119">
        <v>43756</v>
      </c>
      <c r="G221" s="52">
        <v>282.66171300000002</v>
      </c>
      <c r="H221" s="52">
        <v>89.677238000000003</v>
      </c>
      <c r="I221" s="120">
        <f t="shared" si="3"/>
        <v>-4.377303717420733E-3</v>
      </c>
      <c r="J221" s="120">
        <f t="shared" si="3"/>
        <v>0</v>
      </c>
      <c r="K221"/>
      <c r="L221"/>
      <c r="N221" s="15"/>
      <c r="O221" s="15"/>
      <c r="P221" s="15"/>
      <c r="Q221" s="15"/>
      <c r="R221" s="15"/>
      <c r="S221" s="15"/>
      <c r="T221" s="15"/>
      <c r="U221" s="15"/>
      <c r="V221" s="15"/>
      <c r="W221" s="15"/>
      <c r="X221" s="15"/>
      <c r="Y221" s="15"/>
    </row>
    <row r="222" spans="6:25" s="21" customFormat="1" ht="14.25" x14ac:dyDescent="0.45">
      <c r="F222" s="119">
        <v>43759</v>
      </c>
      <c r="G222" s="52">
        <v>284.57794200000001</v>
      </c>
      <c r="H222" s="52">
        <v>89.687034999999995</v>
      </c>
      <c r="I222" s="120">
        <f t="shared" si="3"/>
        <v>6.7792308327232487E-3</v>
      </c>
      <c r="J222" s="120">
        <f t="shared" si="3"/>
        <v>1.0924734323314311E-4</v>
      </c>
      <c r="K222"/>
      <c r="L222"/>
      <c r="N222" s="15"/>
      <c r="O222" s="15"/>
      <c r="P222" s="15"/>
      <c r="Q222" s="15"/>
      <c r="R222" s="15"/>
      <c r="S222" s="15"/>
      <c r="T222" s="15"/>
      <c r="U222" s="15"/>
      <c r="V222" s="15"/>
      <c r="W222" s="15"/>
      <c r="X222" s="15"/>
      <c r="Y222" s="15"/>
    </row>
    <row r="223" spans="6:25" s="21" customFormat="1" ht="14.25" x14ac:dyDescent="0.45">
      <c r="F223" s="119">
        <v>43760</v>
      </c>
      <c r="G223" s="52">
        <v>283.64828499999999</v>
      </c>
      <c r="H223" s="52">
        <v>89.687034999999995</v>
      </c>
      <c r="I223" s="120">
        <f t="shared" si="3"/>
        <v>-3.2667921957212354E-3</v>
      </c>
      <c r="J223" s="120">
        <f t="shared" si="3"/>
        <v>0</v>
      </c>
      <c r="K223"/>
      <c r="L223"/>
      <c r="N223" s="15"/>
      <c r="O223" s="15"/>
      <c r="P223" s="15"/>
      <c r="Q223" s="15"/>
      <c r="R223" s="15"/>
      <c r="S223" s="15"/>
      <c r="T223" s="15"/>
      <c r="U223" s="15"/>
      <c r="V223" s="15"/>
      <c r="W223" s="15"/>
      <c r="X223" s="15"/>
      <c r="Y223" s="15"/>
    </row>
    <row r="224" spans="6:25" s="21" customFormat="1" ht="14.25" x14ac:dyDescent="0.45">
      <c r="F224" s="119">
        <v>43761</v>
      </c>
      <c r="G224" s="52">
        <v>284.47366299999999</v>
      </c>
      <c r="H224" s="52">
        <v>89.687034999999995</v>
      </c>
      <c r="I224" s="120">
        <f t="shared" si="3"/>
        <v>2.9098642355620541E-3</v>
      </c>
      <c r="J224" s="120">
        <f t="shared" si="3"/>
        <v>0</v>
      </c>
      <c r="K224"/>
      <c r="L224"/>
      <c r="N224" s="15"/>
      <c r="O224" s="15"/>
      <c r="P224" s="15"/>
      <c r="Q224" s="15"/>
      <c r="R224" s="15"/>
      <c r="S224" s="15"/>
      <c r="T224" s="15"/>
      <c r="U224" s="15"/>
      <c r="V224" s="15"/>
      <c r="W224" s="15"/>
      <c r="X224" s="15"/>
      <c r="Y224" s="15"/>
    </row>
    <row r="225" spans="6:25" s="21" customFormat="1" ht="14.25" x14ac:dyDescent="0.45">
      <c r="F225" s="119">
        <v>43762</v>
      </c>
      <c r="G225" s="52">
        <v>284.938446</v>
      </c>
      <c r="H225" s="52">
        <v>89.706619000000003</v>
      </c>
      <c r="I225" s="120">
        <f t="shared" si="3"/>
        <v>1.6338349044284772E-3</v>
      </c>
      <c r="J225" s="120">
        <f t="shared" si="3"/>
        <v>2.1835932027425287E-4</v>
      </c>
      <c r="K225"/>
      <c r="L225"/>
      <c r="N225" s="15"/>
      <c r="O225" s="15"/>
      <c r="P225" s="15"/>
      <c r="Q225" s="15"/>
      <c r="R225" s="15"/>
      <c r="S225" s="15"/>
      <c r="T225" s="15"/>
      <c r="U225" s="15"/>
      <c r="V225" s="15"/>
      <c r="W225" s="15"/>
      <c r="X225" s="15"/>
      <c r="Y225" s="15"/>
    </row>
    <row r="226" spans="6:25" s="21" customFormat="1" ht="14.25" x14ac:dyDescent="0.45">
      <c r="F226" s="119">
        <v>43763</v>
      </c>
      <c r="G226" s="52">
        <v>286.10519399999998</v>
      </c>
      <c r="H226" s="52">
        <v>89.706619000000003</v>
      </c>
      <c r="I226" s="120">
        <f t="shared" si="3"/>
        <v>4.0947370085677726E-3</v>
      </c>
      <c r="J226" s="120">
        <f t="shared" si="3"/>
        <v>0</v>
      </c>
      <c r="K226"/>
      <c r="L226"/>
      <c r="N226" s="15"/>
      <c r="O226" s="15"/>
      <c r="P226" s="15"/>
      <c r="Q226" s="15"/>
      <c r="R226" s="15"/>
      <c r="S226" s="15"/>
      <c r="T226" s="15"/>
      <c r="U226" s="15"/>
      <c r="V226" s="15"/>
      <c r="W226" s="15"/>
      <c r="X226" s="15"/>
      <c r="Y226" s="15"/>
    </row>
    <row r="227" spans="6:25" s="21" customFormat="1" ht="14.25" x14ac:dyDescent="0.45">
      <c r="F227" s="119">
        <v>43766</v>
      </c>
      <c r="G227" s="52">
        <v>287.71792599999998</v>
      </c>
      <c r="H227" s="52">
        <v>89.696815000000001</v>
      </c>
      <c r="I227" s="120">
        <f t="shared" si="3"/>
        <v>5.6368497805041606E-3</v>
      </c>
      <c r="J227" s="120">
        <f t="shared" si="3"/>
        <v>-1.0928959433864627E-4</v>
      </c>
      <c r="K227"/>
      <c r="L227"/>
      <c r="N227" s="15"/>
      <c r="O227" s="15"/>
      <c r="P227" s="15"/>
      <c r="Q227" s="15"/>
      <c r="R227" s="15"/>
      <c r="S227" s="15"/>
      <c r="T227" s="15"/>
      <c r="U227" s="15"/>
      <c r="V227" s="15"/>
      <c r="W227" s="15"/>
      <c r="X227" s="15"/>
      <c r="Y227" s="15"/>
    </row>
    <row r="228" spans="6:25" s="21" customFormat="1" ht="14.25" x14ac:dyDescent="0.45">
      <c r="F228" s="119">
        <v>43767</v>
      </c>
      <c r="G228" s="52">
        <v>287.63247699999999</v>
      </c>
      <c r="H228" s="52">
        <v>89.716431</v>
      </c>
      <c r="I228" s="120">
        <f t="shared" si="3"/>
        <v>-2.9698879450412718E-4</v>
      </c>
      <c r="J228" s="120">
        <f t="shared" si="3"/>
        <v>2.1869226906212624E-4</v>
      </c>
      <c r="K228"/>
      <c r="L228"/>
      <c r="N228" s="15"/>
      <c r="O228" s="15"/>
      <c r="P228" s="15"/>
      <c r="Q228" s="15"/>
      <c r="R228" s="15"/>
      <c r="S228" s="15"/>
      <c r="T228" s="15"/>
      <c r="U228" s="15"/>
      <c r="V228" s="15"/>
      <c r="W228" s="15"/>
      <c r="X228" s="15"/>
      <c r="Y228" s="15"/>
    </row>
    <row r="229" spans="6:25" s="21" customFormat="1" ht="14.25" x14ac:dyDescent="0.45">
      <c r="F229" s="119">
        <v>43768</v>
      </c>
      <c r="G229" s="52">
        <v>288.514771</v>
      </c>
      <c r="H229" s="52">
        <v>89.726212000000004</v>
      </c>
      <c r="I229" s="120">
        <f t="shared" si="3"/>
        <v>3.0674352534953986E-3</v>
      </c>
      <c r="J229" s="120">
        <f t="shared" si="3"/>
        <v>1.090212783876332E-4</v>
      </c>
      <c r="K229"/>
      <c r="L229"/>
      <c r="N229" s="15"/>
      <c r="O229" s="15"/>
      <c r="P229" s="15"/>
      <c r="Q229" s="15"/>
      <c r="R229" s="15"/>
      <c r="S229" s="15"/>
      <c r="T229" s="15"/>
      <c r="U229" s="15"/>
      <c r="V229" s="15"/>
      <c r="W229" s="15"/>
      <c r="X229" s="15"/>
      <c r="Y229" s="15"/>
    </row>
    <row r="230" spans="6:25" s="21" customFormat="1" ht="14.25" x14ac:dyDescent="0.45">
      <c r="F230" s="119">
        <v>43769</v>
      </c>
      <c r="G230" s="52">
        <v>287.74636800000002</v>
      </c>
      <c r="H230" s="52">
        <v>89.736007999999998</v>
      </c>
      <c r="I230" s="120">
        <f t="shared" si="3"/>
        <v>-2.6633055816749351E-3</v>
      </c>
      <c r="J230" s="120">
        <f t="shared" si="3"/>
        <v>1.0917656927267316E-4</v>
      </c>
      <c r="K230"/>
      <c r="L230"/>
      <c r="N230" s="15"/>
      <c r="O230" s="15"/>
      <c r="P230" s="15"/>
      <c r="Q230" s="15"/>
      <c r="R230" s="15"/>
      <c r="S230" s="15"/>
      <c r="T230" s="15"/>
      <c r="U230" s="15"/>
      <c r="V230" s="15"/>
      <c r="W230" s="15"/>
      <c r="X230" s="15"/>
      <c r="Y230" s="15"/>
    </row>
    <row r="231" spans="6:25" s="21" customFormat="1" ht="14.25" x14ac:dyDescent="0.45">
      <c r="F231" s="119">
        <v>43770</v>
      </c>
      <c r="G231" s="52">
        <v>290.41195699999997</v>
      </c>
      <c r="H231" s="52">
        <v>89.735039</v>
      </c>
      <c r="I231" s="120">
        <f t="shared" si="3"/>
        <v>9.2636755713975116E-3</v>
      </c>
      <c r="J231" s="120">
        <f t="shared" si="3"/>
        <v>-1.0798340839945908E-5</v>
      </c>
      <c r="K231"/>
      <c r="L231"/>
      <c r="N231" s="15"/>
      <c r="O231" s="15"/>
      <c r="P231" s="15"/>
      <c r="Q231" s="15"/>
      <c r="R231" s="15"/>
      <c r="S231" s="15"/>
      <c r="T231" s="15"/>
      <c r="U231" s="15"/>
      <c r="V231" s="15"/>
      <c r="W231" s="15"/>
      <c r="X231" s="15"/>
      <c r="Y231" s="15"/>
    </row>
    <row r="232" spans="6:25" s="21" customFormat="1" ht="14.25" x14ac:dyDescent="0.45">
      <c r="F232" s="119">
        <v>43773</v>
      </c>
      <c r="G232" s="52">
        <v>291.57879600000001</v>
      </c>
      <c r="H232" s="52">
        <v>89.74485</v>
      </c>
      <c r="I232" s="120">
        <f t="shared" si="3"/>
        <v>4.017875200641452E-3</v>
      </c>
      <c r="J232" s="120">
        <f t="shared" si="3"/>
        <v>1.0933298864457264E-4</v>
      </c>
      <c r="K232"/>
      <c r="L232"/>
      <c r="N232" s="15"/>
      <c r="O232" s="15"/>
      <c r="P232" s="15"/>
      <c r="Q232" s="15"/>
      <c r="R232" s="15"/>
      <c r="S232" s="15"/>
      <c r="T232" s="15"/>
      <c r="U232" s="15"/>
      <c r="V232" s="15"/>
      <c r="W232" s="15"/>
      <c r="X232" s="15"/>
      <c r="Y232" s="15"/>
    </row>
    <row r="233" spans="6:25" s="21" customFormat="1" ht="14.25" x14ac:dyDescent="0.45">
      <c r="F233" s="119">
        <v>43774</v>
      </c>
      <c r="G233" s="52">
        <v>291.25622600000003</v>
      </c>
      <c r="H233" s="52">
        <v>89.735039</v>
      </c>
      <c r="I233" s="120">
        <f t="shared" si="3"/>
        <v>-1.1062875779210835E-3</v>
      </c>
      <c r="J233" s="120">
        <f t="shared" si="3"/>
        <v>-1.0932103624883283E-4</v>
      </c>
      <c r="K233"/>
      <c r="L233"/>
      <c r="N233" s="15"/>
      <c r="O233" s="15"/>
      <c r="P233" s="15"/>
      <c r="Q233" s="15"/>
      <c r="R233" s="15"/>
      <c r="S233" s="15"/>
      <c r="T233" s="15"/>
      <c r="U233" s="15"/>
      <c r="V233" s="15"/>
      <c r="W233" s="15"/>
      <c r="X233" s="15"/>
      <c r="Y233" s="15"/>
    </row>
    <row r="234" spans="6:25" s="21" customFormat="1" ht="14.25" x14ac:dyDescent="0.45">
      <c r="F234" s="119">
        <v>43775</v>
      </c>
      <c r="G234" s="52">
        <v>291.322632</v>
      </c>
      <c r="H234" s="52">
        <v>89.74485</v>
      </c>
      <c r="I234" s="120">
        <f t="shared" si="3"/>
        <v>2.2799855959121373E-4</v>
      </c>
      <c r="J234" s="120">
        <f t="shared" si="3"/>
        <v>1.0933298864457264E-4</v>
      </c>
      <c r="K234"/>
      <c r="L234"/>
      <c r="N234" s="15"/>
      <c r="O234" s="15"/>
      <c r="P234" s="15"/>
      <c r="Q234" s="15"/>
      <c r="R234" s="15"/>
      <c r="S234" s="15"/>
      <c r="T234" s="15"/>
      <c r="U234" s="15"/>
      <c r="V234" s="15"/>
      <c r="W234" s="15"/>
      <c r="X234" s="15"/>
      <c r="Y234" s="15"/>
    </row>
    <row r="235" spans="6:25" s="21" customFormat="1" ht="14.25" x14ac:dyDescent="0.45">
      <c r="F235" s="119">
        <v>43776</v>
      </c>
      <c r="G235" s="52">
        <v>292.34716800000001</v>
      </c>
      <c r="H235" s="52">
        <v>89.764472999999995</v>
      </c>
      <c r="I235" s="120">
        <f t="shared" si="3"/>
        <v>3.5168431404257738E-3</v>
      </c>
      <c r="J235" s="120">
        <f t="shared" si="3"/>
        <v>2.1865321519842773E-4</v>
      </c>
      <c r="K235"/>
      <c r="L235"/>
      <c r="N235" s="15"/>
      <c r="O235" s="15"/>
      <c r="P235" s="15"/>
      <c r="Q235" s="15"/>
      <c r="R235" s="15"/>
      <c r="S235" s="15"/>
      <c r="T235" s="15"/>
      <c r="U235" s="15"/>
      <c r="V235" s="15"/>
      <c r="W235" s="15"/>
      <c r="X235" s="15"/>
      <c r="Y235" s="15"/>
    </row>
    <row r="236" spans="6:25" s="21" customFormat="1" ht="14.25" x14ac:dyDescent="0.45">
      <c r="F236" s="119">
        <v>43777</v>
      </c>
      <c r="G236" s="52">
        <v>293.06811499999998</v>
      </c>
      <c r="H236" s="52">
        <v>89.764472999999995</v>
      </c>
      <c r="I236" s="120">
        <f t="shared" si="3"/>
        <v>2.4660645934493353E-3</v>
      </c>
      <c r="J236" s="120">
        <f t="shared" si="3"/>
        <v>0</v>
      </c>
      <c r="K236"/>
      <c r="L236"/>
      <c r="N236" s="15"/>
      <c r="O236" s="15"/>
      <c r="P236" s="15"/>
      <c r="Q236" s="15"/>
      <c r="R236" s="15"/>
      <c r="S236" s="15"/>
      <c r="T236" s="15"/>
      <c r="U236" s="15"/>
      <c r="V236" s="15"/>
      <c r="W236" s="15"/>
      <c r="X236" s="15"/>
      <c r="Y236" s="15"/>
    </row>
    <row r="237" spans="6:25" s="21" customFormat="1" ht="14.25" x14ac:dyDescent="0.45">
      <c r="F237" s="119">
        <v>43780</v>
      </c>
      <c r="G237" s="52">
        <v>292.50845299999997</v>
      </c>
      <c r="H237" s="52">
        <v>89.764472999999995</v>
      </c>
      <c r="I237" s="120">
        <f t="shared" si="3"/>
        <v>-1.9096652667247582E-3</v>
      </c>
      <c r="J237" s="120">
        <f t="shared" si="3"/>
        <v>0</v>
      </c>
      <c r="K237"/>
      <c r="L237"/>
      <c r="N237" s="15"/>
      <c r="O237" s="15"/>
      <c r="P237" s="15"/>
      <c r="Q237" s="15"/>
      <c r="R237" s="15"/>
      <c r="S237" s="15"/>
      <c r="T237" s="15"/>
      <c r="U237" s="15"/>
      <c r="V237" s="15"/>
      <c r="W237" s="15"/>
      <c r="X237" s="15"/>
      <c r="Y237" s="15"/>
    </row>
    <row r="238" spans="6:25" s="21" customFormat="1" ht="14.25" x14ac:dyDescent="0.45">
      <c r="F238" s="119">
        <v>43781</v>
      </c>
      <c r="G238" s="52">
        <v>293.12506100000002</v>
      </c>
      <c r="H238" s="52">
        <v>89.774269000000004</v>
      </c>
      <c r="I238" s="120">
        <f t="shared" si="3"/>
        <v>2.1080006190454803E-3</v>
      </c>
      <c r="J238" s="120">
        <f t="shared" si="3"/>
        <v>1.0913003410606414E-4</v>
      </c>
      <c r="K238"/>
      <c r="L238"/>
      <c r="N238" s="15"/>
      <c r="O238" s="15"/>
      <c r="P238" s="15"/>
      <c r="Q238" s="15"/>
      <c r="R238" s="15"/>
      <c r="S238" s="15"/>
      <c r="T238" s="15"/>
      <c r="U238" s="15"/>
      <c r="V238" s="15"/>
      <c r="W238" s="15"/>
      <c r="X238" s="15"/>
      <c r="Y238" s="15"/>
    </row>
    <row r="239" spans="6:25" s="21" customFormat="1" ht="14.25" x14ac:dyDescent="0.45">
      <c r="F239" s="119">
        <v>43782</v>
      </c>
      <c r="G239" s="52">
        <v>293.21994000000001</v>
      </c>
      <c r="H239" s="52">
        <v>89.774269000000004</v>
      </c>
      <c r="I239" s="120">
        <f t="shared" si="3"/>
        <v>3.236809560953624E-4</v>
      </c>
      <c r="J239" s="120">
        <f t="shared" si="3"/>
        <v>0</v>
      </c>
      <c r="K239"/>
      <c r="L239"/>
      <c r="N239" s="15"/>
      <c r="O239" s="15"/>
      <c r="P239" s="15"/>
      <c r="Q239" s="15"/>
      <c r="R239" s="15"/>
      <c r="S239" s="15"/>
      <c r="T239" s="15"/>
      <c r="U239" s="15"/>
      <c r="V239" s="15"/>
      <c r="W239" s="15"/>
      <c r="X239" s="15"/>
      <c r="Y239" s="15"/>
    </row>
    <row r="240" spans="6:25" s="21" customFormat="1" ht="14.25" x14ac:dyDescent="0.45">
      <c r="F240" s="119">
        <v>43783</v>
      </c>
      <c r="G240" s="52">
        <v>293.64681999999999</v>
      </c>
      <c r="H240" s="52">
        <v>89.784087999999997</v>
      </c>
      <c r="I240" s="120">
        <f t="shared" si="3"/>
        <v>1.4558355069576034E-3</v>
      </c>
      <c r="J240" s="120">
        <f t="shared" si="3"/>
        <v>1.0937432417290616E-4</v>
      </c>
      <c r="K240"/>
      <c r="L240"/>
      <c r="N240" s="15"/>
      <c r="O240" s="15"/>
      <c r="P240" s="15"/>
      <c r="Q240" s="15"/>
      <c r="R240" s="15"/>
      <c r="S240" s="15"/>
      <c r="T240" s="15"/>
      <c r="U240" s="15"/>
      <c r="V240" s="15"/>
      <c r="W240" s="15"/>
      <c r="X240" s="15"/>
      <c r="Y240" s="15"/>
    </row>
    <row r="241" spans="6:25" s="21" customFormat="1" ht="14.25" x14ac:dyDescent="0.45">
      <c r="F241" s="119">
        <v>43784</v>
      </c>
      <c r="G241" s="52">
        <v>295.77172899999999</v>
      </c>
      <c r="H241" s="52">
        <v>89.774269000000004</v>
      </c>
      <c r="I241" s="120">
        <f t="shared" si="3"/>
        <v>7.236274515079133E-3</v>
      </c>
      <c r="J241" s="120">
        <f t="shared" si="3"/>
        <v>-1.0936236273839661E-4</v>
      </c>
      <c r="K241"/>
      <c r="L241"/>
      <c r="N241" s="15"/>
      <c r="O241" s="15"/>
      <c r="P241" s="15"/>
      <c r="Q241" s="15"/>
      <c r="R241" s="15"/>
      <c r="S241" s="15"/>
      <c r="T241" s="15"/>
      <c r="U241" s="15"/>
      <c r="V241" s="15"/>
      <c r="W241" s="15"/>
      <c r="X241" s="15"/>
      <c r="Y241" s="15"/>
    </row>
    <row r="242" spans="6:25" s="21" customFormat="1" ht="14.25" x14ac:dyDescent="0.45">
      <c r="F242" s="119">
        <v>43787</v>
      </c>
      <c r="G242" s="52">
        <v>295.989868</v>
      </c>
      <c r="H242" s="52">
        <v>89.793869000000001</v>
      </c>
      <c r="I242" s="120">
        <f t="shared" si="3"/>
        <v>7.3752484978029109E-4</v>
      </c>
      <c r="J242" s="120">
        <f t="shared" si="3"/>
        <v>2.1832536447607964E-4</v>
      </c>
      <c r="K242"/>
      <c r="L242"/>
      <c r="N242" s="15"/>
      <c r="O242" s="15"/>
      <c r="P242" s="15"/>
      <c r="Q242" s="15"/>
      <c r="R242" s="15"/>
      <c r="S242" s="15"/>
      <c r="T242" s="15"/>
      <c r="U242" s="15"/>
      <c r="V242" s="15"/>
      <c r="W242" s="15"/>
      <c r="X242" s="15"/>
      <c r="Y242" s="15"/>
    </row>
    <row r="243" spans="6:25" s="21" customFormat="1" ht="14.25" x14ac:dyDescent="0.45">
      <c r="F243" s="119">
        <v>43788</v>
      </c>
      <c r="G243" s="52">
        <v>295.90447999999998</v>
      </c>
      <c r="H243" s="52">
        <v>89.784087999999997</v>
      </c>
      <c r="I243" s="120">
        <f t="shared" si="3"/>
        <v>-2.8848284766291865E-4</v>
      </c>
      <c r="J243" s="120">
        <f t="shared" si="3"/>
        <v>-1.0892725871969322E-4</v>
      </c>
      <c r="K243"/>
      <c r="L243"/>
      <c r="N243" s="15"/>
      <c r="O243" s="15"/>
      <c r="P243" s="15"/>
      <c r="Q243" s="15"/>
      <c r="R243" s="15"/>
      <c r="S243" s="15"/>
      <c r="T243" s="15"/>
      <c r="U243" s="15"/>
      <c r="V243" s="15"/>
      <c r="W243" s="15"/>
      <c r="X243" s="15"/>
      <c r="Y243" s="15"/>
    </row>
    <row r="244" spans="6:25" s="21" customFormat="1" ht="14.25" x14ac:dyDescent="0.45">
      <c r="F244" s="119">
        <v>43789</v>
      </c>
      <c r="G244" s="52">
        <v>294.80413800000002</v>
      </c>
      <c r="H244" s="52">
        <v>89.793869000000001</v>
      </c>
      <c r="I244" s="120">
        <f t="shared" si="3"/>
        <v>-3.7185716147317693E-3</v>
      </c>
      <c r="J244" s="120">
        <f t="shared" si="3"/>
        <v>1.0893912515985704E-4</v>
      </c>
      <c r="K244"/>
      <c r="L244"/>
      <c r="N244" s="15"/>
      <c r="O244" s="15"/>
      <c r="P244" s="15"/>
      <c r="Q244" s="15"/>
      <c r="R244" s="15"/>
      <c r="S244" s="15"/>
      <c r="T244" s="15"/>
      <c r="U244" s="15"/>
      <c r="V244" s="15"/>
      <c r="W244" s="15"/>
      <c r="X244" s="15"/>
      <c r="Y244" s="15"/>
    </row>
    <row r="245" spans="6:25" s="21" customFormat="1" ht="14.25" x14ac:dyDescent="0.45">
      <c r="F245" s="119">
        <v>43790</v>
      </c>
      <c r="G245" s="52">
        <v>294.32986499999998</v>
      </c>
      <c r="H245" s="52">
        <v>89.793869000000001</v>
      </c>
      <c r="I245" s="120">
        <f t="shared" si="3"/>
        <v>-1.6087732119962617E-3</v>
      </c>
      <c r="J245" s="120">
        <f t="shared" si="3"/>
        <v>0</v>
      </c>
      <c r="K245"/>
      <c r="L245"/>
      <c r="N245" s="15"/>
      <c r="O245" s="15"/>
      <c r="P245" s="15"/>
      <c r="Q245" s="15"/>
      <c r="R245" s="15"/>
      <c r="S245" s="15"/>
      <c r="T245" s="15"/>
      <c r="U245" s="15"/>
      <c r="V245" s="15"/>
      <c r="W245" s="15"/>
      <c r="X245" s="15"/>
      <c r="Y245" s="15"/>
    </row>
    <row r="246" spans="6:25" s="21" customFormat="1" ht="14.25" x14ac:dyDescent="0.45">
      <c r="F246" s="119">
        <v>43791</v>
      </c>
      <c r="G246" s="52">
        <v>294.984375</v>
      </c>
      <c r="H246" s="52">
        <v>89.803711000000007</v>
      </c>
      <c r="I246" s="120">
        <f t="shared" si="3"/>
        <v>2.2237294880016467E-3</v>
      </c>
      <c r="J246" s="120">
        <f t="shared" si="3"/>
        <v>1.0960659240555337E-4</v>
      </c>
      <c r="K246"/>
      <c r="L246"/>
      <c r="N246" s="15"/>
      <c r="O246" s="15"/>
      <c r="P246" s="15"/>
      <c r="Q246" s="15"/>
      <c r="R246" s="15"/>
      <c r="S246" s="15"/>
      <c r="T246" s="15"/>
      <c r="U246" s="15"/>
      <c r="V246" s="15"/>
      <c r="W246" s="15"/>
      <c r="X246" s="15"/>
      <c r="Y246" s="15"/>
    </row>
    <row r="247" spans="6:25" s="21" customFormat="1" ht="14.25" x14ac:dyDescent="0.45">
      <c r="F247" s="119">
        <v>43794</v>
      </c>
      <c r="G247" s="52">
        <v>297.27050800000001</v>
      </c>
      <c r="H247" s="52">
        <v>89.803711000000007</v>
      </c>
      <c r="I247" s="120">
        <f t="shared" si="3"/>
        <v>7.7500138778536787E-3</v>
      </c>
      <c r="J247" s="120">
        <f t="shared" si="3"/>
        <v>0</v>
      </c>
      <c r="K247"/>
      <c r="L247"/>
      <c r="N247" s="15"/>
      <c r="O247" s="15"/>
      <c r="P247" s="15"/>
      <c r="Q247" s="15"/>
      <c r="R247" s="15"/>
      <c r="S247" s="15"/>
      <c r="T247" s="15"/>
      <c r="U247" s="15"/>
      <c r="V247" s="15"/>
      <c r="W247" s="15"/>
      <c r="X247" s="15"/>
      <c r="Y247" s="15"/>
    </row>
    <row r="248" spans="6:25" s="21" customFormat="1" ht="14.25" x14ac:dyDescent="0.45">
      <c r="F248" s="119">
        <v>43795</v>
      </c>
      <c r="G248" s="52">
        <v>297.94406099999998</v>
      </c>
      <c r="H248" s="52">
        <v>89.813522000000006</v>
      </c>
      <c r="I248" s="120">
        <f t="shared" si="3"/>
        <v>2.2657915328754274E-3</v>
      </c>
      <c r="J248" s="120">
        <f t="shared" si="3"/>
        <v>1.092493828012131E-4</v>
      </c>
      <c r="K248"/>
      <c r="L248"/>
      <c r="N248" s="15"/>
      <c r="O248" s="15"/>
      <c r="P248" s="15"/>
      <c r="Q248" s="15"/>
      <c r="R248" s="15"/>
      <c r="S248" s="15"/>
      <c r="T248" s="15"/>
      <c r="U248" s="15"/>
      <c r="V248" s="15"/>
      <c r="W248" s="15"/>
      <c r="X248" s="15"/>
      <c r="Y248" s="15"/>
    </row>
    <row r="249" spans="6:25" s="21" customFormat="1" ht="14.25" x14ac:dyDescent="0.45">
      <c r="F249" s="119">
        <v>43796</v>
      </c>
      <c r="G249" s="52">
        <v>299.272156</v>
      </c>
      <c r="H249" s="52">
        <v>89.833145000000002</v>
      </c>
      <c r="I249" s="120">
        <f t="shared" si="3"/>
        <v>4.4575313753276724E-3</v>
      </c>
      <c r="J249" s="120">
        <f t="shared" si="3"/>
        <v>2.1848603153529211E-4</v>
      </c>
      <c r="K249"/>
      <c r="L249"/>
      <c r="N249" s="15"/>
      <c r="O249" s="15"/>
      <c r="P249" s="15"/>
      <c r="Q249" s="15"/>
      <c r="R249" s="15"/>
      <c r="S249" s="15"/>
      <c r="T249" s="15"/>
      <c r="U249" s="15"/>
      <c r="V249" s="15"/>
      <c r="W249" s="15"/>
      <c r="X249" s="15"/>
      <c r="Y249" s="15"/>
    </row>
    <row r="250" spans="6:25" s="21" customFormat="1" ht="14.25" x14ac:dyDescent="0.45">
      <c r="F250" s="119">
        <v>43798</v>
      </c>
      <c r="G250" s="52">
        <v>298.16229199999998</v>
      </c>
      <c r="H250" s="52">
        <v>89.833145000000002</v>
      </c>
      <c r="I250" s="120">
        <f t="shared" si="3"/>
        <v>-3.7085441386669471E-3</v>
      </c>
      <c r="J250" s="120">
        <f t="shared" si="3"/>
        <v>0</v>
      </c>
      <c r="K250"/>
      <c r="L250"/>
      <c r="N250" s="15"/>
      <c r="O250" s="15"/>
      <c r="P250" s="15"/>
      <c r="Q250" s="15"/>
      <c r="R250" s="15"/>
      <c r="S250" s="15"/>
      <c r="T250" s="15"/>
      <c r="U250" s="15"/>
      <c r="V250" s="15"/>
      <c r="W250" s="15"/>
      <c r="X250" s="15"/>
      <c r="Y250" s="15"/>
    </row>
    <row r="251" spans="6:25" s="21" customFormat="1" ht="14.25" x14ac:dyDescent="0.45">
      <c r="F251" s="119">
        <v>43801</v>
      </c>
      <c r="G251" s="52">
        <v>295.62942500000003</v>
      </c>
      <c r="H251" s="52">
        <v>89.840012000000002</v>
      </c>
      <c r="I251" s="120">
        <f t="shared" si="3"/>
        <v>-8.4949273196489594E-3</v>
      </c>
      <c r="J251" s="120">
        <f t="shared" si="3"/>
        <v>7.6441718699804539E-5</v>
      </c>
      <c r="K251"/>
      <c r="L251"/>
      <c r="N251" s="15"/>
      <c r="O251" s="15"/>
      <c r="P251" s="15"/>
      <c r="Q251" s="15"/>
      <c r="R251" s="15"/>
      <c r="S251" s="15"/>
      <c r="T251" s="15"/>
      <c r="U251" s="15"/>
      <c r="V251" s="15"/>
      <c r="W251" s="15"/>
      <c r="X251" s="15"/>
      <c r="Y251" s="15"/>
    </row>
    <row r="252" spans="6:25" s="21" customFormat="1" ht="14.25" x14ac:dyDescent="0.45">
      <c r="F252" s="119">
        <v>43802</v>
      </c>
      <c r="G252" s="52">
        <v>293.64681999999999</v>
      </c>
      <c r="H252" s="52">
        <v>89.830214999999995</v>
      </c>
      <c r="I252" s="120">
        <f t="shared" si="3"/>
        <v>-6.7063858748162009E-3</v>
      </c>
      <c r="J252" s="120">
        <f t="shared" si="3"/>
        <v>-1.0904940662748164E-4</v>
      </c>
      <c r="K252"/>
      <c r="L252"/>
      <c r="N252" s="15"/>
      <c r="O252" s="15"/>
      <c r="P252" s="15"/>
      <c r="Q252" s="15"/>
      <c r="R252" s="15"/>
      <c r="S252" s="15"/>
      <c r="T252" s="15"/>
      <c r="U252" s="15"/>
      <c r="V252" s="15"/>
      <c r="W252" s="15"/>
      <c r="X252" s="15"/>
      <c r="Y252" s="15"/>
    </row>
    <row r="253" spans="6:25" s="21" customFormat="1" ht="14.25" x14ac:dyDescent="0.45">
      <c r="F253" s="119">
        <v>43803</v>
      </c>
      <c r="G253" s="52">
        <v>295.45867900000002</v>
      </c>
      <c r="H253" s="52">
        <v>89.840012000000002</v>
      </c>
      <c r="I253" s="120">
        <f t="shared" si="3"/>
        <v>6.1701979268837803E-3</v>
      </c>
      <c r="J253" s="120">
        <f t="shared" si="3"/>
        <v>1.0906129969745493E-4</v>
      </c>
      <c r="K253"/>
      <c r="L253"/>
      <c r="N253" s="15"/>
      <c r="O253" s="15"/>
      <c r="P253" s="15"/>
      <c r="Q253" s="15"/>
      <c r="R253" s="15"/>
      <c r="S253" s="15"/>
      <c r="T253" s="15"/>
      <c r="U253" s="15"/>
      <c r="V253" s="15"/>
      <c r="W253" s="15"/>
      <c r="X253" s="15"/>
      <c r="Y253" s="15"/>
    </row>
    <row r="254" spans="6:25" s="21" customFormat="1" ht="14.25" x14ac:dyDescent="0.45">
      <c r="F254" s="119">
        <v>43804</v>
      </c>
      <c r="G254" s="52">
        <v>295.989868</v>
      </c>
      <c r="H254" s="52">
        <v>89.859673000000001</v>
      </c>
      <c r="I254" s="120">
        <f t="shared" si="3"/>
        <v>1.7978453088527413E-3</v>
      </c>
      <c r="J254" s="120">
        <f t="shared" si="3"/>
        <v>2.1884458341348001E-4</v>
      </c>
      <c r="K254"/>
      <c r="L254"/>
      <c r="N254" s="15"/>
      <c r="O254" s="15"/>
      <c r="P254" s="15"/>
      <c r="Q254" s="15"/>
      <c r="R254" s="15"/>
      <c r="S254" s="15"/>
      <c r="T254" s="15"/>
      <c r="U254" s="15"/>
      <c r="V254" s="15"/>
      <c r="W254" s="15"/>
      <c r="X254" s="15"/>
      <c r="Y254" s="15"/>
    </row>
    <row r="255" spans="6:25" s="21" customFormat="1" ht="14.25" x14ac:dyDescent="0.45">
      <c r="F255" s="119">
        <v>43805</v>
      </c>
      <c r="G255" s="52">
        <v>298.69348100000002</v>
      </c>
      <c r="H255" s="52">
        <v>89.859673000000001</v>
      </c>
      <c r="I255" s="120">
        <f t="shared" si="3"/>
        <v>9.1341403618585559E-3</v>
      </c>
      <c r="J255" s="120">
        <f t="shared" si="3"/>
        <v>0</v>
      </c>
      <c r="K255"/>
      <c r="L255"/>
      <c r="N255" s="15"/>
      <c r="O255" s="15"/>
      <c r="P255" s="15"/>
      <c r="Q255" s="15"/>
      <c r="R255" s="15"/>
      <c r="S255" s="15"/>
      <c r="T255" s="15"/>
      <c r="U255" s="15"/>
      <c r="V255" s="15"/>
      <c r="W255" s="15"/>
      <c r="X255" s="15"/>
      <c r="Y255" s="15"/>
    </row>
    <row r="256" spans="6:25" s="21" customFormat="1" ht="14.25" x14ac:dyDescent="0.45">
      <c r="F256" s="119">
        <v>43808</v>
      </c>
      <c r="G256" s="52">
        <v>297.75433299999997</v>
      </c>
      <c r="H256" s="52">
        <v>89.869506999999999</v>
      </c>
      <c r="I256" s="120">
        <f t="shared" si="3"/>
        <v>-3.144186464518306E-3</v>
      </c>
      <c r="J256" s="120">
        <f t="shared" si="3"/>
        <v>1.094373000889437E-4</v>
      </c>
      <c r="K256"/>
      <c r="L256"/>
      <c r="N256" s="15"/>
      <c r="O256" s="15"/>
      <c r="P256" s="15"/>
      <c r="Q256" s="15"/>
      <c r="R256" s="15"/>
      <c r="S256" s="15"/>
      <c r="T256" s="15"/>
      <c r="U256" s="15"/>
      <c r="V256" s="15"/>
      <c r="W256" s="15"/>
      <c r="X256" s="15"/>
      <c r="Y256" s="15"/>
    </row>
    <row r="257" spans="6:25" s="21" customFormat="1" ht="14.25" x14ac:dyDescent="0.45">
      <c r="F257" s="119">
        <v>43809</v>
      </c>
      <c r="G257" s="52">
        <v>297.422302</v>
      </c>
      <c r="H257" s="52">
        <v>89.869506999999999</v>
      </c>
      <c r="I257" s="120">
        <f t="shared" si="3"/>
        <v>-1.1151172735409665E-3</v>
      </c>
      <c r="J257" s="120">
        <f t="shared" si="3"/>
        <v>0</v>
      </c>
      <c r="K257"/>
      <c r="L257"/>
      <c r="N257" s="15"/>
      <c r="O257" s="15"/>
      <c r="P257" s="15"/>
      <c r="Q257" s="15"/>
      <c r="R257" s="15"/>
      <c r="S257" s="15"/>
      <c r="T257" s="15"/>
      <c r="U257" s="15"/>
      <c r="V257" s="15"/>
      <c r="W257" s="15"/>
      <c r="X257" s="15"/>
      <c r="Y257" s="15"/>
    </row>
    <row r="258" spans="6:25" s="21" customFormat="1" ht="14.25" x14ac:dyDescent="0.45">
      <c r="F258" s="119">
        <v>43810</v>
      </c>
      <c r="G258" s="52">
        <v>298.26669299999998</v>
      </c>
      <c r="H258" s="52">
        <v>89.869506999999999</v>
      </c>
      <c r="I258" s="120">
        <f t="shared" si="3"/>
        <v>2.8390305445218367E-3</v>
      </c>
      <c r="J258" s="120">
        <f t="shared" si="3"/>
        <v>0</v>
      </c>
      <c r="K258"/>
      <c r="L258"/>
      <c r="N258" s="15"/>
      <c r="O258" s="15"/>
      <c r="P258" s="15"/>
      <c r="Q258" s="15"/>
      <c r="R258" s="15"/>
      <c r="S258" s="15"/>
      <c r="T258" s="15"/>
      <c r="U258" s="15"/>
      <c r="V258" s="15"/>
      <c r="W258" s="15"/>
      <c r="X258" s="15"/>
      <c r="Y258" s="15"/>
    </row>
    <row r="259" spans="6:25" s="21" customFormat="1" ht="14.25" x14ac:dyDescent="0.45">
      <c r="F259" s="119">
        <v>43811</v>
      </c>
      <c r="G259" s="52">
        <v>300.83737200000002</v>
      </c>
      <c r="H259" s="52">
        <v>89.889122</v>
      </c>
      <c r="I259" s="120">
        <f t="shared" si="3"/>
        <v>8.618726328923465E-3</v>
      </c>
      <c r="J259" s="120">
        <f t="shared" si="3"/>
        <v>2.1826090578191959E-4</v>
      </c>
      <c r="K259"/>
      <c r="L259"/>
      <c r="N259" s="15"/>
      <c r="O259" s="15"/>
      <c r="P259" s="15"/>
      <c r="Q259" s="15"/>
      <c r="R259" s="15"/>
      <c r="S259" s="15"/>
      <c r="T259" s="15"/>
      <c r="U259" s="15"/>
      <c r="V259" s="15"/>
      <c r="W259" s="15"/>
      <c r="X259" s="15"/>
      <c r="Y259" s="15"/>
    </row>
    <row r="260" spans="6:25" s="21" customFormat="1" ht="14.25" x14ac:dyDescent="0.45">
      <c r="F260" s="119">
        <v>43812</v>
      </c>
      <c r="G260" s="52">
        <v>301.01767000000001</v>
      </c>
      <c r="H260" s="52">
        <v>89.869506999999999</v>
      </c>
      <c r="I260" s="120">
        <f t="shared" si="3"/>
        <v>5.993204860199608E-4</v>
      </c>
      <c r="J260" s="120">
        <f t="shared" si="3"/>
        <v>-2.1821327835425119E-4</v>
      </c>
      <c r="K260"/>
      <c r="L260"/>
      <c r="N260" s="15"/>
      <c r="O260" s="15"/>
      <c r="P260" s="15"/>
      <c r="Q260" s="15"/>
      <c r="R260" s="15"/>
      <c r="S260" s="15"/>
      <c r="T260" s="15"/>
      <c r="U260" s="15"/>
      <c r="V260" s="15"/>
      <c r="W260" s="15"/>
      <c r="X260" s="15"/>
      <c r="Y260" s="15"/>
    </row>
    <row r="261" spans="6:25" s="21" customFormat="1" ht="14.25" x14ac:dyDescent="0.45">
      <c r="F261" s="119">
        <v>43815</v>
      </c>
      <c r="G261" s="52">
        <v>303.08563199999998</v>
      </c>
      <c r="H261" s="52">
        <v>89.889122</v>
      </c>
      <c r="I261" s="120">
        <f t="shared" si="3"/>
        <v>6.8699023549014804E-3</v>
      </c>
      <c r="J261" s="120">
        <f t="shared" si="3"/>
        <v>2.1826090578191959E-4</v>
      </c>
      <c r="K261"/>
      <c r="L261"/>
      <c r="N261" s="15"/>
      <c r="O261" s="15"/>
      <c r="P261" s="15"/>
      <c r="Q261" s="15"/>
      <c r="R261" s="15"/>
      <c r="S261" s="15"/>
      <c r="T261" s="15"/>
      <c r="U261" s="15"/>
      <c r="V261" s="15"/>
      <c r="W261" s="15"/>
      <c r="X261" s="15"/>
      <c r="Y261" s="15"/>
    </row>
    <row r="262" spans="6:25" s="21" customFormat="1" ht="14.25" x14ac:dyDescent="0.45">
      <c r="F262" s="119">
        <v>43816</v>
      </c>
      <c r="G262" s="52">
        <v>303.15200800000002</v>
      </c>
      <c r="H262" s="52">
        <v>89.879340999999997</v>
      </c>
      <c r="I262" s="120">
        <f t="shared" si="3"/>
        <v>2.1900081360515244E-4</v>
      </c>
      <c r="J262" s="120">
        <f t="shared" si="3"/>
        <v>-1.0881183153621521E-4</v>
      </c>
      <c r="K262"/>
      <c r="L262"/>
      <c r="N262" s="15"/>
      <c r="O262" s="15"/>
      <c r="P262" s="15"/>
      <c r="Q262" s="15"/>
      <c r="R262" s="15"/>
      <c r="S262" s="15"/>
      <c r="T262" s="15"/>
      <c r="U262" s="15"/>
      <c r="V262" s="15"/>
      <c r="W262" s="15"/>
      <c r="X262" s="15"/>
      <c r="Y262" s="15"/>
    </row>
    <row r="263" spans="6:25" s="21" customFormat="1" ht="14.25" x14ac:dyDescent="0.45">
      <c r="F263" s="119">
        <v>43817</v>
      </c>
      <c r="G263" s="52">
        <v>303.17095899999998</v>
      </c>
      <c r="H263" s="52">
        <v>89.898964000000007</v>
      </c>
      <c r="I263" s="120">
        <f t="shared" si="3"/>
        <v>6.2513193051172422E-5</v>
      </c>
      <c r="J263" s="120">
        <f t="shared" si="3"/>
        <v>2.1832603334304146E-4</v>
      </c>
      <c r="K263"/>
      <c r="L263"/>
      <c r="N263" s="15"/>
      <c r="O263" s="15"/>
      <c r="P263" s="15"/>
      <c r="Q263" s="15"/>
      <c r="R263" s="15"/>
      <c r="S263" s="15"/>
      <c r="T263" s="15"/>
      <c r="U263" s="15"/>
      <c r="V263" s="15"/>
      <c r="W263" s="15"/>
      <c r="X263" s="15"/>
      <c r="Y263" s="15"/>
    </row>
    <row r="264" spans="6:25" s="21" customFormat="1" ht="14.25" x14ac:dyDescent="0.45">
      <c r="F264" s="119">
        <v>43818</v>
      </c>
      <c r="G264" s="52">
        <v>304.41366599999998</v>
      </c>
      <c r="H264" s="52">
        <v>89.908783</v>
      </c>
      <c r="I264" s="120">
        <f t="shared" si="3"/>
        <v>4.0990304747494655E-3</v>
      </c>
      <c r="J264" s="120">
        <f t="shared" si="3"/>
        <v>1.0922261573553804E-4</v>
      </c>
      <c r="K264"/>
      <c r="L264"/>
      <c r="N264" s="15"/>
      <c r="O264" s="15"/>
      <c r="P264" s="15"/>
      <c r="Q264" s="15"/>
      <c r="R264" s="15"/>
      <c r="S264" s="15"/>
      <c r="T264" s="15"/>
      <c r="U264" s="15"/>
      <c r="V264" s="15"/>
      <c r="W264" s="15"/>
      <c r="X264" s="15"/>
      <c r="Y264" s="15"/>
    </row>
    <row r="265" spans="6:25" s="21" customFormat="1" ht="14.25" x14ac:dyDescent="0.45">
      <c r="F265" s="119">
        <v>43819</v>
      </c>
      <c r="G265" s="52">
        <v>305.74826000000002</v>
      </c>
      <c r="H265" s="52">
        <v>89.913703999999996</v>
      </c>
      <c r="I265" s="120">
        <f t="shared" si="3"/>
        <v>4.384146144083001E-3</v>
      </c>
      <c r="J265" s="120">
        <f t="shared" si="3"/>
        <v>5.4733251144023498E-5</v>
      </c>
      <c r="K265"/>
      <c r="L265"/>
      <c r="N265" s="15"/>
      <c r="O265" s="15"/>
      <c r="P265" s="15"/>
      <c r="Q265" s="15"/>
      <c r="R265" s="15"/>
      <c r="S265" s="15"/>
      <c r="T265" s="15"/>
      <c r="U265" s="15"/>
      <c r="V265" s="15"/>
      <c r="W265" s="15"/>
      <c r="X265" s="15"/>
      <c r="Y265" s="15"/>
    </row>
    <row r="266" spans="6:25" s="21" customFormat="1" ht="14.25" x14ac:dyDescent="0.45">
      <c r="F266" s="119">
        <v>43822</v>
      </c>
      <c r="G266" s="52">
        <v>306.21542399999998</v>
      </c>
      <c r="H266" s="52">
        <v>89.913703999999996</v>
      </c>
      <c r="I266" s="120">
        <f t="shared" si="3"/>
        <v>1.5279367411606959E-3</v>
      </c>
      <c r="J266" s="120">
        <f t="shared" si="3"/>
        <v>0</v>
      </c>
      <c r="K266"/>
      <c r="L266"/>
      <c r="N266" s="15"/>
      <c r="O266" s="15"/>
      <c r="P266" s="15"/>
      <c r="Q266" s="15"/>
      <c r="R266" s="15"/>
      <c r="S266" s="15"/>
      <c r="T266" s="15"/>
      <c r="U266" s="15"/>
      <c r="V266" s="15"/>
      <c r="W266" s="15"/>
      <c r="X266" s="15"/>
      <c r="Y266" s="15"/>
    </row>
    <row r="267" spans="6:25" s="21" customFormat="1" ht="14.25" x14ac:dyDescent="0.45">
      <c r="F267" s="119">
        <v>43823</v>
      </c>
      <c r="G267" s="52">
        <v>306.22500600000001</v>
      </c>
      <c r="H267" s="52">
        <v>89.923546000000002</v>
      </c>
      <c r="I267" s="120">
        <f t="shared" si="3"/>
        <v>3.1291696136248603E-5</v>
      </c>
      <c r="J267" s="120">
        <f t="shared" si="3"/>
        <v>1.0946051115867661E-4</v>
      </c>
      <c r="K267"/>
      <c r="L267"/>
      <c r="N267" s="15"/>
      <c r="O267" s="15"/>
      <c r="P267" s="15"/>
      <c r="Q267" s="15"/>
      <c r="R267" s="15"/>
      <c r="S267" s="15"/>
      <c r="T267" s="15"/>
      <c r="U267" s="15"/>
      <c r="V267" s="15"/>
      <c r="W267" s="15"/>
      <c r="X267" s="15"/>
      <c r="Y267" s="15"/>
    </row>
    <row r="268" spans="6:25" s="21" customFormat="1" ht="14.25" x14ac:dyDescent="0.45">
      <c r="F268" s="119">
        <v>43825</v>
      </c>
      <c r="G268" s="52">
        <v>307.85504200000003</v>
      </c>
      <c r="H268" s="52">
        <v>89.93338</v>
      </c>
      <c r="I268" s="120">
        <f t="shared" si="3"/>
        <v>5.3230009570153225E-3</v>
      </c>
      <c r="J268" s="120">
        <f t="shared" si="3"/>
        <v>1.0935956640323319E-4</v>
      </c>
      <c r="K268"/>
      <c r="L268"/>
      <c r="N268" s="15"/>
      <c r="O268" s="15"/>
      <c r="P268" s="15"/>
      <c r="Q268" s="15"/>
      <c r="R268" s="15"/>
      <c r="S268" s="15"/>
      <c r="T268" s="15"/>
      <c r="U268" s="15"/>
      <c r="V268" s="15"/>
      <c r="W268" s="15"/>
      <c r="X268" s="15"/>
      <c r="Y268" s="15"/>
    </row>
    <row r="269" spans="6:25" s="21" customFormat="1" ht="14.25" x14ac:dyDescent="0.45">
      <c r="F269" s="119">
        <v>43826</v>
      </c>
      <c r="G269" s="52">
        <v>307.77877799999999</v>
      </c>
      <c r="H269" s="52">
        <v>89.923546000000002</v>
      </c>
      <c r="I269" s="120">
        <f t="shared" si="3"/>
        <v>-2.477269805444271E-4</v>
      </c>
      <c r="J269" s="120">
        <f t="shared" si="3"/>
        <v>-1.0934760819614198E-4</v>
      </c>
      <c r="K269"/>
      <c r="L269"/>
      <c r="N269" s="15"/>
      <c r="O269" s="15"/>
      <c r="P269" s="15"/>
      <c r="Q269" s="15"/>
      <c r="R269" s="15"/>
      <c r="S269" s="15"/>
      <c r="T269" s="15"/>
      <c r="U269" s="15"/>
      <c r="V269" s="15"/>
      <c r="W269" s="15"/>
      <c r="X269" s="15"/>
      <c r="Y269" s="15"/>
    </row>
    <row r="270" spans="6:25" s="21" customFormat="1" ht="14.25" x14ac:dyDescent="0.45">
      <c r="F270" s="119">
        <v>43829</v>
      </c>
      <c r="G270" s="52">
        <v>306.08193999999997</v>
      </c>
      <c r="H270" s="52">
        <v>89.93338</v>
      </c>
      <c r="I270" s="120">
        <f t="shared" si="3"/>
        <v>-5.5131741409409907E-3</v>
      </c>
      <c r="J270" s="120">
        <f t="shared" si="3"/>
        <v>1.0935956640323319E-4</v>
      </c>
      <c r="K270"/>
      <c r="L270"/>
      <c r="N270" s="15"/>
      <c r="O270" s="15"/>
      <c r="P270" s="15"/>
      <c r="Q270" s="15"/>
      <c r="R270" s="15"/>
      <c r="S270" s="15"/>
      <c r="T270" s="15"/>
      <c r="U270" s="15"/>
      <c r="V270" s="15"/>
      <c r="W270" s="15"/>
      <c r="X270" s="15"/>
      <c r="Y270" s="15"/>
    </row>
    <row r="271" spans="6:25" s="21" customFormat="1" ht="14.25" x14ac:dyDescent="0.45">
      <c r="F271" s="119">
        <v>43830</v>
      </c>
      <c r="G271" s="52">
        <v>306.82549999999998</v>
      </c>
      <c r="H271" s="52">
        <v>89.93338</v>
      </c>
      <c r="I271" s="120">
        <f t="shared" si="3"/>
        <v>2.429284132216436E-3</v>
      </c>
      <c r="J271" s="120">
        <f t="shared" si="3"/>
        <v>0</v>
      </c>
      <c r="K271"/>
      <c r="L271"/>
      <c r="N271" s="15"/>
      <c r="O271" s="15"/>
      <c r="P271" s="15"/>
      <c r="Q271" s="15"/>
      <c r="R271" s="15"/>
      <c r="S271" s="15"/>
      <c r="T271" s="15"/>
      <c r="U271" s="15"/>
      <c r="V271" s="15"/>
      <c r="W271" s="15"/>
      <c r="X271" s="15"/>
      <c r="Y271" s="15"/>
    </row>
    <row r="272" spans="6:25" s="21" customFormat="1" ht="14.25" x14ac:dyDescent="0.45">
      <c r="F272" s="119">
        <v>43832</v>
      </c>
      <c r="G272" s="52">
        <v>309.69491599999998</v>
      </c>
      <c r="H272" s="52">
        <v>89.962897999999996</v>
      </c>
      <c r="I272" s="120">
        <f t="shared" si="3"/>
        <v>9.3519476053978146E-3</v>
      </c>
      <c r="J272" s="120">
        <f t="shared" si="3"/>
        <v>3.2822073405891494E-4</v>
      </c>
      <c r="K272"/>
      <c r="L272"/>
      <c r="N272" s="15"/>
      <c r="O272" s="15"/>
      <c r="P272" s="15"/>
      <c r="Q272" s="15"/>
      <c r="R272" s="15"/>
      <c r="S272" s="15"/>
      <c r="T272" s="15"/>
      <c r="U272" s="15"/>
      <c r="V272" s="15"/>
      <c r="W272" s="15"/>
      <c r="X272" s="15"/>
      <c r="Y272" s="15"/>
    </row>
    <row r="273" spans="6:25" s="21" customFormat="1" ht="14.25" x14ac:dyDescent="0.45">
      <c r="F273" s="119">
        <v>43833</v>
      </c>
      <c r="G273" s="52">
        <v>307.34979199999998</v>
      </c>
      <c r="H273" s="52">
        <v>89.962897999999996</v>
      </c>
      <c r="I273" s="120">
        <f t="shared" si="3"/>
        <v>-7.5723684143397252E-3</v>
      </c>
      <c r="J273" s="120">
        <f t="shared" si="3"/>
        <v>0</v>
      </c>
      <c r="K273"/>
      <c r="L273"/>
      <c r="N273" s="15"/>
      <c r="O273" s="15"/>
      <c r="P273" s="15"/>
      <c r="Q273" s="15"/>
      <c r="R273" s="15"/>
      <c r="S273" s="15"/>
      <c r="T273" s="15"/>
      <c r="U273" s="15"/>
      <c r="V273" s="15"/>
      <c r="W273" s="15"/>
      <c r="X273" s="15"/>
      <c r="Y273" s="15"/>
    </row>
    <row r="274" spans="6:25" s="21" customFormat="1" ht="14.25" x14ac:dyDescent="0.45">
      <c r="F274" s="119">
        <v>43836</v>
      </c>
      <c r="G274" s="52">
        <v>308.52236900000003</v>
      </c>
      <c r="H274" s="52">
        <v>89.953040999999999</v>
      </c>
      <c r="I274" s="120">
        <f t="shared" si="3"/>
        <v>3.8151221524171941E-3</v>
      </c>
      <c r="J274" s="120">
        <f t="shared" si="3"/>
        <v>-1.095673907702821E-4</v>
      </c>
      <c r="K274"/>
      <c r="L274"/>
      <c r="N274" s="15"/>
      <c r="O274" s="15"/>
      <c r="P274" s="15"/>
      <c r="Q274" s="15"/>
      <c r="R274" s="15"/>
      <c r="S274" s="15"/>
      <c r="T274" s="15"/>
      <c r="U274" s="15"/>
      <c r="V274" s="15"/>
      <c r="W274" s="15"/>
      <c r="X274" s="15"/>
      <c r="Y274" s="15"/>
    </row>
    <row r="275" spans="6:25" s="21" customFormat="1" ht="14.25" x14ac:dyDescent="0.45">
      <c r="F275" s="119">
        <v>43837</v>
      </c>
      <c r="G275" s="52">
        <v>307.65490699999998</v>
      </c>
      <c r="H275" s="52">
        <v>89.953040999999999</v>
      </c>
      <c r="I275" s="120">
        <f t="shared" si="3"/>
        <v>-2.8116664694741722E-3</v>
      </c>
      <c r="J275" s="120">
        <f t="shared" si="3"/>
        <v>0</v>
      </c>
      <c r="K275"/>
      <c r="L275"/>
      <c r="N275" s="15"/>
      <c r="O275" s="15"/>
      <c r="P275" s="15"/>
      <c r="Q275" s="15"/>
      <c r="R275" s="15"/>
      <c r="S275" s="15"/>
      <c r="T275" s="15"/>
      <c r="U275" s="15"/>
      <c r="V275" s="15"/>
      <c r="W275" s="15"/>
      <c r="X275" s="15"/>
      <c r="Y275" s="15"/>
    </row>
    <row r="276" spans="6:25" s="21" customFormat="1" ht="14.25" x14ac:dyDescent="0.45">
      <c r="F276" s="119">
        <v>43838</v>
      </c>
      <c r="G276" s="52">
        <v>309.29452500000002</v>
      </c>
      <c r="H276" s="52">
        <v>89.972740000000002</v>
      </c>
      <c r="I276" s="120">
        <f t="shared" si="3"/>
        <v>5.3294063013271664E-3</v>
      </c>
      <c r="J276" s="120">
        <f t="shared" si="3"/>
        <v>2.1899204052489019E-4</v>
      </c>
      <c r="K276"/>
      <c r="L276"/>
      <c r="N276" s="15"/>
      <c r="O276" s="15"/>
      <c r="P276" s="15"/>
      <c r="Q276" s="15"/>
      <c r="R276" s="15"/>
      <c r="S276" s="15"/>
      <c r="T276" s="15"/>
      <c r="U276" s="15"/>
      <c r="V276" s="15"/>
      <c r="W276" s="15"/>
      <c r="X276" s="15"/>
      <c r="Y276" s="15"/>
    </row>
    <row r="277" spans="6:25" s="21" customFormat="1" ht="14.25" x14ac:dyDescent="0.45">
      <c r="F277" s="119">
        <v>43839</v>
      </c>
      <c r="G277" s="52">
        <v>311.39172400000001</v>
      </c>
      <c r="H277" s="52">
        <v>89.982567000000003</v>
      </c>
      <c r="I277" s="120">
        <f t="shared" ref="I277:J342" si="4">G277/G276-1</f>
        <v>6.7805888254892643E-3</v>
      </c>
      <c r="J277" s="120">
        <f t="shared" si="4"/>
        <v>1.092219710103759E-4</v>
      </c>
      <c r="K277"/>
      <c r="L277"/>
      <c r="N277" s="15"/>
      <c r="O277" s="15"/>
      <c r="P277" s="15"/>
      <c r="Q277" s="15"/>
      <c r="R277" s="15"/>
      <c r="S277" s="15"/>
      <c r="T277" s="15"/>
      <c r="U277" s="15"/>
      <c r="V277" s="15"/>
      <c r="W277" s="15"/>
      <c r="X277" s="15"/>
      <c r="Y277" s="15"/>
    </row>
    <row r="278" spans="6:25" s="21" customFormat="1" ht="14.25" x14ac:dyDescent="0.45">
      <c r="F278" s="119">
        <v>43840</v>
      </c>
      <c r="G278" s="52">
        <v>310.49566700000003</v>
      </c>
      <c r="H278" s="52">
        <v>89.982567000000003</v>
      </c>
      <c r="I278" s="120">
        <f t="shared" si="4"/>
        <v>-2.8775877164930463E-3</v>
      </c>
      <c r="J278" s="120">
        <f t="shared" si="4"/>
        <v>0</v>
      </c>
      <c r="K278"/>
      <c r="L278"/>
      <c r="N278" s="15"/>
      <c r="O278" s="15"/>
      <c r="P278" s="15"/>
      <c r="Q278" s="15"/>
      <c r="R278" s="15"/>
      <c r="S278" s="15"/>
      <c r="T278" s="15"/>
      <c r="U278" s="15"/>
      <c r="V278" s="15"/>
      <c r="W278" s="15"/>
      <c r="X278" s="15"/>
      <c r="Y278" s="15"/>
    </row>
    <row r="279" spans="6:25" s="21" customFormat="1" ht="14.25" x14ac:dyDescent="0.45">
      <c r="F279" s="119">
        <v>43843</v>
      </c>
      <c r="G279" s="52">
        <v>312.63104199999998</v>
      </c>
      <c r="H279" s="52">
        <v>89.982567000000003</v>
      </c>
      <c r="I279" s="120">
        <f t="shared" si="4"/>
        <v>6.8773101429462358E-3</v>
      </c>
      <c r="J279" s="120">
        <f t="shared" si="4"/>
        <v>0</v>
      </c>
      <c r="K279"/>
      <c r="L279"/>
      <c r="N279" s="15"/>
      <c r="O279" s="15"/>
      <c r="P279" s="15"/>
      <c r="Q279" s="15"/>
      <c r="R279" s="15"/>
      <c r="S279" s="15"/>
      <c r="T279" s="15"/>
      <c r="U279" s="15"/>
      <c r="V279" s="15"/>
      <c r="W279" s="15"/>
      <c r="X279" s="15"/>
      <c r="Y279" s="15"/>
    </row>
    <row r="280" spans="6:25" s="21" customFormat="1" ht="14.25" x14ac:dyDescent="0.45">
      <c r="F280" s="119">
        <v>43844</v>
      </c>
      <c r="G280" s="52">
        <v>312.15441900000002</v>
      </c>
      <c r="H280" s="52">
        <v>89.982567000000003</v>
      </c>
      <c r="I280" s="120">
        <f t="shared" si="4"/>
        <v>-1.5245543019364316E-3</v>
      </c>
      <c r="J280" s="120">
        <f t="shared" si="4"/>
        <v>0</v>
      </c>
      <c r="K280"/>
      <c r="L280"/>
      <c r="N280" s="15"/>
      <c r="O280" s="15"/>
      <c r="P280" s="15"/>
      <c r="Q280" s="15"/>
      <c r="R280" s="15"/>
      <c r="S280" s="15"/>
      <c r="T280" s="15"/>
      <c r="U280" s="15"/>
      <c r="V280" s="15"/>
      <c r="W280" s="15"/>
      <c r="X280" s="15"/>
      <c r="Y280" s="15"/>
    </row>
    <row r="281" spans="6:25" s="21" customFormat="1" ht="14.25" x14ac:dyDescent="0.45">
      <c r="F281" s="119">
        <v>43845</v>
      </c>
      <c r="G281" s="52">
        <v>312.85983299999998</v>
      </c>
      <c r="H281" s="52">
        <v>89.992401000000001</v>
      </c>
      <c r="I281" s="120">
        <f t="shared" si="4"/>
        <v>2.2598238469915266E-3</v>
      </c>
      <c r="J281" s="120">
        <f t="shared" si="4"/>
        <v>1.0928783572050627E-4</v>
      </c>
      <c r="K281"/>
      <c r="L281"/>
      <c r="N281" s="15"/>
      <c r="O281" s="15"/>
      <c r="P281" s="15"/>
      <c r="Q281" s="15"/>
      <c r="R281" s="15"/>
      <c r="S281" s="15"/>
      <c r="T281" s="15"/>
      <c r="U281" s="15"/>
      <c r="V281" s="15"/>
      <c r="W281" s="15"/>
      <c r="X281" s="15"/>
      <c r="Y281" s="15"/>
    </row>
    <row r="282" spans="6:25" s="21" customFormat="1" ht="14.25" x14ac:dyDescent="0.45">
      <c r="F282" s="119">
        <v>43846</v>
      </c>
      <c r="G282" s="52">
        <v>315.462311</v>
      </c>
      <c r="H282" s="52">
        <v>90.012084999999999</v>
      </c>
      <c r="I282" s="120">
        <f t="shared" si="4"/>
        <v>8.3183513046241053E-3</v>
      </c>
      <c r="J282" s="120">
        <f t="shared" si="4"/>
        <v>2.1872957917845604E-4</v>
      </c>
      <c r="K282"/>
      <c r="L282"/>
      <c r="N282" s="15"/>
      <c r="O282" s="15"/>
      <c r="P282" s="15"/>
      <c r="Q282" s="15"/>
      <c r="R282" s="15"/>
      <c r="S282" s="15"/>
      <c r="T282" s="15"/>
      <c r="U282" s="15"/>
      <c r="V282" s="15"/>
      <c r="W282" s="15"/>
      <c r="X282" s="15"/>
      <c r="Y282" s="15"/>
    </row>
    <row r="283" spans="6:25" s="21" customFormat="1" ht="14.25" x14ac:dyDescent="0.45">
      <c r="F283" s="119">
        <v>43847</v>
      </c>
      <c r="G283" s="52">
        <v>316.44421399999999</v>
      </c>
      <c r="H283" s="52">
        <v>90.002228000000002</v>
      </c>
      <c r="I283" s="120">
        <f t="shared" si="4"/>
        <v>3.1125841844226176E-3</v>
      </c>
      <c r="J283" s="120">
        <f t="shared" si="4"/>
        <v>-1.0950751779603696E-4</v>
      </c>
      <c r="K283"/>
      <c r="L283"/>
      <c r="N283" s="15"/>
      <c r="O283" s="15"/>
      <c r="P283" s="15"/>
      <c r="Q283" s="15"/>
      <c r="R283" s="15"/>
      <c r="S283" s="15"/>
      <c r="T283" s="15"/>
      <c r="U283" s="15"/>
      <c r="V283" s="15"/>
      <c r="W283" s="15"/>
      <c r="X283" s="15"/>
      <c r="Y283" s="15"/>
    </row>
    <row r="284" spans="6:25" s="21" customFormat="1" ht="14.25" x14ac:dyDescent="0.45">
      <c r="F284" s="119">
        <v>43851</v>
      </c>
      <c r="G284" s="52">
        <v>315.824524</v>
      </c>
      <c r="H284" s="52">
        <v>90.012084999999999</v>
      </c>
      <c r="I284" s="120">
        <f t="shared" si="4"/>
        <v>-1.9582914541771412E-3</v>
      </c>
      <c r="J284" s="120">
        <f t="shared" si="4"/>
        <v>1.0951951100590662E-4</v>
      </c>
      <c r="K284"/>
      <c r="L284"/>
      <c r="N284" s="15"/>
      <c r="O284" s="15"/>
      <c r="P284" s="15"/>
      <c r="Q284" s="15"/>
      <c r="R284" s="15"/>
      <c r="S284" s="15"/>
      <c r="T284" s="15"/>
      <c r="U284" s="15"/>
      <c r="V284" s="15"/>
      <c r="W284" s="15"/>
      <c r="X284" s="15"/>
      <c r="Y284" s="15"/>
    </row>
    <row r="285" spans="6:25" s="21" customFormat="1" ht="14.25" x14ac:dyDescent="0.45">
      <c r="F285" s="119">
        <v>43852</v>
      </c>
      <c r="G285" s="52">
        <v>315.86270100000002</v>
      </c>
      <c r="H285" s="52">
        <v>90.012084999999999</v>
      </c>
      <c r="I285" s="120">
        <f t="shared" si="4"/>
        <v>1.2088041649360726E-4</v>
      </c>
      <c r="J285" s="120">
        <f t="shared" si="4"/>
        <v>0</v>
      </c>
      <c r="K285"/>
      <c r="L285"/>
      <c r="N285" s="15"/>
      <c r="O285" s="15"/>
      <c r="P285" s="15"/>
      <c r="Q285" s="15"/>
      <c r="R285" s="15"/>
      <c r="S285" s="15"/>
      <c r="T285" s="15"/>
      <c r="U285" s="15"/>
      <c r="V285" s="15"/>
      <c r="W285" s="15"/>
      <c r="X285" s="15"/>
      <c r="Y285" s="15"/>
    </row>
    <row r="286" spans="6:25" s="21" customFormat="1" ht="14.25" x14ac:dyDescent="0.45">
      <c r="F286" s="119">
        <v>43853</v>
      </c>
      <c r="G286" s="52">
        <v>316.22494499999999</v>
      </c>
      <c r="H286" s="52">
        <v>90.021904000000006</v>
      </c>
      <c r="I286" s="120">
        <f t="shared" si="4"/>
        <v>1.1468400632714815E-3</v>
      </c>
      <c r="J286" s="120">
        <f t="shared" si="4"/>
        <v>1.0908535226139549E-4</v>
      </c>
      <c r="K286"/>
      <c r="L286"/>
      <c r="N286" s="15"/>
      <c r="O286" s="15"/>
      <c r="P286" s="15"/>
      <c r="Q286" s="15"/>
      <c r="R286" s="15"/>
      <c r="S286" s="15"/>
      <c r="T286" s="15"/>
      <c r="U286" s="15"/>
      <c r="V286" s="15"/>
      <c r="W286" s="15"/>
      <c r="X286" s="15"/>
      <c r="Y286" s="15"/>
    </row>
    <row r="287" spans="6:25" s="21" customFormat="1" ht="14.25" x14ac:dyDescent="0.45">
      <c r="F287" s="119">
        <v>43854</v>
      </c>
      <c r="G287" s="52">
        <v>313.41275000000002</v>
      </c>
      <c r="H287" s="52">
        <v>90.021904000000006</v>
      </c>
      <c r="I287" s="120">
        <f t="shared" si="4"/>
        <v>-8.893020757739345E-3</v>
      </c>
      <c r="J287" s="120">
        <f t="shared" si="4"/>
        <v>0</v>
      </c>
      <c r="K287"/>
      <c r="L287"/>
      <c r="N287" s="15"/>
      <c r="O287" s="15"/>
      <c r="P287" s="15"/>
      <c r="Q287" s="15"/>
      <c r="R287" s="15"/>
      <c r="S287" s="15"/>
      <c r="T287" s="15"/>
      <c r="U287" s="15"/>
      <c r="V287" s="15"/>
      <c r="W287" s="15"/>
      <c r="X287" s="15"/>
      <c r="Y287" s="15"/>
    </row>
    <row r="288" spans="6:25" s="21" customFormat="1" ht="14.25" x14ac:dyDescent="0.45">
      <c r="F288" s="119">
        <v>43857</v>
      </c>
      <c r="G288" s="52">
        <v>308.38891599999999</v>
      </c>
      <c r="H288" s="52">
        <v>90.031745999999998</v>
      </c>
      <c r="I288" s="120">
        <f t="shared" si="4"/>
        <v>-1.6029449982491228E-2</v>
      </c>
      <c r="J288" s="120">
        <f t="shared" si="4"/>
        <v>1.0932894731929821E-4</v>
      </c>
      <c r="K288"/>
      <c r="L288"/>
      <c r="N288" s="15"/>
      <c r="O288" s="15"/>
      <c r="P288" s="15"/>
      <c r="Q288" s="15"/>
      <c r="R288" s="15"/>
      <c r="S288" s="15"/>
      <c r="T288" s="15"/>
      <c r="U288" s="15"/>
      <c r="V288" s="15"/>
      <c r="W288" s="15"/>
      <c r="X288" s="15"/>
      <c r="Y288" s="15"/>
    </row>
    <row r="289" spans="6:25" s="21" customFormat="1" ht="14.25" x14ac:dyDescent="0.45">
      <c r="F289" s="119">
        <v>43858</v>
      </c>
      <c r="G289" s="52">
        <v>311.62057499999997</v>
      </c>
      <c r="H289" s="52">
        <v>90.031745999999998</v>
      </c>
      <c r="I289" s="120">
        <f t="shared" si="4"/>
        <v>1.0479167156578262E-2</v>
      </c>
      <c r="J289" s="120">
        <f t="shared" si="4"/>
        <v>0</v>
      </c>
      <c r="K289"/>
      <c r="L289"/>
      <c r="N289" s="15"/>
      <c r="O289" s="15"/>
      <c r="P289" s="15"/>
      <c r="Q289" s="15"/>
      <c r="R289" s="15"/>
      <c r="S289" s="15"/>
      <c r="T289" s="15"/>
      <c r="U289" s="15"/>
      <c r="V289" s="15"/>
      <c r="W289" s="15"/>
      <c r="X289" s="15"/>
      <c r="Y289" s="15"/>
    </row>
    <row r="290" spans="6:25" s="21" customFormat="1" ht="14.25" x14ac:dyDescent="0.45">
      <c r="F290" s="119">
        <v>43859</v>
      </c>
      <c r="G290" s="52">
        <v>311.363159</v>
      </c>
      <c r="H290" s="52">
        <v>90.041579999999996</v>
      </c>
      <c r="I290" s="120">
        <f t="shared" si="4"/>
        <v>-8.2605585334016851E-4</v>
      </c>
      <c r="J290" s="120">
        <f t="shared" si="4"/>
        <v>1.0922813826130806E-4</v>
      </c>
      <c r="K290"/>
      <c r="L290"/>
      <c r="N290" s="15"/>
      <c r="O290" s="15"/>
      <c r="P290" s="15"/>
      <c r="Q290" s="15"/>
      <c r="R290" s="15"/>
      <c r="S290" s="15"/>
      <c r="T290" s="15"/>
      <c r="U290" s="15"/>
      <c r="V290" s="15"/>
      <c r="W290" s="15"/>
      <c r="X290" s="15"/>
      <c r="Y290" s="15"/>
    </row>
    <row r="291" spans="6:25" s="21" customFormat="1" ht="14.25" x14ac:dyDescent="0.45">
      <c r="F291" s="119">
        <v>43860</v>
      </c>
      <c r="G291" s="52">
        <v>312.373627</v>
      </c>
      <c r="H291" s="52">
        <v>90.041579999999996</v>
      </c>
      <c r="I291" s="120">
        <f t="shared" si="4"/>
        <v>3.2453036616320041E-3</v>
      </c>
      <c r="J291" s="120">
        <f t="shared" si="4"/>
        <v>0</v>
      </c>
      <c r="K291"/>
      <c r="L291"/>
      <c r="N291" s="15"/>
      <c r="O291" s="15"/>
      <c r="P291" s="15"/>
      <c r="Q291" s="15"/>
      <c r="R291" s="15"/>
      <c r="S291" s="15"/>
      <c r="T291" s="15"/>
      <c r="U291" s="15"/>
      <c r="V291" s="15"/>
      <c r="W291" s="15"/>
      <c r="X291" s="15"/>
      <c r="Y291" s="15"/>
    </row>
    <row r="292" spans="6:25" s="21" customFormat="1" ht="14.25" x14ac:dyDescent="0.45">
      <c r="F292" s="119">
        <v>43861</v>
      </c>
      <c r="G292" s="52">
        <v>306.70163000000002</v>
      </c>
      <c r="H292" s="52">
        <v>90.041579999999996</v>
      </c>
      <c r="I292" s="120">
        <f t="shared" si="4"/>
        <v>-1.8157733271125243E-2</v>
      </c>
      <c r="J292" s="120">
        <f t="shared" si="4"/>
        <v>0</v>
      </c>
      <c r="K292"/>
      <c r="L292"/>
      <c r="N292" s="15"/>
      <c r="O292" s="15"/>
      <c r="P292" s="15"/>
      <c r="Q292" s="15"/>
      <c r="R292" s="15"/>
      <c r="S292" s="15"/>
      <c r="T292" s="15"/>
      <c r="U292" s="15"/>
      <c r="V292" s="15"/>
      <c r="W292" s="15"/>
      <c r="X292" s="15"/>
      <c r="Y292" s="15"/>
    </row>
    <row r="293" spans="6:25" s="21" customFormat="1" ht="14.25" x14ac:dyDescent="0.45">
      <c r="F293" s="119">
        <v>43864</v>
      </c>
      <c r="G293" s="52">
        <v>308.979919</v>
      </c>
      <c r="H293" s="52">
        <v>90.049476999999996</v>
      </c>
      <c r="I293" s="120">
        <f t="shared" si="4"/>
        <v>7.4283563475028291E-3</v>
      </c>
      <c r="J293" s="120">
        <f t="shared" si="4"/>
        <v>8.7703925230941948E-5</v>
      </c>
      <c r="K293"/>
      <c r="L293"/>
      <c r="N293" s="15"/>
      <c r="O293" s="15"/>
      <c r="P293" s="15"/>
      <c r="Q293" s="15"/>
      <c r="R293" s="15"/>
      <c r="S293" s="15"/>
      <c r="T293" s="15"/>
      <c r="U293" s="15"/>
      <c r="V293" s="15"/>
      <c r="W293" s="15"/>
      <c r="X293" s="15"/>
      <c r="Y293" s="15"/>
    </row>
    <row r="294" spans="6:25" s="21" customFormat="1" ht="14.25" x14ac:dyDescent="0.45">
      <c r="F294" s="119">
        <v>43865</v>
      </c>
      <c r="G294" s="52">
        <v>313.68920900000001</v>
      </c>
      <c r="H294" s="52">
        <v>90.049476999999996</v>
      </c>
      <c r="I294" s="120">
        <f t="shared" si="4"/>
        <v>1.5241411206402766E-2</v>
      </c>
      <c r="J294" s="120">
        <f t="shared" si="4"/>
        <v>0</v>
      </c>
      <c r="K294"/>
      <c r="L294"/>
      <c r="N294" s="15"/>
      <c r="O294" s="15"/>
      <c r="P294" s="15"/>
      <c r="Q294" s="15"/>
      <c r="R294" s="15"/>
      <c r="S294" s="15"/>
      <c r="T294" s="15"/>
      <c r="U294" s="15"/>
      <c r="V294" s="15"/>
      <c r="W294" s="15"/>
      <c r="X294" s="15"/>
      <c r="Y294" s="15"/>
    </row>
    <row r="295" spans="6:25" s="21" customFormat="1" ht="14.25" x14ac:dyDescent="0.45">
      <c r="F295" s="119">
        <v>43866</v>
      </c>
      <c r="G295" s="52">
        <v>317.31167599999998</v>
      </c>
      <c r="H295" s="52">
        <v>90.069159999999997</v>
      </c>
      <c r="I295" s="120">
        <f t="shared" si="4"/>
        <v>1.1547949040223271E-2</v>
      </c>
      <c r="J295" s="120">
        <f t="shared" si="4"/>
        <v>2.1857983694895111E-4</v>
      </c>
      <c r="K295"/>
      <c r="L295"/>
      <c r="N295" s="15"/>
      <c r="O295" s="15"/>
      <c r="P295" s="15"/>
      <c r="Q295" s="15"/>
      <c r="R295" s="15"/>
      <c r="S295" s="15"/>
      <c r="T295" s="15"/>
      <c r="U295" s="15"/>
      <c r="V295" s="15"/>
      <c r="W295" s="15"/>
      <c r="X295" s="15"/>
      <c r="Y295" s="15"/>
    </row>
    <row r="296" spans="6:25" s="21" customFormat="1" ht="14.25" x14ac:dyDescent="0.45">
      <c r="F296" s="119">
        <v>43867</v>
      </c>
      <c r="G296" s="52">
        <v>318.37933299999997</v>
      </c>
      <c r="H296" s="52">
        <v>90.079018000000005</v>
      </c>
      <c r="I296" s="120">
        <f t="shared" si="4"/>
        <v>3.3646949694974282E-3</v>
      </c>
      <c r="J296" s="120">
        <f t="shared" si="4"/>
        <v>1.0944922768252319E-4</v>
      </c>
      <c r="K296"/>
      <c r="L296"/>
      <c r="N296" s="15"/>
      <c r="O296" s="15"/>
      <c r="P296" s="15"/>
      <c r="Q296" s="15"/>
      <c r="R296" s="15"/>
      <c r="S296" s="15"/>
      <c r="T296" s="15"/>
      <c r="U296" s="15"/>
      <c r="V296" s="15"/>
      <c r="W296" s="15"/>
      <c r="X296" s="15"/>
      <c r="Y296" s="15"/>
    </row>
    <row r="297" spans="6:25" s="21" customFormat="1" ht="14.25" x14ac:dyDescent="0.45">
      <c r="F297" s="119">
        <v>43868</v>
      </c>
      <c r="G297" s="52">
        <v>316.68255599999998</v>
      </c>
      <c r="H297" s="52">
        <v>90.079018000000005</v>
      </c>
      <c r="I297" s="120">
        <f t="shared" si="4"/>
        <v>-5.3294194193188593E-3</v>
      </c>
      <c r="J297" s="120">
        <f t="shared" si="4"/>
        <v>0</v>
      </c>
      <c r="K297"/>
      <c r="L297"/>
      <c r="N297" s="15"/>
      <c r="O297" s="15"/>
      <c r="P297" s="15"/>
      <c r="Q297" s="15"/>
      <c r="R297" s="15"/>
      <c r="S297" s="15"/>
      <c r="T297" s="15"/>
      <c r="U297" s="15"/>
      <c r="V297" s="15"/>
      <c r="W297" s="15"/>
      <c r="X297" s="15"/>
      <c r="Y297" s="15"/>
    </row>
    <row r="298" spans="6:25" s="21" customFormat="1" ht="14.25" x14ac:dyDescent="0.45">
      <c r="F298" s="119">
        <v>43871</v>
      </c>
      <c r="G298" s="52">
        <v>319.04669200000001</v>
      </c>
      <c r="H298" s="52">
        <v>90.069159999999997</v>
      </c>
      <c r="I298" s="120">
        <f t="shared" si="4"/>
        <v>7.4653180454942181E-3</v>
      </c>
      <c r="J298" s="120">
        <f t="shared" si="4"/>
        <v>-1.0943724986001158E-4</v>
      </c>
      <c r="K298"/>
      <c r="L298"/>
      <c r="N298" s="15"/>
      <c r="O298" s="15"/>
      <c r="P298" s="15"/>
      <c r="Q298" s="15"/>
      <c r="R298" s="15"/>
      <c r="S298" s="15"/>
      <c r="T298" s="15"/>
      <c r="U298" s="15"/>
      <c r="V298" s="15"/>
      <c r="W298" s="15"/>
      <c r="X298" s="15"/>
      <c r="Y298" s="15"/>
    </row>
    <row r="299" spans="6:25" s="21" customFormat="1" ht="14.25" x14ac:dyDescent="0.45">
      <c r="F299" s="119">
        <v>43872</v>
      </c>
      <c r="G299" s="52">
        <v>319.59957900000001</v>
      </c>
      <c r="H299" s="52">
        <v>90.079018000000005</v>
      </c>
      <c r="I299" s="120">
        <f t="shared" si="4"/>
        <v>1.7329344383234524E-3</v>
      </c>
      <c r="J299" s="120">
        <f t="shared" si="4"/>
        <v>1.0944922768252319E-4</v>
      </c>
      <c r="K299"/>
      <c r="L299"/>
      <c r="N299" s="15"/>
      <c r="O299" s="15"/>
      <c r="P299" s="15"/>
      <c r="Q299" s="15"/>
      <c r="R299" s="15"/>
      <c r="S299" s="15"/>
      <c r="T299" s="15"/>
      <c r="U299" s="15"/>
      <c r="V299" s="15"/>
      <c r="W299" s="15"/>
      <c r="X299" s="15"/>
      <c r="Y299" s="15"/>
    </row>
    <row r="300" spans="6:25" s="21" customFormat="1" ht="14.25" x14ac:dyDescent="0.45">
      <c r="F300" s="119">
        <v>43873</v>
      </c>
      <c r="G300" s="52">
        <v>321.65872200000001</v>
      </c>
      <c r="H300" s="52">
        <v>90.088866999999993</v>
      </c>
      <c r="I300" s="120">
        <f t="shared" si="4"/>
        <v>6.442883956364609E-3</v>
      </c>
      <c r="J300" s="120">
        <f t="shared" si="4"/>
        <v>1.0933733758045072E-4</v>
      </c>
      <c r="K300"/>
      <c r="L300"/>
      <c r="N300" s="15"/>
      <c r="O300" s="15"/>
      <c r="P300" s="15"/>
      <c r="Q300" s="15"/>
      <c r="R300" s="15"/>
      <c r="S300" s="15"/>
      <c r="T300" s="15"/>
      <c r="U300" s="15"/>
      <c r="V300" s="15"/>
      <c r="W300" s="15"/>
      <c r="X300" s="15"/>
      <c r="Y300" s="15"/>
    </row>
    <row r="301" spans="6:25" s="21" customFormat="1" ht="14.25" x14ac:dyDescent="0.45">
      <c r="F301" s="119">
        <v>43874</v>
      </c>
      <c r="G301" s="52">
        <v>321.31549100000001</v>
      </c>
      <c r="H301" s="52">
        <v>90.098708999999999</v>
      </c>
      <c r="I301" s="120">
        <f t="shared" si="4"/>
        <v>-1.067065733103334E-3</v>
      </c>
      <c r="J301" s="120">
        <f t="shared" si="4"/>
        <v>1.0924768317943645E-4</v>
      </c>
      <c r="K301"/>
      <c r="L301"/>
      <c r="N301" s="15"/>
      <c r="O301" s="15"/>
      <c r="P301" s="15"/>
      <c r="Q301" s="15"/>
      <c r="R301" s="15"/>
      <c r="S301" s="15"/>
      <c r="T301" s="15"/>
      <c r="U301" s="15"/>
      <c r="V301" s="15"/>
      <c r="W301" s="15"/>
      <c r="X301" s="15"/>
      <c r="Y301" s="15"/>
    </row>
    <row r="302" spans="6:25" s="21" customFormat="1" ht="14.25" x14ac:dyDescent="0.45">
      <c r="F302" s="119">
        <v>43875</v>
      </c>
      <c r="G302" s="52">
        <v>321.83023100000003</v>
      </c>
      <c r="H302" s="52">
        <v>90.098708999999999</v>
      </c>
      <c r="I302" s="120">
        <f t="shared" si="4"/>
        <v>1.6019769180690702E-3</v>
      </c>
      <c r="J302" s="120">
        <f t="shared" si="4"/>
        <v>0</v>
      </c>
      <c r="K302"/>
      <c r="L302"/>
      <c r="N302" s="15"/>
      <c r="O302" s="15"/>
      <c r="P302" s="15"/>
      <c r="Q302" s="15"/>
      <c r="R302" s="15"/>
      <c r="S302" s="15"/>
      <c r="T302" s="15"/>
      <c r="U302" s="15"/>
      <c r="V302" s="15"/>
      <c r="W302" s="15"/>
      <c r="X302" s="15"/>
      <c r="Y302" s="15"/>
    </row>
    <row r="303" spans="6:25" s="21" customFormat="1" ht="14.25" x14ac:dyDescent="0.45">
      <c r="F303" s="119">
        <v>43879</v>
      </c>
      <c r="G303" s="52">
        <v>321.00088499999998</v>
      </c>
      <c r="H303" s="52">
        <v>90.108542999999997</v>
      </c>
      <c r="I303" s="120">
        <f t="shared" si="4"/>
        <v>-2.5769673576750973E-3</v>
      </c>
      <c r="J303" s="120">
        <f t="shared" si="4"/>
        <v>1.0914695792152429E-4</v>
      </c>
      <c r="K303"/>
      <c r="L303"/>
      <c r="N303" s="15"/>
      <c r="O303" s="15"/>
      <c r="P303" s="15"/>
      <c r="Q303" s="15"/>
      <c r="R303" s="15"/>
      <c r="S303" s="15"/>
      <c r="T303" s="15"/>
      <c r="U303" s="15"/>
      <c r="V303" s="15"/>
      <c r="W303" s="15"/>
      <c r="X303" s="15"/>
      <c r="Y303" s="15"/>
    </row>
    <row r="304" spans="6:25" s="21" customFormat="1" ht="14.25" x14ac:dyDescent="0.45">
      <c r="F304" s="119">
        <v>43880</v>
      </c>
      <c r="G304" s="52">
        <v>322.535706</v>
      </c>
      <c r="H304" s="52">
        <v>90.108542999999997</v>
      </c>
      <c r="I304" s="120">
        <f t="shared" si="4"/>
        <v>4.7813606495197281E-3</v>
      </c>
      <c r="J304" s="120">
        <f t="shared" si="4"/>
        <v>0</v>
      </c>
      <c r="K304"/>
      <c r="L304"/>
      <c r="N304" s="15"/>
      <c r="O304" s="15"/>
      <c r="P304" s="15"/>
      <c r="Q304" s="15"/>
      <c r="R304" s="15"/>
      <c r="S304" s="15"/>
      <c r="T304" s="15"/>
      <c r="U304" s="15"/>
      <c r="V304" s="15"/>
      <c r="W304" s="15"/>
      <c r="X304" s="15"/>
      <c r="Y304" s="15"/>
    </row>
    <row r="305" spans="6:25" s="21" customFormat="1" ht="14.25" x14ac:dyDescent="0.45">
      <c r="F305" s="119">
        <v>43881</v>
      </c>
      <c r="G305" s="52">
        <v>321.21066300000001</v>
      </c>
      <c r="H305" s="52">
        <v>90.108542999999997</v>
      </c>
      <c r="I305" s="120">
        <f t="shared" si="4"/>
        <v>-4.1082056198763484E-3</v>
      </c>
      <c r="J305" s="120">
        <f t="shared" si="4"/>
        <v>0</v>
      </c>
      <c r="K305"/>
      <c r="L305"/>
      <c r="N305" s="15"/>
      <c r="O305" s="15"/>
      <c r="P305" s="15"/>
      <c r="Q305" s="15"/>
      <c r="R305" s="15"/>
      <c r="S305" s="15"/>
      <c r="T305" s="15"/>
      <c r="U305" s="15"/>
      <c r="V305" s="15"/>
      <c r="W305" s="15"/>
      <c r="X305" s="15"/>
      <c r="Y305" s="15"/>
    </row>
    <row r="306" spans="6:25" s="21" customFormat="1" ht="14.25" x14ac:dyDescent="0.45">
      <c r="F306" s="119">
        <v>43882</v>
      </c>
      <c r="G306" s="52">
        <v>317.90267899999998</v>
      </c>
      <c r="H306" s="52">
        <v>90.128249999999994</v>
      </c>
      <c r="I306" s="120">
        <f t="shared" si="4"/>
        <v>-1.0298487506935738E-2</v>
      </c>
      <c r="J306" s="120">
        <f t="shared" si="4"/>
        <v>2.1870290367465017E-4</v>
      </c>
      <c r="K306"/>
      <c r="L306"/>
      <c r="N306" s="15"/>
      <c r="O306" s="15"/>
      <c r="P306" s="15"/>
      <c r="Q306" s="15"/>
      <c r="R306" s="15"/>
      <c r="S306" s="15"/>
      <c r="T306" s="15"/>
      <c r="U306" s="15"/>
      <c r="V306" s="15"/>
      <c r="W306" s="15"/>
      <c r="X306" s="15"/>
      <c r="Y306" s="15"/>
    </row>
    <row r="307" spans="6:25" s="21" customFormat="1" ht="14.25" x14ac:dyDescent="0.45">
      <c r="F307" s="119">
        <v>43885</v>
      </c>
      <c r="G307" s="52">
        <v>307.35934400000002</v>
      </c>
      <c r="H307" s="52">
        <v>90.118401000000006</v>
      </c>
      <c r="I307" s="120">
        <f t="shared" si="4"/>
        <v>-3.316529144442959E-2</v>
      </c>
      <c r="J307" s="120">
        <f t="shared" si="4"/>
        <v>-1.092776127350481E-4</v>
      </c>
      <c r="K307"/>
      <c r="L307"/>
      <c r="N307" s="15"/>
      <c r="O307" s="15"/>
      <c r="P307" s="15"/>
      <c r="Q307" s="15"/>
      <c r="R307" s="15"/>
      <c r="S307" s="15"/>
      <c r="T307" s="15"/>
      <c r="U307" s="15"/>
      <c r="V307" s="15"/>
      <c r="W307" s="15"/>
      <c r="X307" s="15"/>
      <c r="Y307" s="15"/>
    </row>
    <row r="308" spans="6:25" s="21" customFormat="1" ht="14.25" x14ac:dyDescent="0.45">
      <c r="F308" s="119">
        <v>43886</v>
      </c>
      <c r="G308" s="52">
        <v>298.04568499999999</v>
      </c>
      <c r="H308" s="52">
        <v>90.118401000000006</v>
      </c>
      <c r="I308" s="120">
        <f t="shared" si="4"/>
        <v>-3.0302182711582137E-2</v>
      </c>
      <c r="J308" s="120">
        <f t="shared" si="4"/>
        <v>0</v>
      </c>
      <c r="K308"/>
      <c r="L308"/>
      <c r="N308" s="15"/>
      <c r="O308" s="15"/>
      <c r="P308" s="15"/>
      <c r="Q308" s="15"/>
      <c r="R308" s="15"/>
      <c r="S308" s="15"/>
      <c r="T308" s="15"/>
      <c r="U308" s="15"/>
      <c r="V308" s="15"/>
      <c r="W308" s="15"/>
      <c r="X308" s="15"/>
      <c r="Y308" s="15"/>
    </row>
    <row r="309" spans="6:25" x14ac:dyDescent="0.55000000000000004">
      <c r="F309" s="119">
        <v>43887</v>
      </c>
      <c r="G309" s="52">
        <v>296.94946299999998</v>
      </c>
      <c r="H309" s="52">
        <v>90.138084000000006</v>
      </c>
      <c r="I309" s="120">
        <f t="shared" si="4"/>
        <v>-3.67803345316009E-3</v>
      </c>
      <c r="J309" s="120">
        <f t="shared" si="4"/>
        <v>2.1841266358024747E-4</v>
      </c>
    </row>
    <row r="310" spans="6:25" x14ac:dyDescent="0.55000000000000004">
      <c r="F310" s="119">
        <v>43888</v>
      </c>
      <c r="G310" s="52">
        <v>283.61294600000002</v>
      </c>
      <c r="H310" s="52">
        <v>90.157791000000003</v>
      </c>
      <c r="I310" s="120">
        <f t="shared" si="4"/>
        <v>-4.49117397460993E-2</v>
      </c>
      <c r="J310" s="120">
        <f t="shared" si="4"/>
        <v>2.1863122806120572E-4</v>
      </c>
    </row>
    <row r="311" spans="6:25" x14ac:dyDescent="0.55000000000000004">
      <c r="F311" s="119">
        <v>43889</v>
      </c>
      <c r="G311" s="52">
        <v>282.421356</v>
      </c>
      <c r="H311" s="52">
        <v>90.147942</v>
      </c>
      <c r="I311" s="120">
        <f t="shared" si="4"/>
        <v>-4.2014654718900424E-3</v>
      </c>
      <c r="J311" s="120">
        <f t="shared" si="4"/>
        <v>-1.0924180695603969E-4</v>
      </c>
    </row>
    <row r="312" spans="6:25" x14ac:dyDescent="0.55000000000000004">
      <c r="F312" s="119">
        <v>43892</v>
      </c>
      <c r="G312" s="52">
        <v>294.652039</v>
      </c>
      <c r="H312" s="52">
        <v>90.174567999999994</v>
      </c>
      <c r="I312" s="120">
        <f t="shared" si="4"/>
        <v>4.3306509016265649E-2</v>
      </c>
      <c r="J312" s="120">
        <f t="shared" si="4"/>
        <v>2.953589334295792E-4</v>
      </c>
    </row>
    <row r="313" spans="6:25" x14ac:dyDescent="0.55000000000000004">
      <c r="F313" s="119">
        <v>43893</v>
      </c>
      <c r="G313" s="52">
        <v>286.21539300000001</v>
      </c>
      <c r="H313" s="52">
        <v>90.194282999999999</v>
      </c>
      <c r="I313" s="120">
        <f t="shared" si="4"/>
        <v>-2.863257294479471E-2</v>
      </c>
      <c r="J313" s="120">
        <f t="shared" si="4"/>
        <v>2.1863148820422396E-4</v>
      </c>
    </row>
    <row r="314" spans="6:25" x14ac:dyDescent="0.55000000000000004">
      <c r="F314" s="119">
        <v>43894</v>
      </c>
      <c r="G314" s="52">
        <v>298.24594100000002</v>
      </c>
      <c r="H314" s="52">
        <v>90.233704000000003</v>
      </c>
      <c r="I314" s="120">
        <f t="shared" si="4"/>
        <v>4.2033197005585166E-2</v>
      </c>
      <c r="J314" s="120">
        <f t="shared" si="4"/>
        <v>4.370676132543494E-4</v>
      </c>
    </row>
    <row r="315" spans="6:25" x14ac:dyDescent="0.55000000000000004">
      <c r="F315" s="119">
        <v>43895</v>
      </c>
      <c r="G315" s="52">
        <v>288.33175699999998</v>
      </c>
      <c r="H315" s="52">
        <v>90.253433000000001</v>
      </c>
      <c r="I315" s="120">
        <f t="shared" si="4"/>
        <v>-3.3241639322092342E-2</v>
      </c>
      <c r="J315" s="120">
        <f t="shared" si="4"/>
        <v>2.1864335747534547E-4</v>
      </c>
    </row>
    <row r="316" spans="6:25" x14ac:dyDescent="0.55000000000000004">
      <c r="F316" s="119">
        <v>43896</v>
      </c>
      <c r="G316" s="52">
        <v>283.56527699999998</v>
      </c>
      <c r="H316" s="52">
        <v>90.253433000000001</v>
      </c>
      <c r="I316" s="120">
        <f t="shared" si="4"/>
        <v>-1.6531234885791668E-2</v>
      </c>
      <c r="J316" s="120">
        <f t="shared" si="4"/>
        <v>0</v>
      </c>
    </row>
    <row r="317" spans="6:25" x14ac:dyDescent="0.55000000000000004">
      <c r="F317" s="119">
        <v>43899</v>
      </c>
      <c r="G317" s="52">
        <v>261.42044099999998</v>
      </c>
      <c r="H317" s="52">
        <v>90.292846999999995</v>
      </c>
      <c r="I317" s="120">
        <f t="shared" si="4"/>
        <v>-7.809431477042228E-2</v>
      </c>
      <c r="J317" s="120">
        <f t="shared" si="4"/>
        <v>4.3670360993353086E-4</v>
      </c>
    </row>
    <row r="318" spans="6:25" x14ac:dyDescent="0.55000000000000004">
      <c r="F318" s="119">
        <v>43900</v>
      </c>
      <c r="G318" s="52">
        <v>274.94754</v>
      </c>
      <c r="H318" s="52">
        <v>90.273148000000006</v>
      </c>
      <c r="I318" s="120">
        <f t="shared" si="4"/>
        <v>5.1744610896743204E-2</v>
      </c>
      <c r="J318" s="120">
        <f t="shared" si="4"/>
        <v>-2.1816789097350853E-4</v>
      </c>
    </row>
    <row r="320" spans="6:25" x14ac:dyDescent="0.55000000000000004">
      <c r="G320" s="1" t="s">
        <v>627</v>
      </c>
      <c r="H320" s="1" t="s">
        <v>628</v>
      </c>
      <c r="I320" s="13" t="s">
        <v>638</v>
      </c>
      <c r="J320" s="13" t="s">
        <v>639</v>
      </c>
    </row>
    <row r="321" spans="6:10" x14ac:dyDescent="0.55000000000000004">
      <c r="F321" s="119">
        <v>43901</v>
      </c>
      <c r="G321" s="52">
        <v>261.54422</v>
      </c>
      <c r="H321" s="52">
        <v>90.292846999999995</v>
      </c>
      <c r="I321" s="120">
        <f>G321/G318-1</f>
        <v>-4.8748644923318873E-2</v>
      </c>
      <c r="J321" s="120">
        <f>H321/H318-1</f>
        <v>2.1821549858858091E-4</v>
      </c>
    </row>
    <row r="322" spans="6:10" x14ac:dyDescent="0.55000000000000004">
      <c r="F322" s="119">
        <v>43902</v>
      </c>
      <c r="G322" s="52">
        <v>236.52046200000001</v>
      </c>
      <c r="H322" s="52">
        <v>90.302704000000006</v>
      </c>
      <c r="I322" s="120">
        <f t="shared" si="4"/>
        <v>-9.5676968124166484E-2</v>
      </c>
      <c r="J322" s="120">
        <f t="shared" si="4"/>
        <v>1.0916700854513017E-4</v>
      </c>
    </row>
    <row r="323" spans="6:10" x14ac:dyDescent="0.55000000000000004">
      <c r="F323" s="119">
        <v>43903</v>
      </c>
      <c r="G323" s="52">
        <v>256.73971599999999</v>
      </c>
      <c r="H323" s="52">
        <v>90.322449000000006</v>
      </c>
      <c r="I323" s="120">
        <f t="shared" si="4"/>
        <v>8.5486278138590777E-2</v>
      </c>
      <c r="J323" s="120">
        <f t="shared" si="4"/>
        <v>2.1865347465110929E-4</v>
      </c>
    </row>
    <row r="324" spans="6:10" x14ac:dyDescent="0.55000000000000004">
      <c r="F324" s="119">
        <v>43906</v>
      </c>
      <c r="G324" s="52">
        <v>228.64630099999999</v>
      </c>
      <c r="H324" s="52">
        <v>90.332283000000004</v>
      </c>
      <c r="I324" s="120">
        <f t="shared" si="4"/>
        <v>-0.10942372079277363</v>
      </c>
      <c r="J324" s="120">
        <f t="shared" si="4"/>
        <v>1.0887658725899918E-4</v>
      </c>
    </row>
    <row r="325" spans="6:10" x14ac:dyDescent="0.55000000000000004">
      <c r="F325" s="119">
        <v>43907</v>
      </c>
      <c r="G325" s="52">
        <v>240.99142499999999</v>
      </c>
      <c r="H325" s="52">
        <v>90.332283000000004</v>
      </c>
      <c r="I325" s="120">
        <f t="shared" si="4"/>
        <v>5.3992231433475091E-2</v>
      </c>
      <c r="J325" s="120">
        <f t="shared" si="4"/>
        <v>0</v>
      </c>
    </row>
    <row r="326" spans="6:10" x14ac:dyDescent="0.55000000000000004">
      <c r="F326" s="119">
        <v>43908</v>
      </c>
      <c r="G326" s="52">
        <v>228.789322</v>
      </c>
      <c r="H326" s="52">
        <v>90.352019999999996</v>
      </c>
      <c r="I326" s="120">
        <f t="shared" si="4"/>
        <v>-5.0632934346107938E-2</v>
      </c>
      <c r="J326" s="120">
        <f t="shared" si="4"/>
        <v>2.1849331539636196E-4</v>
      </c>
    </row>
    <row r="327" spans="6:10" x14ac:dyDescent="0.55000000000000004">
      <c r="F327" s="119">
        <v>43909</v>
      </c>
      <c r="G327" s="52">
        <v>229.27546699999999</v>
      </c>
      <c r="H327" s="52">
        <v>90.332283000000004</v>
      </c>
      <c r="I327" s="120">
        <f t="shared" si="4"/>
        <v>2.1248587816524722E-3</v>
      </c>
      <c r="J327" s="120">
        <f t="shared" si="4"/>
        <v>-2.1844558649597445E-4</v>
      </c>
    </row>
    <row r="328" spans="6:10" x14ac:dyDescent="0.55000000000000004">
      <c r="F328" s="119">
        <v>43910</v>
      </c>
      <c r="G328" s="52">
        <v>219.39503500000001</v>
      </c>
      <c r="H328" s="52">
        <v>90.361862000000002</v>
      </c>
      <c r="I328" s="120">
        <f t="shared" si="4"/>
        <v>-4.3094152764281524E-2</v>
      </c>
      <c r="J328" s="120">
        <f t="shared" si="4"/>
        <v>3.2744661174999301E-4</v>
      </c>
    </row>
    <row r="329" spans="6:10" x14ac:dyDescent="0.55000000000000004">
      <c r="F329" s="119">
        <v>43913</v>
      </c>
      <c r="G329" s="52">
        <v>213.785492</v>
      </c>
      <c r="H329" s="52">
        <v>90.342147999999995</v>
      </c>
      <c r="I329" s="120">
        <f t="shared" si="4"/>
        <v>-2.5568231295662658E-2</v>
      </c>
      <c r="J329" s="120">
        <f t="shared" si="4"/>
        <v>-2.1816726175927226E-4</v>
      </c>
    </row>
    <row r="330" spans="6:10" x14ac:dyDescent="0.55000000000000004">
      <c r="F330" s="119">
        <v>43914</v>
      </c>
      <c r="G330" s="52">
        <v>233.155136</v>
      </c>
      <c r="H330" s="52">
        <v>90.342147999999995</v>
      </c>
      <c r="I330" s="120">
        <f t="shared" si="4"/>
        <v>9.0603173390269021E-2</v>
      </c>
      <c r="J330" s="120">
        <f t="shared" si="4"/>
        <v>0</v>
      </c>
    </row>
    <row r="331" spans="6:10" x14ac:dyDescent="0.55000000000000004">
      <c r="F331" s="119">
        <v>43915</v>
      </c>
      <c r="G331" s="52">
        <v>236.645554</v>
      </c>
      <c r="H331" s="52">
        <v>90.342147999999995</v>
      </c>
      <c r="I331" s="120">
        <f t="shared" si="4"/>
        <v>1.4970367197915779E-2</v>
      </c>
      <c r="J331" s="120">
        <f t="shared" si="4"/>
        <v>0</v>
      </c>
    </row>
    <row r="332" spans="6:10" x14ac:dyDescent="0.55000000000000004">
      <c r="F332" s="119">
        <v>43916</v>
      </c>
      <c r="G332" s="52">
        <v>250.463211</v>
      </c>
      <c r="H332" s="52">
        <v>90.342147999999995</v>
      </c>
      <c r="I332" s="120">
        <f t="shared" si="4"/>
        <v>5.8389675049631329E-2</v>
      </c>
      <c r="J332" s="120">
        <f t="shared" si="4"/>
        <v>0</v>
      </c>
    </row>
    <row r="333" spans="6:10" x14ac:dyDescent="0.55000000000000004">
      <c r="F333" s="119">
        <v>43917</v>
      </c>
      <c r="G333" s="52">
        <v>243.003006</v>
      </c>
      <c r="H333" s="52">
        <v>90.322449000000006</v>
      </c>
      <c r="I333" s="120">
        <f t="shared" si="4"/>
        <v>-2.9785631870702156E-2</v>
      </c>
      <c r="J333" s="120">
        <f t="shared" si="4"/>
        <v>-2.1804883364062722E-4</v>
      </c>
    </row>
    <row r="334" spans="6:10" x14ac:dyDescent="0.55000000000000004">
      <c r="F334" s="119">
        <v>43920</v>
      </c>
      <c r="G334" s="52">
        <v>250.894699</v>
      </c>
      <c r="H334" s="52">
        <v>90.322449000000006</v>
      </c>
      <c r="I334" s="120">
        <f t="shared" si="4"/>
        <v>3.247570114420717E-2</v>
      </c>
      <c r="J334" s="120">
        <f t="shared" si="4"/>
        <v>0</v>
      </c>
    </row>
    <row r="335" spans="6:10" x14ac:dyDescent="0.55000000000000004">
      <c r="F335" s="119">
        <v>43921</v>
      </c>
      <c r="G335" s="52">
        <v>247.15501399999999</v>
      </c>
      <c r="H335" s="52">
        <v>90.332283000000004</v>
      </c>
      <c r="I335" s="120">
        <f t="shared" si="4"/>
        <v>-1.4905396626175849E-2</v>
      </c>
      <c r="J335" s="120">
        <f t="shared" si="4"/>
        <v>1.0887658725899918E-4</v>
      </c>
    </row>
    <row r="336" spans="6:10" x14ac:dyDescent="0.55000000000000004">
      <c r="F336" s="119">
        <v>43922</v>
      </c>
      <c r="G336" s="52">
        <v>236.03183000000001</v>
      </c>
      <c r="H336" s="52">
        <v>90.324402000000006</v>
      </c>
      <c r="I336" s="120">
        <f t="shared" si="4"/>
        <v>-4.5004889117887692E-2</v>
      </c>
      <c r="J336" s="120">
        <f t="shared" si="4"/>
        <v>-8.7244556854604305E-5</v>
      </c>
    </row>
    <row r="337" spans="6:10" x14ac:dyDescent="0.55000000000000004">
      <c r="F337" s="119">
        <v>43923</v>
      </c>
      <c r="G337" s="52">
        <v>241.478363</v>
      </c>
      <c r="H337" s="52">
        <v>90.334266999999997</v>
      </c>
      <c r="I337" s="120">
        <f t="shared" si="4"/>
        <v>2.3075417412981913E-2</v>
      </c>
      <c r="J337" s="120">
        <f t="shared" si="4"/>
        <v>1.0921744048730808E-4</v>
      </c>
    </row>
    <row r="338" spans="6:10" x14ac:dyDescent="0.55000000000000004">
      <c r="F338" s="119">
        <v>43924</v>
      </c>
      <c r="G338" s="52">
        <v>237.98799099999999</v>
      </c>
      <c r="H338" s="52">
        <v>90.304671999999997</v>
      </c>
      <c r="I338" s="120">
        <f t="shared" si="4"/>
        <v>-1.445418113920216E-2</v>
      </c>
      <c r="J338" s="120">
        <f t="shared" si="4"/>
        <v>-3.2761654002244622E-4</v>
      </c>
    </row>
    <row r="339" spans="6:10" x14ac:dyDescent="0.55000000000000004">
      <c r="F339" s="119">
        <v>43927</v>
      </c>
      <c r="G339" s="52">
        <v>253.97271699999999</v>
      </c>
      <c r="H339" s="52">
        <v>90.314537000000001</v>
      </c>
      <c r="I339" s="120">
        <f t="shared" si="4"/>
        <v>6.7166103351828266E-2</v>
      </c>
      <c r="J339" s="120">
        <f t="shared" si="4"/>
        <v>1.0924130259848397E-4</v>
      </c>
    </row>
    <row r="340" spans="6:10" x14ac:dyDescent="0.55000000000000004">
      <c r="F340" s="119">
        <v>43928</v>
      </c>
      <c r="G340" s="52">
        <v>254.23165900000001</v>
      </c>
      <c r="H340" s="52">
        <v>90.294807000000006</v>
      </c>
      <c r="I340" s="120">
        <f t="shared" si="4"/>
        <v>1.0195662079719447E-3</v>
      </c>
      <c r="J340" s="120">
        <f t="shared" si="4"/>
        <v>-2.1845874047932146E-4</v>
      </c>
    </row>
    <row r="341" spans="6:10" x14ac:dyDescent="0.55000000000000004">
      <c r="F341" s="119">
        <v>43929</v>
      </c>
      <c r="G341" s="52">
        <v>262.76577800000001</v>
      </c>
      <c r="H341" s="52">
        <v>90.304671999999997</v>
      </c>
      <c r="I341" s="120">
        <f t="shared" si="4"/>
        <v>3.3568277977527483E-2</v>
      </c>
      <c r="J341" s="120">
        <f t="shared" si="4"/>
        <v>1.0925323756416638E-4</v>
      </c>
    </row>
    <row r="342" spans="6:10" x14ac:dyDescent="0.55000000000000004">
      <c r="F342" s="119">
        <v>43930</v>
      </c>
      <c r="G342" s="52">
        <v>266.76443499999999</v>
      </c>
      <c r="H342" s="52">
        <v>90.284935000000004</v>
      </c>
      <c r="I342" s="120">
        <f t="shared" si="4"/>
        <v>1.521757144493896E-2</v>
      </c>
      <c r="J342" s="120">
        <f t="shared" si="4"/>
        <v>-2.185601205659804E-4</v>
      </c>
    </row>
    <row r="343" spans="6:10" x14ac:dyDescent="0.55000000000000004">
      <c r="F343" s="119">
        <v>43934</v>
      </c>
      <c r="G343" s="52">
        <v>264.32876599999997</v>
      </c>
      <c r="H343" s="52">
        <v>90.304671999999997</v>
      </c>
      <c r="I343" s="120">
        <f t="shared" ref="I343:J406" si="5">G343/G342-1</f>
        <v>-9.1304112559082995E-3</v>
      </c>
      <c r="J343" s="120">
        <f t="shared" si="5"/>
        <v>2.1860789953476178E-4</v>
      </c>
    </row>
    <row r="344" spans="6:10" x14ac:dyDescent="0.55000000000000004">
      <c r="F344" s="119">
        <v>43935</v>
      </c>
      <c r="G344" s="52">
        <v>272.124664</v>
      </c>
      <c r="H344" s="52">
        <v>90.314537000000001</v>
      </c>
      <c r="I344" s="120">
        <f t="shared" si="5"/>
        <v>2.949318803992762E-2</v>
      </c>
      <c r="J344" s="120">
        <f t="shared" si="5"/>
        <v>1.0924130259848397E-4</v>
      </c>
    </row>
    <row r="345" spans="6:10" x14ac:dyDescent="0.55000000000000004">
      <c r="F345" s="119">
        <v>43936</v>
      </c>
      <c r="G345" s="52">
        <v>266.342468</v>
      </c>
      <c r="H345" s="52">
        <v>90.304671999999997</v>
      </c>
      <c r="I345" s="120">
        <f t="shared" si="5"/>
        <v>-2.1248334917558176E-2</v>
      </c>
      <c r="J345" s="120">
        <f t="shared" si="5"/>
        <v>-1.0922937023971624E-4</v>
      </c>
    </row>
    <row r="346" spans="6:10" x14ac:dyDescent="0.55000000000000004">
      <c r="F346" s="119">
        <v>43937</v>
      </c>
      <c r="G346" s="52">
        <v>267.627411</v>
      </c>
      <c r="H346" s="52">
        <v>90.294807000000006</v>
      </c>
      <c r="I346" s="120">
        <f t="shared" si="5"/>
        <v>4.8244014919918143E-3</v>
      </c>
      <c r="J346" s="120">
        <f t="shared" si="5"/>
        <v>-1.0924130259826192E-4</v>
      </c>
    </row>
    <row r="347" spans="6:10" x14ac:dyDescent="0.55000000000000004">
      <c r="F347" s="119">
        <v>43938</v>
      </c>
      <c r="G347" s="52">
        <v>274.85745200000002</v>
      </c>
      <c r="H347" s="52">
        <v>90.314537000000001</v>
      </c>
      <c r="I347" s="120">
        <f t="shared" si="5"/>
        <v>2.7015323180031192E-2</v>
      </c>
      <c r="J347" s="120">
        <f t="shared" si="5"/>
        <v>2.1850647512877686E-4</v>
      </c>
    </row>
    <row r="348" spans="6:10" x14ac:dyDescent="0.55000000000000004">
      <c r="F348" s="119">
        <v>43941</v>
      </c>
      <c r="G348" s="52">
        <v>270.01504499999999</v>
      </c>
      <c r="H348" s="52">
        <v>90.304671999999997</v>
      </c>
      <c r="I348" s="120">
        <f t="shared" si="5"/>
        <v>-1.7617885070112749E-2</v>
      </c>
      <c r="J348" s="120">
        <f t="shared" si="5"/>
        <v>-1.0922937023971624E-4</v>
      </c>
    </row>
    <row r="349" spans="6:10" x14ac:dyDescent="0.55000000000000004">
      <c r="F349" s="119">
        <v>43942</v>
      </c>
      <c r="G349" s="52">
        <v>261.81652800000001</v>
      </c>
      <c r="H349" s="52">
        <v>90.304671999999997</v>
      </c>
      <c r="I349" s="120">
        <f t="shared" si="5"/>
        <v>-3.0363185873587106E-2</v>
      </c>
      <c r="J349" s="120">
        <f t="shared" si="5"/>
        <v>0</v>
      </c>
    </row>
    <row r="350" spans="6:10" x14ac:dyDescent="0.55000000000000004">
      <c r="F350" s="119">
        <v>43943</v>
      </c>
      <c r="G350" s="52">
        <v>267.627411</v>
      </c>
      <c r="H350" s="52">
        <v>90.304671999999997</v>
      </c>
      <c r="I350" s="120">
        <f t="shared" si="5"/>
        <v>2.2194484986830076E-2</v>
      </c>
      <c r="J350" s="120">
        <f t="shared" si="5"/>
        <v>0</v>
      </c>
    </row>
    <row r="351" spans="6:10" x14ac:dyDescent="0.55000000000000004">
      <c r="F351" s="119">
        <v>43944</v>
      </c>
      <c r="G351" s="52">
        <v>267.60824600000001</v>
      </c>
      <c r="H351" s="52">
        <v>90.314537000000001</v>
      </c>
      <c r="I351" s="120">
        <f t="shared" si="5"/>
        <v>-7.1610751411377294E-5</v>
      </c>
      <c r="J351" s="120">
        <f t="shared" si="5"/>
        <v>1.0924130259848397E-4</v>
      </c>
    </row>
    <row r="352" spans="6:10" x14ac:dyDescent="0.55000000000000004">
      <c r="F352" s="119">
        <v>43945</v>
      </c>
      <c r="G352" s="52">
        <v>271.338348</v>
      </c>
      <c r="H352" s="52">
        <v>90.304671999999997</v>
      </c>
      <c r="I352" s="120">
        <f t="shared" si="5"/>
        <v>1.3938666150070667E-2</v>
      </c>
      <c r="J352" s="120">
        <f t="shared" si="5"/>
        <v>-1.0922937023971624E-4</v>
      </c>
    </row>
    <row r="353" spans="6:10" x14ac:dyDescent="0.55000000000000004">
      <c r="F353" s="119">
        <v>43948</v>
      </c>
      <c r="G353" s="52">
        <v>275.25064099999997</v>
      </c>
      <c r="H353" s="52">
        <v>90.304671999999997</v>
      </c>
      <c r="I353" s="120">
        <f t="shared" si="5"/>
        <v>1.4418503793647286E-2</v>
      </c>
      <c r="J353" s="120">
        <f t="shared" si="5"/>
        <v>0</v>
      </c>
    </row>
    <row r="354" spans="6:10" x14ac:dyDescent="0.55000000000000004">
      <c r="F354" s="119">
        <v>43949</v>
      </c>
      <c r="G354" s="52">
        <v>273.98492399999998</v>
      </c>
      <c r="H354" s="52">
        <v>90.304671999999997</v>
      </c>
      <c r="I354" s="120">
        <f t="shared" si="5"/>
        <v>-4.5984161758955144E-3</v>
      </c>
      <c r="J354" s="120">
        <f t="shared" si="5"/>
        <v>0</v>
      </c>
    </row>
    <row r="355" spans="6:10" x14ac:dyDescent="0.55000000000000004">
      <c r="F355" s="119">
        <v>43950</v>
      </c>
      <c r="G355" s="52">
        <v>281.15741000000003</v>
      </c>
      <c r="H355" s="52">
        <v>90.294807000000006</v>
      </c>
      <c r="I355" s="120">
        <f t="shared" si="5"/>
        <v>2.6178396589441766E-2</v>
      </c>
      <c r="J355" s="120">
        <f t="shared" si="5"/>
        <v>-1.0924130259826192E-4</v>
      </c>
    </row>
    <row r="356" spans="6:10" x14ac:dyDescent="0.55000000000000004">
      <c r="F356" s="119">
        <v>43951</v>
      </c>
      <c r="G356" s="52">
        <v>278.53964200000001</v>
      </c>
      <c r="H356" s="52">
        <v>90.314537000000001</v>
      </c>
      <c r="I356" s="120">
        <f t="shared" si="5"/>
        <v>-9.3106847157256034E-3</v>
      </c>
      <c r="J356" s="120">
        <f t="shared" si="5"/>
        <v>2.1850647512877686E-4</v>
      </c>
    </row>
    <row r="357" spans="6:10" x14ac:dyDescent="0.55000000000000004">
      <c r="F357" s="119">
        <v>43952</v>
      </c>
      <c r="G357" s="52">
        <v>271.16574100000003</v>
      </c>
      <c r="H357" s="52">
        <v>90.298743999999999</v>
      </c>
      <c r="I357" s="120">
        <f t="shared" si="5"/>
        <v>-2.6473434614380675E-2</v>
      </c>
      <c r="J357" s="120">
        <f t="shared" si="5"/>
        <v>-1.7486664411514585E-4</v>
      </c>
    </row>
    <row r="358" spans="6:10" x14ac:dyDescent="0.55000000000000004">
      <c r="F358" s="119">
        <v>43955</v>
      </c>
      <c r="G358" s="52">
        <v>271.91366599999998</v>
      </c>
      <c r="H358" s="52">
        <v>90.298743999999999</v>
      </c>
      <c r="I358" s="120">
        <f t="shared" si="5"/>
        <v>2.7581839698547217E-3</v>
      </c>
      <c r="J358" s="120">
        <f t="shared" si="5"/>
        <v>0</v>
      </c>
    </row>
    <row r="359" spans="6:10" x14ac:dyDescent="0.55000000000000004">
      <c r="F359" s="119">
        <v>43956</v>
      </c>
      <c r="G359" s="52">
        <v>274.42596400000002</v>
      </c>
      <c r="H359" s="52">
        <v>90.298743999999999</v>
      </c>
      <c r="I359" s="120">
        <f t="shared" si="5"/>
        <v>9.2393223075446507E-3</v>
      </c>
      <c r="J359" s="120">
        <f t="shared" si="5"/>
        <v>0</v>
      </c>
    </row>
    <row r="360" spans="6:10" x14ac:dyDescent="0.55000000000000004">
      <c r="F360" s="119">
        <v>43957</v>
      </c>
      <c r="G360" s="52">
        <v>272.56573500000002</v>
      </c>
      <c r="H360" s="52">
        <v>90.308616999999998</v>
      </c>
      <c r="I360" s="120">
        <f t="shared" si="5"/>
        <v>-6.7786188044510753E-3</v>
      </c>
      <c r="J360" s="120">
        <f t="shared" si="5"/>
        <v>1.0933706896287809E-4</v>
      </c>
    </row>
    <row r="361" spans="6:10" x14ac:dyDescent="0.55000000000000004">
      <c r="F361" s="119">
        <v>43958</v>
      </c>
      <c r="G361" s="52">
        <v>275.85470600000002</v>
      </c>
      <c r="H361" s="52">
        <v>90.298743999999999</v>
      </c>
      <c r="I361" s="120">
        <f t="shared" si="5"/>
        <v>1.2066707504521768E-2</v>
      </c>
      <c r="J361" s="120">
        <f t="shared" si="5"/>
        <v>-1.0932511567529613E-4</v>
      </c>
    </row>
    <row r="362" spans="6:10" x14ac:dyDescent="0.55000000000000004">
      <c r="F362" s="119">
        <v>43959</v>
      </c>
      <c r="G362" s="52">
        <v>280.41906699999998</v>
      </c>
      <c r="H362" s="52">
        <v>90.298743999999999</v>
      </c>
      <c r="I362" s="120">
        <f t="shared" si="5"/>
        <v>1.6546250256828987E-2</v>
      </c>
      <c r="J362" s="120">
        <f t="shared" si="5"/>
        <v>0</v>
      </c>
    </row>
    <row r="363" spans="6:10" x14ac:dyDescent="0.55000000000000004">
      <c r="F363" s="119">
        <v>43962</v>
      </c>
      <c r="G363" s="52">
        <v>280.47662400000002</v>
      </c>
      <c r="H363" s="52">
        <v>90.308616999999998</v>
      </c>
      <c r="I363" s="120">
        <f t="shared" si="5"/>
        <v>2.0525351794287161E-4</v>
      </c>
      <c r="J363" s="120">
        <f t="shared" si="5"/>
        <v>1.0933706896287809E-4</v>
      </c>
    </row>
    <row r="364" spans="6:10" x14ac:dyDescent="0.55000000000000004">
      <c r="F364" s="119">
        <v>43963</v>
      </c>
      <c r="G364" s="52">
        <v>274.88623000000001</v>
      </c>
      <c r="H364" s="52">
        <v>90.308616999999998</v>
      </c>
      <c r="I364" s="120">
        <f t="shared" si="5"/>
        <v>-1.9931764438237076E-2</v>
      </c>
      <c r="J364" s="120">
        <f t="shared" si="5"/>
        <v>0</v>
      </c>
    </row>
    <row r="365" spans="6:10" x14ac:dyDescent="0.55000000000000004">
      <c r="F365" s="119">
        <v>43964</v>
      </c>
      <c r="G365" s="52">
        <v>270.02462800000001</v>
      </c>
      <c r="H365" s="52">
        <v>90.308616999999998</v>
      </c>
      <c r="I365" s="120">
        <f t="shared" si="5"/>
        <v>-1.7685869532278908E-2</v>
      </c>
      <c r="J365" s="120">
        <f t="shared" si="5"/>
        <v>0</v>
      </c>
    </row>
    <row r="366" spans="6:10" x14ac:dyDescent="0.55000000000000004">
      <c r="F366" s="119">
        <v>43965</v>
      </c>
      <c r="G366" s="52">
        <v>273.25613399999997</v>
      </c>
      <c r="H366" s="52">
        <v>90.318481000000006</v>
      </c>
      <c r="I366" s="120">
        <f t="shared" si="5"/>
        <v>1.1967449132084251E-2</v>
      </c>
      <c r="J366" s="120">
        <f t="shared" si="5"/>
        <v>1.0922545741132161E-4</v>
      </c>
    </row>
    <row r="367" spans="6:10" x14ac:dyDescent="0.55000000000000004">
      <c r="F367" s="119">
        <v>43966</v>
      </c>
      <c r="G367" s="52">
        <v>274.51226800000001</v>
      </c>
      <c r="H367" s="52">
        <v>90.298743999999999</v>
      </c>
      <c r="I367" s="120">
        <f t="shared" si="5"/>
        <v>4.5969105308356628E-3</v>
      </c>
      <c r="J367" s="120">
        <f t="shared" si="5"/>
        <v>-2.1852670440736244E-4</v>
      </c>
    </row>
    <row r="368" spans="6:10" x14ac:dyDescent="0.55000000000000004">
      <c r="F368" s="119">
        <v>43969</v>
      </c>
      <c r="G368" s="52">
        <v>282.87383999999997</v>
      </c>
      <c r="H368" s="52">
        <v>90.298743999999999</v>
      </c>
      <c r="I368" s="120">
        <f t="shared" si="5"/>
        <v>3.0459738870395325E-2</v>
      </c>
      <c r="J368" s="120">
        <f t="shared" si="5"/>
        <v>0</v>
      </c>
    </row>
    <row r="369" spans="6:10" x14ac:dyDescent="0.55000000000000004">
      <c r="F369" s="119">
        <v>43970</v>
      </c>
      <c r="G369" s="52">
        <v>279.968323</v>
      </c>
      <c r="H369" s="52">
        <v>90.298743999999999</v>
      </c>
      <c r="I369" s="120">
        <f t="shared" si="5"/>
        <v>-1.0271423472739571E-2</v>
      </c>
      <c r="J369" s="120">
        <f t="shared" si="5"/>
        <v>0</v>
      </c>
    </row>
    <row r="370" spans="6:10" x14ac:dyDescent="0.55000000000000004">
      <c r="F370" s="119">
        <v>43971</v>
      </c>
      <c r="G370" s="52">
        <v>284.72451799999999</v>
      </c>
      <c r="H370" s="52">
        <v>90.298743999999999</v>
      </c>
      <c r="I370" s="120">
        <f t="shared" si="5"/>
        <v>1.6988332640760939E-2</v>
      </c>
      <c r="J370" s="120">
        <f t="shared" si="5"/>
        <v>0</v>
      </c>
    </row>
    <row r="371" spans="6:10" x14ac:dyDescent="0.55000000000000004">
      <c r="F371" s="119">
        <v>43972</v>
      </c>
      <c r="G371" s="52">
        <v>282.75878899999998</v>
      </c>
      <c r="H371" s="52">
        <v>90.308616999999998</v>
      </c>
      <c r="I371" s="120">
        <f t="shared" si="5"/>
        <v>-6.9039681366674932E-3</v>
      </c>
      <c r="J371" s="120">
        <f t="shared" si="5"/>
        <v>1.0933706896287809E-4</v>
      </c>
    </row>
    <row r="372" spans="6:10" x14ac:dyDescent="0.55000000000000004">
      <c r="F372" s="119">
        <v>43973</v>
      </c>
      <c r="G372" s="52">
        <v>283.29580700000002</v>
      </c>
      <c r="H372" s="52">
        <v>90.298743999999999</v>
      </c>
      <c r="I372" s="120">
        <f t="shared" si="5"/>
        <v>1.8992088695075626E-3</v>
      </c>
      <c r="J372" s="120">
        <f t="shared" si="5"/>
        <v>-1.0932511567529613E-4</v>
      </c>
    </row>
    <row r="373" spans="6:10" x14ac:dyDescent="0.55000000000000004">
      <c r="F373" s="119">
        <v>43977</v>
      </c>
      <c r="G373" s="52">
        <v>286.78610200000003</v>
      </c>
      <c r="H373" s="52">
        <v>90.308616999999998</v>
      </c>
      <c r="I373" s="120">
        <f t="shared" si="5"/>
        <v>1.232032001094896E-2</v>
      </c>
      <c r="J373" s="120">
        <f t="shared" si="5"/>
        <v>1.0933706896287809E-4</v>
      </c>
    </row>
    <row r="374" spans="6:10" x14ac:dyDescent="0.55000000000000004">
      <c r="F374" s="119">
        <v>43978</v>
      </c>
      <c r="G374" s="52">
        <v>291.05319200000002</v>
      </c>
      <c r="H374" s="52">
        <v>90.298743999999999</v>
      </c>
      <c r="I374" s="120">
        <f t="shared" si="5"/>
        <v>1.4878998564581858E-2</v>
      </c>
      <c r="J374" s="120">
        <f t="shared" si="5"/>
        <v>-1.0932511567529613E-4</v>
      </c>
    </row>
    <row r="375" spans="6:10" x14ac:dyDescent="0.55000000000000004">
      <c r="F375" s="119">
        <v>43979</v>
      </c>
      <c r="G375" s="52">
        <v>290.51623499999999</v>
      </c>
      <c r="H375" s="52">
        <v>90.298743999999999</v>
      </c>
      <c r="I375" s="120">
        <f t="shared" si="5"/>
        <v>-1.84487583286852E-3</v>
      </c>
      <c r="J375" s="120">
        <f t="shared" si="5"/>
        <v>0</v>
      </c>
    </row>
    <row r="376" spans="6:10" x14ac:dyDescent="0.55000000000000004">
      <c r="F376" s="119">
        <v>43980</v>
      </c>
      <c r="G376" s="52">
        <v>291.810699</v>
      </c>
      <c r="H376" s="52">
        <v>90.298743999999999</v>
      </c>
      <c r="I376" s="120">
        <f t="shared" si="5"/>
        <v>4.4557372155122899E-3</v>
      </c>
      <c r="J376" s="120">
        <f t="shared" si="5"/>
        <v>0</v>
      </c>
    </row>
    <row r="377" spans="6:10" x14ac:dyDescent="0.55000000000000004">
      <c r="F377" s="119">
        <v>43983</v>
      </c>
      <c r="G377" s="52">
        <v>292.99017300000003</v>
      </c>
      <c r="H377" s="52">
        <v>90.308616999999998</v>
      </c>
      <c r="I377" s="120">
        <f t="shared" si="5"/>
        <v>4.0419148579609043E-3</v>
      </c>
      <c r="J377" s="120">
        <f t="shared" si="5"/>
        <v>1.0933706896287809E-4</v>
      </c>
    </row>
    <row r="378" spans="6:10" x14ac:dyDescent="0.55000000000000004">
      <c r="F378" s="119">
        <v>43984</v>
      </c>
      <c r="G378" s="52">
        <v>295.41610700000001</v>
      </c>
      <c r="H378" s="52">
        <v>90.308616999999998</v>
      </c>
      <c r="I378" s="120">
        <f t="shared" si="5"/>
        <v>8.279915927419168E-3</v>
      </c>
      <c r="J378" s="120">
        <f t="shared" si="5"/>
        <v>0</v>
      </c>
    </row>
    <row r="379" spans="6:10" x14ac:dyDescent="0.55000000000000004">
      <c r="F379" s="119">
        <v>43985</v>
      </c>
      <c r="G379" s="52">
        <v>299.34765599999997</v>
      </c>
      <c r="H379" s="52">
        <v>90.308616999999998</v>
      </c>
      <c r="I379" s="120">
        <f t="shared" si="5"/>
        <v>1.3308512660076266E-2</v>
      </c>
      <c r="J379" s="120">
        <f t="shared" si="5"/>
        <v>0</v>
      </c>
    </row>
    <row r="380" spans="6:10" x14ac:dyDescent="0.55000000000000004">
      <c r="F380" s="119">
        <v>43986</v>
      </c>
      <c r="G380" s="52">
        <v>298.56133999999997</v>
      </c>
      <c r="H380" s="52">
        <v>90.308616999999998</v>
      </c>
      <c r="I380" s="120">
        <f t="shared" si="5"/>
        <v>-2.6267651816855864E-3</v>
      </c>
      <c r="J380" s="120">
        <f t="shared" si="5"/>
        <v>0</v>
      </c>
    </row>
    <row r="381" spans="6:10" x14ac:dyDescent="0.55000000000000004">
      <c r="F381" s="119">
        <v>43987</v>
      </c>
      <c r="G381" s="52">
        <v>306.213348</v>
      </c>
      <c r="H381" s="52">
        <v>90.288887000000003</v>
      </c>
      <c r="I381" s="120">
        <f t="shared" si="5"/>
        <v>2.5629600938956276E-2</v>
      </c>
      <c r="J381" s="120">
        <f t="shared" si="5"/>
        <v>-2.1847306110334141E-4</v>
      </c>
    </row>
    <row r="382" spans="6:10" x14ac:dyDescent="0.55000000000000004">
      <c r="F382" s="119">
        <v>43990</v>
      </c>
      <c r="G382" s="52">
        <v>309.91467299999999</v>
      </c>
      <c r="H382" s="52">
        <v>90.298743999999999</v>
      </c>
      <c r="I382" s="120">
        <f t="shared" si="5"/>
        <v>1.2087405804400042E-2</v>
      </c>
      <c r="J382" s="120">
        <f t="shared" si="5"/>
        <v>1.0917179652469855E-4</v>
      </c>
    </row>
    <row r="383" spans="6:10" x14ac:dyDescent="0.55000000000000004">
      <c r="F383" s="119">
        <v>43991</v>
      </c>
      <c r="G383" s="52">
        <v>307.60376000000002</v>
      </c>
      <c r="H383" s="52">
        <v>90.298743999999999</v>
      </c>
      <c r="I383" s="120">
        <f t="shared" si="5"/>
        <v>-7.4566104845250614E-3</v>
      </c>
      <c r="J383" s="120">
        <f t="shared" si="5"/>
        <v>0</v>
      </c>
    </row>
    <row r="384" spans="6:10" x14ac:dyDescent="0.55000000000000004">
      <c r="F384" s="119">
        <v>43992</v>
      </c>
      <c r="G384" s="52">
        <v>305.88732900000002</v>
      </c>
      <c r="H384" s="52">
        <v>90.308616999999998</v>
      </c>
      <c r="I384" s="120">
        <f t="shared" si="5"/>
        <v>-5.5800065642890306E-3</v>
      </c>
      <c r="J384" s="120">
        <f t="shared" si="5"/>
        <v>1.0933706896287809E-4</v>
      </c>
    </row>
    <row r="385" spans="6:10" x14ac:dyDescent="0.55000000000000004">
      <c r="F385" s="119">
        <v>43993</v>
      </c>
      <c r="G385" s="52">
        <v>288.25320399999998</v>
      </c>
      <c r="H385" s="52">
        <v>90.288887000000003</v>
      </c>
      <c r="I385" s="120">
        <f t="shared" si="5"/>
        <v>-5.7649086209779044E-2</v>
      </c>
      <c r="J385" s="120">
        <f t="shared" si="5"/>
        <v>-2.1847306110334141E-4</v>
      </c>
    </row>
    <row r="386" spans="6:10" x14ac:dyDescent="0.55000000000000004">
      <c r="F386" s="119">
        <v>43994</v>
      </c>
      <c r="G386" s="52">
        <v>291.70526100000001</v>
      </c>
      <c r="H386" s="52">
        <v>90.308616999999998</v>
      </c>
      <c r="I386" s="120">
        <f t="shared" si="5"/>
        <v>1.1975780154728222E-2</v>
      </c>
      <c r="J386" s="120">
        <f t="shared" si="5"/>
        <v>2.1852080201179014E-4</v>
      </c>
    </row>
    <row r="387" spans="6:10" x14ac:dyDescent="0.55000000000000004">
      <c r="F387" s="119">
        <v>43997</v>
      </c>
      <c r="G387" s="52">
        <v>294.42852800000003</v>
      </c>
      <c r="H387" s="52">
        <v>90.308616999999998</v>
      </c>
      <c r="I387" s="120">
        <f t="shared" si="5"/>
        <v>9.3356800993726896E-3</v>
      </c>
      <c r="J387" s="120">
        <f t="shared" si="5"/>
        <v>0</v>
      </c>
    </row>
    <row r="388" spans="6:10" x14ac:dyDescent="0.55000000000000004">
      <c r="F388" s="119">
        <v>43998</v>
      </c>
      <c r="G388" s="52">
        <v>300.09558099999998</v>
      </c>
      <c r="H388" s="52">
        <v>90.308616999999998</v>
      </c>
      <c r="I388" s="120">
        <f t="shared" si="5"/>
        <v>1.92476355416209E-2</v>
      </c>
      <c r="J388" s="120">
        <f t="shared" si="5"/>
        <v>0</v>
      </c>
    </row>
    <row r="389" spans="6:10" x14ac:dyDescent="0.55000000000000004">
      <c r="F389" s="119">
        <v>43999</v>
      </c>
      <c r="G389" s="52">
        <v>298.84903000000003</v>
      </c>
      <c r="H389" s="52">
        <v>90.308616999999998</v>
      </c>
      <c r="I389" s="120">
        <f t="shared" si="5"/>
        <v>-4.1538465706363326E-3</v>
      </c>
      <c r="J389" s="120">
        <f t="shared" si="5"/>
        <v>0</v>
      </c>
    </row>
    <row r="390" spans="6:10" x14ac:dyDescent="0.55000000000000004">
      <c r="F390" s="119">
        <v>44000</v>
      </c>
      <c r="G390" s="52">
        <v>298.96404999999999</v>
      </c>
      <c r="H390" s="52">
        <v>90.298743999999999</v>
      </c>
      <c r="I390" s="120">
        <f t="shared" si="5"/>
        <v>3.8487660475250429E-4</v>
      </c>
      <c r="J390" s="120">
        <f t="shared" si="5"/>
        <v>-1.0932511567529613E-4</v>
      </c>
    </row>
    <row r="391" spans="6:10" x14ac:dyDescent="0.55000000000000004">
      <c r="F391" s="119">
        <v>44001</v>
      </c>
      <c r="G391" s="52">
        <v>297.25552399999998</v>
      </c>
      <c r="H391" s="52">
        <v>90.298743999999999</v>
      </c>
      <c r="I391" s="120">
        <f t="shared" si="5"/>
        <v>-5.7148208956896429E-3</v>
      </c>
      <c r="J391" s="120">
        <f t="shared" si="5"/>
        <v>0</v>
      </c>
    </row>
    <row r="392" spans="6:10" x14ac:dyDescent="0.55000000000000004">
      <c r="F392" s="119">
        <v>44004</v>
      </c>
      <c r="G392" s="52">
        <v>299.16253699999999</v>
      </c>
      <c r="H392" s="52">
        <v>90.298743999999999</v>
      </c>
      <c r="I392" s="120">
        <f t="shared" si="5"/>
        <v>6.4153997017057929E-3</v>
      </c>
      <c r="J392" s="120">
        <f t="shared" si="5"/>
        <v>0</v>
      </c>
    </row>
    <row r="393" spans="6:10" x14ac:dyDescent="0.55000000000000004">
      <c r="F393" s="119">
        <v>44005</v>
      </c>
      <c r="G393" s="52">
        <v>300.53970299999997</v>
      </c>
      <c r="H393" s="52">
        <v>90.298743999999999</v>
      </c>
      <c r="I393" s="120">
        <f t="shared" si="5"/>
        <v>4.6034039348983313E-3</v>
      </c>
      <c r="J393" s="120">
        <f t="shared" si="5"/>
        <v>0</v>
      </c>
    </row>
    <row r="394" spans="6:10" x14ac:dyDescent="0.55000000000000004">
      <c r="F394" s="119">
        <v>44006</v>
      </c>
      <c r="G394" s="52">
        <v>292.87329099999999</v>
      </c>
      <c r="H394" s="52">
        <v>90.298743999999999</v>
      </c>
      <c r="I394" s="120">
        <f t="shared" si="5"/>
        <v>-2.5508816051501793E-2</v>
      </c>
      <c r="J394" s="120">
        <f t="shared" si="5"/>
        <v>0</v>
      </c>
    </row>
    <row r="395" spans="6:10" x14ac:dyDescent="0.55000000000000004">
      <c r="F395" s="119">
        <v>44007</v>
      </c>
      <c r="G395" s="52">
        <v>296.01306199999999</v>
      </c>
      <c r="H395" s="52">
        <v>90.308616999999998</v>
      </c>
      <c r="I395" s="120">
        <f t="shared" si="5"/>
        <v>1.0720578135614334E-2</v>
      </c>
      <c r="J395" s="120">
        <f t="shared" si="5"/>
        <v>1.0933706896287809E-4</v>
      </c>
    </row>
    <row r="396" spans="6:10" x14ac:dyDescent="0.55000000000000004">
      <c r="F396" s="119">
        <v>44008</v>
      </c>
      <c r="G396" s="52">
        <v>288.98236100000003</v>
      </c>
      <c r="H396" s="52">
        <v>90.298743999999999</v>
      </c>
      <c r="I396" s="120">
        <f t="shared" si="5"/>
        <v>-2.375132013600123E-2</v>
      </c>
      <c r="J396" s="120">
        <f t="shared" si="5"/>
        <v>-1.0932511567529613E-4</v>
      </c>
    </row>
    <row r="397" spans="6:10" x14ac:dyDescent="0.55000000000000004">
      <c r="F397" s="119">
        <v>44011</v>
      </c>
      <c r="G397" s="52">
        <v>293.22967499999999</v>
      </c>
      <c r="H397" s="52">
        <v>90.298743999999999</v>
      </c>
      <c r="I397" s="120">
        <f t="shared" si="5"/>
        <v>1.4697485290460222E-2</v>
      </c>
      <c r="J397" s="120">
        <f t="shared" si="5"/>
        <v>0</v>
      </c>
    </row>
    <row r="398" spans="6:10" x14ac:dyDescent="0.55000000000000004">
      <c r="F398" s="119">
        <v>44012</v>
      </c>
      <c r="G398" s="52">
        <v>296.98577899999998</v>
      </c>
      <c r="H398" s="52">
        <v>90.298743999999999</v>
      </c>
      <c r="I398" s="120">
        <f t="shared" si="5"/>
        <v>1.2809426603906937E-2</v>
      </c>
      <c r="J398" s="120">
        <f t="shared" si="5"/>
        <v>0</v>
      </c>
    </row>
    <row r="399" spans="6:10" x14ac:dyDescent="0.55000000000000004">
      <c r="F399" s="119">
        <v>44013</v>
      </c>
      <c r="G399" s="52">
        <v>299.06616200000002</v>
      </c>
      <c r="H399" s="52">
        <v>90.298743999999999</v>
      </c>
      <c r="I399" s="120">
        <f t="shared" si="5"/>
        <v>7.0049919797676719E-3</v>
      </c>
      <c r="J399" s="120">
        <f t="shared" si="5"/>
        <v>0</v>
      </c>
    </row>
    <row r="400" spans="6:10" x14ac:dyDescent="0.55000000000000004">
      <c r="F400" s="119">
        <v>44014</v>
      </c>
      <c r="G400" s="52">
        <v>300.71310399999999</v>
      </c>
      <c r="H400" s="52">
        <v>90.308616999999998</v>
      </c>
      <c r="I400" s="120">
        <f t="shared" si="5"/>
        <v>5.5069486597416617E-3</v>
      </c>
      <c r="J400" s="120">
        <f t="shared" si="5"/>
        <v>1.0933706896287809E-4</v>
      </c>
    </row>
    <row r="401" spans="6:10" x14ac:dyDescent="0.55000000000000004">
      <c r="F401" s="119">
        <v>44018</v>
      </c>
      <c r="G401" s="52">
        <v>305.35528599999998</v>
      </c>
      <c r="H401" s="52">
        <v>90.298743999999999</v>
      </c>
      <c r="I401" s="120">
        <f t="shared" si="5"/>
        <v>1.5437245461707549E-2</v>
      </c>
      <c r="J401" s="120">
        <f t="shared" si="5"/>
        <v>-1.0932511567529613E-4</v>
      </c>
    </row>
    <row r="402" spans="6:10" x14ac:dyDescent="0.55000000000000004">
      <c r="F402" s="119">
        <v>44019</v>
      </c>
      <c r="G402" s="52">
        <v>302.20593300000002</v>
      </c>
      <c r="H402" s="52">
        <v>90.298743999999999</v>
      </c>
      <c r="I402" s="120">
        <f t="shared" si="5"/>
        <v>-1.0313733360423849E-2</v>
      </c>
      <c r="J402" s="120">
        <f t="shared" si="5"/>
        <v>0</v>
      </c>
    </row>
    <row r="403" spans="6:10" x14ac:dyDescent="0.55000000000000004">
      <c r="F403" s="119">
        <v>44020</v>
      </c>
      <c r="G403" s="52">
        <v>304.517426</v>
      </c>
      <c r="H403" s="52">
        <v>90.298743999999999</v>
      </c>
      <c r="I403" s="120">
        <f t="shared" si="5"/>
        <v>7.6487346792095678E-3</v>
      </c>
      <c r="J403" s="120">
        <f t="shared" si="5"/>
        <v>0</v>
      </c>
    </row>
    <row r="404" spans="6:10" x14ac:dyDescent="0.55000000000000004">
      <c r="F404" s="119">
        <v>44021</v>
      </c>
      <c r="G404" s="52">
        <v>302.78381300000001</v>
      </c>
      <c r="H404" s="52">
        <v>90.298743999999999</v>
      </c>
      <c r="I404" s="120">
        <f t="shared" si="5"/>
        <v>-5.6929845453245198E-3</v>
      </c>
      <c r="J404" s="120">
        <f t="shared" si="5"/>
        <v>0</v>
      </c>
    </row>
    <row r="405" spans="6:10" x14ac:dyDescent="0.55000000000000004">
      <c r="F405" s="119">
        <v>44022</v>
      </c>
      <c r="G405" s="52">
        <v>305.87536599999999</v>
      </c>
      <c r="H405" s="52">
        <v>90.308616999999998</v>
      </c>
      <c r="I405" s="120">
        <f t="shared" si="5"/>
        <v>1.0210430238554391E-2</v>
      </c>
      <c r="J405" s="120">
        <f t="shared" si="5"/>
        <v>1.0933706896287809E-4</v>
      </c>
    </row>
    <row r="406" spans="6:10" x14ac:dyDescent="0.55000000000000004">
      <c r="F406" s="119">
        <v>44025</v>
      </c>
      <c r="G406" s="52">
        <v>303.22680700000001</v>
      </c>
      <c r="H406" s="52">
        <v>90.308616999999998</v>
      </c>
      <c r="I406" s="120">
        <f t="shared" si="5"/>
        <v>-8.658948363955421E-3</v>
      </c>
      <c r="J406" s="120">
        <f t="shared" si="5"/>
        <v>0</v>
      </c>
    </row>
    <row r="407" spans="6:10" x14ac:dyDescent="0.55000000000000004">
      <c r="F407" s="119">
        <v>44026</v>
      </c>
      <c r="G407" s="52">
        <v>307.156342</v>
      </c>
      <c r="H407" s="52">
        <v>90.308616999999998</v>
      </c>
      <c r="I407" s="120">
        <f t="shared" ref="I407:J470" si="6">G407/G406-1</f>
        <v>1.295906202646524E-2</v>
      </c>
      <c r="J407" s="120">
        <f t="shared" si="6"/>
        <v>0</v>
      </c>
    </row>
    <row r="408" spans="6:10" x14ac:dyDescent="0.55000000000000004">
      <c r="F408" s="119">
        <v>44027</v>
      </c>
      <c r="G408" s="52">
        <v>309.97827100000001</v>
      </c>
      <c r="H408" s="52">
        <v>90.308616999999998</v>
      </c>
      <c r="I408" s="120">
        <f t="shared" si="6"/>
        <v>9.1872724542343409E-3</v>
      </c>
      <c r="J408" s="120">
        <f t="shared" si="6"/>
        <v>0</v>
      </c>
    </row>
    <row r="409" spans="6:10" x14ac:dyDescent="0.55000000000000004">
      <c r="F409" s="119">
        <v>44028</v>
      </c>
      <c r="G409" s="52">
        <v>308.95739700000001</v>
      </c>
      <c r="H409" s="52">
        <v>90.298743999999999</v>
      </c>
      <c r="I409" s="120">
        <f t="shared" si="6"/>
        <v>-3.2933727796681245E-3</v>
      </c>
      <c r="J409" s="120">
        <f t="shared" si="6"/>
        <v>-1.0932511567529613E-4</v>
      </c>
    </row>
    <row r="410" spans="6:10" x14ac:dyDescent="0.55000000000000004">
      <c r="F410" s="119">
        <v>44029</v>
      </c>
      <c r="G410" s="52">
        <v>309.853027</v>
      </c>
      <c r="H410" s="52">
        <v>90.308616999999998</v>
      </c>
      <c r="I410" s="120">
        <f t="shared" si="6"/>
        <v>2.8988786437762482E-3</v>
      </c>
      <c r="J410" s="120">
        <f t="shared" si="6"/>
        <v>1.0933706896287809E-4</v>
      </c>
    </row>
    <row r="411" spans="6:10" x14ac:dyDescent="0.55000000000000004">
      <c r="F411" s="119">
        <v>44032</v>
      </c>
      <c r="G411" s="52">
        <v>312.35711700000002</v>
      </c>
      <c r="H411" s="52">
        <v>90.308616999999998</v>
      </c>
      <c r="I411" s="120">
        <f t="shared" si="6"/>
        <v>8.0815411882357857E-3</v>
      </c>
      <c r="J411" s="120">
        <f t="shared" si="6"/>
        <v>0</v>
      </c>
    </row>
    <row r="412" spans="6:10" x14ac:dyDescent="0.55000000000000004">
      <c r="F412" s="119">
        <v>44033</v>
      </c>
      <c r="G412" s="52">
        <v>313.02175899999997</v>
      </c>
      <c r="H412" s="52">
        <v>90.308616999999998</v>
      </c>
      <c r="I412" s="120">
        <f t="shared" si="6"/>
        <v>2.1278272971125833E-3</v>
      </c>
      <c r="J412" s="120">
        <f t="shared" si="6"/>
        <v>0</v>
      </c>
    </row>
    <row r="413" spans="6:10" x14ac:dyDescent="0.55000000000000004">
      <c r="F413" s="119">
        <v>44034</v>
      </c>
      <c r="G413" s="52">
        <v>314.80343599999998</v>
      </c>
      <c r="H413" s="52">
        <v>90.298743999999999</v>
      </c>
      <c r="I413" s="120">
        <f t="shared" si="6"/>
        <v>5.6918631014402088E-3</v>
      </c>
      <c r="J413" s="120">
        <f t="shared" si="6"/>
        <v>-1.0932511567529613E-4</v>
      </c>
    </row>
    <row r="414" spans="6:10" x14ac:dyDescent="0.55000000000000004">
      <c r="F414" s="119">
        <v>44035</v>
      </c>
      <c r="G414" s="52">
        <v>311.047302</v>
      </c>
      <c r="H414" s="52">
        <v>90.308616999999998</v>
      </c>
      <c r="I414" s="120">
        <f t="shared" si="6"/>
        <v>-1.193168044074322E-2</v>
      </c>
      <c r="J414" s="120">
        <f t="shared" si="6"/>
        <v>1.0933706896287809E-4</v>
      </c>
    </row>
    <row r="415" spans="6:10" x14ac:dyDescent="0.55000000000000004">
      <c r="F415" s="119">
        <v>44036</v>
      </c>
      <c r="G415" s="52">
        <v>309.04406699999998</v>
      </c>
      <c r="H415" s="52">
        <v>90.298743999999999</v>
      </c>
      <c r="I415" s="120">
        <f t="shared" si="6"/>
        <v>-6.4402905510494435E-3</v>
      </c>
      <c r="J415" s="120">
        <f t="shared" si="6"/>
        <v>-1.0932511567529613E-4</v>
      </c>
    </row>
    <row r="416" spans="6:10" x14ac:dyDescent="0.55000000000000004">
      <c r="F416" s="119">
        <v>44039</v>
      </c>
      <c r="G416" s="52">
        <v>311.297729</v>
      </c>
      <c r="H416" s="52">
        <v>90.298743999999999</v>
      </c>
      <c r="I416" s="120">
        <f t="shared" si="6"/>
        <v>7.292364554599251E-3</v>
      </c>
      <c r="J416" s="120">
        <f t="shared" si="6"/>
        <v>0</v>
      </c>
    </row>
    <row r="417" spans="6:10" x14ac:dyDescent="0.55000000000000004">
      <c r="F417" s="119">
        <v>44040</v>
      </c>
      <c r="G417" s="52">
        <v>309.32330300000001</v>
      </c>
      <c r="H417" s="52">
        <v>90.308616999999998</v>
      </c>
      <c r="I417" s="120">
        <f t="shared" si="6"/>
        <v>-6.3425647412930219E-3</v>
      </c>
      <c r="J417" s="120">
        <f t="shared" si="6"/>
        <v>1.0933706896287809E-4</v>
      </c>
    </row>
    <row r="418" spans="6:10" x14ac:dyDescent="0.55000000000000004">
      <c r="F418" s="119">
        <v>44041</v>
      </c>
      <c r="G418" s="52">
        <v>313.12759399999999</v>
      </c>
      <c r="H418" s="52">
        <v>90.308616999999998</v>
      </c>
      <c r="I418" s="120">
        <f t="shared" si="6"/>
        <v>1.2298753320890254E-2</v>
      </c>
      <c r="J418" s="120">
        <f t="shared" si="6"/>
        <v>0</v>
      </c>
    </row>
    <row r="419" spans="6:10" x14ac:dyDescent="0.55000000000000004">
      <c r="F419" s="119">
        <v>44042</v>
      </c>
      <c r="G419" s="52">
        <v>312.01043700000002</v>
      </c>
      <c r="H419" s="52">
        <v>90.298743999999999</v>
      </c>
      <c r="I419" s="120">
        <f t="shared" si="6"/>
        <v>-3.5677373103053522E-3</v>
      </c>
      <c r="J419" s="120">
        <f t="shared" si="6"/>
        <v>-1.0932511567529613E-4</v>
      </c>
    </row>
    <row r="420" spans="6:10" x14ac:dyDescent="0.55000000000000004">
      <c r="F420" s="119">
        <v>44043</v>
      </c>
      <c r="G420" s="52">
        <v>314.47592200000003</v>
      </c>
      <c r="H420" s="52">
        <v>90.308616999999998</v>
      </c>
      <c r="I420" s="120">
        <f t="shared" si="6"/>
        <v>7.9019311780266221E-3</v>
      </c>
      <c r="J420" s="120">
        <f t="shared" si="6"/>
        <v>1.0933706896287809E-4</v>
      </c>
    </row>
    <row r="421" spans="6:10" x14ac:dyDescent="0.55000000000000004">
      <c r="F421" s="119">
        <v>44046</v>
      </c>
      <c r="G421" s="52">
        <v>316.66229199999998</v>
      </c>
      <c r="H421" s="52">
        <v>90.298743999999999</v>
      </c>
      <c r="I421" s="120">
        <f t="shared" si="6"/>
        <v>6.952424166833282E-3</v>
      </c>
      <c r="J421" s="120">
        <f t="shared" si="6"/>
        <v>-1.0932511567529613E-4</v>
      </c>
    </row>
    <row r="422" spans="6:10" x14ac:dyDescent="0.55000000000000004">
      <c r="F422" s="119">
        <v>44047</v>
      </c>
      <c r="G422" s="52">
        <v>317.88537600000001</v>
      </c>
      <c r="H422" s="52">
        <v>90.308616999999998</v>
      </c>
      <c r="I422" s="120">
        <f t="shared" si="6"/>
        <v>3.8624238846853842E-3</v>
      </c>
      <c r="J422" s="120">
        <f t="shared" si="6"/>
        <v>1.0933706896287809E-4</v>
      </c>
    </row>
    <row r="423" spans="6:10" x14ac:dyDescent="0.55000000000000004">
      <c r="F423" s="119">
        <v>44048</v>
      </c>
      <c r="G423" s="52">
        <v>319.85983299999998</v>
      </c>
      <c r="H423" s="52">
        <v>90.298743999999999</v>
      </c>
      <c r="I423" s="120">
        <f t="shared" si="6"/>
        <v>6.2112231296855835E-3</v>
      </c>
      <c r="J423" s="120">
        <f t="shared" si="6"/>
        <v>-1.0932511567529613E-4</v>
      </c>
    </row>
    <row r="424" spans="6:10" x14ac:dyDescent="0.55000000000000004">
      <c r="F424" s="119">
        <v>44049</v>
      </c>
      <c r="G424" s="52">
        <v>321.99789399999997</v>
      </c>
      <c r="H424" s="52">
        <v>90.298743999999999</v>
      </c>
      <c r="I424" s="120">
        <f t="shared" si="6"/>
        <v>6.6843685246342766E-3</v>
      </c>
      <c r="J424" s="120">
        <f t="shared" si="6"/>
        <v>0</v>
      </c>
    </row>
    <row r="425" spans="6:10" x14ac:dyDescent="0.55000000000000004">
      <c r="F425" s="119">
        <v>44050</v>
      </c>
      <c r="G425" s="52">
        <v>322.22903400000001</v>
      </c>
      <c r="H425" s="52">
        <v>90.308616999999998</v>
      </c>
      <c r="I425" s="120">
        <f t="shared" si="6"/>
        <v>7.1783078183740301E-4</v>
      </c>
      <c r="J425" s="120">
        <f t="shared" si="6"/>
        <v>1.0933706896287809E-4</v>
      </c>
    </row>
    <row r="426" spans="6:10" x14ac:dyDescent="0.55000000000000004">
      <c r="F426" s="119">
        <v>44053</v>
      </c>
      <c r="G426" s="52">
        <v>323.19216899999998</v>
      </c>
      <c r="H426" s="52">
        <v>90.308616999999998</v>
      </c>
      <c r="I426" s="120">
        <f t="shared" si="6"/>
        <v>2.9889764682098363E-3</v>
      </c>
      <c r="J426" s="120">
        <f t="shared" si="6"/>
        <v>0</v>
      </c>
    </row>
    <row r="427" spans="6:10" x14ac:dyDescent="0.55000000000000004">
      <c r="F427" s="119">
        <v>44054</v>
      </c>
      <c r="G427" s="52">
        <v>320.52435300000002</v>
      </c>
      <c r="H427" s="52">
        <v>90.298743999999999</v>
      </c>
      <c r="I427" s="120">
        <f t="shared" si="6"/>
        <v>-8.2545811931474811E-3</v>
      </c>
      <c r="J427" s="120">
        <f t="shared" si="6"/>
        <v>-1.0932511567529613E-4</v>
      </c>
    </row>
    <row r="428" spans="6:10" x14ac:dyDescent="0.55000000000000004">
      <c r="F428" s="119">
        <v>44055</v>
      </c>
      <c r="G428" s="52">
        <v>324.99316399999998</v>
      </c>
      <c r="H428" s="52">
        <v>90.298743999999999</v>
      </c>
      <c r="I428" s="120">
        <f t="shared" si="6"/>
        <v>1.3942188661090427E-2</v>
      </c>
      <c r="J428" s="120">
        <f t="shared" si="6"/>
        <v>0</v>
      </c>
    </row>
    <row r="429" spans="6:10" x14ac:dyDescent="0.55000000000000004">
      <c r="F429" s="119">
        <v>44056</v>
      </c>
      <c r="G429" s="52">
        <v>324.40566999999999</v>
      </c>
      <c r="H429" s="52">
        <v>90.308616999999998</v>
      </c>
      <c r="I429" s="120">
        <f t="shared" si="6"/>
        <v>-1.8077118692871874E-3</v>
      </c>
      <c r="J429" s="120">
        <f t="shared" si="6"/>
        <v>1.0933706896287809E-4</v>
      </c>
    </row>
    <row r="430" spans="6:10" x14ac:dyDescent="0.55000000000000004">
      <c r="F430" s="119">
        <v>44057</v>
      </c>
      <c r="G430" s="52">
        <v>324.41531400000002</v>
      </c>
      <c r="H430" s="52">
        <v>90.298743999999999</v>
      </c>
      <c r="I430" s="120">
        <f t="shared" si="6"/>
        <v>2.9728210360957519E-5</v>
      </c>
      <c r="J430" s="120">
        <f t="shared" si="6"/>
        <v>-1.0932511567529613E-4</v>
      </c>
    </row>
    <row r="431" spans="6:10" x14ac:dyDescent="0.55000000000000004">
      <c r="F431" s="119">
        <v>44060</v>
      </c>
      <c r="G431" s="52">
        <v>325.44589200000001</v>
      </c>
      <c r="H431" s="52">
        <v>90.298743999999999</v>
      </c>
      <c r="I431" s="120">
        <f t="shared" si="6"/>
        <v>3.1767242652422922E-3</v>
      </c>
      <c r="J431" s="120">
        <f t="shared" si="6"/>
        <v>0</v>
      </c>
    </row>
    <row r="432" spans="6:10" x14ac:dyDescent="0.55000000000000004">
      <c r="F432" s="119">
        <v>44061</v>
      </c>
      <c r="G432" s="52">
        <v>326.14898699999998</v>
      </c>
      <c r="H432" s="52">
        <v>90.308616999999998</v>
      </c>
      <c r="I432" s="120">
        <f t="shared" si="6"/>
        <v>2.1604052080028691E-3</v>
      </c>
      <c r="J432" s="120">
        <f t="shared" si="6"/>
        <v>1.0933706896287809E-4</v>
      </c>
    </row>
    <row r="433" spans="6:10" x14ac:dyDescent="0.55000000000000004">
      <c r="F433" s="119">
        <v>44062</v>
      </c>
      <c r="G433" s="52">
        <v>324.790955</v>
      </c>
      <c r="H433" s="52">
        <v>90.308616999999998</v>
      </c>
      <c r="I433" s="120">
        <f t="shared" si="6"/>
        <v>-4.1638393928231654E-3</v>
      </c>
      <c r="J433" s="120">
        <f t="shared" si="6"/>
        <v>0</v>
      </c>
    </row>
    <row r="434" spans="6:10" x14ac:dyDescent="0.55000000000000004">
      <c r="F434" s="119">
        <v>44063</v>
      </c>
      <c r="G434" s="52">
        <v>325.80221599999999</v>
      </c>
      <c r="H434" s="52">
        <v>90.308616999999998</v>
      </c>
      <c r="I434" s="120">
        <f t="shared" si="6"/>
        <v>3.1135750070379054E-3</v>
      </c>
      <c r="J434" s="120">
        <f t="shared" si="6"/>
        <v>0</v>
      </c>
    </row>
    <row r="435" spans="6:10" x14ac:dyDescent="0.55000000000000004">
      <c r="F435" s="119">
        <v>44064</v>
      </c>
      <c r="G435" s="52">
        <v>326.95794699999999</v>
      </c>
      <c r="H435" s="52">
        <v>90.308616999999998</v>
      </c>
      <c r="I435" s="120">
        <f t="shared" si="6"/>
        <v>3.5473392851324004E-3</v>
      </c>
      <c r="J435" s="120">
        <f t="shared" si="6"/>
        <v>0</v>
      </c>
    </row>
    <row r="436" spans="6:10" x14ac:dyDescent="0.55000000000000004">
      <c r="F436" s="119">
        <v>44067</v>
      </c>
      <c r="G436" s="52">
        <v>330.271118</v>
      </c>
      <c r="H436" s="52">
        <v>90.308616999999998</v>
      </c>
      <c r="I436" s="120">
        <f t="shared" si="6"/>
        <v>1.0133324577059399E-2</v>
      </c>
      <c r="J436" s="120">
        <f t="shared" si="6"/>
        <v>0</v>
      </c>
    </row>
    <row r="437" spans="6:10" x14ac:dyDescent="0.55000000000000004">
      <c r="F437" s="119">
        <v>44068</v>
      </c>
      <c r="G437" s="52">
        <v>331.42681900000002</v>
      </c>
      <c r="H437" s="52">
        <v>90.298743999999999</v>
      </c>
      <c r="I437" s="120">
        <f t="shared" si="6"/>
        <v>3.4992493651837542E-3</v>
      </c>
      <c r="J437" s="120">
        <f t="shared" si="6"/>
        <v>-1.0932511567529613E-4</v>
      </c>
    </row>
    <row r="438" spans="6:10" x14ac:dyDescent="0.55000000000000004">
      <c r="F438" s="119">
        <v>44069</v>
      </c>
      <c r="G438" s="52">
        <v>334.749573</v>
      </c>
      <c r="H438" s="52">
        <v>90.298743999999999</v>
      </c>
      <c r="I438" s="120">
        <f t="shared" si="6"/>
        <v>1.0025603872449329E-2</v>
      </c>
      <c r="J438" s="120">
        <f t="shared" si="6"/>
        <v>0</v>
      </c>
    </row>
    <row r="439" spans="6:10" x14ac:dyDescent="0.55000000000000004">
      <c r="F439" s="119">
        <v>44070</v>
      </c>
      <c r="G439" s="52">
        <v>335.48150600000002</v>
      </c>
      <c r="H439" s="52">
        <v>90.298743999999999</v>
      </c>
      <c r="I439" s="120">
        <f t="shared" si="6"/>
        <v>2.1865091370856238E-3</v>
      </c>
      <c r="J439" s="120">
        <f t="shared" si="6"/>
        <v>0</v>
      </c>
    </row>
    <row r="440" spans="6:10" x14ac:dyDescent="0.55000000000000004">
      <c r="F440" s="119">
        <v>44071</v>
      </c>
      <c r="G440" s="52">
        <v>337.64849900000002</v>
      </c>
      <c r="H440" s="52">
        <v>90.308616999999998</v>
      </c>
      <c r="I440" s="120">
        <f t="shared" si="6"/>
        <v>6.4593515923945244E-3</v>
      </c>
      <c r="J440" s="120">
        <f t="shared" si="6"/>
        <v>1.0933706896287809E-4</v>
      </c>
    </row>
    <row r="441" spans="6:10" x14ac:dyDescent="0.55000000000000004">
      <c r="F441" s="119">
        <v>44074</v>
      </c>
      <c r="G441" s="52">
        <v>336.42535400000003</v>
      </c>
      <c r="H441" s="52">
        <v>90.308616999999998</v>
      </c>
      <c r="I441" s="120">
        <f t="shared" si="6"/>
        <v>-3.6225394267189737E-3</v>
      </c>
      <c r="J441" s="120">
        <f t="shared" si="6"/>
        <v>0</v>
      </c>
    </row>
    <row r="442" spans="6:10" x14ac:dyDescent="0.55000000000000004">
      <c r="F442" s="119">
        <v>44075</v>
      </c>
      <c r="G442" s="52">
        <v>339.59396400000003</v>
      </c>
      <c r="H442" s="52">
        <v>90.308616999999998</v>
      </c>
      <c r="I442" s="120">
        <f t="shared" si="6"/>
        <v>9.4184637463441412E-3</v>
      </c>
      <c r="J442" s="120">
        <f t="shared" si="6"/>
        <v>0</v>
      </c>
    </row>
    <row r="443" spans="6:10" x14ac:dyDescent="0.55000000000000004">
      <c r="F443" s="119">
        <v>44076</v>
      </c>
      <c r="G443" s="52">
        <v>344.50589000000002</v>
      </c>
      <c r="H443" s="52">
        <v>90.308616999999998</v>
      </c>
      <c r="I443" s="120">
        <f t="shared" si="6"/>
        <v>1.4464114562413144E-2</v>
      </c>
      <c r="J443" s="120">
        <f t="shared" si="6"/>
        <v>0</v>
      </c>
    </row>
    <row r="444" spans="6:10" x14ac:dyDescent="0.55000000000000004">
      <c r="F444" s="119">
        <v>44077</v>
      </c>
      <c r="G444" s="52">
        <v>332.64996300000001</v>
      </c>
      <c r="H444" s="52">
        <v>90.298743999999999</v>
      </c>
      <c r="I444" s="120">
        <f t="shared" si="6"/>
        <v>-3.4414294048789706E-2</v>
      </c>
      <c r="J444" s="120">
        <f t="shared" si="6"/>
        <v>-1.0932511567529613E-4</v>
      </c>
    </row>
    <row r="445" spans="6:10" x14ac:dyDescent="0.55000000000000004">
      <c r="F445" s="119">
        <v>44078</v>
      </c>
      <c r="G445" s="52">
        <v>329.93396000000001</v>
      </c>
      <c r="H445" s="52">
        <v>90.308616999999998</v>
      </c>
      <c r="I445" s="120">
        <f t="shared" si="6"/>
        <v>-8.1647476389468121E-3</v>
      </c>
      <c r="J445" s="120">
        <f t="shared" si="6"/>
        <v>1.0933706896287809E-4</v>
      </c>
    </row>
    <row r="446" spans="6:10" x14ac:dyDescent="0.55000000000000004">
      <c r="F446" s="119">
        <v>44082</v>
      </c>
      <c r="G446" s="52">
        <v>320.91924999999998</v>
      </c>
      <c r="H446" s="52">
        <v>90.308616999999998</v>
      </c>
      <c r="I446" s="120">
        <f t="shared" si="6"/>
        <v>-2.7322770896333393E-2</v>
      </c>
      <c r="J446" s="120">
        <f t="shared" si="6"/>
        <v>0</v>
      </c>
    </row>
    <row r="447" spans="6:10" x14ac:dyDescent="0.55000000000000004">
      <c r="F447" s="119">
        <v>44083</v>
      </c>
      <c r="G447" s="52">
        <v>327.25650000000002</v>
      </c>
      <c r="H447" s="52">
        <v>90.298743999999999</v>
      </c>
      <c r="I447" s="120">
        <f t="shared" si="6"/>
        <v>1.9747179391700787E-2</v>
      </c>
      <c r="J447" s="120">
        <f t="shared" si="6"/>
        <v>-1.0932511567529613E-4</v>
      </c>
    </row>
    <row r="448" spans="6:10" x14ac:dyDescent="0.55000000000000004">
      <c r="F448" s="119">
        <v>44084</v>
      </c>
      <c r="G448" s="52">
        <v>321.57415800000001</v>
      </c>
      <c r="H448" s="52">
        <v>90.298743999999999</v>
      </c>
      <c r="I448" s="120">
        <f t="shared" si="6"/>
        <v>-1.7363572610475275E-2</v>
      </c>
      <c r="J448" s="120">
        <f t="shared" si="6"/>
        <v>0</v>
      </c>
    </row>
    <row r="449" spans="6:10" x14ac:dyDescent="0.55000000000000004">
      <c r="F449" s="119">
        <v>44085</v>
      </c>
      <c r="G449" s="52">
        <v>321.73791499999999</v>
      </c>
      <c r="H449" s="52">
        <v>90.288887000000003</v>
      </c>
      <c r="I449" s="120">
        <f t="shared" si="6"/>
        <v>5.0923557109960882E-4</v>
      </c>
      <c r="J449" s="120">
        <f t="shared" si="6"/>
        <v>-1.0915987934445592E-4</v>
      </c>
    </row>
    <row r="450" spans="6:10" x14ac:dyDescent="0.55000000000000004">
      <c r="F450" s="119">
        <v>44088</v>
      </c>
      <c r="G450" s="52">
        <v>325.97558600000002</v>
      </c>
      <c r="H450" s="52">
        <v>90.308616999999998</v>
      </c>
      <c r="I450" s="120">
        <f t="shared" si="6"/>
        <v>1.3171189351432355E-2</v>
      </c>
      <c r="J450" s="120">
        <f t="shared" si="6"/>
        <v>2.1852080201179014E-4</v>
      </c>
    </row>
    <row r="451" spans="6:10" x14ac:dyDescent="0.55000000000000004">
      <c r="F451" s="119">
        <v>44089</v>
      </c>
      <c r="G451" s="52">
        <v>327.622589</v>
      </c>
      <c r="H451" s="52">
        <v>90.288887000000003</v>
      </c>
      <c r="I451" s="120">
        <f t="shared" si="6"/>
        <v>5.0525348238807943E-3</v>
      </c>
      <c r="J451" s="120">
        <f t="shared" si="6"/>
        <v>-2.1847306110334141E-4</v>
      </c>
    </row>
    <row r="452" spans="6:10" x14ac:dyDescent="0.55000000000000004">
      <c r="F452" s="119">
        <v>44090</v>
      </c>
      <c r="G452" s="52">
        <v>326.32229599999999</v>
      </c>
      <c r="H452" s="52">
        <v>90.308616999999998</v>
      </c>
      <c r="I452" s="120">
        <f t="shared" si="6"/>
        <v>-3.9688746858660418E-3</v>
      </c>
      <c r="J452" s="120">
        <f t="shared" si="6"/>
        <v>2.1852080201179014E-4</v>
      </c>
    </row>
    <row r="453" spans="6:10" x14ac:dyDescent="0.55000000000000004">
      <c r="F453" s="119">
        <v>44091</v>
      </c>
      <c r="G453" s="52">
        <v>323.452179</v>
      </c>
      <c r="H453" s="52">
        <v>90.308616999999998</v>
      </c>
      <c r="I453" s="120">
        <f t="shared" si="6"/>
        <v>-8.79534446521546E-3</v>
      </c>
      <c r="J453" s="120">
        <f t="shared" si="6"/>
        <v>0</v>
      </c>
    </row>
    <row r="454" spans="6:10" x14ac:dyDescent="0.55000000000000004">
      <c r="F454" s="119">
        <v>44092</v>
      </c>
      <c r="G454" s="52">
        <v>319.72839399999998</v>
      </c>
      <c r="H454" s="52">
        <v>90.288887000000003</v>
      </c>
      <c r="I454" s="120">
        <f t="shared" si="6"/>
        <v>-1.151262919765339E-2</v>
      </c>
      <c r="J454" s="120">
        <f t="shared" si="6"/>
        <v>-2.1847306110334141E-4</v>
      </c>
    </row>
    <row r="455" spans="6:10" x14ac:dyDescent="0.55000000000000004">
      <c r="F455" s="119">
        <v>44095</v>
      </c>
      <c r="G455" s="52">
        <v>316.17001299999998</v>
      </c>
      <c r="H455" s="52">
        <v>90.288887000000003</v>
      </c>
      <c r="I455" s="120">
        <f t="shared" si="6"/>
        <v>-1.1129386900808003E-2</v>
      </c>
      <c r="J455" s="120">
        <f t="shared" si="6"/>
        <v>0</v>
      </c>
    </row>
    <row r="456" spans="6:10" x14ac:dyDescent="0.55000000000000004">
      <c r="F456" s="119">
        <v>44096</v>
      </c>
      <c r="G456" s="52">
        <v>319.38998400000003</v>
      </c>
      <c r="H456" s="52">
        <v>90.288887000000003</v>
      </c>
      <c r="I456" s="120">
        <f t="shared" si="6"/>
        <v>1.0184302329772299E-2</v>
      </c>
      <c r="J456" s="120">
        <f t="shared" si="6"/>
        <v>0</v>
      </c>
    </row>
    <row r="457" spans="6:10" x14ac:dyDescent="0.55000000000000004">
      <c r="F457" s="119">
        <v>44097</v>
      </c>
      <c r="G457" s="52">
        <v>311.98303199999998</v>
      </c>
      <c r="H457" s="52">
        <v>90.288887000000003</v>
      </c>
      <c r="I457" s="120">
        <f t="shared" si="6"/>
        <v>-2.3190933877250353E-2</v>
      </c>
      <c r="J457" s="120">
        <f t="shared" si="6"/>
        <v>0</v>
      </c>
    </row>
    <row r="458" spans="6:10" x14ac:dyDescent="0.55000000000000004">
      <c r="F458" s="119">
        <v>44098</v>
      </c>
      <c r="G458" s="52">
        <v>312.81454500000001</v>
      </c>
      <c r="H458" s="52">
        <v>90.298743999999999</v>
      </c>
      <c r="I458" s="120">
        <f t="shared" si="6"/>
        <v>2.6652507178661633E-3</v>
      </c>
      <c r="J458" s="120">
        <f t="shared" si="6"/>
        <v>1.0917179652469855E-4</v>
      </c>
    </row>
    <row r="459" spans="6:10" x14ac:dyDescent="0.55000000000000004">
      <c r="F459" s="119">
        <v>44099</v>
      </c>
      <c r="G459" s="52">
        <v>317.871826</v>
      </c>
      <c r="H459" s="52">
        <v>90.288887000000003</v>
      </c>
      <c r="I459" s="120">
        <f t="shared" si="6"/>
        <v>1.6167026376602722E-2</v>
      </c>
      <c r="J459" s="120">
        <f t="shared" si="6"/>
        <v>-1.0915987934445592E-4</v>
      </c>
    </row>
    <row r="460" spans="6:10" x14ac:dyDescent="0.55000000000000004">
      <c r="F460" s="119">
        <v>44102</v>
      </c>
      <c r="G460" s="52">
        <v>323.15145899999999</v>
      </c>
      <c r="H460" s="52">
        <v>90.298743999999999</v>
      </c>
      <c r="I460" s="120">
        <f t="shared" si="6"/>
        <v>1.6609314095046512E-2</v>
      </c>
      <c r="J460" s="120">
        <f t="shared" si="6"/>
        <v>1.0917179652469855E-4</v>
      </c>
    </row>
    <row r="461" spans="6:10" x14ac:dyDescent="0.55000000000000004">
      <c r="F461" s="119">
        <v>44103</v>
      </c>
      <c r="G461" s="52">
        <v>321.391571</v>
      </c>
      <c r="H461" s="52">
        <v>90.298743999999999</v>
      </c>
      <c r="I461" s="120">
        <f t="shared" si="6"/>
        <v>-5.4460159500625549E-3</v>
      </c>
      <c r="J461" s="120">
        <f t="shared" si="6"/>
        <v>0</v>
      </c>
    </row>
    <row r="462" spans="6:10" x14ac:dyDescent="0.55000000000000004">
      <c r="F462" s="119">
        <v>44104</v>
      </c>
      <c r="G462" s="52">
        <v>323.82833900000003</v>
      </c>
      <c r="H462" s="52">
        <v>90.288887000000003</v>
      </c>
      <c r="I462" s="120">
        <f t="shared" si="6"/>
        <v>7.581928774354818E-3</v>
      </c>
      <c r="J462" s="120">
        <f t="shared" si="6"/>
        <v>-1.0915987934445592E-4</v>
      </c>
    </row>
    <row r="463" spans="6:10" x14ac:dyDescent="0.55000000000000004">
      <c r="F463" s="119">
        <v>44105</v>
      </c>
      <c r="G463" s="52">
        <v>325.90731799999998</v>
      </c>
      <c r="H463" s="52">
        <v>90.288887000000003</v>
      </c>
      <c r="I463" s="120">
        <f t="shared" si="6"/>
        <v>6.4200032845178612E-3</v>
      </c>
      <c r="J463" s="120">
        <f t="shared" si="6"/>
        <v>0</v>
      </c>
    </row>
    <row r="464" spans="6:10" x14ac:dyDescent="0.55000000000000004">
      <c r="F464" s="119">
        <v>44106</v>
      </c>
      <c r="G464" s="52">
        <v>322.813019</v>
      </c>
      <c r="H464" s="52">
        <v>90.288887000000003</v>
      </c>
      <c r="I464" s="120">
        <f t="shared" si="6"/>
        <v>-9.4944139916489645E-3</v>
      </c>
      <c r="J464" s="120">
        <f t="shared" si="6"/>
        <v>0</v>
      </c>
    </row>
    <row r="465" spans="6:10" x14ac:dyDescent="0.55000000000000004">
      <c r="F465" s="119">
        <v>44109</v>
      </c>
      <c r="G465" s="52">
        <v>328.53750600000001</v>
      </c>
      <c r="H465" s="52">
        <v>90.288887000000003</v>
      </c>
      <c r="I465" s="120">
        <f t="shared" si="6"/>
        <v>1.7733135478033457E-2</v>
      </c>
      <c r="J465" s="120">
        <f t="shared" si="6"/>
        <v>0</v>
      </c>
    </row>
    <row r="466" spans="6:10" x14ac:dyDescent="0.55000000000000004">
      <c r="F466" s="119">
        <v>44110</v>
      </c>
      <c r="G466" s="52">
        <v>323.86706500000003</v>
      </c>
      <c r="H466" s="52">
        <v>90.298743999999999</v>
      </c>
      <c r="I466" s="120">
        <f t="shared" si="6"/>
        <v>-1.4215853333956918E-2</v>
      </c>
      <c r="J466" s="120">
        <f t="shared" si="6"/>
        <v>1.0917179652469855E-4</v>
      </c>
    </row>
    <row r="467" spans="6:10" x14ac:dyDescent="0.55000000000000004">
      <c r="F467" s="119">
        <v>44111</v>
      </c>
      <c r="G467" s="52">
        <v>329.504456</v>
      </c>
      <c r="H467" s="52">
        <v>90.288887000000003</v>
      </c>
      <c r="I467" s="120">
        <f t="shared" si="6"/>
        <v>1.740649670567751E-2</v>
      </c>
      <c r="J467" s="120">
        <f t="shared" si="6"/>
        <v>-1.0915987934445592E-4</v>
      </c>
    </row>
    <row r="468" spans="6:10" x14ac:dyDescent="0.55000000000000004">
      <c r="F468" s="119">
        <v>44112</v>
      </c>
      <c r="G468" s="52">
        <v>332.42477400000001</v>
      </c>
      <c r="H468" s="52">
        <v>90.288887000000003</v>
      </c>
      <c r="I468" s="120">
        <f t="shared" si="6"/>
        <v>8.8627572308157543E-3</v>
      </c>
      <c r="J468" s="120">
        <f t="shared" si="6"/>
        <v>0</v>
      </c>
    </row>
    <row r="469" spans="6:10" x14ac:dyDescent="0.55000000000000004">
      <c r="F469" s="119">
        <v>44113</v>
      </c>
      <c r="G469" s="52">
        <v>335.39328</v>
      </c>
      <c r="H469" s="52">
        <v>90.288887000000003</v>
      </c>
      <c r="I469" s="120">
        <f t="shared" si="6"/>
        <v>8.9298579172683024E-3</v>
      </c>
      <c r="J469" s="120">
        <f t="shared" si="6"/>
        <v>0</v>
      </c>
    </row>
    <row r="470" spans="6:10" x14ac:dyDescent="0.55000000000000004">
      <c r="F470" s="119">
        <v>44116</v>
      </c>
      <c r="G470" s="52">
        <v>340.788971</v>
      </c>
      <c r="H470" s="52">
        <v>90.298743999999999</v>
      </c>
      <c r="I470" s="120">
        <f t="shared" si="6"/>
        <v>1.608765387308897E-2</v>
      </c>
      <c r="J470" s="120">
        <f t="shared" si="6"/>
        <v>1.0917179652469855E-4</v>
      </c>
    </row>
    <row r="471" spans="6:10" x14ac:dyDescent="0.55000000000000004">
      <c r="F471" s="119">
        <v>44117</v>
      </c>
      <c r="G471" s="52">
        <v>338.56500199999999</v>
      </c>
      <c r="H471" s="52">
        <v>90.288887000000003</v>
      </c>
      <c r="I471" s="120">
        <f t="shared" ref="I471:J526" si="7">G471/G470-1</f>
        <v>-6.5259418269143499E-3</v>
      </c>
      <c r="J471" s="120">
        <f t="shared" si="7"/>
        <v>-1.0915987934445592E-4</v>
      </c>
    </row>
    <row r="472" spans="6:10" x14ac:dyDescent="0.55000000000000004">
      <c r="F472" s="119">
        <v>44118</v>
      </c>
      <c r="G472" s="52">
        <v>336.43765300000001</v>
      </c>
      <c r="H472" s="52">
        <v>90.288887000000003</v>
      </c>
      <c r="I472" s="120">
        <f t="shared" si="7"/>
        <v>-6.2834285511884636E-3</v>
      </c>
      <c r="J472" s="120">
        <f t="shared" si="7"/>
        <v>0</v>
      </c>
    </row>
    <row r="473" spans="6:10" x14ac:dyDescent="0.55000000000000004">
      <c r="F473" s="119">
        <v>44119</v>
      </c>
      <c r="G473" s="52">
        <v>336.02181999999999</v>
      </c>
      <c r="H473" s="52">
        <v>90.288887000000003</v>
      </c>
      <c r="I473" s="120">
        <f t="shared" si="7"/>
        <v>-1.2359882917148957E-3</v>
      </c>
      <c r="J473" s="120">
        <f t="shared" si="7"/>
        <v>0</v>
      </c>
    </row>
    <row r="474" spans="6:10" x14ac:dyDescent="0.55000000000000004">
      <c r="F474" s="119">
        <v>44120</v>
      </c>
      <c r="G474" s="52">
        <v>335.81875600000001</v>
      </c>
      <c r="H474" s="52">
        <v>90.298743999999999</v>
      </c>
      <c r="I474" s="120">
        <f t="shared" si="7"/>
        <v>-6.0431789816506321E-4</v>
      </c>
      <c r="J474" s="120">
        <f t="shared" si="7"/>
        <v>1.0917179652469855E-4</v>
      </c>
    </row>
    <row r="475" spans="6:10" x14ac:dyDescent="0.55000000000000004">
      <c r="F475" s="119">
        <v>44123</v>
      </c>
      <c r="G475" s="52">
        <v>330.71319599999998</v>
      </c>
      <c r="H475" s="52">
        <v>90.298743999999999</v>
      </c>
      <c r="I475" s="120">
        <f t="shared" si="7"/>
        <v>-1.5203319971800577E-2</v>
      </c>
      <c r="J475" s="120">
        <f t="shared" si="7"/>
        <v>0</v>
      </c>
    </row>
    <row r="476" spans="6:10" x14ac:dyDescent="0.55000000000000004">
      <c r="F476" s="119">
        <v>44124</v>
      </c>
      <c r="G476" s="52">
        <v>332.03793300000001</v>
      </c>
      <c r="H476" s="52">
        <v>90.288887000000003</v>
      </c>
      <c r="I476" s="120">
        <f t="shared" si="7"/>
        <v>4.0056974321642791E-3</v>
      </c>
      <c r="J476" s="120">
        <f t="shared" si="7"/>
        <v>-1.0915987934445592E-4</v>
      </c>
    </row>
    <row r="477" spans="6:10" x14ac:dyDescent="0.55000000000000004">
      <c r="F477" s="119">
        <v>44125</v>
      </c>
      <c r="G477" s="52">
        <v>331.40936299999998</v>
      </c>
      <c r="H477" s="52">
        <v>90.288887000000003</v>
      </c>
      <c r="I477" s="120">
        <f t="shared" si="7"/>
        <v>-1.8930668382398652E-3</v>
      </c>
      <c r="J477" s="120">
        <f t="shared" si="7"/>
        <v>0</v>
      </c>
    </row>
    <row r="478" spans="6:10" x14ac:dyDescent="0.55000000000000004">
      <c r="F478" s="119">
        <v>44126</v>
      </c>
      <c r="G478" s="52">
        <v>333.22726399999999</v>
      </c>
      <c r="H478" s="52">
        <v>90.298743999999999</v>
      </c>
      <c r="I478" s="120">
        <f t="shared" si="7"/>
        <v>5.4853640330010389E-3</v>
      </c>
      <c r="J478" s="120">
        <f t="shared" si="7"/>
        <v>1.0917179652469855E-4</v>
      </c>
    </row>
    <row r="479" spans="6:10" x14ac:dyDescent="0.55000000000000004">
      <c r="F479" s="119">
        <v>44127</v>
      </c>
      <c r="G479" s="52">
        <v>334.35870399999999</v>
      </c>
      <c r="H479" s="52">
        <v>90.298743999999999</v>
      </c>
      <c r="I479" s="120">
        <f t="shared" si="7"/>
        <v>3.3954004435843288E-3</v>
      </c>
      <c r="J479" s="120">
        <f t="shared" si="7"/>
        <v>0</v>
      </c>
    </row>
    <row r="480" spans="6:10" x14ac:dyDescent="0.55000000000000004">
      <c r="F480" s="119">
        <v>44130</v>
      </c>
      <c r="G480" s="52">
        <v>328.17974900000002</v>
      </c>
      <c r="H480" s="52">
        <v>90.298743999999999</v>
      </c>
      <c r="I480" s="120">
        <f t="shared" si="7"/>
        <v>-1.8480018393658981E-2</v>
      </c>
      <c r="J480" s="120">
        <f t="shared" si="7"/>
        <v>0</v>
      </c>
    </row>
    <row r="481" spans="6:10" x14ac:dyDescent="0.55000000000000004">
      <c r="F481" s="119">
        <v>44131</v>
      </c>
      <c r="G481" s="52">
        <v>327.04840100000001</v>
      </c>
      <c r="H481" s="52">
        <v>90.288887000000003</v>
      </c>
      <c r="I481" s="120">
        <f t="shared" si="7"/>
        <v>-3.4473425110700395E-3</v>
      </c>
      <c r="J481" s="120">
        <f t="shared" si="7"/>
        <v>-1.0915987934445592E-4</v>
      </c>
    </row>
    <row r="482" spans="6:10" x14ac:dyDescent="0.55000000000000004">
      <c r="F482" s="119">
        <v>44132</v>
      </c>
      <c r="G482" s="52">
        <v>315.87023900000003</v>
      </c>
      <c r="H482" s="52">
        <v>90.288887000000003</v>
      </c>
      <c r="I482" s="120">
        <f t="shared" si="7"/>
        <v>-3.4178922648210652E-2</v>
      </c>
      <c r="J482" s="120">
        <f t="shared" si="7"/>
        <v>0</v>
      </c>
    </row>
    <row r="483" spans="6:10" x14ac:dyDescent="0.55000000000000004">
      <c r="F483" s="119">
        <v>44133</v>
      </c>
      <c r="G483" s="52">
        <v>319.08056599999998</v>
      </c>
      <c r="H483" s="52">
        <v>90.298743999999999</v>
      </c>
      <c r="I483" s="120">
        <f t="shared" si="7"/>
        <v>1.0163436131759074E-2</v>
      </c>
      <c r="J483" s="120">
        <f t="shared" si="7"/>
        <v>1.0917179652469855E-4</v>
      </c>
    </row>
    <row r="484" spans="6:10" x14ac:dyDescent="0.55000000000000004">
      <c r="F484" s="119">
        <v>44134</v>
      </c>
      <c r="G484" s="52">
        <v>315.75418100000002</v>
      </c>
      <c r="H484" s="52">
        <v>90.298743999999999</v>
      </c>
      <c r="I484" s="120">
        <f t="shared" si="7"/>
        <v>-1.042490629153503E-2</v>
      </c>
      <c r="J484" s="120">
        <f t="shared" si="7"/>
        <v>0</v>
      </c>
    </row>
    <row r="485" spans="6:10" x14ac:dyDescent="0.55000000000000004">
      <c r="F485" s="119">
        <v>44137</v>
      </c>
      <c r="G485" s="52">
        <v>319.29330399999998</v>
      </c>
      <c r="H485" s="52">
        <v>90.298743999999999</v>
      </c>
      <c r="I485" s="120">
        <f t="shared" si="7"/>
        <v>1.1208475494422609E-2</v>
      </c>
      <c r="J485" s="120">
        <f t="shared" si="7"/>
        <v>0</v>
      </c>
    </row>
    <row r="486" spans="6:10" x14ac:dyDescent="0.55000000000000004">
      <c r="F486" s="119">
        <v>44138</v>
      </c>
      <c r="G486" s="52">
        <v>324.930725</v>
      </c>
      <c r="H486" s="52">
        <v>90.298743999999999</v>
      </c>
      <c r="I486" s="120">
        <f t="shared" si="7"/>
        <v>1.7655932427571353E-2</v>
      </c>
      <c r="J486" s="120">
        <f t="shared" si="7"/>
        <v>0</v>
      </c>
    </row>
    <row r="487" spans="6:10" x14ac:dyDescent="0.55000000000000004">
      <c r="F487" s="119">
        <v>44139</v>
      </c>
      <c r="G487" s="52">
        <v>332.192657</v>
      </c>
      <c r="H487" s="52">
        <v>90.288887000000003</v>
      </c>
      <c r="I487" s="120">
        <f t="shared" si="7"/>
        <v>2.2349169965382609E-2</v>
      </c>
      <c r="J487" s="120">
        <f t="shared" si="7"/>
        <v>-1.0915987934445592E-4</v>
      </c>
    </row>
    <row r="488" spans="6:10" x14ac:dyDescent="0.55000000000000004">
      <c r="F488" s="119">
        <v>44140</v>
      </c>
      <c r="G488" s="52">
        <v>338.67138699999998</v>
      </c>
      <c r="H488" s="52">
        <v>90.298743999999999</v>
      </c>
      <c r="I488" s="120">
        <f t="shared" si="7"/>
        <v>1.9502929590644147E-2</v>
      </c>
      <c r="J488" s="120">
        <f t="shared" si="7"/>
        <v>1.0917179652469855E-4</v>
      </c>
    </row>
    <row r="489" spans="6:10" x14ac:dyDescent="0.55000000000000004">
      <c r="F489" s="119">
        <v>44141</v>
      </c>
      <c r="G489" s="52">
        <v>338.59399400000001</v>
      </c>
      <c r="H489" s="52">
        <v>90.288887000000003</v>
      </c>
      <c r="I489" s="120">
        <f t="shared" si="7"/>
        <v>-2.2851945269286578E-4</v>
      </c>
      <c r="J489" s="120">
        <f t="shared" si="7"/>
        <v>-1.0915987934445592E-4</v>
      </c>
    </row>
    <row r="490" spans="6:10" x14ac:dyDescent="0.55000000000000004">
      <c r="F490" s="119">
        <v>44144</v>
      </c>
      <c r="G490" s="52">
        <v>342.84863300000001</v>
      </c>
      <c r="H490" s="52">
        <v>90.298743999999999</v>
      </c>
      <c r="I490" s="120">
        <f t="shared" si="7"/>
        <v>1.2565606819357811E-2</v>
      </c>
      <c r="J490" s="120">
        <f t="shared" si="7"/>
        <v>1.0917179652469855E-4</v>
      </c>
    </row>
    <row r="491" spans="6:10" x14ac:dyDescent="0.55000000000000004">
      <c r="F491" s="119">
        <v>44145</v>
      </c>
      <c r="G491" s="52">
        <v>342.34582499999999</v>
      </c>
      <c r="H491" s="52">
        <v>90.288887000000003</v>
      </c>
      <c r="I491" s="120">
        <f t="shared" si="7"/>
        <v>-1.4665597339570402E-3</v>
      </c>
      <c r="J491" s="120">
        <f t="shared" si="7"/>
        <v>-1.0915987934445592E-4</v>
      </c>
    </row>
    <row r="492" spans="6:10" x14ac:dyDescent="0.55000000000000004">
      <c r="F492" s="119">
        <v>44146</v>
      </c>
      <c r="G492" s="52">
        <v>344.88897700000001</v>
      </c>
      <c r="H492" s="52">
        <v>90.288887000000003</v>
      </c>
      <c r="I492" s="120">
        <f t="shared" si="7"/>
        <v>7.4286052707084327E-3</v>
      </c>
      <c r="J492" s="120">
        <f t="shared" si="7"/>
        <v>0</v>
      </c>
    </row>
    <row r="493" spans="6:10" x14ac:dyDescent="0.55000000000000004">
      <c r="F493" s="119">
        <v>44147</v>
      </c>
      <c r="G493" s="52">
        <v>341.54321299999998</v>
      </c>
      <c r="H493" s="52">
        <v>90.288887000000003</v>
      </c>
      <c r="I493" s="120">
        <f t="shared" si="7"/>
        <v>-9.700988501003982E-3</v>
      </c>
      <c r="J493" s="120">
        <f t="shared" si="7"/>
        <v>0</v>
      </c>
    </row>
    <row r="494" spans="6:10" x14ac:dyDescent="0.55000000000000004">
      <c r="F494" s="119">
        <v>44148</v>
      </c>
      <c r="G494" s="52">
        <v>346.27172899999999</v>
      </c>
      <c r="H494" s="52">
        <v>90.298743999999999</v>
      </c>
      <c r="I494" s="120">
        <f t="shared" si="7"/>
        <v>1.3844561449388282E-2</v>
      </c>
      <c r="J494" s="120">
        <f t="shared" si="7"/>
        <v>1.0917179652469855E-4</v>
      </c>
    </row>
    <row r="495" spans="6:10" x14ac:dyDescent="0.55000000000000004">
      <c r="F495" s="119">
        <v>44151</v>
      </c>
      <c r="G495" s="52">
        <v>350.594086</v>
      </c>
      <c r="H495" s="52">
        <v>90.298743999999999</v>
      </c>
      <c r="I495" s="120">
        <f t="shared" si="7"/>
        <v>1.2482558170378466E-2</v>
      </c>
      <c r="J495" s="120">
        <f t="shared" si="7"/>
        <v>0</v>
      </c>
    </row>
    <row r="496" spans="6:10" x14ac:dyDescent="0.55000000000000004">
      <c r="F496" s="119">
        <v>44152</v>
      </c>
      <c r="G496" s="52">
        <v>348.70843500000001</v>
      </c>
      <c r="H496" s="52">
        <v>90.298743999999999</v>
      </c>
      <c r="I496" s="120">
        <f t="shared" si="7"/>
        <v>-5.3784449746822061E-3</v>
      </c>
      <c r="J496" s="120">
        <f t="shared" si="7"/>
        <v>0</v>
      </c>
    </row>
    <row r="497" spans="6:10" x14ac:dyDescent="0.55000000000000004">
      <c r="F497" s="119">
        <v>44153</v>
      </c>
      <c r="G497" s="52">
        <v>344.511841</v>
      </c>
      <c r="H497" s="52">
        <v>90.298743999999999</v>
      </c>
      <c r="I497" s="120">
        <f t="shared" si="7"/>
        <v>-1.2034678771105756E-2</v>
      </c>
      <c r="J497" s="120">
        <f t="shared" si="7"/>
        <v>0</v>
      </c>
    </row>
    <row r="498" spans="6:10" x14ac:dyDescent="0.55000000000000004">
      <c r="F498" s="119">
        <v>44154</v>
      </c>
      <c r="G498" s="52">
        <v>345.962311</v>
      </c>
      <c r="H498" s="52">
        <v>90.298743999999999</v>
      </c>
      <c r="I498" s="120">
        <f t="shared" si="7"/>
        <v>4.2102181329668475E-3</v>
      </c>
      <c r="J498" s="120">
        <f t="shared" si="7"/>
        <v>0</v>
      </c>
    </row>
    <row r="499" spans="6:10" x14ac:dyDescent="0.55000000000000004">
      <c r="F499" s="119">
        <v>44155</v>
      </c>
      <c r="G499" s="52">
        <v>343.59320100000002</v>
      </c>
      <c r="H499" s="52">
        <v>90.298743999999999</v>
      </c>
      <c r="I499" s="120">
        <f t="shared" si="7"/>
        <v>-6.847884652961489E-3</v>
      </c>
      <c r="J499" s="120">
        <f t="shared" si="7"/>
        <v>0</v>
      </c>
    </row>
    <row r="500" spans="6:10" x14ac:dyDescent="0.55000000000000004">
      <c r="F500" s="119">
        <v>44158</v>
      </c>
      <c r="G500" s="52">
        <v>345.65289300000001</v>
      </c>
      <c r="H500" s="52">
        <v>90.298743999999999</v>
      </c>
      <c r="I500" s="120">
        <f t="shared" si="7"/>
        <v>5.994565649161343E-3</v>
      </c>
      <c r="J500" s="120">
        <f t="shared" si="7"/>
        <v>0</v>
      </c>
    </row>
    <row r="501" spans="6:10" x14ac:dyDescent="0.55000000000000004">
      <c r="F501" s="119">
        <v>44159</v>
      </c>
      <c r="G501" s="52">
        <v>351.22262599999999</v>
      </c>
      <c r="H501" s="52">
        <v>90.298743999999999</v>
      </c>
      <c r="I501" s="120">
        <f t="shared" si="7"/>
        <v>1.611365943348253E-2</v>
      </c>
      <c r="J501" s="120">
        <f t="shared" si="7"/>
        <v>0</v>
      </c>
    </row>
    <row r="502" spans="6:10" x14ac:dyDescent="0.55000000000000004">
      <c r="F502" s="119">
        <v>44160</v>
      </c>
      <c r="G502" s="52">
        <v>350.68112200000002</v>
      </c>
      <c r="H502" s="52">
        <v>90.288887000000003</v>
      </c>
      <c r="I502" s="120">
        <f t="shared" si="7"/>
        <v>-1.5417685533732906E-3</v>
      </c>
      <c r="J502" s="120">
        <f t="shared" si="7"/>
        <v>-1.0915987934445592E-4</v>
      </c>
    </row>
    <row r="503" spans="6:10" x14ac:dyDescent="0.55000000000000004">
      <c r="F503" s="119">
        <v>44162</v>
      </c>
      <c r="G503" s="52">
        <v>351.65780599999999</v>
      </c>
      <c r="H503" s="52">
        <v>90.298743999999999</v>
      </c>
      <c r="I503" s="120">
        <f t="shared" si="7"/>
        <v>2.7851057234840049E-3</v>
      </c>
      <c r="J503" s="120">
        <f t="shared" si="7"/>
        <v>1.0917179652469855E-4</v>
      </c>
    </row>
    <row r="504" spans="6:10" x14ac:dyDescent="0.55000000000000004">
      <c r="F504" s="119">
        <v>44165</v>
      </c>
      <c r="G504" s="52">
        <v>350.10095200000001</v>
      </c>
      <c r="H504" s="52">
        <v>90.288887000000003</v>
      </c>
      <c r="I504" s="120">
        <f t="shared" si="7"/>
        <v>-4.4271845340466687E-3</v>
      </c>
      <c r="J504" s="120">
        <f t="shared" si="7"/>
        <v>-1.0915987934445592E-4</v>
      </c>
    </row>
    <row r="505" spans="6:10" x14ac:dyDescent="0.55000000000000004">
      <c r="F505" s="119">
        <v>44166</v>
      </c>
      <c r="G505" s="52">
        <v>353.93008400000002</v>
      </c>
      <c r="H505" s="52">
        <v>90.281981999999999</v>
      </c>
      <c r="I505" s="120">
        <f t="shared" si="7"/>
        <v>1.0937222472905406E-2</v>
      </c>
      <c r="J505" s="120">
        <f t="shared" si="7"/>
        <v>-7.6476742924103114E-5</v>
      </c>
    </row>
    <row r="506" spans="6:10" x14ac:dyDescent="0.55000000000000004">
      <c r="F506" s="119">
        <v>44167</v>
      </c>
      <c r="G506" s="52">
        <v>354.67468300000002</v>
      </c>
      <c r="H506" s="52">
        <v>90.291847000000004</v>
      </c>
      <c r="I506" s="120">
        <f t="shared" si="7"/>
        <v>2.1038025125887927E-3</v>
      </c>
      <c r="J506" s="120">
        <f t="shared" si="7"/>
        <v>1.0926875752459431E-4</v>
      </c>
    </row>
    <row r="507" spans="6:10" x14ac:dyDescent="0.55000000000000004">
      <c r="F507" s="119">
        <v>44168</v>
      </c>
      <c r="G507" s="52">
        <v>354.57797199999999</v>
      </c>
      <c r="H507" s="52">
        <v>90.291847000000004</v>
      </c>
      <c r="I507" s="120">
        <f t="shared" si="7"/>
        <v>-2.7267522785101583E-4</v>
      </c>
      <c r="J507" s="120">
        <f t="shared" si="7"/>
        <v>0</v>
      </c>
    </row>
    <row r="508" spans="6:10" x14ac:dyDescent="0.55000000000000004">
      <c r="F508" s="119">
        <v>44169</v>
      </c>
      <c r="G508" s="52">
        <v>357.633667</v>
      </c>
      <c r="H508" s="52">
        <v>90.301711999999995</v>
      </c>
      <c r="I508" s="120">
        <f t="shared" si="7"/>
        <v>8.6178365304656612E-3</v>
      </c>
      <c r="J508" s="120">
        <f t="shared" si="7"/>
        <v>1.0925681916762464E-4</v>
      </c>
    </row>
    <row r="509" spans="6:10" x14ac:dyDescent="0.55000000000000004">
      <c r="F509" s="119">
        <v>44172</v>
      </c>
      <c r="G509" s="52">
        <v>356.89871199999999</v>
      </c>
      <c r="H509" s="52">
        <v>90.281981999999999</v>
      </c>
      <c r="I509" s="120">
        <f t="shared" si="7"/>
        <v>-2.0550498116275184E-3</v>
      </c>
      <c r="J509" s="120">
        <f t="shared" si="7"/>
        <v>-2.1848976683846999E-4</v>
      </c>
    </row>
    <row r="510" spans="6:10" x14ac:dyDescent="0.55000000000000004">
      <c r="F510" s="119">
        <v>44173</v>
      </c>
      <c r="G510" s="52">
        <v>357.94305400000002</v>
      </c>
      <c r="H510" s="52">
        <v>90.281981999999999</v>
      </c>
      <c r="I510" s="120">
        <f t="shared" si="7"/>
        <v>2.9261579402954929E-3</v>
      </c>
      <c r="J510" s="120">
        <f t="shared" si="7"/>
        <v>0</v>
      </c>
    </row>
    <row r="511" spans="6:10" x14ac:dyDescent="0.55000000000000004">
      <c r="F511" s="119">
        <v>44174</v>
      </c>
      <c r="G511" s="52">
        <v>354.73272700000001</v>
      </c>
      <c r="H511" s="52">
        <v>90.281981999999999</v>
      </c>
      <c r="I511" s="120">
        <f t="shared" si="7"/>
        <v>-8.9688204984695874E-3</v>
      </c>
      <c r="J511" s="120">
        <f t="shared" si="7"/>
        <v>0</v>
      </c>
    </row>
    <row r="512" spans="6:10" x14ac:dyDescent="0.55000000000000004">
      <c r="F512" s="119">
        <v>44175</v>
      </c>
      <c r="G512" s="52">
        <v>354.61663800000002</v>
      </c>
      <c r="H512" s="52">
        <v>90.281981999999999</v>
      </c>
      <c r="I512" s="120">
        <f t="shared" si="7"/>
        <v>-3.2725765390118067E-4</v>
      </c>
      <c r="J512" s="120">
        <f t="shared" si="7"/>
        <v>0</v>
      </c>
    </row>
    <row r="513" spans="6:10" x14ac:dyDescent="0.55000000000000004">
      <c r="F513" s="119">
        <v>44176</v>
      </c>
      <c r="G513" s="52">
        <v>354.200897</v>
      </c>
      <c r="H513" s="52">
        <v>90.291847000000004</v>
      </c>
      <c r="I513" s="120">
        <f t="shared" si="7"/>
        <v>-1.1723674397928763E-3</v>
      </c>
      <c r="J513" s="120">
        <f t="shared" si="7"/>
        <v>1.0926875752459431E-4</v>
      </c>
    </row>
    <row r="514" spans="6:10" x14ac:dyDescent="0.55000000000000004">
      <c r="F514" s="119">
        <v>44179</v>
      </c>
      <c r="G514" s="52">
        <v>352.61508199999997</v>
      </c>
      <c r="H514" s="52">
        <v>90.281981999999999</v>
      </c>
      <c r="I514" s="120">
        <f t="shared" si="7"/>
        <v>-4.4771625747747068E-3</v>
      </c>
      <c r="J514" s="120">
        <f t="shared" si="7"/>
        <v>-1.0925681916784669E-4</v>
      </c>
    </row>
    <row r="515" spans="6:10" x14ac:dyDescent="0.55000000000000004">
      <c r="F515" s="119">
        <v>44180</v>
      </c>
      <c r="G515" s="52">
        <v>357.38220200000001</v>
      </c>
      <c r="H515" s="52">
        <v>90.281981999999999</v>
      </c>
      <c r="I515" s="120">
        <f t="shared" si="7"/>
        <v>1.351933097405067E-2</v>
      </c>
      <c r="J515" s="120">
        <f t="shared" si="7"/>
        <v>0</v>
      </c>
    </row>
    <row r="516" spans="6:10" x14ac:dyDescent="0.55000000000000004">
      <c r="F516" s="119">
        <v>44181</v>
      </c>
      <c r="G516" s="52">
        <v>357.94305400000002</v>
      </c>
      <c r="H516" s="52">
        <v>90.291847000000004</v>
      </c>
      <c r="I516" s="120">
        <f t="shared" si="7"/>
        <v>1.5693338864144479E-3</v>
      </c>
      <c r="J516" s="120">
        <f t="shared" si="7"/>
        <v>1.0926875752459431E-4</v>
      </c>
    </row>
    <row r="517" spans="6:10" x14ac:dyDescent="0.55000000000000004">
      <c r="F517" s="119">
        <v>44182</v>
      </c>
      <c r="G517" s="52">
        <v>359.94464099999999</v>
      </c>
      <c r="H517" s="52">
        <v>90.291847000000004</v>
      </c>
      <c r="I517" s="120">
        <f t="shared" si="7"/>
        <v>5.5919146289677979E-3</v>
      </c>
      <c r="J517" s="120">
        <f t="shared" si="7"/>
        <v>0</v>
      </c>
    </row>
    <row r="518" spans="6:10" x14ac:dyDescent="0.55000000000000004">
      <c r="F518" s="119">
        <v>44183</v>
      </c>
      <c r="G518" s="52">
        <v>358.50741599999998</v>
      </c>
      <c r="H518" s="52">
        <v>90.291847000000004</v>
      </c>
      <c r="I518" s="120">
        <f t="shared" si="7"/>
        <v>-3.9929056757369574E-3</v>
      </c>
      <c r="J518" s="120">
        <f t="shared" si="7"/>
        <v>0</v>
      </c>
    </row>
    <row r="519" spans="6:10" x14ac:dyDescent="0.55000000000000004">
      <c r="F519" s="119">
        <v>44186</v>
      </c>
      <c r="G519" s="52">
        <v>357.22555499999999</v>
      </c>
      <c r="H519" s="52">
        <v>90.291847000000004</v>
      </c>
      <c r="I519" s="120">
        <f t="shared" si="7"/>
        <v>-3.5755494664578835E-3</v>
      </c>
      <c r="J519" s="120">
        <f t="shared" si="7"/>
        <v>0</v>
      </c>
    </row>
    <row r="520" spans="6:10" x14ac:dyDescent="0.55000000000000004">
      <c r="F520" s="119">
        <v>44187</v>
      </c>
      <c r="G520" s="52">
        <v>356.62350500000002</v>
      </c>
      <c r="H520" s="52">
        <v>90.291847000000004</v>
      </c>
      <c r="I520" s="120">
        <f t="shared" si="7"/>
        <v>-1.6853497505238124E-3</v>
      </c>
      <c r="J520" s="120">
        <f t="shared" si="7"/>
        <v>0</v>
      </c>
    </row>
    <row r="521" spans="6:10" x14ac:dyDescent="0.55000000000000004">
      <c r="F521" s="119">
        <v>44188</v>
      </c>
      <c r="G521" s="52">
        <v>356.94400000000002</v>
      </c>
      <c r="H521" s="52">
        <v>90.281981999999999</v>
      </c>
      <c r="I521" s="120">
        <f t="shared" si="7"/>
        <v>8.9869286658483816E-4</v>
      </c>
      <c r="J521" s="120">
        <f t="shared" si="7"/>
        <v>-1.0925681916784669E-4</v>
      </c>
    </row>
    <row r="522" spans="6:10" x14ac:dyDescent="0.55000000000000004">
      <c r="F522" s="119">
        <v>44189</v>
      </c>
      <c r="G522" s="52">
        <v>358.33264200000002</v>
      </c>
      <c r="H522" s="52">
        <v>90.291847000000004</v>
      </c>
      <c r="I522" s="120">
        <f t="shared" si="7"/>
        <v>3.8903637545384395E-3</v>
      </c>
      <c r="J522" s="120">
        <f t="shared" si="7"/>
        <v>1.0926875752459431E-4</v>
      </c>
    </row>
    <row r="523" spans="6:10" x14ac:dyDescent="0.55000000000000004">
      <c r="F523" s="119">
        <v>44193</v>
      </c>
      <c r="G523" s="52">
        <v>361.41101099999997</v>
      </c>
      <c r="H523" s="52">
        <v>90.291847000000004</v>
      </c>
      <c r="I523" s="120">
        <f t="shared" si="7"/>
        <v>8.5908137835792875E-3</v>
      </c>
      <c r="J523" s="120">
        <f t="shared" si="7"/>
        <v>0</v>
      </c>
    </row>
    <row r="524" spans="6:10" x14ac:dyDescent="0.55000000000000004">
      <c r="F524" s="119">
        <v>44194</v>
      </c>
      <c r="G524" s="52">
        <v>360.72155800000002</v>
      </c>
      <c r="H524" s="52">
        <v>90.291847000000004</v>
      </c>
      <c r="I524" s="120">
        <f t="shared" si="7"/>
        <v>-1.9076701567345422E-3</v>
      </c>
      <c r="J524" s="120">
        <f t="shared" si="7"/>
        <v>0</v>
      </c>
    </row>
    <row r="525" spans="6:10" x14ac:dyDescent="0.55000000000000004">
      <c r="F525" s="119">
        <v>44195</v>
      </c>
      <c r="G525" s="52">
        <v>361.236176</v>
      </c>
      <c r="H525" s="52">
        <v>90.281981999999999</v>
      </c>
      <c r="I525" s="120">
        <f t="shared" si="7"/>
        <v>1.4266350002845041E-3</v>
      </c>
      <c r="J525" s="120">
        <f t="shared" si="7"/>
        <v>-1.0925681916784669E-4</v>
      </c>
    </row>
    <row r="526" spans="6:10" x14ac:dyDescent="0.55000000000000004">
      <c r="F526" s="119">
        <v>44196</v>
      </c>
      <c r="G526" s="52">
        <v>363.07156400000002</v>
      </c>
      <c r="H526" s="52">
        <v>90.291847000000004</v>
      </c>
      <c r="I526" s="120">
        <f t="shared" si="7"/>
        <v>5.0808532531914086E-3</v>
      </c>
      <c r="J526" s="120">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060B0-139A-4A11-AC9E-86511715EF5A}">
  <sheetPr codeName="Planilha68">
    <tabColor theme="9" tint="0.59999389629810485"/>
  </sheetPr>
  <dimension ref="A1:Y526"/>
  <sheetViews>
    <sheetView showGridLines="0" zoomScale="85" zoomScaleNormal="85" workbookViewId="0">
      <selection activeCell="A8" sqref="A8"/>
    </sheetView>
  </sheetViews>
  <sheetFormatPr defaultColWidth="8.796875" defaultRowHeight="18" x14ac:dyDescent="0.55000000000000004"/>
  <cols>
    <col min="1" max="1" width="18.6640625" style="17" customWidth="1"/>
    <col min="2" max="2" width="49" customWidth="1"/>
    <col min="4" max="4" width="8.6640625" bestFit="1" customWidth="1"/>
    <col min="5" max="5" width="4.6640625" customWidth="1"/>
    <col min="6" max="6" width="8.6640625" bestFit="1" customWidth="1"/>
    <col min="7" max="10" width="17" bestFit="1" customWidth="1"/>
    <col min="11" max="12" width="12.796875" bestFit="1" customWidth="1"/>
    <col min="14" max="16" width="9" style="15" customWidth="1"/>
    <col min="17" max="25" width="8.796875" style="15"/>
  </cols>
  <sheetData>
    <row r="1" spans="1:25" x14ac:dyDescent="0.55000000000000004">
      <c r="A1" s="16" t="s">
        <v>653</v>
      </c>
      <c r="N1" s="14"/>
      <c r="O1" s="14"/>
      <c r="P1" s="14"/>
      <c r="Q1" s="14"/>
      <c r="R1" s="14"/>
      <c r="S1" s="14"/>
      <c r="T1" s="14"/>
      <c r="U1" s="14"/>
      <c r="V1" s="14"/>
      <c r="W1" s="14"/>
      <c r="X1" s="14"/>
      <c r="Y1" s="14"/>
    </row>
    <row r="2" spans="1:25" x14ac:dyDescent="0.55000000000000004">
      <c r="A2" s="17" t="s">
        <v>654</v>
      </c>
      <c r="N2" s="14"/>
      <c r="O2" s="14"/>
      <c r="P2" s="14"/>
      <c r="Q2" s="14"/>
      <c r="R2" s="14"/>
      <c r="S2" s="14"/>
      <c r="T2" s="14"/>
      <c r="U2" s="14"/>
      <c r="V2" s="14"/>
      <c r="W2" s="14"/>
      <c r="X2" s="14"/>
      <c r="Y2" s="14"/>
    </row>
    <row r="3" spans="1:25" ht="14.25" x14ac:dyDescent="0.45">
      <c r="A3" s="118" t="s">
        <v>635</v>
      </c>
      <c r="N3" s="14"/>
      <c r="O3" s="14"/>
      <c r="P3" s="14"/>
      <c r="Q3" s="14"/>
      <c r="R3" s="14"/>
      <c r="S3" s="14"/>
      <c r="T3" s="14"/>
      <c r="U3" s="14"/>
      <c r="V3" s="14"/>
      <c r="W3" s="14"/>
      <c r="X3" s="14"/>
      <c r="Y3" s="14"/>
    </row>
    <row r="4" spans="1:25" ht="14.25" x14ac:dyDescent="0.45">
      <c r="A4" s="118" t="s">
        <v>632</v>
      </c>
    </row>
    <row r="5" spans="1:25" ht="14.25" x14ac:dyDescent="0.45">
      <c r="A5" s="118" t="s">
        <v>633</v>
      </c>
    </row>
    <row r="6" spans="1:25" ht="14.25" x14ac:dyDescent="0.45">
      <c r="A6" s="118" t="s">
        <v>647</v>
      </c>
    </row>
    <row r="7" spans="1:25" ht="14.25" x14ac:dyDescent="0.45">
      <c r="A7" s="118"/>
    </row>
    <row r="8" spans="1:25" x14ac:dyDescent="0.55000000000000004">
      <c r="A8" s="17" t="s">
        <v>1054</v>
      </c>
    </row>
    <row r="10" spans="1:25" ht="15.75" x14ac:dyDescent="0.5">
      <c r="A10" s="2" t="s">
        <v>15</v>
      </c>
      <c r="B10" s="2" t="s">
        <v>16</v>
      </c>
    </row>
    <row r="11" spans="1:25" ht="15.75" x14ac:dyDescent="0.5">
      <c r="A11" s="23" t="s">
        <v>636</v>
      </c>
      <c r="B11" s="24" t="s">
        <v>640</v>
      </c>
    </row>
    <row r="12" spans="1:25" ht="15.75" x14ac:dyDescent="0.5">
      <c r="A12" s="23" t="s">
        <v>637</v>
      </c>
      <c r="B12" s="24" t="s">
        <v>641</v>
      </c>
    </row>
    <row r="13" spans="1:25" ht="15.75" x14ac:dyDescent="0.5">
      <c r="A13" s="23" t="s">
        <v>638</v>
      </c>
      <c r="B13" s="24" t="s">
        <v>642</v>
      </c>
    </row>
    <row r="14" spans="1:25" ht="15.75" x14ac:dyDescent="0.5">
      <c r="A14" s="23" t="s">
        <v>639</v>
      </c>
      <c r="B14" s="24" t="s">
        <v>643</v>
      </c>
    </row>
    <row r="15" spans="1:25" ht="31.5" x14ac:dyDescent="0.5">
      <c r="A15" s="23" t="s">
        <v>242</v>
      </c>
      <c r="B15" s="24" t="s">
        <v>804</v>
      </c>
    </row>
    <row r="16" spans="1:25" ht="47.25" x14ac:dyDescent="0.5">
      <c r="A16" s="23" t="s">
        <v>650</v>
      </c>
      <c r="B16" s="24" t="s">
        <v>803</v>
      </c>
    </row>
    <row r="17" spans="4:25" x14ac:dyDescent="0.55000000000000004">
      <c r="I17" t="s">
        <v>629</v>
      </c>
      <c r="J17" t="s">
        <v>630</v>
      </c>
    </row>
    <row r="18" spans="4:25" x14ac:dyDescent="0.55000000000000004">
      <c r="D18" s="1" t="s">
        <v>17</v>
      </c>
      <c r="G18" s="1" t="s">
        <v>627</v>
      </c>
      <c r="H18" s="1" t="s">
        <v>628</v>
      </c>
      <c r="I18" s="13" t="s">
        <v>636</v>
      </c>
      <c r="J18" s="13" t="s">
        <v>637</v>
      </c>
      <c r="K18" s="13" t="s">
        <v>242</v>
      </c>
      <c r="L18" s="13" t="s">
        <v>650</v>
      </c>
      <c r="N18" s="15" t="s">
        <v>645</v>
      </c>
      <c r="P18" s="15" t="s">
        <v>646</v>
      </c>
    </row>
    <row r="19" spans="4:25" x14ac:dyDescent="0.55000000000000004">
      <c r="F19" s="119">
        <v>43465</v>
      </c>
      <c r="G19" s="52">
        <v>233.81840500000001</v>
      </c>
      <c r="H19" s="52">
        <v>88.142380000000003</v>
      </c>
      <c r="I19" s="101"/>
      <c r="J19" s="101"/>
      <c r="K19" s="54" t="b">
        <v>0</v>
      </c>
      <c r="L19" s="54" t="b">
        <v>0</v>
      </c>
      <c r="N19" s="121" cm="1">
        <f t="array" ref="N19">_xlfn.LAMBDA(_xlpm.sampleNonCrisis_1,_xlpm.sampleNonCrisis_2,_xlpm.sampleCrisis_1,_xlpm.sampleCrisis_2,_xlop.returnPValue,_xlop.returnInverse,_xlfn.LET(
    _xlpm.volNonCrisis_1, _xlfn.STDEV.S(_xlpm.sampleNonCrisis_1),
    _xlpm.volCrisis_1, _xlfn.STDEV.S(_xlpm.sampleCrisis_1),
    _xlpm.meanNonCrisis_1, AVERAGE(_xlpm.sampleNonCrisis_1),
    _xlpm.meanCrisis_1, AVERAGE(_xlpm.sampleCrisis_1),
    _xlpm.nNonCrisis_1, COUNTA(_xlpm.sampleNonCrisis_1),
    _xlpm.nCrisis_1, COUNTA(_xlpm.sampleCrisis_1),
    _xlpm.volNonCrisis_2, _xlfn.STDEV.S(_xlpm.sampleNonCrisis_2),
    _xlpm.volCrisis_2, _xlfn.STDEV.S(_xlpm.sampleCrisis_2),
    _xlpm.meanNonCrisis_2, AVERAGE(_xlpm.sampleNonCrisis_2),
    _xlpm.meanCrisis_2, AVERAGE(_xlpm.sampleCrisis_2),
    _xlpm.nNonCrisis_2, COUNTA(_xlpm.sampleNonCrisis_2),
    _xlpm.nCrisis_2, COUNTA(_xlpm.sampleCrisis_2),
    _xlpm.corrNonCrisis, CORREL(_xlpm.sampleNonCrisis_1, _xlpm.sampleNonCrisis_2),
    _xlpm.corrCrisis, CORREL(_xlpm.sampleCrisis_1, _xlpm.sampleCrisis_2),
    _xlpm.corrCrisisAdj, _xlpm.corrCrisis /
        SQRT(
            1 + (_xlpm.volCrisis_1 ^ 2 - _xlpm.volNonCrisis_1 ^ 2) / (_xlpm.volNonCrisis_1 ^ 2) * (1 - _xlpm.corrCrisis ^ 2)
        ),
    _xlpm.coSkewNonCrisis_1_2, AVERAGE(
        (_xlpm.sampleNonCrisis_1 - _xlpm.meanNonCrisis_1) / _xlpm.volNonCrisis_1 *
            ((_xlpm.sampleNonCrisis_2 - _xlpm.meanNonCrisis_2) / _xlpm.volNonCrisis_2) ^ 2
    ),
    _xlpm.coSkewCrisis_1_2, AVERAGE(
        (_xlpm.sampleCrisis_1 - _xlpm.meanCrisis_1) / _xlpm.volCrisis_1 *
            ((_xlpm.sampleCrisis_2 - _xlpm.meanCrisis_2) / _xlpm.volCrisis_2) ^ 2
    ),
    _xlpm.coSkewNonCrisis_2_1, AVERAGE(
        ((_xlpm.sampleNonCrisis_1 - _xlpm.meanNonCrisis_1) / _xlpm.volNonCrisis_1) ^ 2 *
            ((_xlpm.sampleNonCrisis_2 - _xlpm.meanNonCrisis_2) / _xlpm.volNonCrisis_2)
    ),
    _xlpm.coSkewCrisis_2_1, AVERAGE(
        ((_xlpm.sampleCrisis_1 - _xlpm.meanCrisis_1) / _xlpm.volCrisis_1) ^ 2 *
            ((_xlpm.sampleCrisis_2 - _xlpm.meanCrisis_2) / _xlpm.volCrisis_2)
    ),
    _xlpm.chiSquared_1_2, (
        (_xlpm.coSkewCrisis_1_2 - _xlpm.coSkewNonCrisis_1_2) /
            SQRT(
                (4 * _xlpm.corrCrisisAdj ^ 2 + 2) / _xlpm.nCrisis_1 + (4 * _xlpm.corrNonCrisis ^ 2 + 2) / _xlpm.nNonCrisis_1
            )
    ) ^ 2,
    _xlpm.chiSquared_2_1, (
        (_xlpm.coSkewCrisis_2_1 - _xlpm.coSkewNonCrisis_2_1) /
            SQRT(
                (4 * _xlpm.corrCrisisAdj ^ 2 + 2) / _xlpm.nCrisis_1 + (4 * _xlpm.corrNonCrisis ^ 2 + 2) / _xlpm.nNonCrisis_1
            )
    ) ^ 2,
    _xlpm.pTest_1_3, _xlfn.CHISQ.DIST.RT(_xlpm.chiSquared_1_2, 1),
    _xlpm.pTest_3_1, _xlfn.CHISQ.DIST.RT(_xlpm.chiSquared_2_1, 1),
    IF(
        OR(_xlfn.ISOMITTED(_xlpm.returnInverse), _xlpm.returnInverse = FALSE),
        IF(OR(_xlfn.ISOMITTED(_xlpm.returnPValue), _xlpm.returnPValue = FALSE), _xlpm.chiSquared_1_2, _xlpm.pTest_1_3),
        IF(OR(_xlfn.ISOMITTED(_xlpm.returnPValue), _xlpm.returnPValue = FALSE), _xlpm.chiSquared_2_1, _xlpm.pTest_3_1)
    )
))(I20:I318,J20:J318,I321:I526,J321:J526,K19,L19)</f>
        <v>3.5996011665822265</v>
      </c>
      <c r="O19" s="53"/>
      <c r="P19" s="27" cm="1">
        <f t="array" ref="P19">CONTAGION_COSKEWNESS(I20:I318,J20:J318,I321:I526,J321:J526,K19,L19)</f>
        <v>3.5996011665822265</v>
      </c>
    </row>
    <row r="20" spans="4:25" x14ac:dyDescent="0.55000000000000004">
      <c r="F20" s="119">
        <v>43467</v>
      </c>
      <c r="G20" s="52">
        <v>234.0616</v>
      </c>
      <c r="H20" s="52">
        <v>88.132744000000002</v>
      </c>
      <c r="I20" s="120">
        <f>G20/G19-1</f>
        <v>1.0401020398713712E-3</v>
      </c>
      <c r="J20" s="120">
        <f>H20/H19-1</f>
        <v>-1.0932312016076473E-4</v>
      </c>
      <c r="N20" s="53"/>
      <c r="O20" s="53"/>
      <c r="P20" s="53"/>
    </row>
    <row r="21" spans="4:25" x14ac:dyDescent="0.55000000000000004">
      <c r="F21" s="119">
        <v>43468</v>
      </c>
      <c r="G21" s="52">
        <v>228.476257</v>
      </c>
      <c r="H21" s="52">
        <v>88.161666999999994</v>
      </c>
      <c r="I21" s="120">
        <f t="shared" ref="I21:J84" si="0">G21/G20-1</f>
        <v>-2.3862705373286275E-2</v>
      </c>
      <c r="J21" s="120">
        <f t="shared" si="0"/>
        <v>3.2817541684604379E-4</v>
      </c>
      <c r="N21" s="53"/>
      <c r="O21" s="53"/>
      <c r="P21" s="53"/>
    </row>
    <row r="22" spans="4:25" ht="18.75" customHeight="1" x14ac:dyDescent="0.55000000000000004">
      <c r="D22" s="173"/>
      <c r="F22" s="119">
        <v>43469</v>
      </c>
      <c r="G22" s="52">
        <v>236.129257</v>
      </c>
      <c r="H22" s="52">
        <v>88.171302999999995</v>
      </c>
      <c r="I22" s="120">
        <f t="shared" si="0"/>
        <v>3.3495821843755103E-2</v>
      </c>
      <c r="J22" s="120">
        <f t="shared" si="0"/>
        <v>1.0929920370039703E-4</v>
      </c>
      <c r="N22" s="53"/>
      <c r="O22" s="53"/>
      <c r="P22" s="53"/>
    </row>
    <row r="23" spans="4:25" x14ac:dyDescent="0.55000000000000004">
      <c r="D23" s="173"/>
      <c r="F23" s="119">
        <v>43472</v>
      </c>
      <c r="G23" s="52">
        <v>237.991028</v>
      </c>
      <c r="H23" s="52">
        <v>88.171302999999995</v>
      </c>
      <c r="I23" s="120">
        <f t="shared" si="0"/>
        <v>7.8845418126225475E-3</v>
      </c>
      <c r="J23" s="120">
        <f t="shared" si="0"/>
        <v>0</v>
      </c>
      <c r="N23" s="53"/>
      <c r="O23" s="53"/>
      <c r="P23" s="53"/>
    </row>
    <row r="24" spans="4:25" x14ac:dyDescent="0.55000000000000004">
      <c r="D24" s="46"/>
      <c r="F24" s="119">
        <v>43473</v>
      </c>
      <c r="G24" s="52">
        <v>240.22705099999999</v>
      </c>
      <c r="H24" s="52">
        <v>88.171302999999995</v>
      </c>
      <c r="I24" s="120">
        <f t="shared" si="0"/>
        <v>9.3954088050747231E-3</v>
      </c>
      <c r="J24" s="120">
        <f t="shared" si="0"/>
        <v>0</v>
      </c>
      <c r="N24" s="53"/>
      <c r="O24" s="53"/>
      <c r="P24" s="53"/>
    </row>
    <row r="25" spans="4:25" x14ac:dyDescent="0.55000000000000004">
      <c r="F25" s="119">
        <v>43474</v>
      </c>
      <c r="G25" s="52">
        <v>241.349762</v>
      </c>
      <c r="H25" s="52">
        <v>88.171302999999995</v>
      </c>
      <c r="I25" s="120">
        <f t="shared" si="0"/>
        <v>4.6735411159004592E-3</v>
      </c>
      <c r="J25" s="120">
        <f t="shared" si="0"/>
        <v>0</v>
      </c>
      <c r="N25" s="53"/>
      <c r="O25" s="53"/>
      <c r="P25" s="53"/>
    </row>
    <row r="26" spans="4:25" x14ac:dyDescent="0.55000000000000004">
      <c r="F26" s="119">
        <v>43475</v>
      </c>
      <c r="G26" s="52">
        <v>242.20112599999999</v>
      </c>
      <c r="H26" s="52">
        <v>88.180938999999995</v>
      </c>
      <c r="I26" s="120">
        <f t="shared" si="0"/>
        <v>3.5275112473489578E-3</v>
      </c>
      <c r="J26" s="120">
        <f t="shared" si="0"/>
        <v>1.0928725869008282E-4</v>
      </c>
      <c r="N26" s="53"/>
      <c r="O26" s="53"/>
      <c r="P26" s="53"/>
    </row>
    <row r="27" spans="4:25" x14ac:dyDescent="0.55000000000000004">
      <c r="F27" s="119">
        <v>43476</v>
      </c>
      <c r="G27" s="52">
        <v>242.294647</v>
      </c>
      <c r="H27" s="52">
        <v>88.200203000000002</v>
      </c>
      <c r="I27" s="120">
        <f t="shared" si="0"/>
        <v>3.8612950131367008E-4</v>
      </c>
      <c r="J27" s="120">
        <f t="shared" si="0"/>
        <v>2.1845991002655829E-4</v>
      </c>
      <c r="N27" s="53"/>
      <c r="O27" s="53"/>
      <c r="P27" s="53"/>
    </row>
    <row r="28" spans="4:25" s="21" customFormat="1" ht="14.25" x14ac:dyDescent="0.45">
      <c r="D28"/>
      <c r="E28"/>
      <c r="F28" s="119">
        <v>43479</v>
      </c>
      <c r="G28" s="52">
        <v>240.816452</v>
      </c>
      <c r="H28" s="52">
        <v>88.190574999999995</v>
      </c>
      <c r="I28" s="120">
        <f t="shared" si="0"/>
        <v>-6.1008157559502285E-3</v>
      </c>
      <c r="J28" s="120">
        <f t="shared" si="0"/>
        <v>-1.0916074648947838E-4</v>
      </c>
      <c r="K28"/>
      <c r="L28"/>
      <c r="M28"/>
      <c r="N28" s="53"/>
      <c r="O28" s="53"/>
      <c r="P28" s="53"/>
      <c r="Q28" s="15"/>
      <c r="R28" s="15"/>
      <c r="S28" s="15"/>
      <c r="T28" s="15"/>
      <c r="U28" s="15"/>
      <c r="V28" s="15"/>
      <c r="W28" s="15"/>
      <c r="X28" s="15"/>
      <c r="Y28" s="15"/>
    </row>
    <row r="29" spans="4:25" s="21" customFormat="1" ht="14.25" x14ac:dyDescent="0.45">
      <c r="D29"/>
      <c r="E29"/>
      <c r="F29" s="119">
        <v>43480</v>
      </c>
      <c r="G29" s="52">
        <v>243.57638499999999</v>
      </c>
      <c r="H29" s="52">
        <v>88.209868999999998</v>
      </c>
      <c r="I29" s="120">
        <f t="shared" si="0"/>
        <v>1.146073275757753E-2</v>
      </c>
      <c r="J29" s="120">
        <f t="shared" si="0"/>
        <v>2.1877621276433779E-4</v>
      </c>
      <c r="K29"/>
      <c r="L29"/>
      <c r="M29"/>
      <c r="N29" s="53"/>
      <c r="O29" s="53"/>
      <c r="P29" s="53"/>
      <c r="Q29" s="15"/>
      <c r="R29" s="15"/>
      <c r="S29" s="15"/>
      <c r="T29" s="15"/>
      <c r="U29" s="15"/>
      <c r="V29" s="15"/>
      <c r="W29" s="15"/>
      <c r="X29" s="15"/>
      <c r="Y29" s="15"/>
    </row>
    <row r="30" spans="4:25" s="21" customFormat="1" ht="14.25" x14ac:dyDescent="0.45">
      <c r="D30"/>
      <c r="E30"/>
      <c r="F30" s="119">
        <v>43481</v>
      </c>
      <c r="G30" s="52">
        <v>244.16583299999999</v>
      </c>
      <c r="H30" s="52">
        <v>88.219466999999995</v>
      </c>
      <c r="I30" s="120">
        <f t="shared" si="0"/>
        <v>2.4199718704258633E-3</v>
      </c>
      <c r="J30" s="120">
        <f t="shared" si="0"/>
        <v>1.0880868670137822E-4</v>
      </c>
      <c r="K30"/>
      <c r="L30"/>
      <c r="M30"/>
      <c r="N30" s="53"/>
      <c r="O30" s="53"/>
      <c r="P30" s="53"/>
      <c r="Q30" s="15"/>
      <c r="R30" s="15"/>
      <c r="S30" s="15"/>
      <c r="T30" s="15"/>
      <c r="U30" s="15"/>
      <c r="V30" s="15"/>
      <c r="W30" s="15"/>
      <c r="X30" s="15"/>
      <c r="Y30" s="15"/>
    </row>
    <row r="31" spans="4:25" s="21" customFormat="1" ht="14.25" x14ac:dyDescent="0.45">
      <c r="D31"/>
      <c r="E31"/>
      <c r="F31" s="119">
        <v>43482</v>
      </c>
      <c r="G31" s="52">
        <v>246.01823400000001</v>
      </c>
      <c r="H31" s="52">
        <v>88.238761999999994</v>
      </c>
      <c r="I31" s="120">
        <f t="shared" si="0"/>
        <v>7.5866511593374319E-3</v>
      </c>
      <c r="J31" s="120">
        <f t="shared" si="0"/>
        <v>2.1871589861222063E-4</v>
      </c>
      <c r="K31"/>
      <c r="L31"/>
      <c r="M31"/>
      <c r="N31" s="53"/>
      <c r="O31" s="53"/>
      <c r="P31" s="53"/>
      <c r="Q31" s="15"/>
      <c r="R31" s="15"/>
      <c r="S31" s="15"/>
      <c r="T31" s="15"/>
      <c r="U31" s="15"/>
      <c r="V31" s="15"/>
      <c r="W31" s="15"/>
      <c r="X31" s="15"/>
      <c r="Y31" s="15"/>
    </row>
    <row r="32" spans="4:25" s="21" customFormat="1" ht="14.25" x14ac:dyDescent="0.45">
      <c r="D32"/>
      <c r="E32"/>
      <c r="F32" s="119">
        <v>43483</v>
      </c>
      <c r="G32" s="52">
        <v>249.29276999999999</v>
      </c>
      <c r="H32" s="52">
        <v>88.238761999999994</v>
      </c>
      <c r="I32" s="120">
        <f t="shared" si="0"/>
        <v>1.3310135378014287E-2</v>
      </c>
      <c r="J32" s="120">
        <f t="shared" si="0"/>
        <v>0</v>
      </c>
      <c r="K32"/>
      <c r="L32"/>
      <c r="M32"/>
      <c r="N32" s="53"/>
      <c r="O32" s="53"/>
      <c r="P32" s="53"/>
      <c r="Q32" s="15"/>
      <c r="R32" s="15"/>
      <c r="S32" s="15"/>
      <c r="T32" s="15"/>
      <c r="U32" s="15"/>
      <c r="V32" s="15"/>
      <c r="W32" s="15"/>
      <c r="X32" s="15"/>
      <c r="Y32" s="15"/>
    </row>
    <row r="33" spans="6:25" s="21" customFormat="1" ht="14.25" x14ac:dyDescent="0.45">
      <c r="F33" s="119">
        <v>43487</v>
      </c>
      <c r="G33" s="52">
        <v>245.92463699999999</v>
      </c>
      <c r="H33" s="52">
        <v>88.248405000000005</v>
      </c>
      <c r="I33" s="120">
        <f t="shared" si="0"/>
        <v>-1.3510752838921114E-2</v>
      </c>
      <c r="J33" s="120">
        <f t="shared" si="0"/>
        <v>1.0928303821855501E-4</v>
      </c>
      <c r="K33"/>
      <c r="L33"/>
      <c r="N33" s="15"/>
      <c r="O33" s="15"/>
      <c r="P33" s="15"/>
      <c r="Q33" s="15"/>
      <c r="R33" s="15"/>
      <c r="S33" s="15"/>
      <c r="T33" s="15"/>
      <c r="U33" s="15"/>
      <c r="V33" s="15"/>
      <c r="W33" s="15"/>
      <c r="X33" s="15"/>
      <c r="Y33" s="15"/>
    </row>
    <row r="34" spans="6:25" s="21" customFormat="1" ht="14.25" x14ac:dyDescent="0.45">
      <c r="F34" s="119">
        <v>43488</v>
      </c>
      <c r="G34" s="52">
        <v>246.439255</v>
      </c>
      <c r="H34" s="52">
        <v>88.248405000000005</v>
      </c>
      <c r="I34" s="120">
        <f t="shared" si="0"/>
        <v>2.0925841602441597E-3</v>
      </c>
      <c r="J34" s="120">
        <f t="shared" si="0"/>
        <v>0</v>
      </c>
      <c r="K34"/>
      <c r="L34"/>
      <c r="N34" s="15"/>
      <c r="O34" s="15"/>
      <c r="P34" s="15"/>
      <c r="Q34" s="15"/>
      <c r="R34" s="15"/>
      <c r="S34" s="15"/>
      <c r="T34" s="15"/>
      <c r="U34" s="15"/>
      <c r="V34" s="15"/>
      <c r="W34" s="15"/>
      <c r="X34" s="15"/>
      <c r="Y34" s="15"/>
    </row>
    <row r="35" spans="6:25" s="21" customFormat="1" ht="14.25" x14ac:dyDescent="0.45">
      <c r="F35" s="119">
        <v>43489</v>
      </c>
      <c r="G35" s="52">
        <v>246.57023599999999</v>
      </c>
      <c r="H35" s="52">
        <v>88.277289999999994</v>
      </c>
      <c r="I35" s="120">
        <f t="shared" si="0"/>
        <v>5.3149405925601023E-4</v>
      </c>
      <c r="J35" s="120">
        <f t="shared" si="0"/>
        <v>3.2731469764235577E-4</v>
      </c>
      <c r="K35"/>
      <c r="L35"/>
      <c r="N35" s="15"/>
      <c r="O35" s="15"/>
      <c r="P35" s="15"/>
      <c r="Q35" s="15"/>
      <c r="R35" s="15"/>
      <c r="S35" s="15"/>
      <c r="T35" s="15"/>
      <c r="U35" s="15"/>
      <c r="V35" s="15"/>
      <c r="W35" s="15"/>
      <c r="X35" s="15"/>
      <c r="Y35" s="15"/>
    </row>
    <row r="36" spans="6:25" s="21" customFormat="1" ht="14.25" x14ac:dyDescent="0.45">
      <c r="F36" s="119">
        <v>43490</v>
      </c>
      <c r="G36" s="52">
        <v>248.65656999999999</v>
      </c>
      <c r="H36" s="52">
        <v>88.267669999999995</v>
      </c>
      <c r="I36" s="120">
        <f t="shared" si="0"/>
        <v>8.4614186766645005E-3</v>
      </c>
      <c r="J36" s="120">
        <f t="shared" si="0"/>
        <v>-1.0897479974747437E-4</v>
      </c>
      <c r="K36"/>
      <c r="L36"/>
      <c r="N36" s="15"/>
      <c r="O36" s="15"/>
      <c r="P36" s="15"/>
      <c r="Q36" s="15"/>
      <c r="R36" s="15"/>
      <c r="S36" s="15"/>
      <c r="T36" s="15"/>
      <c r="U36" s="15"/>
      <c r="V36" s="15"/>
      <c r="W36" s="15"/>
      <c r="X36" s="15"/>
      <c r="Y36" s="15"/>
    </row>
    <row r="37" spans="6:25" s="21" customFormat="1" ht="14.25" x14ac:dyDescent="0.45">
      <c r="F37" s="119">
        <v>43493</v>
      </c>
      <c r="G37" s="52">
        <v>246.76676900000001</v>
      </c>
      <c r="H37" s="52">
        <v>88.277289999999994</v>
      </c>
      <c r="I37" s="120">
        <f t="shared" si="0"/>
        <v>-7.6000445111905623E-3</v>
      </c>
      <c r="J37" s="120">
        <f t="shared" si="0"/>
        <v>1.0898667654868355E-4</v>
      </c>
      <c r="K37"/>
      <c r="L37"/>
      <c r="N37" s="15"/>
      <c r="O37" s="15"/>
      <c r="P37" s="15"/>
      <c r="Q37" s="15"/>
      <c r="R37" s="15"/>
      <c r="S37" s="15"/>
      <c r="T37" s="15"/>
      <c r="U37" s="15"/>
      <c r="V37" s="15"/>
      <c r="W37" s="15"/>
      <c r="X37" s="15"/>
      <c r="Y37" s="15"/>
    </row>
    <row r="38" spans="6:25" s="21" customFormat="1" ht="14.25" x14ac:dyDescent="0.45">
      <c r="F38" s="119">
        <v>43494</v>
      </c>
      <c r="G38" s="52">
        <v>246.439255</v>
      </c>
      <c r="H38" s="52">
        <v>88.277289999999994</v>
      </c>
      <c r="I38" s="120">
        <f t="shared" si="0"/>
        <v>-1.3272208463369628E-3</v>
      </c>
      <c r="J38" s="120">
        <f t="shared" si="0"/>
        <v>0</v>
      </c>
      <c r="K38"/>
      <c r="L38"/>
      <c r="N38" s="15"/>
      <c r="O38" s="15"/>
      <c r="P38" s="15"/>
      <c r="Q38" s="15"/>
      <c r="R38" s="15"/>
      <c r="S38" s="15"/>
      <c r="T38" s="15"/>
      <c r="U38" s="15"/>
      <c r="V38" s="15"/>
      <c r="W38" s="15"/>
      <c r="X38" s="15"/>
      <c r="Y38" s="15"/>
    </row>
    <row r="39" spans="6:25" s="21" customFormat="1" ht="14.25" x14ac:dyDescent="0.45">
      <c r="F39" s="119">
        <v>43495</v>
      </c>
      <c r="G39" s="52">
        <v>250.34056100000001</v>
      </c>
      <c r="H39" s="52">
        <v>88.296570000000003</v>
      </c>
      <c r="I39" s="120">
        <f t="shared" si="0"/>
        <v>1.5830700348449023E-2</v>
      </c>
      <c r="J39" s="120">
        <f t="shared" si="0"/>
        <v>2.1840271716544457E-4</v>
      </c>
      <c r="K39"/>
      <c r="L39"/>
      <c r="N39" s="15"/>
      <c r="O39" s="15"/>
      <c r="P39" s="15"/>
      <c r="Q39" s="15"/>
      <c r="R39" s="15"/>
      <c r="S39" s="15"/>
      <c r="T39" s="15"/>
      <c r="U39" s="15"/>
      <c r="V39" s="15"/>
      <c r="W39" s="15"/>
      <c r="X39" s="15"/>
      <c r="Y39" s="15"/>
    </row>
    <row r="40" spans="6:25" s="21" customFormat="1" ht="14.25" x14ac:dyDescent="0.45">
      <c r="F40" s="119">
        <v>43496</v>
      </c>
      <c r="G40" s="52">
        <v>252.539185</v>
      </c>
      <c r="H40" s="52">
        <v>88.296570000000003</v>
      </c>
      <c r="I40" s="120">
        <f t="shared" si="0"/>
        <v>8.7825320484122837E-3</v>
      </c>
      <c r="J40" s="120">
        <f t="shared" si="0"/>
        <v>0</v>
      </c>
      <c r="K40"/>
      <c r="L40"/>
      <c r="N40" s="15"/>
      <c r="O40" s="15"/>
      <c r="P40" s="15"/>
      <c r="Q40" s="15"/>
      <c r="R40" s="15"/>
      <c r="S40" s="15"/>
      <c r="T40" s="15"/>
      <c r="U40" s="15"/>
      <c r="V40" s="15"/>
      <c r="W40" s="15"/>
      <c r="X40" s="15"/>
      <c r="Y40" s="15"/>
    </row>
    <row r="41" spans="6:25" s="21" customFormat="1" ht="14.25" x14ac:dyDescent="0.45">
      <c r="F41" s="119">
        <v>43497</v>
      </c>
      <c r="G41" s="52">
        <v>252.660751</v>
      </c>
      <c r="H41" s="52">
        <v>88.305267000000001</v>
      </c>
      <c r="I41" s="120">
        <f t="shared" si="0"/>
        <v>4.8137480130061583E-4</v>
      </c>
      <c r="J41" s="120">
        <f t="shared" si="0"/>
        <v>9.8497597358582212E-5</v>
      </c>
      <c r="K41"/>
      <c r="L41"/>
      <c r="N41" s="15"/>
      <c r="O41" s="15"/>
      <c r="P41" s="15"/>
      <c r="Q41" s="15"/>
      <c r="R41" s="15"/>
      <c r="S41" s="15"/>
      <c r="T41" s="15"/>
      <c r="U41" s="15"/>
      <c r="V41" s="15"/>
      <c r="W41" s="15"/>
      <c r="X41" s="15"/>
      <c r="Y41" s="15"/>
    </row>
    <row r="42" spans="6:25" s="21" customFormat="1" ht="14.25" x14ac:dyDescent="0.45">
      <c r="F42" s="119">
        <v>43500</v>
      </c>
      <c r="G42" s="52">
        <v>254.43838500000001</v>
      </c>
      <c r="H42" s="52">
        <v>88.314933999999994</v>
      </c>
      <c r="I42" s="120">
        <f t="shared" si="0"/>
        <v>7.0356554904722479E-3</v>
      </c>
      <c r="J42" s="120">
        <f t="shared" si="0"/>
        <v>1.094725187795742E-4</v>
      </c>
      <c r="K42"/>
      <c r="L42"/>
      <c r="N42" s="15"/>
      <c r="O42" s="15"/>
      <c r="P42" s="15"/>
      <c r="Q42" s="15"/>
      <c r="R42" s="15"/>
      <c r="S42" s="15"/>
      <c r="T42" s="15"/>
      <c r="U42" s="15"/>
      <c r="V42" s="15"/>
      <c r="W42" s="15"/>
      <c r="X42" s="15"/>
      <c r="Y42" s="15"/>
    </row>
    <row r="43" spans="6:25" s="21" customFormat="1" ht="14.25" x14ac:dyDescent="0.45">
      <c r="F43" s="119">
        <v>43501</v>
      </c>
      <c r="G43" s="52">
        <v>255.504974</v>
      </c>
      <c r="H43" s="52">
        <v>88.314933999999994</v>
      </c>
      <c r="I43" s="120">
        <f t="shared" si="0"/>
        <v>4.191934326261304E-3</v>
      </c>
      <c r="J43" s="120">
        <f t="shared" si="0"/>
        <v>0</v>
      </c>
      <c r="K43"/>
      <c r="L43"/>
      <c r="N43" s="15"/>
      <c r="O43" s="15"/>
      <c r="P43" s="15"/>
      <c r="Q43" s="15"/>
      <c r="R43" s="15"/>
      <c r="S43" s="15"/>
      <c r="T43" s="15"/>
      <c r="U43" s="15"/>
      <c r="V43" s="15"/>
      <c r="W43" s="15"/>
      <c r="X43" s="15"/>
      <c r="Y43" s="15"/>
    </row>
    <row r="44" spans="6:25" s="21" customFormat="1" ht="14.25" x14ac:dyDescent="0.45">
      <c r="F44" s="119">
        <v>43502</v>
      </c>
      <c r="G44" s="52">
        <v>255.16816700000001</v>
      </c>
      <c r="H44" s="52">
        <v>88.334259000000003</v>
      </c>
      <c r="I44" s="120">
        <f t="shared" si="0"/>
        <v>-1.3182013435087958E-3</v>
      </c>
      <c r="J44" s="120">
        <f t="shared" si="0"/>
        <v>2.1881916369892451E-4</v>
      </c>
      <c r="K44"/>
      <c r="L44"/>
      <c r="N44" s="15"/>
      <c r="O44" s="15"/>
      <c r="P44" s="15"/>
      <c r="Q44" s="15"/>
      <c r="R44" s="15"/>
      <c r="S44" s="15"/>
      <c r="T44" s="15"/>
      <c r="U44" s="15"/>
      <c r="V44" s="15"/>
      <c r="W44" s="15"/>
      <c r="X44" s="15"/>
      <c r="Y44" s="15"/>
    </row>
    <row r="45" spans="6:25" s="21" customFormat="1" ht="14.25" x14ac:dyDescent="0.45">
      <c r="F45" s="119">
        <v>43503</v>
      </c>
      <c r="G45" s="52">
        <v>252.735657</v>
      </c>
      <c r="H45" s="52">
        <v>88.334259000000003</v>
      </c>
      <c r="I45" s="120">
        <f t="shared" si="0"/>
        <v>-9.5329681151019585E-3</v>
      </c>
      <c r="J45" s="120">
        <f t="shared" si="0"/>
        <v>0</v>
      </c>
      <c r="K45"/>
      <c r="L45"/>
      <c r="N45" s="15"/>
      <c r="O45" s="15"/>
      <c r="P45" s="15"/>
      <c r="Q45" s="15"/>
      <c r="R45" s="15"/>
      <c r="S45" s="15"/>
      <c r="T45" s="15"/>
      <c r="U45" s="15"/>
      <c r="V45" s="15"/>
      <c r="W45" s="15"/>
      <c r="X45" s="15"/>
      <c r="Y45" s="15"/>
    </row>
    <row r="46" spans="6:25" s="21" customFormat="1" ht="14.25" x14ac:dyDescent="0.45">
      <c r="F46" s="119">
        <v>43504</v>
      </c>
      <c r="G46" s="52">
        <v>253.04437300000001</v>
      </c>
      <c r="H46" s="52">
        <v>88.353545999999994</v>
      </c>
      <c r="I46" s="120">
        <f t="shared" si="0"/>
        <v>1.22149760609358E-3</v>
      </c>
      <c r="J46" s="120">
        <f t="shared" si="0"/>
        <v>2.18341108176201E-4</v>
      </c>
      <c r="K46"/>
      <c r="L46"/>
      <c r="N46" s="15"/>
      <c r="O46" s="15"/>
      <c r="P46" s="15"/>
      <c r="Q46" s="15"/>
      <c r="R46" s="15"/>
      <c r="S46" s="15"/>
      <c r="T46" s="15"/>
      <c r="U46" s="15"/>
      <c r="V46" s="15"/>
      <c r="W46" s="15"/>
      <c r="X46" s="15"/>
      <c r="Y46" s="15"/>
    </row>
    <row r="47" spans="6:25" s="21" customFormat="1" ht="14.25" x14ac:dyDescent="0.45">
      <c r="F47" s="119">
        <v>43507</v>
      </c>
      <c r="G47" s="52">
        <v>253.184753</v>
      </c>
      <c r="H47" s="52">
        <v>88.343886999999995</v>
      </c>
      <c r="I47" s="120">
        <f t="shared" si="0"/>
        <v>5.5476436142676278E-4</v>
      </c>
      <c r="J47" s="120">
        <f t="shared" si="0"/>
        <v>-1.0932215442716053E-4</v>
      </c>
      <c r="K47"/>
      <c r="L47"/>
      <c r="N47" s="15"/>
      <c r="O47" s="15"/>
      <c r="P47" s="15"/>
      <c r="Q47" s="15"/>
      <c r="R47" s="15"/>
      <c r="S47" s="15"/>
      <c r="T47" s="15"/>
      <c r="U47" s="15"/>
      <c r="V47" s="15"/>
      <c r="W47" s="15"/>
      <c r="X47" s="15"/>
      <c r="Y47" s="15"/>
    </row>
    <row r="48" spans="6:25" s="21" customFormat="1" ht="14.25" x14ac:dyDescent="0.45">
      <c r="F48" s="119">
        <v>43508</v>
      </c>
      <c r="G48" s="52">
        <v>256.44058200000001</v>
      </c>
      <c r="H48" s="52">
        <v>88.363213000000002</v>
      </c>
      <c r="I48" s="120">
        <f t="shared" si="0"/>
        <v>1.2859498691850657E-2</v>
      </c>
      <c r="J48" s="120">
        <f t="shared" si="0"/>
        <v>2.1875876935339988E-4</v>
      </c>
      <c r="K48"/>
      <c r="L48"/>
      <c r="N48" s="15"/>
      <c r="O48" s="15"/>
      <c r="P48" s="15"/>
      <c r="Q48" s="15"/>
      <c r="R48" s="15"/>
      <c r="S48" s="15"/>
      <c r="T48" s="15"/>
      <c r="U48" s="15"/>
      <c r="V48" s="15"/>
      <c r="W48" s="15"/>
      <c r="X48" s="15"/>
      <c r="Y48" s="15"/>
    </row>
    <row r="49" spans="6:25" s="21" customFormat="1" ht="14.25" x14ac:dyDescent="0.45">
      <c r="F49" s="119">
        <v>43509</v>
      </c>
      <c r="G49" s="52">
        <v>257.27319299999999</v>
      </c>
      <c r="H49" s="52">
        <v>88.363213000000002</v>
      </c>
      <c r="I49" s="120">
        <f t="shared" si="0"/>
        <v>3.2467989017432863E-3</v>
      </c>
      <c r="J49" s="120">
        <f t="shared" si="0"/>
        <v>0</v>
      </c>
      <c r="K49"/>
      <c r="L49"/>
      <c r="N49" s="15"/>
      <c r="O49" s="15"/>
      <c r="P49" s="15"/>
      <c r="Q49" s="15"/>
      <c r="R49" s="15"/>
      <c r="S49" s="15"/>
      <c r="T49" s="15"/>
      <c r="U49" s="15"/>
      <c r="V49" s="15"/>
      <c r="W49" s="15"/>
      <c r="X49" s="15"/>
      <c r="Y49" s="15"/>
    </row>
    <row r="50" spans="6:25" s="21" customFormat="1" ht="14.25" x14ac:dyDescent="0.45">
      <c r="F50" s="119">
        <v>43510</v>
      </c>
      <c r="G50" s="52">
        <v>256.70248400000003</v>
      </c>
      <c r="H50" s="52">
        <v>88.382544999999993</v>
      </c>
      <c r="I50" s="120">
        <f t="shared" si="0"/>
        <v>-2.2182995178979814E-3</v>
      </c>
      <c r="J50" s="120">
        <f t="shared" si="0"/>
        <v>2.1877882598042575E-4</v>
      </c>
      <c r="K50"/>
      <c r="L50"/>
      <c r="N50" s="15"/>
      <c r="O50" s="15"/>
      <c r="P50" s="15"/>
      <c r="Q50" s="15"/>
      <c r="R50" s="15"/>
      <c r="S50" s="15"/>
      <c r="T50" s="15"/>
      <c r="U50" s="15"/>
      <c r="V50" s="15"/>
      <c r="W50" s="15"/>
      <c r="X50" s="15"/>
      <c r="Y50" s="15"/>
    </row>
    <row r="51" spans="6:25" s="21" customFormat="1" ht="14.25" x14ac:dyDescent="0.45">
      <c r="F51" s="119">
        <v>43511</v>
      </c>
      <c r="G51" s="52">
        <v>259.49987800000002</v>
      </c>
      <c r="H51" s="52">
        <v>88.382544999999993</v>
      </c>
      <c r="I51" s="120">
        <f t="shared" si="0"/>
        <v>1.0897416949031236E-2</v>
      </c>
      <c r="J51" s="120">
        <f t="shared" si="0"/>
        <v>0</v>
      </c>
      <c r="K51"/>
      <c r="L51"/>
      <c r="N51" s="15"/>
      <c r="O51" s="15"/>
      <c r="P51" s="15"/>
      <c r="Q51" s="15"/>
      <c r="R51" s="15"/>
      <c r="S51" s="15"/>
      <c r="T51" s="15"/>
      <c r="U51" s="15"/>
      <c r="V51" s="15"/>
      <c r="W51" s="15"/>
      <c r="X51" s="15"/>
      <c r="Y51" s="15"/>
    </row>
    <row r="52" spans="6:25" s="21" customFormat="1" ht="14.25" x14ac:dyDescent="0.45">
      <c r="F52" s="119">
        <v>43515</v>
      </c>
      <c r="G52" s="52">
        <v>259.94894399999998</v>
      </c>
      <c r="H52" s="52">
        <v>88.401840000000007</v>
      </c>
      <c r="I52" s="120">
        <f t="shared" si="0"/>
        <v>1.7305056305265687E-3</v>
      </c>
      <c r="J52" s="120">
        <f t="shared" si="0"/>
        <v>2.183123375776308E-4</v>
      </c>
      <c r="K52"/>
      <c r="L52"/>
      <c r="N52" s="15"/>
      <c r="O52" s="15"/>
      <c r="P52" s="15"/>
      <c r="Q52" s="15"/>
      <c r="R52" s="15"/>
      <c r="S52" s="15"/>
      <c r="T52" s="15"/>
      <c r="U52" s="15"/>
      <c r="V52" s="15"/>
      <c r="W52" s="15"/>
      <c r="X52" s="15"/>
      <c r="Y52" s="15"/>
    </row>
    <row r="53" spans="6:25" s="21" customFormat="1" ht="14.25" x14ac:dyDescent="0.45">
      <c r="F53" s="119">
        <v>43516</v>
      </c>
      <c r="G53" s="52">
        <v>260.47283900000002</v>
      </c>
      <c r="H53" s="52">
        <v>88.401840000000007</v>
      </c>
      <c r="I53" s="120">
        <f t="shared" si="0"/>
        <v>2.0153765271693214E-3</v>
      </c>
      <c r="J53" s="120">
        <f t="shared" si="0"/>
        <v>0</v>
      </c>
      <c r="K53"/>
      <c r="L53"/>
      <c r="N53" s="15"/>
      <c r="O53" s="15"/>
      <c r="P53" s="15"/>
      <c r="Q53" s="15"/>
      <c r="R53" s="15"/>
      <c r="S53" s="15"/>
      <c r="T53" s="15"/>
      <c r="U53" s="15"/>
      <c r="V53" s="15"/>
      <c r="W53" s="15"/>
      <c r="X53" s="15"/>
      <c r="Y53" s="15"/>
    </row>
    <row r="54" spans="6:25" s="21" customFormat="1" ht="14.25" x14ac:dyDescent="0.45">
      <c r="F54" s="119">
        <v>43517</v>
      </c>
      <c r="G54" s="52">
        <v>259.54660000000001</v>
      </c>
      <c r="H54" s="52">
        <v>88.411484000000002</v>
      </c>
      <c r="I54" s="120">
        <f t="shared" si="0"/>
        <v>-3.5559907265417801E-3</v>
      </c>
      <c r="J54" s="120">
        <f t="shared" si="0"/>
        <v>1.0909275191561818E-4</v>
      </c>
      <c r="K54"/>
      <c r="L54"/>
      <c r="N54" s="15"/>
      <c r="O54" s="15"/>
      <c r="P54" s="15"/>
      <c r="Q54" s="15"/>
      <c r="R54" s="15"/>
      <c r="S54" s="15"/>
      <c r="T54" s="15"/>
      <c r="U54" s="15"/>
      <c r="V54" s="15"/>
      <c r="W54" s="15"/>
      <c r="X54" s="15"/>
      <c r="Y54" s="15"/>
    </row>
    <row r="55" spans="6:25" s="21" customFormat="1" ht="14.25" x14ac:dyDescent="0.45">
      <c r="F55" s="119">
        <v>43518</v>
      </c>
      <c r="G55" s="52">
        <v>261.155823</v>
      </c>
      <c r="H55" s="52">
        <v>88.430817000000005</v>
      </c>
      <c r="I55" s="120">
        <f t="shared" si="0"/>
        <v>6.2001313059003582E-3</v>
      </c>
      <c r="J55" s="120">
        <f t="shared" si="0"/>
        <v>2.1867068762237984E-4</v>
      </c>
      <c r="K55"/>
      <c r="L55"/>
      <c r="N55" s="15"/>
      <c r="O55" s="15"/>
      <c r="P55" s="15"/>
      <c r="Q55" s="15"/>
      <c r="R55" s="15"/>
      <c r="S55" s="15"/>
      <c r="T55" s="15"/>
      <c r="U55" s="15"/>
      <c r="V55" s="15"/>
      <c r="W55" s="15"/>
      <c r="X55" s="15"/>
      <c r="Y55" s="15"/>
    </row>
    <row r="56" spans="6:25" s="21" customFormat="1" ht="14.25" x14ac:dyDescent="0.45">
      <c r="F56" s="119">
        <v>43521</v>
      </c>
      <c r="G56" s="52">
        <v>261.51129200000003</v>
      </c>
      <c r="H56" s="52">
        <v>88.421149999999997</v>
      </c>
      <c r="I56" s="120">
        <f t="shared" si="0"/>
        <v>1.3611375611564114E-3</v>
      </c>
      <c r="J56" s="120">
        <f t="shared" si="0"/>
        <v>-1.0931709474093498E-4</v>
      </c>
      <c r="K56"/>
      <c r="L56"/>
      <c r="N56" s="15"/>
      <c r="O56" s="15"/>
      <c r="P56" s="15"/>
      <c r="Q56" s="15"/>
      <c r="R56" s="15"/>
      <c r="S56" s="15"/>
      <c r="T56" s="15"/>
      <c r="U56" s="15"/>
      <c r="V56" s="15"/>
      <c r="W56" s="15"/>
      <c r="X56" s="15"/>
      <c r="Y56" s="15"/>
    </row>
    <row r="57" spans="6:25" s="21" customFormat="1" ht="14.25" x14ac:dyDescent="0.45">
      <c r="F57" s="119">
        <v>43522</v>
      </c>
      <c r="G57" s="52">
        <v>261.32421900000003</v>
      </c>
      <c r="H57" s="52">
        <v>88.430817000000005</v>
      </c>
      <c r="I57" s="120">
        <f t="shared" si="0"/>
        <v>-7.1535343108619642E-4</v>
      </c>
      <c r="J57" s="120">
        <f t="shared" si="0"/>
        <v>1.0932904627458662E-4</v>
      </c>
      <c r="K57"/>
      <c r="L57"/>
      <c r="N57" s="15"/>
      <c r="O57" s="15"/>
      <c r="P57" s="15"/>
      <c r="Q57" s="15"/>
      <c r="R57" s="15"/>
      <c r="S57" s="15"/>
      <c r="T57" s="15"/>
      <c r="U57" s="15"/>
      <c r="V57" s="15"/>
      <c r="W57" s="15"/>
      <c r="X57" s="15"/>
      <c r="Y57" s="15"/>
    </row>
    <row r="58" spans="6:25" s="21" customFormat="1" ht="14.25" x14ac:dyDescent="0.45">
      <c r="F58" s="119">
        <v>43523</v>
      </c>
      <c r="G58" s="52">
        <v>261.21200599999997</v>
      </c>
      <c r="H58" s="52">
        <v>88.440453000000005</v>
      </c>
      <c r="I58" s="120">
        <f t="shared" si="0"/>
        <v>-4.2940145551551012E-4</v>
      </c>
      <c r="J58" s="120">
        <f t="shared" si="0"/>
        <v>1.0896653821479418E-4</v>
      </c>
      <c r="K58"/>
      <c r="L58"/>
      <c r="N58" s="15"/>
      <c r="O58" s="15"/>
      <c r="P58" s="15"/>
      <c r="Q58" s="15"/>
      <c r="R58" s="15"/>
      <c r="S58" s="15"/>
      <c r="T58" s="15"/>
      <c r="U58" s="15"/>
      <c r="V58" s="15"/>
      <c r="W58" s="15"/>
      <c r="X58" s="15"/>
      <c r="Y58" s="15"/>
    </row>
    <row r="59" spans="6:25" s="21" customFormat="1" ht="14.25" x14ac:dyDescent="0.45">
      <c r="F59" s="119">
        <v>43524</v>
      </c>
      <c r="G59" s="52">
        <v>260.72543300000001</v>
      </c>
      <c r="H59" s="52">
        <v>88.459770000000006</v>
      </c>
      <c r="I59" s="120">
        <f t="shared" si="0"/>
        <v>-1.8627512856356221E-3</v>
      </c>
      <c r="J59" s="120">
        <f t="shared" si="0"/>
        <v>2.1841814853673647E-4</v>
      </c>
      <c r="K59"/>
      <c r="L59"/>
      <c r="N59" s="15"/>
      <c r="O59" s="15"/>
      <c r="P59" s="15"/>
      <c r="Q59" s="15"/>
      <c r="R59" s="15"/>
      <c r="S59" s="15"/>
      <c r="T59" s="15"/>
      <c r="U59" s="15"/>
      <c r="V59" s="15"/>
      <c r="W59" s="15"/>
      <c r="X59" s="15"/>
      <c r="Y59" s="15"/>
    </row>
    <row r="60" spans="6:25" s="21" customFormat="1" ht="14.25" x14ac:dyDescent="0.45">
      <c r="F60" s="119">
        <v>43525</v>
      </c>
      <c r="G60" s="52">
        <v>262.35327100000001</v>
      </c>
      <c r="H60" s="52">
        <v>88.469436999999999</v>
      </c>
      <c r="I60" s="120">
        <f t="shared" si="0"/>
        <v>6.2434952404508692E-3</v>
      </c>
      <c r="J60" s="120">
        <f t="shared" si="0"/>
        <v>1.092813151106764E-4</v>
      </c>
      <c r="K60"/>
      <c r="L60"/>
      <c r="N60" s="15"/>
      <c r="O60" s="15"/>
      <c r="P60" s="15"/>
      <c r="Q60" s="15"/>
      <c r="R60" s="15"/>
      <c r="S60" s="15"/>
      <c r="T60" s="15"/>
      <c r="U60" s="15"/>
      <c r="V60" s="15"/>
      <c r="W60" s="15"/>
      <c r="X60" s="15"/>
      <c r="Y60" s="15"/>
    </row>
    <row r="61" spans="6:25" s="21" customFormat="1" ht="14.25" x14ac:dyDescent="0.45">
      <c r="F61" s="119">
        <v>43528</v>
      </c>
      <c r="G61" s="52">
        <v>261.39904799999999</v>
      </c>
      <c r="H61" s="52">
        <v>88.459762999999995</v>
      </c>
      <c r="I61" s="120">
        <f t="shared" si="0"/>
        <v>-3.6371682973985742E-3</v>
      </c>
      <c r="J61" s="120">
        <f t="shared" si="0"/>
        <v>-1.0934849737997965E-4</v>
      </c>
      <c r="K61"/>
      <c r="L61"/>
      <c r="N61" s="15"/>
      <c r="O61" s="15"/>
      <c r="P61" s="15"/>
      <c r="Q61" s="15"/>
      <c r="R61" s="15"/>
      <c r="S61" s="15"/>
      <c r="T61" s="15"/>
      <c r="U61" s="15"/>
      <c r="V61" s="15"/>
      <c r="W61" s="15"/>
      <c r="X61" s="15"/>
      <c r="Y61" s="15"/>
    </row>
    <row r="62" spans="6:25" s="21" customFormat="1" ht="14.25" x14ac:dyDescent="0.45">
      <c r="F62" s="119">
        <v>43529</v>
      </c>
      <c r="G62" s="52">
        <v>261.04351800000001</v>
      </c>
      <c r="H62" s="52">
        <v>88.469436999999999</v>
      </c>
      <c r="I62" s="120">
        <f t="shared" si="0"/>
        <v>-1.3601044178247479E-3</v>
      </c>
      <c r="J62" s="120">
        <f t="shared" si="0"/>
        <v>1.0936045578158193E-4</v>
      </c>
      <c r="K62"/>
      <c r="L62"/>
      <c r="N62" s="15"/>
      <c r="O62" s="15"/>
      <c r="P62" s="15"/>
      <c r="Q62" s="15"/>
      <c r="R62" s="15"/>
      <c r="S62" s="15"/>
      <c r="T62" s="15"/>
      <c r="U62" s="15"/>
      <c r="V62" s="15"/>
      <c r="W62" s="15"/>
      <c r="X62" s="15"/>
      <c r="Y62" s="15"/>
    </row>
    <row r="63" spans="6:25" s="21" customFormat="1" ht="14.25" x14ac:dyDescent="0.45">
      <c r="F63" s="119">
        <v>43530</v>
      </c>
      <c r="G63" s="52">
        <v>259.46246300000001</v>
      </c>
      <c r="H63" s="52">
        <v>88.479111000000003</v>
      </c>
      <c r="I63" s="120">
        <f t="shared" si="0"/>
        <v>-6.0566721292807379E-3</v>
      </c>
      <c r="J63" s="120">
        <f t="shared" si="0"/>
        <v>1.0934849737997965E-4</v>
      </c>
      <c r="K63"/>
      <c r="L63"/>
      <c r="N63" s="15"/>
      <c r="O63" s="15"/>
      <c r="P63" s="15"/>
      <c r="Q63" s="15"/>
      <c r="R63" s="15"/>
      <c r="S63" s="15"/>
      <c r="T63" s="15"/>
      <c r="U63" s="15"/>
      <c r="V63" s="15"/>
      <c r="W63" s="15"/>
      <c r="X63" s="15"/>
      <c r="Y63" s="15"/>
    </row>
    <row r="64" spans="6:25" s="21" customFormat="1" ht="14.25" x14ac:dyDescent="0.45">
      <c r="F64" s="119">
        <v>43531</v>
      </c>
      <c r="G64" s="52">
        <v>257.29187000000002</v>
      </c>
      <c r="H64" s="52">
        <v>88.498474000000002</v>
      </c>
      <c r="I64" s="120">
        <f t="shared" si="0"/>
        <v>-8.3657303445855424E-3</v>
      </c>
      <c r="J64" s="120">
        <f t="shared" si="0"/>
        <v>2.1884261472737698E-4</v>
      </c>
      <c r="K64"/>
      <c r="L64"/>
      <c r="N64" s="15"/>
      <c r="O64" s="15"/>
      <c r="P64" s="15"/>
      <c r="Q64" s="15"/>
      <c r="R64" s="15"/>
      <c r="S64" s="15"/>
      <c r="T64" s="15"/>
      <c r="U64" s="15"/>
      <c r="V64" s="15"/>
      <c r="W64" s="15"/>
      <c r="X64" s="15"/>
      <c r="Y64" s="15"/>
    </row>
    <row r="65" spans="6:25" s="21" customFormat="1" ht="14.25" x14ac:dyDescent="0.45">
      <c r="F65" s="119">
        <v>43532</v>
      </c>
      <c r="G65" s="52">
        <v>256.77737400000001</v>
      </c>
      <c r="H65" s="52">
        <v>88.508156</v>
      </c>
      <c r="I65" s="120">
        <f t="shared" si="0"/>
        <v>-1.9996589865043379E-3</v>
      </c>
      <c r="J65" s="120">
        <f t="shared" si="0"/>
        <v>1.0940301637285543E-4</v>
      </c>
      <c r="K65"/>
      <c r="L65"/>
      <c r="N65" s="15"/>
      <c r="O65" s="15"/>
      <c r="P65" s="15"/>
      <c r="Q65" s="15"/>
      <c r="R65" s="15"/>
      <c r="S65" s="15"/>
      <c r="T65" s="15"/>
      <c r="U65" s="15"/>
      <c r="V65" s="15"/>
      <c r="W65" s="15"/>
      <c r="X65" s="15"/>
      <c r="Y65" s="15"/>
    </row>
    <row r="66" spans="6:25" s="21" customFormat="1" ht="14.25" x14ac:dyDescent="0.45">
      <c r="F66" s="119">
        <v>43535</v>
      </c>
      <c r="G66" s="52">
        <v>260.50091600000002</v>
      </c>
      <c r="H66" s="52">
        <v>88.508156</v>
      </c>
      <c r="I66" s="120">
        <f t="shared" si="0"/>
        <v>1.4501051794384434E-2</v>
      </c>
      <c r="J66" s="120">
        <f t="shared" si="0"/>
        <v>0</v>
      </c>
      <c r="K66"/>
      <c r="L66"/>
      <c r="N66" s="15"/>
      <c r="O66" s="15"/>
      <c r="P66" s="15"/>
      <c r="Q66" s="15"/>
      <c r="R66" s="15"/>
      <c r="S66" s="15"/>
      <c r="T66" s="15"/>
      <c r="U66" s="15"/>
      <c r="V66" s="15"/>
      <c r="W66" s="15"/>
      <c r="X66" s="15"/>
      <c r="Y66" s="15"/>
    </row>
    <row r="67" spans="6:25" s="21" customFormat="1" ht="14.25" x14ac:dyDescent="0.45">
      <c r="F67" s="119">
        <v>43536</v>
      </c>
      <c r="G67" s="52">
        <v>261.48327599999999</v>
      </c>
      <c r="H67" s="52">
        <v>88.517821999999995</v>
      </c>
      <c r="I67" s="120">
        <f t="shared" si="0"/>
        <v>3.7710424020158673E-3</v>
      </c>
      <c r="J67" s="120">
        <f t="shared" si="0"/>
        <v>1.0921027436161523E-4</v>
      </c>
      <c r="K67"/>
      <c r="L67"/>
      <c r="N67" s="15"/>
      <c r="O67" s="15"/>
      <c r="P67" s="15"/>
      <c r="Q67" s="15"/>
      <c r="R67" s="15"/>
      <c r="S67" s="15"/>
      <c r="T67" s="15"/>
      <c r="U67" s="15"/>
      <c r="V67" s="15"/>
      <c r="W67" s="15"/>
      <c r="X67" s="15"/>
      <c r="Y67" s="15"/>
    </row>
    <row r="68" spans="6:25" s="21" customFormat="1" ht="14.25" x14ac:dyDescent="0.45">
      <c r="F68" s="119">
        <v>43537</v>
      </c>
      <c r="G68" s="52">
        <v>263.214111</v>
      </c>
      <c r="H68" s="52">
        <v>88.527495999999999</v>
      </c>
      <c r="I68" s="120">
        <f t="shared" si="0"/>
        <v>6.6192952240662351E-3</v>
      </c>
      <c r="J68" s="120">
        <f t="shared" si="0"/>
        <v>1.0928872606030815E-4</v>
      </c>
      <c r="K68"/>
      <c r="L68"/>
      <c r="N68" s="15"/>
      <c r="O68" s="15"/>
      <c r="P68" s="15"/>
      <c r="Q68" s="15"/>
      <c r="R68" s="15"/>
      <c r="S68" s="15"/>
      <c r="T68" s="15"/>
      <c r="U68" s="15"/>
      <c r="V68" s="15"/>
      <c r="W68" s="15"/>
      <c r="X68" s="15"/>
      <c r="Y68" s="15"/>
    </row>
    <row r="69" spans="6:25" s="21" customFormat="1" ht="14.25" x14ac:dyDescent="0.45">
      <c r="F69" s="119">
        <v>43538</v>
      </c>
      <c r="G69" s="52">
        <v>263.04562399999998</v>
      </c>
      <c r="H69" s="52">
        <v>88.527495999999999</v>
      </c>
      <c r="I69" s="120">
        <f t="shared" si="0"/>
        <v>-6.4011385772566598E-4</v>
      </c>
      <c r="J69" s="120">
        <f t="shared" si="0"/>
        <v>0</v>
      </c>
      <c r="K69"/>
      <c r="L69"/>
      <c r="N69" s="15"/>
      <c r="O69" s="15"/>
      <c r="P69" s="15"/>
      <c r="Q69" s="15"/>
      <c r="R69" s="15"/>
      <c r="S69" s="15"/>
      <c r="T69" s="15"/>
      <c r="U69" s="15"/>
      <c r="V69" s="15"/>
      <c r="W69" s="15"/>
      <c r="X69" s="15"/>
      <c r="Y69" s="15"/>
    </row>
    <row r="70" spans="6:25" s="21" customFormat="1" ht="14.25" x14ac:dyDescent="0.45">
      <c r="F70" s="119">
        <v>43539</v>
      </c>
      <c r="G70" s="52">
        <v>264.34527600000001</v>
      </c>
      <c r="H70" s="52">
        <v>88.537139999999994</v>
      </c>
      <c r="I70" s="120">
        <f t="shared" si="0"/>
        <v>4.9407854813812158E-3</v>
      </c>
      <c r="J70" s="120">
        <f t="shared" si="0"/>
        <v>1.0893790557453542E-4</v>
      </c>
      <c r="K70"/>
      <c r="L70"/>
      <c r="N70" s="15"/>
      <c r="O70" s="15"/>
      <c r="P70" s="15"/>
      <c r="Q70" s="15"/>
      <c r="R70" s="15"/>
      <c r="S70" s="15"/>
      <c r="T70" s="15"/>
      <c r="U70" s="15"/>
      <c r="V70" s="15"/>
      <c r="W70" s="15"/>
      <c r="X70" s="15"/>
      <c r="Y70" s="15"/>
    </row>
    <row r="71" spans="6:25" s="21" customFormat="1" ht="14.25" x14ac:dyDescent="0.45">
      <c r="F71" s="119">
        <v>43542</v>
      </c>
      <c r="G71" s="52">
        <v>265.30377199999998</v>
      </c>
      <c r="H71" s="52">
        <v>88.546852000000001</v>
      </c>
      <c r="I71" s="120">
        <f t="shared" si="0"/>
        <v>3.6259244519276645E-3</v>
      </c>
      <c r="J71" s="120">
        <f t="shared" si="0"/>
        <v>1.0969407866578962E-4</v>
      </c>
      <c r="K71"/>
      <c r="L71"/>
      <c r="N71" s="15"/>
      <c r="O71" s="15"/>
      <c r="P71" s="15"/>
      <c r="Q71" s="15"/>
      <c r="R71" s="15"/>
      <c r="S71" s="15"/>
      <c r="T71" s="15"/>
      <c r="U71" s="15"/>
      <c r="V71" s="15"/>
      <c r="W71" s="15"/>
      <c r="X71" s="15"/>
      <c r="Y71" s="15"/>
    </row>
    <row r="72" spans="6:25" s="21" customFormat="1" ht="14.25" x14ac:dyDescent="0.45">
      <c r="F72" s="119">
        <v>43543</v>
      </c>
      <c r="G72" s="52">
        <v>265.369507</v>
      </c>
      <c r="H72" s="52">
        <v>88.546852000000001</v>
      </c>
      <c r="I72" s="120">
        <f t="shared" si="0"/>
        <v>2.4777257972807831E-4</v>
      </c>
      <c r="J72" s="120">
        <f t="shared" si="0"/>
        <v>0</v>
      </c>
      <c r="K72"/>
      <c r="L72"/>
      <c r="N72" s="15"/>
      <c r="O72" s="15"/>
      <c r="P72" s="15"/>
      <c r="Q72" s="15"/>
      <c r="R72" s="15"/>
      <c r="S72" s="15"/>
      <c r="T72" s="15"/>
      <c r="U72" s="15"/>
      <c r="V72" s="15"/>
      <c r="W72" s="15"/>
      <c r="X72" s="15"/>
      <c r="Y72" s="15"/>
    </row>
    <row r="73" spans="6:25" s="21" customFormat="1" ht="14.25" x14ac:dyDescent="0.45">
      <c r="F73" s="119">
        <v>43544</v>
      </c>
      <c r="G73" s="52">
        <v>264.57080100000002</v>
      </c>
      <c r="H73" s="52">
        <v>88.546852000000001</v>
      </c>
      <c r="I73" s="120">
        <f t="shared" si="0"/>
        <v>-3.0097881592702214E-3</v>
      </c>
      <c r="J73" s="120">
        <f t="shared" si="0"/>
        <v>0</v>
      </c>
      <c r="K73"/>
      <c r="L73"/>
      <c r="N73" s="15"/>
      <c r="O73" s="15"/>
      <c r="P73" s="15"/>
      <c r="Q73" s="15"/>
      <c r="R73" s="15"/>
      <c r="S73" s="15"/>
      <c r="T73" s="15"/>
      <c r="U73" s="15"/>
      <c r="V73" s="15"/>
      <c r="W73" s="15"/>
      <c r="X73" s="15"/>
      <c r="Y73" s="15"/>
    </row>
    <row r="74" spans="6:25" s="21" customFormat="1" ht="14.25" x14ac:dyDescent="0.45">
      <c r="F74" s="119">
        <v>43545</v>
      </c>
      <c r="G74" s="52">
        <v>267.55898999999999</v>
      </c>
      <c r="H74" s="52">
        <v>88.575858999999994</v>
      </c>
      <c r="I74" s="120">
        <f t="shared" si="0"/>
        <v>1.1294477654773205E-2</v>
      </c>
      <c r="J74" s="120">
        <f t="shared" si="0"/>
        <v>3.27589285726404E-4</v>
      </c>
      <c r="K74"/>
      <c r="L74"/>
      <c r="N74" s="15"/>
      <c r="O74" s="15"/>
      <c r="P74" s="15"/>
      <c r="Q74" s="15"/>
      <c r="R74" s="15"/>
      <c r="S74" s="15"/>
      <c r="T74" s="15"/>
      <c r="U74" s="15"/>
      <c r="V74" s="15"/>
      <c r="W74" s="15"/>
      <c r="X74" s="15"/>
      <c r="Y74" s="15"/>
    </row>
    <row r="75" spans="6:25" s="21" customFormat="1" ht="14.25" x14ac:dyDescent="0.45">
      <c r="F75" s="119">
        <v>43546</v>
      </c>
      <c r="G75" s="52">
        <v>262.40948500000002</v>
      </c>
      <c r="H75" s="52">
        <v>88.575858999999994</v>
      </c>
      <c r="I75" s="120">
        <f t="shared" si="0"/>
        <v>-1.9246241735327185E-2</v>
      </c>
      <c r="J75" s="120">
        <f t="shared" si="0"/>
        <v>0</v>
      </c>
      <c r="K75"/>
      <c r="L75"/>
      <c r="N75" s="15"/>
      <c r="O75" s="15"/>
      <c r="P75" s="15"/>
      <c r="Q75" s="15"/>
      <c r="R75" s="15"/>
      <c r="S75" s="15"/>
      <c r="T75" s="15"/>
      <c r="U75" s="15"/>
      <c r="V75" s="15"/>
      <c r="W75" s="15"/>
      <c r="X75" s="15"/>
      <c r="Y75" s="15"/>
    </row>
    <row r="76" spans="6:25" s="21" customFormat="1" ht="14.25" x14ac:dyDescent="0.45">
      <c r="F76" s="119">
        <v>43549</v>
      </c>
      <c r="G76" s="52">
        <v>262.21212800000001</v>
      </c>
      <c r="H76" s="52">
        <v>88.575858999999994</v>
      </c>
      <c r="I76" s="120">
        <f t="shared" si="0"/>
        <v>-7.520955273396801E-4</v>
      </c>
      <c r="J76" s="120">
        <f t="shared" si="0"/>
        <v>0</v>
      </c>
      <c r="K76"/>
      <c r="L76"/>
      <c r="N76" s="15"/>
      <c r="O76" s="15"/>
      <c r="P76" s="15"/>
      <c r="Q76" s="15"/>
      <c r="R76" s="15"/>
      <c r="S76" s="15"/>
      <c r="T76" s="15"/>
      <c r="U76" s="15"/>
      <c r="V76" s="15"/>
      <c r="W76" s="15"/>
      <c r="X76" s="15"/>
      <c r="Y76" s="15"/>
    </row>
    <row r="77" spans="6:25" s="21" customFormat="1" ht="14.25" x14ac:dyDescent="0.45">
      <c r="F77" s="119">
        <v>43550</v>
      </c>
      <c r="G77" s="52">
        <v>264.16674799999998</v>
      </c>
      <c r="H77" s="52">
        <v>88.585548000000003</v>
      </c>
      <c r="I77" s="120">
        <f t="shared" si="0"/>
        <v>7.4543462764620205E-3</v>
      </c>
      <c r="J77" s="120">
        <f t="shared" si="0"/>
        <v>1.0938646386726703E-4</v>
      </c>
      <c r="K77"/>
      <c r="L77"/>
      <c r="N77" s="15"/>
      <c r="O77" s="15"/>
      <c r="P77" s="15"/>
      <c r="Q77" s="15"/>
      <c r="R77" s="15"/>
      <c r="S77" s="15"/>
      <c r="T77" s="15"/>
      <c r="U77" s="15"/>
      <c r="V77" s="15"/>
      <c r="W77" s="15"/>
      <c r="X77" s="15"/>
      <c r="Y77" s="15"/>
    </row>
    <row r="78" spans="6:25" s="21" customFormat="1" ht="14.25" x14ac:dyDescent="0.45">
      <c r="F78" s="119">
        <v>43551</v>
      </c>
      <c r="G78" s="52">
        <v>262.78539999999998</v>
      </c>
      <c r="H78" s="52">
        <v>88.595191999999997</v>
      </c>
      <c r="I78" s="120">
        <f t="shared" si="0"/>
        <v>-5.22907599256206E-3</v>
      </c>
      <c r="J78" s="120">
        <f t="shared" si="0"/>
        <v>1.0886651624031352E-4</v>
      </c>
      <c r="K78"/>
      <c r="L78"/>
      <c r="N78" s="15"/>
      <c r="O78" s="15"/>
      <c r="P78" s="15"/>
      <c r="Q78" s="15"/>
      <c r="R78" s="15"/>
      <c r="S78" s="15"/>
      <c r="T78" s="15"/>
      <c r="U78" s="15"/>
      <c r="V78" s="15"/>
      <c r="W78" s="15"/>
      <c r="X78" s="15"/>
      <c r="Y78" s="15"/>
    </row>
    <row r="79" spans="6:25" s="21" customFormat="1" ht="14.25" x14ac:dyDescent="0.45">
      <c r="F79" s="119">
        <v>43552</v>
      </c>
      <c r="G79" s="52">
        <v>263.78146400000003</v>
      </c>
      <c r="H79" s="52">
        <v>88.614554999999996</v>
      </c>
      <c r="I79" s="120">
        <f t="shared" si="0"/>
        <v>3.7904084473492361E-3</v>
      </c>
      <c r="J79" s="120">
        <f t="shared" si="0"/>
        <v>2.1855587829189282E-4</v>
      </c>
      <c r="K79"/>
      <c r="L79"/>
      <c r="N79" s="15"/>
      <c r="O79" s="15"/>
      <c r="P79" s="15"/>
      <c r="Q79" s="15"/>
      <c r="R79" s="15"/>
      <c r="S79" s="15"/>
      <c r="T79" s="15"/>
      <c r="U79" s="15"/>
      <c r="V79" s="15"/>
      <c r="W79" s="15"/>
      <c r="X79" s="15"/>
      <c r="Y79" s="15"/>
    </row>
    <row r="80" spans="6:25" s="21" customFormat="1" ht="14.25" x14ac:dyDescent="0.45">
      <c r="F80" s="119">
        <v>43553</v>
      </c>
      <c r="G80" s="52">
        <v>265.44473299999999</v>
      </c>
      <c r="H80" s="52">
        <v>88.614554999999996</v>
      </c>
      <c r="I80" s="120">
        <f t="shared" si="0"/>
        <v>6.3054809643483534E-3</v>
      </c>
      <c r="J80" s="120">
        <f t="shared" si="0"/>
        <v>0</v>
      </c>
      <c r="K80"/>
      <c r="L80"/>
      <c r="N80" s="15"/>
      <c r="O80" s="15"/>
      <c r="P80" s="15"/>
      <c r="Q80" s="15"/>
      <c r="R80" s="15"/>
      <c r="S80" s="15"/>
      <c r="T80" s="15"/>
      <c r="U80" s="15"/>
      <c r="V80" s="15"/>
      <c r="W80" s="15"/>
      <c r="X80" s="15"/>
      <c r="Y80" s="15"/>
    </row>
    <row r="81" spans="6:25" s="21" customFormat="1" ht="14.25" x14ac:dyDescent="0.45">
      <c r="F81" s="119">
        <v>43556</v>
      </c>
      <c r="G81" s="52">
        <v>268.59265099999999</v>
      </c>
      <c r="H81" s="52">
        <v>88.630081000000004</v>
      </c>
      <c r="I81" s="120">
        <f t="shared" si="0"/>
        <v>1.1859033571406385E-2</v>
      </c>
      <c r="J81" s="120">
        <f t="shared" si="0"/>
        <v>1.7520823751815406E-4</v>
      </c>
      <c r="K81"/>
      <c r="L81"/>
      <c r="N81" s="15"/>
      <c r="O81" s="15"/>
      <c r="P81" s="15"/>
      <c r="Q81" s="15"/>
      <c r="R81" s="15"/>
      <c r="S81" s="15"/>
      <c r="T81" s="15"/>
      <c r="U81" s="15"/>
      <c r="V81" s="15"/>
      <c r="W81" s="15"/>
      <c r="X81" s="15"/>
      <c r="Y81" s="15"/>
    </row>
    <row r="82" spans="6:25" s="21" customFormat="1" ht="14.25" x14ac:dyDescent="0.45">
      <c r="F82" s="119">
        <v>43557</v>
      </c>
      <c r="G82" s="52">
        <v>268.724243</v>
      </c>
      <c r="H82" s="52">
        <v>88.620377000000005</v>
      </c>
      <c r="I82" s="120">
        <f t="shared" si="0"/>
        <v>4.8993149853537865E-4</v>
      </c>
      <c r="J82" s="120">
        <f t="shared" si="0"/>
        <v>-1.0948878631844572E-4</v>
      </c>
      <c r="K82"/>
      <c r="L82"/>
      <c r="N82" s="15"/>
      <c r="O82" s="15"/>
      <c r="P82" s="15"/>
      <c r="Q82" s="15"/>
      <c r="R82" s="15"/>
      <c r="S82" s="15"/>
      <c r="T82" s="15"/>
      <c r="U82" s="15"/>
      <c r="V82" s="15"/>
      <c r="W82" s="15"/>
      <c r="X82" s="15"/>
      <c r="Y82" s="15"/>
    </row>
    <row r="83" spans="6:25" s="21" customFormat="1" ht="14.25" x14ac:dyDescent="0.45">
      <c r="F83" s="119">
        <v>43558</v>
      </c>
      <c r="G83" s="52">
        <v>269.14718599999998</v>
      </c>
      <c r="H83" s="52">
        <v>88.630081000000004</v>
      </c>
      <c r="I83" s="120">
        <f t="shared" si="0"/>
        <v>1.5738922371808517E-3</v>
      </c>
      <c r="J83" s="120">
        <f t="shared" si="0"/>
        <v>1.095007754254862E-4</v>
      </c>
      <c r="K83"/>
      <c r="L83"/>
      <c r="N83" s="15"/>
      <c r="O83" s="15"/>
      <c r="P83" s="15"/>
      <c r="Q83" s="15"/>
      <c r="R83" s="15"/>
      <c r="S83" s="15"/>
      <c r="T83" s="15"/>
      <c r="U83" s="15"/>
      <c r="V83" s="15"/>
      <c r="W83" s="15"/>
      <c r="X83" s="15"/>
      <c r="Y83" s="15"/>
    </row>
    <row r="84" spans="6:25" s="21" customFormat="1" ht="14.25" x14ac:dyDescent="0.45">
      <c r="F84" s="119">
        <v>43559</v>
      </c>
      <c r="G84" s="52">
        <v>269.861267</v>
      </c>
      <c r="H84" s="52">
        <v>88.659142000000003</v>
      </c>
      <c r="I84" s="120">
        <f t="shared" si="0"/>
        <v>2.6531245249579172E-3</v>
      </c>
      <c r="J84" s="120">
        <f t="shared" si="0"/>
        <v>3.2789093355334309E-4</v>
      </c>
      <c r="K84"/>
      <c r="L84"/>
      <c r="N84" s="15"/>
      <c r="O84" s="15"/>
      <c r="P84" s="15"/>
      <c r="Q84" s="15"/>
      <c r="R84" s="15"/>
      <c r="S84" s="15"/>
      <c r="T84" s="15"/>
      <c r="U84" s="15"/>
      <c r="V84" s="15"/>
      <c r="W84" s="15"/>
      <c r="X84" s="15"/>
      <c r="Y84" s="15"/>
    </row>
    <row r="85" spans="6:25" s="21" customFormat="1" ht="14.25" x14ac:dyDescent="0.45">
      <c r="F85" s="119">
        <v>43560</v>
      </c>
      <c r="G85" s="52">
        <v>271.16744999999997</v>
      </c>
      <c r="H85" s="52">
        <v>88.659142000000003</v>
      </c>
      <c r="I85" s="120">
        <f t="shared" ref="I85:J148" si="1">G85/G84-1</f>
        <v>4.8402018360047538E-3</v>
      </c>
      <c r="J85" s="120">
        <f t="shared" si="1"/>
        <v>0</v>
      </c>
      <c r="K85"/>
      <c r="L85"/>
      <c r="N85" s="15"/>
      <c r="O85" s="15"/>
      <c r="P85" s="15"/>
      <c r="Q85" s="15"/>
      <c r="R85" s="15"/>
      <c r="S85" s="15"/>
      <c r="T85" s="15"/>
      <c r="U85" s="15"/>
      <c r="V85" s="15"/>
      <c r="W85" s="15"/>
      <c r="X85" s="15"/>
      <c r="Y85" s="15"/>
    </row>
    <row r="86" spans="6:25" s="21" customFormat="1" ht="14.25" x14ac:dyDescent="0.45">
      <c r="F86" s="119">
        <v>43563</v>
      </c>
      <c r="G86" s="52">
        <v>271.374146</v>
      </c>
      <c r="H86" s="52">
        <v>88.659142000000003</v>
      </c>
      <c r="I86" s="120">
        <f t="shared" si="1"/>
        <v>7.6224487857978751E-4</v>
      </c>
      <c r="J86" s="120">
        <f t="shared" si="1"/>
        <v>0</v>
      </c>
      <c r="K86"/>
      <c r="L86"/>
      <c r="N86" s="15"/>
      <c r="O86" s="15"/>
      <c r="P86" s="15"/>
      <c r="Q86" s="15"/>
      <c r="R86" s="15"/>
      <c r="S86" s="15"/>
      <c r="T86" s="15"/>
      <c r="U86" s="15"/>
      <c r="V86" s="15"/>
      <c r="W86" s="15"/>
      <c r="X86" s="15"/>
      <c r="Y86" s="15"/>
    </row>
    <row r="87" spans="6:25" s="21" customFormat="1" ht="14.25" x14ac:dyDescent="0.45">
      <c r="F87" s="119">
        <v>43564</v>
      </c>
      <c r="G87" s="52">
        <v>269.98345899999998</v>
      </c>
      <c r="H87" s="52">
        <v>88.668846000000002</v>
      </c>
      <c r="I87" s="120">
        <f t="shared" si="1"/>
        <v>-5.1246112442856484E-3</v>
      </c>
      <c r="J87" s="120">
        <f t="shared" si="1"/>
        <v>1.0945289770569744E-4</v>
      </c>
      <c r="K87"/>
      <c r="L87"/>
      <c r="N87" s="15"/>
      <c r="O87" s="15"/>
      <c r="P87" s="15"/>
      <c r="Q87" s="15"/>
      <c r="R87" s="15"/>
      <c r="S87" s="15"/>
      <c r="T87" s="15"/>
      <c r="U87" s="15"/>
      <c r="V87" s="15"/>
      <c r="W87" s="15"/>
      <c r="X87" s="15"/>
      <c r="Y87" s="15"/>
    </row>
    <row r="88" spans="6:25" s="21" customFormat="1" ht="14.25" x14ac:dyDescent="0.45">
      <c r="F88" s="119">
        <v>43565</v>
      </c>
      <c r="G88" s="52">
        <v>270.904358</v>
      </c>
      <c r="H88" s="52">
        <v>88.668846000000002</v>
      </c>
      <c r="I88" s="120">
        <f t="shared" si="1"/>
        <v>3.4109460016957804E-3</v>
      </c>
      <c r="J88" s="120">
        <f t="shared" si="1"/>
        <v>0</v>
      </c>
      <c r="K88"/>
      <c r="L88"/>
      <c r="N88" s="15"/>
      <c r="O88" s="15"/>
      <c r="P88" s="15"/>
      <c r="Q88" s="15"/>
      <c r="R88" s="15"/>
      <c r="S88" s="15"/>
      <c r="T88" s="15"/>
      <c r="U88" s="15"/>
      <c r="V88" s="15"/>
      <c r="W88" s="15"/>
      <c r="X88" s="15"/>
      <c r="Y88" s="15"/>
    </row>
    <row r="89" spans="6:25" s="21" customFormat="1" ht="14.25" x14ac:dyDescent="0.45">
      <c r="F89" s="119">
        <v>43566</v>
      </c>
      <c r="G89" s="52">
        <v>270.82913200000002</v>
      </c>
      <c r="H89" s="52">
        <v>88.697906000000003</v>
      </c>
      <c r="I89" s="120">
        <f t="shared" si="1"/>
        <v>-2.7768471705424957E-4</v>
      </c>
      <c r="J89" s="120">
        <f t="shared" si="1"/>
        <v>3.2773630548876831E-4</v>
      </c>
      <c r="K89"/>
      <c r="L89"/>
      <c r="N89" s="15"/>
      <c r="O89" s="15"/>
      <c r="P89" s="15"/>
      <c r="Q89" s="15"/>
      <c r="R89" s="15"/>
      <c r="S89" s="15"/>
      <c r="T89" s="15"/>
      <c r="U89" s="15"/>
      <c r="V89" s="15"/>
      <c r="W89" s="15"/>
      <c r="X89" s="15"/>
      <c r="Y89" s="15"/>
    </row>
    <row r="90" spans="6:25" s="21" customFormat="1" ht="14.25" x14ac:dyDescent="0.45">
      <c r="F90" s="119">
        <v>43567</v>
      </c>
      <c r="G90" s="52">
        <v>272.66162100000003</v>
      </c>
      <c r="H90" s="52">
        <v>88.697906000000003</v>
      </c>
      <c r="I90" s="120">
        <f t="shared" si="1"/>
        <v>6.7662181925096654E-3</v>
      </c>
      <c r="J90" s="120">
        <f t="shared" si="1"/>
        <v>0</v>
      </c>
      <c r="K90"/>
      <c r="L90"/>
      <c r="N90" s="15"/>
      <c r="O90" s="15"/>
      <c r="P90" s="15"/>
      <c r="Q90" s="15"/>
      <c r="R90" s="15"/>
      <c r="S90" s="15"/>
      <c r="T90" s="15"/>
      <c r="U90" s="15"/>
      <c r="V90" s="15"/>
      <c r="W90" s="15"/>
      <c r="X90" s="15"/>
      <c r="Y90" s="15"/>
    </row>
    <row r="91" spans="6:25" s="21" customFormat="1" ht="14.25" x14ac:dyDescent="0.45">
      <c r="F91" s="119">
        <v>43570</v>
      </c>
      <c r="G91" s="52">
        <v>272.48303199999998</v>
      </c>
      <c r="H91" s="52">
        <v>88.707611</v>
      </c>
      <c r="I91" s="120">
        <f t="shared" si="1"/>
        <v>-6.5498400304764282E-4</v>
      </c>
      <c r="J91" s="120">
        <f t="shared" si="1"/>
        <v>1.0941633729211198E-4</v>
      </c>
      <c r="K91"/>
      <c r="L91"/>
      <c r="N91" s="15"/>
      <c r="O91" s="15"/>
      <c r="P91" s="15"/>
      <c r="Q91" s="15"/>
      <c r="R91" s="15"/>
      <c r="S91" s="15"/>
      <c r="T91" s="15"/>
      <c r="U91" s="15"/>
      <c r="V91" s="15"/>
      <c r="W91" s="15"/>
      <c r="X91" s="15"/>
      <c r="Y91" s="15"/>
    </row>
    <row r="92" spans="6:25" s="21" customFormat="1" ht="14.25" x14ac:dyDescent="0.45">
      <c r="F92" s="119">
        <v>43571</v>
      </c>
      <c r="G92" s="52">
        <v>272.66162100000003</v>
      </c>
      <c r="H92" s="52">
        <v>88.707611</v>
      </c>
      <c r="I92" s="120">
        <f t="shared" si="1"/>
        <v>6.554132882667929E-4</v>
      </c>
      <c r="J92" s="120">
        <f t="shared" si="1"/>
        <v>0</v>
      </c>
      <c r="K92"/>
      <c r="L92"/>
      <c r="N92" s="15"/>
      <c r="O92" s="15"/>
      <c r="P92" s="15"/>
      <c r="Q92" s="15"/>
      <c r="R92" s="15"/>
      <c r="S92" s="15"/>
      <c r="T92" s="15"/>
      <c r="U92" s="15"/>
      <c r="V92" s="15"/>
      <c r="W92" s="15"/>
      <c r="X92" s="15"/>
      <c r="Y92" s="15"/>
    </row>
    <row r="93" spans="6:25" s="21" customFormat="1" ht="14.25" x14ac:dyDescent="0.45">
      <c r="F93" s="119">
        <v>43572</v>
      </c>
      <c r="G93" s="52">
        <v>271.99438500000002</v>
      </c>
      <c r="H93" s="52">
        <v>88.726982000000007</v>
      </c>
      <c r="I93" s="120">
        <f t="shared" si="1"/>
        <v>-2.4471210783273412E-3</v>
      </c>
      <c r="J93" s="120">
        <f t="shared" si="1"/>
        <v>2.1836908672923094E-4</v>
      </c>
      <c r="K93"/>
      <c r="L93"/>
      <c r="N93" s="15"/>
      <c r="O93" s="15"/>
      <c r="P93" s="15"/>
      <c r="Q93" s="15"/>
      <c r="R93" s="15"/>
      <c r="S93" s="15"/>
      <c r="T93" s="15"/>
      <c r="U93" s="15"/>
      <c r="V93" s="15"/>
      <c r="W93" s="15"/>
      <c r="X93" s="15"/>
      <c r="Y93" s="15"/>
    </row>
    <row r="94" spans="6:25" s="21" customFormat="1" ht="14.25" x14ac:dyDescent="0.45">
      <c r="F94" s="119">
        <v>43573</v>
      </c>
      <c r="G94" s="52">
        <v>272.529968</v>
      </c>
      <c r="H94" s="52">
        <v>88.736716999999999</v>
      </c>
      <c r="I94" s="120">
        <f t="shared" si="1"/>
        <v>1.969095795856024E-3</v>
      </c>
      <c r="J94" s="120">
        <f t="shared" si="1"/>
        <v>1.0971859721320421E-4</v>
      </c>
      <c r="K94"/>
      <c r="L94"/>
      <c r="N94" s="15"/>
      <c r="O94" s="15"/>
      <c r="P94" s="15"/>
      <c r="Q94" s="15"/>
      <c r="R94" s="15"/>
      <c r="S94" s="15"/>
      <c r="T94" s="15"/>
      <c r="U94" s="15"/>
      <c r="V94" s="15"/>
      <c r="W94" s="15"/>
      <c r="X94" s="15"/>
      <c r="Y94" s="15"/>
    </row>
    <row r="95" spans="6:25" s="21" customFormat="1" ht="14.25" x14ac:dyDescent="0.45">
      <c r="F95" s="119">
        <v>43577</v>
      </c>
      <c r="G95" s="52">
        <v>272.76492300000001</v>
      </c>
      <c r="H95" s="52">
        <v>88.736716999999999</v>
      </c>
      <c r="I95" s="120">
        <f t="shared" si="1"/>
        <v>8.6212537184171545E-4</v>
      </c>
      <c r="J95" s="120">
        <f t="shared" si="1"/>
        <v>0</v>
      </c>
      <c r="K95"/>
      <c r="L95"/>
      <c r="N95" s="15"/>
      <c r="O95" s="15"/>
      <c r="P95" s="15"/>
      <c r="Q95" s="15"/>
      <c r="R95" s="15"/>
      <c r="S95" s="15"/>
      <c r="T95" s="15"/>
      <c r="U95" s="15"/>
      <c r="V95" s="15"/>
      <c r="W95" s="15"/>
      <c r="X95" s="15"/>
      <c r="Y95" s="15"/>
    </row>
    <row r="96" spans="6:25" s="21" customFormat="1" ht="14.25" x14ac:dyDescent="0.45">
      <c r="F96" s="119">
        <v>43578</v>
      </c>
      <c r="G96" s="52">
        <v>275.21755999999999</v>
      </c>
      <c r="H96" s="52">
        <v>88.736716999999999</v>
      </c>
      <c r="I96" s="120">
        <f t="shared" si="1"/>
        <v>8.9917610117338231E-3</v>
      </c>
      <c r="J96" s="120">
        <f t="shared" si="1"/>
        <v>0</v>
      </c>
      <c r="K96"/>
      <c r="L96"/>
      <c r="N96" s="15"/>
      <c r="O96" s="15"/>
      <c r="P96" s="15"/>
      <c r="Q96" s="15"/>
      <c r="R96" s="15"/>
      <c r="S96" s="15"/>
      <c r="T96" s="15"/>
      <c r="U96" s="15"/>
      <c r="V96" s="15"/>
      <c r="W96" s="15"/>
      <c r="X96" s="15"/>
      <c r="Y96" s="15"/>
    </row>
    <row r="97" spans="6:25" s="21" customFormat="1" ht="14.25" x14ac:dyDescent="0.45">
      <c r="F97" s="119">
        <v>43579</v>
      </c>
      <c r="G97" s="52">
        <v>274.60674999999998</v>
      </c>
      <c r="H97" s="52">
        <v>88.756073000000001</v>
      </c>
      <c r="I97" s="120">
        <f t="shared" si="1"/>
        <v>-2.2193714674311193E-3</v>
      </c>
      <c r="J97" s="120">
        <f t="shared" si="1"/>
        <v>2.1812842140644939E-4</v>
      </c>
      <c r="K97"/>
      <c r="L97"/>
      <c r="N97" s="15"/>
      <c r="O97" s="15"/>
      <c r="P97" s="15"/>
      <c r="Q97" s="15"/>
      <c r="R97" s="15"/>
      <c r="S97" s="15"/>
      <c r="T97" s="15"/>
      <c r="U97" s="15"/>
      <c r="V97" s="15"/>
      <c r="W97" s="15"/>
      <c r="X97" s="15"/>
      <c r="Y97" s="15"/>
    </row>
    <row r="98" spans="6:25" s="21" customFormat="1" ht="14.25" x14ac:dyDescent="0.45">
      <c r="F98" s="119">
        <v>43580</v>
      </c>
      <c r="G98" s="52">
        <v>274.43753099999998</v>
      </c>
      <c r="H98" s="52">
        <v>88.775435999999999</v>
      </c>
      <c r="I98" s="120">
        <f t="shared" si="1"/>
        <v>-6.1622301709629568E-4</v>
      </c>
      <c r="J98" s="120">
        <f t="shared" si="1"/>
        <v>2.181597196171392E-4</v>
      </c>
      <c r="K98"/>
      <c r="L98"/>
      <c r="N98" s="15"/>
      <c r="O98" s="15"/>
      <c r="P98" s="15"/>
      <c r="Q98" s="15"/>
      <c r="R98" s="15"/>
      <c r="S98" s="15"/>
      <c r="T98" s="15"/>
      <c r="U98" s="15"/>
      <c r="V98" s="15"/>
      <c r="W98" s="15"/>
      <c r="X98" s="15"/>
      <c r="Y98" s="15"/>
    </row>
    <row r="99" spans="6:25" s="21" customFormat="1" ht="14.25" x14ac:dyDescent="0.45">
      <c r="F99" s="119">
        <v>43581</v>
      </c>
      <c r="G99" s="52">
        <v>275.71554600000002</v>
      </c>
      <c r="H99" s="52">
        <v>88.765761999999995</v>
      </c>
      <c r="I99" s="120">
        <f t="shared" si="1"/>
        <v>4.6568521271241892E-3</v>
      </c>
      <c r="J99" s="120">
        <f t="shared" si="1"/>
        <v>-1.0897158533818008E-4</v>
      </c>
      <c r="K99"/>
      <c r="L99"/>
      <c r="N99" s="15"/>
      <c r="O99" s="15"/>
      <c r="P99" s="15"/>
      <c r="Q99" s="15"/>
      <c r="R99" s="15"/>
      <c r="S99" s="15"/>
      <c r="T99" s="15"/>
      <c r="U99" s="15"/>
      <c r="V99" s="15"/>
      <c r="W99" s="15"/>
      <c r="X99" s="15"/>
      <c r="Y99" s="15"/>
    </row>
    <row r="100" spans="6:25" s="21" customFormat="1" ht="14.25" x14ac:dyDescent="0.45">
      <c r="F100" s="119">
        <v>43584</v>
      </c>
      <c r="G100" s="52">
        <v>276.14782700000001</v>
      </c>
      <c r="H100" s="52">
        <v>88.775435999999999</v>
      </c>
      <c r="I100" s="120">
        <f t="shared" si="1"/>
        <v>1.5678513825985174E-3</v>
      </c>
      <c r="J100" s="120">
        <f t="shared" si="1"/>
        <v>1.089834614387275E-4</v>
      </c>
      <c r="K100"/>
      <c r="L100"/>
      <c r="N100" s="15"/>
      <c r="O100" s="15"/>
      <c r="P100" s="15"/>
      <c r="Q100" s="15"/>
      <c r="R100" s="15"/>
      <c r="S100" s="15"/>
      <c r="T100" s="15"/>
      <c r="U100" s="15"/>
      <c r="V100" s="15"/>
      <c r="W100" s="15"/>
      <c r="X100" s="15"/>
      <c r="Y100" s="15"/>
    </row>
    <row r="101" spans="6:25" s="21" customFormat="1" ht="14.25" x14ac:dyDescent="0.45">
      <c r="F101" s="119">
        <v>43585</v>
      </c>
      <c r="G101" s="52">
        <v>276.28872699999999</v>
      </c>
      <c r="H101" s="52">
        <v>88.785149000000004</v>
      </c>
      <c r="I101" s="120">
        <f t="shared" si="1"/>
        <v>5.1023396247829034E-4</v>
      </c>
      <c r="J101" s="120">
        <f t="shared" si="1"/>
        <v>1.0941089605021048E-4</v>
      </c>
      <c r="K101"/>
      <c r="L101"/>
      <c r="N101" s="15"/>
      <c r="O101" s="15"/>
      <c r="P101" s="15"/>
      <c r="Q101" s="15"/>
      <c r="R101" s="15"/>
      <c r="S101" s="15"/>
      <c r="T101" s="15"/>
      <c r="U101" s="15"/>
      <c r="V101" s="15"/>
      <c r="W101" s="15"/>
      <c r="X101" s="15"/>
      <c r="Y101" s="15"/>
    </row>
    <row r="102" spans="6:25" s="21" customFormat="1" ht="14.25" x14ac:dyDescent="0.45">
      <c r="F102" s="119">
        <v>43586</v>
      </c>
      <c r="G102" s="52">
        <v>274.21206699999999</v>
      </c>
      <c r="H102" s="52">
        <v>88.789023999999998</v>
      </c>
      <c r="I102" s="120">
        <f t="shared" si="1"/>
        <v>-7.5162675746810459E-3</v>
      </c>
      <c r="J102" s="120">
        <f t="shared" si="1"/>
        <v>4.3644686567922975E-5</v>
      </c>
      <c r="K102"/>
      <c r="L102"/>
      <c r="N102" s="15"/>
      <c r="O102" s="15"/>
      <c r="P102" s="15"/>
      <c r="Q102" s="15"/>
      <c r="R102" s="15"/>
      <c r="S102" s="15"/>
      <c r="T102" s="15"/>
      <c r="U102" s="15"/>
      <c r="V102" s="15"/>
      <c r="W102" s="15"/>
      <c r="X102" s="15"/>
      <c r="Y102" s="15"/>
    </row>
    <row r="103" spans="6:25" s="21" customFormat="1" ht="14.25" x14ac:dyDescent="0.45">
      <c r="F103" s="119">
        <v>43587</v>
      </c>
      <c r="G103" s="52">
        <v>273.620026</v>
      </c>
      <c r="H103" s="52">
        <v>88.798766999999998</v>
      </c>
      <c r="I103" s="120">
        <f t="shared" si="1"/>
        <v>-2.1590625331597835E-3</v>
      </c>
      <c r="J103" s="120">
        <f t="shared" si="1"/>
        <v>1.0973203174291513E-4</v>
      </c>
      <c r="K103"/>
      <c r="L103"/>
      <c r="N103" s="15"/>
      <c r="O103" s="15"/>
      <c r="P103" s="15"/>
      <c r="Q103" s="15"/>
      <c r="R103" s="15"/>
      <c r="S103" s="15"/>
      <c r="T103" s="15"/>
      <c r="U103" s="15"/>
      <c r="V103" s="15"/>
      <c r="W103" s="15"/>
      <c r="X103" s="15"/>
      <c r="Y103" s="15"/>
    </row>
    <row r="104" spans="6:25" s="21" customFormat="1" ht="14.25" x14ac:dyDescent="0.45">
      <c r="F104" s="119">
        <v>43588</v>
      </c>
      <c r="G104" s="52">
        <v>276.29818699999998</v>
      </c>
      <c r="H104" s="52">
        <v>88.808456000000007</v>
      </c>
      <c r="I104" s="120">
        <f t="shared" si="1"/>
        <v>9.7878837274871788E-3</v>
      </c>
      <c r="J104" s="120">
        <f t="shared" si="1"/>
        <v>1.0911187539353051E-4</v>
      </c>
      <c r="K104"/>
      <c r="L104"/>
      <c r="N104" s="15"/>
      <c r="O104" s="15"/>
      <c r="P104" s="15"/>
      <c r="Q104" s="15"/>
      <c r="R104" s="15"/>
      <c r="S104" s="15"/>
      <c r="T104" s="15"/>
      <c r="U104" s="15"/>
      <c r="V104" s="15"/>
      <c r="W104" s="15"/>
      <c r="X104" s="15"/>
      <c r="Y104" s="15"/>
    </row>
    <row r="105" spans="6:25" s="21" customFormat="1" ht="14.25" x14ac:dyDescent="0.45">
      <c r="F105" s="119">
        <v>43591</v>
      </c>
      <c r="G105" s="52">
        <v>275.16110200000003</v>
      </c>
      <c r="H105" s="52">
        <v>88.818152999999995</v>
      </c>
      <c r="I105" s="120">
        <f t="shared" si="1"/>
        <v>-4.1154269318457448E-3</v>
      </c>
      <c r="J105" s="120">
        <f t="shared" si="1"/>
        <v>1.0919005280296545E-4</v>
      </c>
      <c r="K105"/>
      <c r="L105"/>
      <c r="N105" s="15"/>
      <c r="O105" s="15"/>
      <c r="P105" s="15"/>
      <c r="Q105" s="15"/>
      <c r="R105" s="15"/>
      <c r="S105" s="15"/>
      <c r="T105" s="15"/>
      <c r="U105" s="15"/>
      <c r="V105" s="15"/>
      <c r="W105" s="15"/>
      <c r="X105" s="15"/>
      <c r="Y105" s="15"/>
    </row>
    <row r="106" spans="6:25" s="21" customFormat="1" ht="14.25" x14ac:dyDescent="0.45">
      <c r="F106" s="119">
        <v>43592</v>
      </c>
      <c r="G106" s="52">
        <v>270.56607100000002</v>
      </c>
      <c r="H106" s="52">
        <v>88.827866</v>
      </c>
      <c r="I106" s="120">
        <f t="shared" si="1"/>
        <v>-1.6699420690646893E-2</v>
      </c>
      <c r="J106" s="120">
        <f t="shared" si="1"/>
        <v>1.0935827499136686E-4</v>
      </c>
      <c r="K106"/>
      <c r="L106"/>
      <c r="N106" s="15"/>
      <c r="O106" s="15"/>
      <c r="P106" s="15"/>
      <c r="Q106" s="15"/>
      <c r="R106" s="15"/>
      <c r="S106" s="15"/>
      <c r="T106" s="15"/>
      <c r="U106" s="15"/>
      <c r="V106" s="15"/>
      <c r="W106" s="15"/>
      <c r="X106" s="15"/>
      <c r="Y106" s="15"/>
    </row>
    <row r="107" spans="6:25" s="21" customFormat="1" ht="14.25" x14ac:dyDescent="0.45">
      <c r="F107" s="119">
        <v>43593</v>
      </c>
      <c r="G107" s="52">
        <v>270.190155</v>
      </c>
      <c r="H107" s="52">
        <v>88.827866</v>
      </c>
      <c r="I107" s="120">
        <f t="shared" si="1"/>
        <v>-1.3893685879040607E-3</v>
      </c>
      <c r="J107" s="120">
        <f t="shared" si="1"/>
        <v>0</v>
      </c>
      <c r="K107"/>
      <c r="L107"/>
      <c r="N107" s="15"/>
      <c r="O107" s="15"/>
      <c r="P107" s="15"/>
      <c r="Q107" s="15"/>
      <c r="R107" s="15"/>
      <c r="S107" s="15"/>
      <c r="T107" s="15"/>
      <c r="U107" s="15"/>
      <c r="V107" s="15"/>
      <c r="W107" s="15"/>
      <c r="X107" s="15"/>
      <c r="Y107" s="15"/>
    </row>
    <row r="108" spans="6:25" s="21" customFormat="1" ht="14.25" x14ac:dyDescent="0.45">
      <c r="F108" s="119">
        <v>43594</v>
      </c>
      <c r="G108" s="52">
        <v>269.372589</v>
      </c>
      <c r="H108" s="52">
        <v>88.837585000000004</v>
      </c>
      <c r="I108" s="120">
        <f t="shared" si="1"/>
        <v>-3.0258911543242784E-3</v>
      </c>
      <c r="J108" s="120">
        <f t="shared" si="1"/>
        <v>1.094138634378794E-4</v>
      </c>
      <c r="K108"/>
      <c r="L108"/>
      <c r="N108" s="15"/>
      <c r="O108" s="15"/>
      <c r="P108" s="15"/>
      <c r="Q108" s="15"/>
      <c r="R108" s="15"/>
      <c r="S108" s="15"/>
      <c r="T108" s="15"/>
      <c r="U108" s="15"/>
      <c r="V108" s="15"/>
      <c r="W108" s="15"/>
      <c r="X108" s="15"/>
      <c r="Y108" s="15"/>
    </row>
    <row r="109" spans="6:25" s="21" customFormat="1" ht="14.25" x14ac:dyDescent="0.45">
      <c r="F109" s="119">
        <v>43595</v>
      </c>
      <c r="G109" s="52">
        <v>270.72582999999997</v>
      </c>
      <c r="H109" s="52">
        <v>88.857017999999997</v>
      </c>
      <c r="I109" s="120">
        <f t="shared" si="1"/>
        <v>5.0236774462599776E-3</v>
      </c>
      <c r="J109" s="120">
        <f t="shared" si="1"/>
        <v>2.187475042234599E-4</v>
      </c>
      <c r="K109"/>
      <c r="L109"/>
      <c r="N109" s="15"/>
      <c r="O109" s="15"/>
      <c r="P109" s="15"/>
      <c r="Q109" s="15"/>
      <c r="R109" s="15"/>
      <c r="S109" s="15"/>
      <c r="T109" s="15"/>
      <c r="U109" s="15"/>
      <c r="V109" s="15"/>
      <c r="W109" s="15"/>
      <c r="X109" s="15"/>
      <c r="Y109" s="15"/>
    </row>
    <row r="110" spans="6:25" s="21" customFormat="1" ht="14.25" x14ac:dyDescent="0.45">
      <c r="F110" s="119">
        <v>43598</v>
      </c>
      <c r="G110" s="52">
        <v>263.92233299999998</v>
      </c>
      <c r="H110" s="52">
        <v>88.847282000000007</v>
      </c>
      <c r="I110" s="120">
        <f t="shared" si="1"/>
        <v>-2.5130579523941265E-2</v>
      </c>
      <c r="J110" s="120">
        <f t="shared" si="1"/>
        <v>-1.0956928579342051E-4</v>
      </c>
      <c r="K110"/>
      <c r="L110"/>
      <c r="N110" s="15"/>
      <c r="O110" s="15"/>
      <c r="P110" s="15"/>
      <c r="Q110" s="15"/>
      <c r="R110" s="15"/>
      <c r="S110" s="15"/>
      <c r="T110" s="15"/>
      <c r="U110" s="15"/>
      <c r="V110" s="15"/>
      <c r="W110" s="15"/>
      <c r="X110" s="15"/>
      <c r="Y110" s="15"/>
    </row>
    <row r="111" spans="6:25" s="21" customFormat="1" ht="14.25" x14ac:dyDescent="0.45">
      <c r="F111" s="119">
        <v>43599</v>
      </c>
      <c r="G111" s="52">
        <v>266.309235</v>
      </c>
      <c r="H111" s="52">
        <v>88.857017999999997</v>
      </c>
      <c r="I111" s="120">
        <f t="shared" si="1"/>
        <v>9.0439561247741551E-3</v>
      </c>
      <c r="J111" s="120">
        <f t="shared" si="1"/>
        <v>1.0958129253735294E-4</v>
      </c>
      <c r="K111"/>
      <c r="L111"/>
      <c r="N111" s="15"/>
      <c r="O111" s="15"/>
      <c r="P111" s="15"/>
      <c r="Q111" s="15"/>
      <c r="R111" s="15"/>
      <c r="S111" s="15"/>
      <c r="T111" s="15"/>
      <c r="U111" s="15"/>
      <c r="V111" s="15"/>
      <c r="W111" s="15"/>
      <c r="X111" s="15"/>
      <c r="Y111" s="15"/>
    </row>
    <row r="112" spans="6:25" s="21" customFormat="1" ht="14.25" x14ac:dyDescent="0.45">
      <c r="F112" s="119">
        <v>43600</v>
      </c>
      <c r="G112" s="52">
        <v>267.86910999999998</v>
      </c>
      <c r="H112" s="52">
        <v>88.866721999999996</v>
      </c>
      <c r="I112" s="120">
        <f t="shared" si="1"/>
        <v>5.8573823021945692E-3</v>
      </c>
      <c r="J112" s="120">
        <f t="shared" si="1"/>
        <v>1.0920915667012032E-4</v>
      </c>
      <c r="K112"/>
      <c r="L112"/>
      <c r="N112" s="15"/>
      <c r="O112" s="15"/>
      <c r="P112" s="15"/>
      <c r="Q112" s="15"/>
      <c r="R112" s="15"/>
      <c r="S112" s="15"/>
      <c r="T112" s="15"/>
      <c r="U112" s="15"/>
      <c r="V112" s="15"/>
      <c r="W112" s="15"/>
      <c r="X112" s="15"/>
      <c r="Y112" s="15"/>
    </row>
    <row r="113" spans="6:25" s="21" customFormat="1" ht="14.25" x14ac:dyDescent="0.45">
      <c r="F113" s="119">
        <v>43601</v>
      </c>
      <c r="G113" s="52">
        <v>270.34988399999997</v>
      </c>
      <c r="H113" s="52">
        <v>88.876434000000003</v>
      </c>
      <c r="I113" s="120">
        <f t="shared" si="1"/>
        <v>9.2611425035160622E-3</v>
      </c>
      <c r="J113" s="120">
        <f t="shared" si="1"/>
        <v>1.0928725378223092E-4</v>
      </c>
      <c r="K113"/>
      <c r="L113"/>
      <c r="N113" s="15"/>
      <c r="O113" s="15"/>
      <c r="P113" s="15"/>
      <c r="Q113" s="15"/>
      <c r="R113" s="15"/>
      <c r="S113" s="15"/>
      <c r="T113" s="15"/>
      <c r="U113" s="15"/>
      <c r="V113" s="15"/>
      <c r="W113" s="15"/>
      <c r="X113" s="15"/>
      <c r="Y113" s="15"/>
    </row>
    <row r="114" spans="6:25" s="21" customFormat="1" ht="14.25" x14ac:dyDescent="0.45">
      <c r="F114" s="119">
        <v>43602</v>
      </c>
      <c r="G114" s="52">
        <v>268.602081</v>
      </c>
      <c r="H114" s="52">
        <v>88.886168999999995</v>
      </c>
      <c r="I114" s="120">
        <f t="shared" si="1"/>
        <v>-6.4649667095842966E-3</v>
      </c>
      <c r="J114" s="120">
        <f t="shared" si="1"/>
        <v>1.0953409764380417E-4</v>
      </c>
      <c r="K114"/>
      <c r="L114"/>
      <c r="N114" s="15"/>
      <c r="O114" s="15"/>
      <c r="P114" s="15"/>
      <c r="Q114" s="15"/>
      <c r="R114" s="15"/>
      <c r="S114" s="15"/>
      <c r="T114" s="15"/>
      <c r="U114" s="15"/>
      <c r="V114" s="15"/>
      <c r="W114" s="15"/>
      <c r="X114" s="15"/>
      <c r="Y114" s="15"/>
    </row>
    <row r="115" spans="6:25" s="21" customFormat="1" ht="14.25" x14ac:dyDescent="0.45">
      <c r="F115" s="119">
        <v>43605</v>
      </c>
      <c r="G115" s="52">
        <v>266.82607999999999</v>
      </c>
      <c r="H115" s="52">
        <v>88.895843999999997</v>
      </c>
      <c r="I115" s="120">
        <f t="shared" si="1"/>
        <v>-6.6120150424300306E-3</v>
      </c>
      <c r="J115" s="120">
        <f t="shared" si="1"/>
        <v>1.0884708058456205E-4</v>
      </c>
      <c r="K115"/>
      <c r="L115"/>
      <c r="N115" s="15"/>
      <c r="O115" s="15"/>
      <c r="P115" s="15"/>
      <c r="Q115" s="15"/>
      <c r="R115" s="15"/>
      <c r="S115" s="15"/>
      <c r="T115" s="15"/>
      <c r="U115" s="15"/>
      <c r="V115" s="15"/>
      <c r="W115" s="15"/>
      <c r="X115" s="15"/>
      <c r="Y115" s="15"/>
    </row>
    <row r="116" spans="6:25" s="21" customFormat="1" ht="14.25" x14ac:dyDescent="0.45">
      <c r="F116" s="119">
        <v>43606</v>
      </c>
      <c r="G116" s="52">
        <v>269.23172</v>
      </c>
      <c r="H116" s="52">
        <v>88.895843999999997</v>
      </c>
      <c r="I116" s="120">
        <f t="shared" si="1"/>
        <v>9.0157603784457585E-3</v>
      </c>
      <c r="J116" s="120">
        <f t="shared" si="1"/>
        <v>0</v>
      </c>
      <c r="K116"/>
      <c r="L116"/>
      <c r="N116" s="15"/>
      <c r="O116" s="15"/>
      <c r="P116" s="15"/>
      <c r="Q116" s="15"/>
      <c r="R116" s="15"/>
      <c r="S116" s="15"/>
      <c r="T116" s="15"/>
      <c r="U116" s="15"/>
      <c r="V116" s="15"/>
      <c r="W116" s="15"/>
      <c r="X116" s="15"/>
      <c r="Y116" s="15"/>
    </row>
    <row r="117" spans="6:25" s="21" customFormat="1" ht="14.25" x14ac:dyDescent="0.45">
      <c r="F117" s="119">
        <v>43607</v>
      </c>
      <c r="G117" s="52">
        <v>268.404785</v>
      </c>
      <c r="H117" s="52">
        <v>88.915276000000006</v>
      </c>
      <c r="I117" s="120">
        <f t="shared" si="1"/>
        <v>-3.0714620104941304E-3</v>
      </c>
      <c r="J117" s="120">
        <f t="shared" si="1"/>
        <v>2.185928961988548E-4</v>
      </c>
      <c r="K117"/>
      <c r="L117"/>
      <c r="N117" s="15"/>
      <c r="O117" s="15"/>
      <c r="P117" s="15"/>
      <c r="Q117" s="15"/>
      <c r="R117" s="15"/>
      <c r="S117" s="15"/>
      <c r="T117" s="15"/>
      <c r="U117" s="15"/>
      <c r="V117" s="15"/>
      <c r="W117" s="15"/>
      <c r="X117" s="15"/>
      <c r="Y117" s="15"/>
    </row>
    <row r="118" spans="6:25" s="21" customFormat="1" ht="14.25" x14ac:dyDescent="0.45">
      <c r="F118" s="119">
        <v>43608</v>
      </c>
      <c r="G118" s="52">
        <v>265.12527499999999</v>
      </c>
      <c r="H118" s="52">
        <v>88.934700000000007</v>
      </c>
      <c r="I118" s="120">
        <f t="shared" si="1"/>
        <v>-1.221852285532099E-2</v>
      </c>
      <c r="J118" s="120">
        <f t="shared" si="1"/>
        <v>2.1845515049623287E-4</v>
      </c>
      <c r="K118"/>
      <c r="L118"/>
      <c r="N118" s="15"/>
      <c r="O118" s="15"/>
      <c r="P118" s="15"/>
      <c r="Q118" s="15"/>
      <c r="R118" s="15"/>
      <c r="S118" s="15"/>
      <c r="T118" s="15"/>
      <c r="U118" s="15"/>
      <c r="V118" s="15"/>
      <c r="W118" s="15"/>
      <c r="X118" s="15"/>
      <c r="Y118" s="15"/>
    </row>
    <row r="119" spans="6:25" s="21" customFormat="1" ht="14.25" x14ac:dyDescent="0.45">
      <c r="F119" s="119">
        <v>43609</v>
      </c>
      <c r="G119" s="52">
        <v>265.726563</v>
      </c>
      <c r="H119" s="52">
        <v>88.934700000000007</v>
      </c>
      <c r="I119" s="120">
        <f t="shared" si="1"/>
        <v>2.2679391845987773E-3</v>
      </c>
      <c r="J119" s="120">
        <f t="shared" si="1"/>
        <v>0</v>
      </c>
      <c r="K119"/>
      <c r="L119"/>
      <c r="N119" s="15"/>
      <c r="O119" s="15"/>
      <c r="P119" s="15"/>
      <c r="Q119" s="15"/>
      <c r="R119" s="15"/>
      <c r="S119" s="15"/>
      <c r="T119" s="15"/>
      <c r="U119" s="15"/>
      <c r="V119" s="15"/>
      <c r="W119" s="15"/>
      <c r="X119" s="15"/>
      <c r="Y119" s="15"/>
    </row>
    <row r="120" spans="6:25" s="21" customFormat="1" ht="14.25" x14ac:dyDescent="0.45">
      <c r="F120" s="119">
        <v>43613</v>
      </c>
      <c r="G120" s="52">
        <v>263.25521900000001</v>
      </c>
      <c r="H120" s="52">
        <v>88.944382000000004</v>
      </c>
      <c r="I120" s="120">
        <f t="shared" si="1"/>
        <v>-9.3003272691258854E-3</v>
      </c>
      <c r="J120" s="120">
        <f t="shared" si="1"/>
        <v>1.0886639298268719E-4</v>
      </c>
      <c r="K120"/>
      <c r="L120"/>
      <c r="N120" s="15"/>
      <c r="O120" s="15"/>
      <c r="P120" s="15"/>
      <c r="Q120" s="15"/>
      <c r="R120" s="15"/>
      <c r="S120" s="15"/>
      <c r="T120" s="15"/>
      <c r="U120" s="15"/>
      <c r="V120" s="15"/>
      <c r="W120" s="15"/>
      <c r="X120" s="15"/>
      <c r="Y120" s="15"/>
    </row>
    <row r="121" spans="6:25" s="21" customFormat="1" ht="14.25" x14ac:dyDescent="0.45">
      <c r="F121" s="119">
        <v>43614</v>
      </c>
      <c r="G121" s="52">
        <v>261.488586</v>
      </c>
      <c r="H121" s="52">
        <v>88.944382000000004</v>
      </c>
      <c r="I121" s="120">
        <f t="shared" si="1"/>
        <v>-6.7107235583429015E-3</v>
      </c>
      <c r="J121" s="120">
        <f t="shared" si="1"/>
        <v>0</v>
      </c>
      <c r="K121"/>
      <c r="L121"/>
      <c r="N121" s="15"/>
      <c r="O121" s="15"/>
      <c r="P121" s="15"/>
      <c r="Q121" s="15"/>
      <c r="R121" s="15"/>
      <c r="S121" s="15"/>
      <c r="T121" s="15"/>
      <c r="U121" s="15"/>
      <c r="V121" s="15"/>
      <c r="W121" s="15"/>
      <c r="X121" s="15"/>
      <c r="Y121" s="15"/>
    </row>
    <row r="122" spans="6:25" s="21" customFormat="1" ht="14.25" x14ac:dyDescent="0.45">
      <c r="F122" s="119">
        <v>43615</v>
      </c>
      <c r="G122" s="52">
        <v>262.20281999999997</v>
      </c>
      <c r="H122" s="52">
        <v>88.973549000000006</v>
      </c>
      <c r="I122" s="120">
        <f t="shared" si="1"/>
        <v>2.7314155884416991E-3</v>
      </c>
      <c r="J122" s="120">
        <f t="shared" si="1"/>
        <v>3.279240278493134E-4</v>
      </c>
      <c r="K122"/>
      <c r="L122"/>
      <c r="N122" s="15"/>
      <c r="O122" s="15"/>
      <c r="P122" s="15"/>
      <c r="Q122" s="15"/>
      <c r="R122" s="15"/>
      <c r="S122" s="15"/>
      <c r="T122" s="15"/>
      <c r="U122" s="15"/>
      <c r="V122" s="15"/>
      <c r="W122" s="15"/>
      <c r="X122" s="15"/>
      <c r="Y122" s="15"/>
    </row>
    <row r="123" spans="6:25" s="21" customFormat="1" ht="14.25" x14ac:dyDescent="0.45">
      <c r="F123" s="119">
        <v>43616</v>
      </c>
      <c r="G123" s="52">
        <v>258.669556</v>
      </c>
      <c r="H123" s="52">
        <v>88.973549000000006</v>
      </c>
      <c r="I123" s="120">
        <f t="shared" si="1"/>
        <v>-1.3475308923069473E-2</v>
      </c>
      <c r="J123" s="120">
        <f t="shared" si="1"/>
        <v>0</v>
      </c>
      <c r="K123"/>
      <c r="L123"/>
      <c r="N123" s="15"/>
      <c r="O123" s="15"/>
      <c r="P123" s="15"/>
      <c r="Q123" s="15"/>
      <c r="R123" s="15"/>
      <c r="S123" s="15"/>
      <c r="T123" s="15"/>
      <c r="U123" s="15"/>
      <c r="V123" s="15"/>
      <c r="W123" s="15"/>
      <c r="X123" s="15"/>
      <c r="Y123" s="15"/>
    </row>
    <row r="124" spans="6:25" s="21" customFormat="1" ht="14.25" x14ac:dyDescent="0.45">
      <c r="F124" s="119">
        <v>43619</v>
      </c>
      <c r="G124" s="52">
        <v>258.01174900000001</v>
      </c>
      <c r="H124" s="52">
        <v>88.969673</v>
      </c>
      <c r="I124" s="120">
        <f t="shared" si="1"/>
        <v>-2.5430398929512377E-3</v>
      </c>
      <c r="J124" s="120">
        <f t="shared" si="1"/>
        <v>-4.3563508970612119E-5</v>
      </c>
      <c r="K124"/>
      <c r="L124"/>
      <c r="N124" s="15"/>
      <c r="O124" s="15"/>
      <c r="P124" s="15"/>
      <c r="Q124" s="15"/>
      <c r="R124" s="15"/>
      <c r="S124" s="15"/>
      <c r="T124" s="15"/>
      <c r="U124" s="15"/>
      <c r="V124" s="15"/>
      <c r="W124" s="15"/>
      <c r="X124" s="15"/>
      <c r="Y124" s="15"/>
    </row>
    <row r="125" spans="6:25" s="21" customFormat="1" ht="14.25" x14ac:dyDescent="0.45">
      <c r="F125" s="119">
        <v>43620</v>
      </c>
      <c r="G125" s="52">
        <v>263.61230499999999</v>
      </c>
      <c r="H125" s="52">
        <v>88.989104999999995</v>
      </c>
      <c r="I125" s="120">
        <f t="shared" si="1"/>
        <v>2.1706592904030764E-2</v>
      </c>
      <c r="J125" s="120">
        <f t="shared" si="1"/>
        <v>2.184115029848499E-4</v>
      </c>
      <c r="K125"/>
      <c r="L125"/>
      <c r="N125" s="15"/>
      <c r="O125" s="15"/>
      <c r="P125" s="15"/>
      <c r="Q125" s="15"/>
      <c r="R125" s="15"/>
      <c r="S125" s="15"/>
      <c r="T125" s="15"/>
      <c r="U125" s="15"/>
      <c r="V125" s="15"/>
      <c r="W125" s="15"/>
      <c r="X125" s="15"/>
      <c r="Y125" s="15"/>
    </row>
    <row r="126" spans="6:25" s="21" customFormat="1" ht="14.25" x14ac:dyDescent="0.45">
      <c r="F126" s="119">
        <v>43621</v>
      </c>
      <c r="G126" s="52">
        <v>265.89575200000002</v>
      </c>
      <c r="H126" s="52">
        <v>88.989104999999995</v>
      </c>
      <c r="I126" s="120">
        <f t="shared" si="1"/>
        <v>8.6621411697758166E-3</v>
      </c>
      <c r="J126" s="120">
        <f t="shared" si="1"/>
        <v>0</v>
      </c>
      <c r="K126"/>
      <c r="L126"/>
      <c r="N126" s="15"/>
      <c r="O126" s="15"/>
      <c r="P126" s="15"/>
      <c r="Q126" s="15"/>
      <c r="R126" s="15"/>
      <c r="S126" s="15"/>
      <c r="T126" s="15"/>
      <c r="U126" s="15"/>
      <c r="V126" s="15"/>
      <c r="W126" s="15"/>
      <c r="X126" s="15"/>
      <c r="Y126" s="15"/>
    </row>
    <row r="127" spans="6:25" s="21" customFormat="1" ht="14.25" x14ac:dyDescent="0.45">
      <c r="F127" s="119">
        <v>43622</v>
      </c>
      <c r="G127" s="52">
        <v>267.62481700000001</v>
      </c>
      <c r="H127" s="52">
        <v>89.018294999999995</v>
      </c>
      <c r="I127" s="120">
        <f t="shared" si="1"/>
        <v>6.5027928689886938E-3</v>
      </c>
      <c r="J127" s="120">
        <f t="shared" si="1"/>
        <v>3.2801768261414566E-4</v>
      </c>
      <c r="K127"/>
      <c r="L127"/>
      <c r="N127" s="15"/>
      <c r="O127" s="15"/>
      <c r="P127" s="15"/>
      <c r="Q127" s="15"/>
      <c r="R127" s="15"/>
      <c r="S127" s="15"/>
      <c r="T127" s="15"/>
      <c r="U127" s="15"/>
      <c r="V127" s="15"/>
      <c r="W127" s="15"/>
      <c r="X127" s="15"/>
      <c r="Y127" s="15"/>
    </row>
    <row r="128" spans="6:25" s="21" customFormat="1" ht="14.25" x14ac:dyDescent="0.45">
      <c r="F128" s="119">
        <v>43623</v>
      </c>
      <c r="G128" s="52">
        <v>270.30291699999998</v>
      </c>
      <c r="H128" s="52">
        <v>89.008567999999997</v>
      </c>
      <c r="I128" s="120">
        <f t="shared" si="1"/>
        <v>1.0006919500294309E-2</v>
      </c>
      <c r="J128" s="120">
        <f t="shared" si="1"/>
        <v>-1.0926967316093883E-4</v>
      </c>
      <c r="K128"/>
      <c r="L128"/>
      <c r="N128" s="15"/>
      <c r="O128" s="15"/>
      <c r="P128" s="15"/>
      <c r="Q128" s="15"/>
      <c r="R128" s="15"/>
      <c r="S128" s="15"/>
      <c r="T128" s="15"/>
      <c r="U128" s="15"/>
      <c r="V128" s="15"/>
      <c r="W128" s="15"/>
      <c r="X128" s="15"/>
      <c r="Y128" s="15"/>
    </row>
    <row r="129" spans="6:25" s="21" customFormat="1" ht="14.25" x14ac:dyDescent="0.45">
      <c r="F129" s="119">
        <v>43626</v>
      </c>
      <c r="G129" s="52">
        <v>271.54330399999998</v>
      </c>
      <c r="H129" s="52">
        <v>89.028037999999995</v>
      </c>
      <c r="I129" s="120">
        <f t="shared" si="1"/>
        <v>4.5888775961673289E-3</v>
      </c>
      <c r="J129" s="120">
        <f t="shared" si="1"/>
        <v>2.1874298663027147E-4</v>
      </c>
      <c r="K129"/>
      <c r="L129"/>
      <c r="N129" s="15"/>
      <c r="O129" s="15"/>
      <c r="P129" s="15"/>
      <c r="Q129" s="15"/>
      <c r="R129" s="15"/>
      <c r="S129" s="15"/>
      <c r="T129" s="15"/>
      <c r="U129" s="15"/>
      <c r="V129" s="15"/>
      <c r="W129" s="15"/>
      <c r="X129" s="15"/>
      <c r="Y129" s="15"/>
    </row>
    <row r="130" spans="6:25" s="21" customFormat="1" ht="14.25" x14ac:dyDescent="0.45">
      <c r="F130" s="119">
        <v>43627</v>
      </c>
      <c r="G130" s="52">
        <v>271.47757000000001</v>
      </c>
      <c r="H130" s="52">
        <v>89.018294999999995</v>
      </c>
      <c r="I130" s="120">
        <f t="shared" si="1"/>
        <v>-2.4207556964828125E-4</v>
      </c>
      <c r="J130" s="120">
        <f t="shared" si="1"/>
        <v>-1.0943743363189817E-4</v>
      </c>
      <c r="K130"/>
      <c r="L130"/>
      <c r="N130" s="15"/>
      <c r="O130" s="15"/>
      <c r="P130" s="15"/>
      <c r="Q130" s="15"/>
      <c r="R130" s="15"/>
      <c r="S130" s="15"/>
      <c r="T130" s="15"/>
      <c r="U130" s="15"/>
      <c r="V130" s="15"/>
      <c r="W130" s="15"/>
      <c r="X130" s="15"/>
      <c r="Y130" s="15"/>
    </row>
    <row r="131" spans="6:25" s="21" customFormat="1" ht="14.25" x14ac:dyDescent="0.45">
      <c r="F131" s="119">
        <v>43628</v>
      </c>
      <c r="G131" s="52">
        <v>270.99829099999999</v>
      </c>
      <c r="H131" s="52">
        <v>89.028037999999995</v>
      </c>
      <c r="I131" s="120">
        <f t="shared" si="1"/>
        <v>-1.7654460366652858E-3</v>
      </c>
      <c r="J131" s="120">
        <f t="shared" si="1"/>
        <v>1.0944941149459986E-4</v>
      </c>
      <c r="K131"/>
      <c r="L131"/>
      <c r="N131" s="15"/>
      <c r="O131" s="15"/>
      <c r="P131" s="15"/>
      <c r="Q131" s="15"/>
      <c r="R131" s="15"/>
      <c r="S131" s="15"/>
      <c r="T131" s="15"/>
      <c r="U131" s="15"/>
      <c r="V131" s="15"/>
      <c r="W131" s="15"/>
      <c r="X131" s="15"/>
      <c r="Y131" s="15"/>
    </row>
    <row r="132" spans="6:25" s="21" customFormat="1" ht="14.25" x14ac:dyDescent="0.45">
      <c r="F132" s="119">
        <v>43629</v>
      </c>
      <c r="G132" s="52">
        <v>272.11648600000001</v>
      </c>
      <c r="H132" s="52">
        <v>89.057243</v>
      </c>
      <c r="I132" s="120">
        <f t="shared" si="1"/>
        <v>4.1262068327951873E-3</v>
      </c>
      <c r="J132" s="120">
        <f t="shared" si="1"/>
        <v>3.2804272290043457E-4</v>
      </c>
      <c r="K132"/>
      <c r="L132"/>
      <c r="N132" s="15"/>
      <c r="O132" s="15"/>
      <c r="P132" s="15"/>
      <c r="Q132" s="15"/>
      <c r="R132" s="15"/>
      <c r="S132" s="15"/>
      <c r="T132" s="15"/>
      <c r="U132" s="15"/>
      <c r="V132" s="15"/>
      <c r="W132" s="15"/>
      <c r="X132" s="15"/>
      <c r="Y132" s="15"/>
    </row>
    <row r="133" spans="6:25" s="21" customFormat="1" ht="14.25" x14ac:dyDescent="0.45">
      <c r="F133" s="119">
        <v>43630</v>
      </c>
      <c r="G133" s="52">
        <v>271.81585699999999</v>
      </c>
      <c r="H133" s="52">
        <v>89.066940000000002</v>
      </c>
      <c r="I133" s="120">
        <f t="shared" si="1"/>
        <v>-1.1047805460784321E-3</v>
      </c>
      <c r="J133" s="120">
        <f t="shared" si="1"/>
        <v>1.0888502353489926E-4</v>
      </c>
      <c r="K133"/>
      <c r="L133"/>
      <c r="N133" s="15"/>
      <c r="O133" s="15"/>
      <c r="P133" s="15"/>
      <c r="Q133" s="15"/>
      <c r="R133" s="15"/>
      <c r="S133" s="15"/>
      <c r="T133" s="15"/>
      <c r="U133" s="15"/>
      <c r="V133" s="15"/>
      <c r="W133" s="15"/>
      <c r="X133" s="15"/>
      <c r="Y133" s="15"/>
    </row>
    <row r="134" spans="6:25" s="21" customFormat="1" ht="14.25" x14ac:dyDescent="0.45">
      <c r="F134" s="119">
        <v>43633</v>
      </c>
      <c r="G134" s="52">
        <v>271.91915899999998</v>
      </c>
      <c r="H134" s="52">
        <v>89.066940000000002</v>
      </c>
      <c r="I134" s="120">
        <f t="shared" si="1"/>
        <v>3.8004405313252221E-4</v>
      </c>
      <c r="J134" s="120">
        <f t="shared" si="1"/>
        <v>0</v>
      </c>
      <c r="K134"/>
      <c r="L134"/>
      <c r="N134" s="15"/>
      <c r="O134" s="15"/>
      <c r="P134" s="15"/>
      <c r="Q134" s="15"/>
      <c r="R134" s="15"/>
      <c r="S134" s="15"/>
      <c r="T134" s="15"/>
      <c r="U134" s="15"/>
      <c r="V134" s="15"/>
      <c r="W134" s="15"/>
      <c r="X134" s="15"/>
      <c r="Y134" s="15"/>
    </row>
    <row r="135" spans="6:25" s="21" customFormat="1" ht="14.25" x14ac:dyDescent="0.45">
      <c r="F135" s="119">
        <v>43634</v>
      </c>
      <c r="G135" s="52">
        <v>274.76641799999999</v>
      </c>
      <c r="H135" s="52">
        <v>89.066940000000002</v>
      </c>
      <c r="I135" s="120">
        <f t="shared" si="1"/>
        <v>1.0470976044758995E-2</v>
      </c>
      <c r="J135" s="120">
        <f t="shared" si="1"/>
        <v>0</v>
      </c>
      <c r="K135"/>
      <c r="L135"/>
      <c r="N135" s="15"/>
      <c r="O135" s="15"/>
      <c r="P135" s="15"/>
      <c r="Q135" s="15"/>
      <c r="R135" s="15"/>
      <c r="S135" s="15"/>
      <c r="T135" s="15"/>
      <c r="U135" s="15"/>
      <c r="V135" s="15"/>
      <c r="W135" s="15"/>
      <c r="X135" s="15"/>
      <c r="Y135" s="15"/>
    </row>
    <row r="136" spans="6:25" s="21" customFormat="1" ht="14.25" x14ac:dyDescent="0.45">
      <c r="F136" s="119">
        <v>43635</v>
      </c>
      <c r="G136" s="52">
        <v>275.38662699999998</v>
      </c>
      <c r="H136" s="52">
        <v>89.086417999999995</v>
      </c>
      <c r="I136" s="120">
        <f t="shared" si="1"/>
        <v>2.2572227148951463E-3</v>
      </c>
      <c r="J136" s="120">
        <f t="shared" si="1"/>
        <v>2.1868944863268069E-4</v>
      </c>
      <c r="K136"/>
      <c r="L136"/>
      <c r="N136" s="15"/>
      <c r="O136" s="15"/>
      <c r="P136" s="15"/>
      <c r="Q136" s="15"/>
      <c r="R136" s="15"/>
      <c r="S136" s="15"/>
      <c r="T136" s="15"/>
      <c r="U136" s="15"/>
      <c r="V136" s="15"/>
      <c r="W136" s="15"/>
      <c r="X136" s="15"/>
      <c r="Y136" s="15"/>
    </row>
    <row r="137" spans="6:25" s="21" customFormat="1" ht="14.25" x14ac:dyDescent="0.45">
      <c r="F137" s="119">
        <v>43636</v>
      </c>
      <c r="G137" s="52">
        <v>278.01776100000001</v>
      </c>
      <c r="H137" s="52">
        <v>89.096130000000002</v>
      </c>
      <c r="I137" s="120">
        <f t="shared" si="1"/>
        <v>9.5543274147442681E-3</v>
      </c>
      <c r="J137" s="120">
        <f t="shared" si="1"/>
        <v>1.0901774050453561E-4</v>
      </c>
      <c r="K137"/>
      <c r="L137"/>
      <c r="N137" s="15"/>
      <c r="O137" s="15"/>
      <c r="P137" s="15"/>
      <c r="Q137" s="15"/>
      <c r="R137" s="15"/>
      <c r="S137" s="15"/>
      <c r="T137" s="15"/>
      <c r="U137" s="15"/>
      <c r="V137" s="15"/>
      <c r="W137" s="15"/>
      <c r="X137" s="15"/>
      <c r="Y137" s="15"/>
    </row>
    <row r="138" spans="6:25" s="21" customFormat="1" ht="14.25" x14ac:dyDescent="0.45">
      <c r="F138" s="119">
        <v>43637</v>
      </c>
      <c r="G138" s="52">
        <v>277.61370799999997</v>
      </c>
      <c r="H138" s="52">
        <v>89.096130000000002</v>
      </c>
      <c r="I138" s="120">
        <f t="shared" si="1"/>
        <v>-1.4533352061634197E-3</v>
      </c>
      <c r="J138" s="120">
        <f t="shared" si="1"/>
        <v>0</v>
      </c>
      <c r="K138"/>
      <c r="L138"/>
      <c r="N138" s="15"/>
      <c r="O138" s="15"/>
      <c r="P138" s="15"/>
      <c r="Q138" s="15"/>
      <c r="R138" s="15"/>
      <c r="S138" s="15"/>
      <c r="T138" s="15"/>
      <c r="U138" s="15"/>
      <c r="V138" s="15"/>
      <c r="W138" s="15"/>
      <c r="X138" s="15"/>
      <c r="Y138" s="15"/>
    </row>
    <row r="139" spans="6:25" s="21" customFormat="1" ht="14.25" x14ac:dyDescent="0.45">
      <c r="F139" s="119">
        <v>43640</v>
      </c>
      <c r="G139" s="52">
        <v>277.27377300000001</v>
      </c>
      <c r="H139" s="52">
        <v>89.105864999999994</v>
      </c>
      <c r="I139" s="120">
        <f t="shared" si="1"/>
        <v>-1.2244892460424595E-3</v>
      </c>
      <c r="J139" s="120">
        <f t="shared" si="1"/>
        <v>1.0926400506949818E-4</v>
      </c>
      <c r="K139"/>
      <c r="L139"/>
      <c r="N139" s="15"/>
      <c r="O139" s="15"/>
      <c r="P139" s="15"/>
      <c r="Q139" s="15"/>
      <c r="R139" s="15"/>
      <c r="S139" s="15"/>
      <c r="T139" s="15"/>
      <c r="U139" s="15"/>
      <c r="V139" s="15"/>
      <c r="W139" s="15"/>
      <c r="X139" s="15"/>
      <c r="Y139" s="15"/>
    </row>
    <row r="140" spans="6:25" s="21" customFormat="1" ht="14.25" x14ac:dyDescent="0.45">
      <c r="F140" s="119">
        <v>43641</v>
      </c>
      <c r="G140" s="52">
        <v>274.55429099999998</v>
      </c>
      <c r="H140" s="52">
        <v>89.105864999999994</v>
      </c>
      <c r="I140" s="120">
        <f t="shared" si="1"/>
        <v>-9.8079308784824182E-3</v>
      </c>
      <c r="J140" s="120">
        <f t="shared" si="1"/>
        <v>0</v>
      </c>
      <c r="K140"/>
      <c r="L140"/>
      <c r="N140" s="15"/>
      <c r="O140" s="15"/>
      <c r="P140" s="15"/>
      <c r="Q140" s="15"/>
      <c r="R140" s="15"/>
      <c r="S140" s="15"/>
      <c r="T140" s="15"/>
      <c r="U140" s="15"/>
      <c r="V140" s="15"/>
      <c r="W140" s="15"/>
      <c r="X140" s="15"/>
      <c r="Y140" s="15"/>
    </row>
    <row r="141" spans="6:25" s="21" customFormat="1" ht="14.25" x14ac:dyDescent="0.45">
      <c r="F141" s="119">
        <v>43642</v>
      </c>
      <c r="G141" s="52">
        <v>274.28042599999998</v>
      </c>
      <c r="H141" s="52">
        <v>89.125327999999996</v>
      </c>
      <c r="I141" s="120">
        <f t="shared" si="1"/>
        <v>-9.9748941822219717E-4</v>
      </c>
      <c r="J141" s="120">
        <f t="shared" si="1"/>
        <v>2.1842557726148293E-4</v>
      </c>
      <c r="K141"/>
      <c r="L141"/>
      <c r="N141" s="15"/>
      <c r="O141" s="15"/>
      <c r="P141" s="15"/>
      <c r="Q141" s="15"/>
      <c r="R141" s="15"/>
      <c r="S141" s="15"/>
      <c r="T141" s="15"/>
      <c r="U141" s="15"/>
      <c r="V141" s="15"/>
      <c r="W141" s="15"/>
      <c r="X141" s="15"/>
      <c r="Y141" s="15"/>
    </row>
    <row r="142" spans="6:25" s="21" customFormat="1" ht="14.25" x14ac:dyDescent="0.45">
      <c r="F142" s="119">
        <v>43643</v>
      </c>
      <c r="G142" s="52">
        <v>275.25302099999999</v>
      </c>
      <c r="H142" s="52">
        <v>89.125327999999996</v>
      </c>
      <c r="I142" s="120">
        <f t="shared" si="1"/>
        <v>3.5459876382137878E-3</v>
      </c>
      <c r="J142" s="120">
        <f t="shared" si="1"/>
        <v>0</v>
      </c>
      <c r="K142"/>
      <c r="L142"/>
      <c r="N142" s="15"/>
      <c r="O142" s="15"/>
      <c r="P142" s="15"/>
      <c r="Q142" s="15"/>
      <c r="R142" s="15"/>
      <c r="S142" s="15"/>
      <c r="T142" s="15"/>
      <c r="U142" s="15"/>
      <c r="V142" s="15"/>
      <c r="W142" s="15"/>
      <c r="X142" s="15"/>
      <c r="Y142" s="15"/>
    </row>
    <row r="143" spans="6:25" s="21" customFormat="1" ht="14.25" x14ac:dyDescent="0.45">
      <c r="F143" s="119">
        <v>43644</v>
      </c>
      <c r="G143" s="52">
        <v>276.669464</v>
      </c>
      <c r="H143" s="52">
        <v>89.135047999999998</v>
      </c>
      <c r="I143" s="120">
        <f t="shared" si="1"/>
        <v>5.1459671354525671E-3</v>
      </c>
      <c r="J143" s="120">
        <f t="shared" si="1"/>
        <v>1.0905990719045633E-4</v>
      </c>
      <c r="K143"/>
      <c r="L143"/>
      <c r="N143" s="15"/>
      <c r="O143" s="15"/>
      <c r="P143" s="15"/>
      <c r="Q143" s="15"/>
      <c r="R143" s="15"/>
      <c r="S143" s="15"/>
      <c r="T143" s="15"/>
      <c r="U143" s="15"/>
      <c r="V143" s="15"/>
      <c r="W143" s="15"/>
      <c r="X143" s="15"/>
      <c r="Y143" s="15"/>
    </row>
    <row r="144" spans="6:25" s="21" customFormat="1" ht="14.25" x14ac:dyDescent="0.45">
      <c r="F144" s="119">
        <v>43647</v>
      </c>
      <c r="G144" s="52">
        <v>279.181152</v>
      </c>
      <c r="H144" s="52">
        <v>89.130211000000003</v>
      </c>
      <c r="I144" s="120">
        <f t="shared" si="1"/>
        <v>9.0782985721908904E-3</v>
      </c>
      <c r="J144" s="120">
        <f t="shared" si="1"/>
        <v>-5.4265971786926492E-5</v>
      </c>
      <c r="K144"/>
      <c r="L144"/>
      <c r="N144" s="15"/>
      <c r="O144" s="15"/>
      <c r="P144" s="15"/>
      <c r="Q144" s="15"/>
      <c r="R144" s="15"/>
      <c r="S144" s="15"/>
      <c r="T144" s="15"/>
      <c r="U144" s="15"/>
      <c r="V144" s="15"/>
      <c r="W144" s="15"/>
      <c r="X144" s="15"/>
      <c r="Y144" s="15"/>
    </row>
    <row r="145" spans="6:25" s="21" customFormat="1" ht="14.25" x14ac:dyDescent="0.45">
      <c r="F145" s="119">
        <v>43648</v>
      </c>
      <c r="G145" s="52">
        <v>279.90823399999999</v>
      </c>
      <c r="H145" s="52">
        <v>89.139938000000001</v>
      </c>
      <c r="I145" s="120">
        <f t="shared" si="1"/>
        <v>2.6043377025681824E-3</v>
      </c>
      <c r="J145" s="120">
        <f t="shared" si="1"/>
        <v>1.0913246912425123E-4</v>
      </c>
      <c r="K145"/>
      <c r="L145"/>
      <c r="N145" s="15"/>
      <c r="O145" s="15"/>
      <c r="P145" s="15"/>
      <c r="Q145" s="15"/>
      <c r="R145" s="15"/>
      <c r="S145" s="15"/>
      <c r="T145" s="15"/>
      <c r="U145" s="15"/>
      <c r="V145" s="15"/>
      <c r="W145" s="15"/>
      <c r="X145" s="15"/>
      <c r="Y145" s="15"/>
    </row>
    <row r="146" spans="6:25" s="21" customFormat="1" ht="14.25" x14ac:dyDescent="0.45">
      <c r="F146" s="119">
        <v>43649</v>
      </c>
      <c r="G146" s="52">
        <v>282.14605699999998</v>
      </c>
      <c r="H146" s="52">
        <v>89.169182000000006</v>
      </c>
      <c r="I146" s="120">
        <f t="shared" si="1"/>
        <v>7.9948451963010037E-3</v>
      </c>
      <c r="J146" s="120">
        <f t="shared" si="1"/>
        <v>3.2806843549759712E-4</v>
      </c>
      <c r="K146"/>
      <c r="L146"/>
      <c r="N146" s="15"/>
      <c r="O146" s="15"/>
      <c r="P146" s="15"/>
      <c r="Q146" s="15"/>
      <c r="R146" s="15"/>
      <c r="S146" s="15"/>
      <c r="T146" s="15"/>
      <c r="U146" s="15"/>
      <c r="V146" s="15"/>
      <c r="W146" s="15"/>
      <c r="X146" s="15"/>
      <c r="Y146" s="15"/>
    </row>
    <row r="147" spans="6:25" s="21" customFormat="1" ht="14.25" x14ac:dyDescent="0.45">
      <c r="F147" s="119">
        <v>43651</v>
      </c>
      <c r="G147" s="52">
        <v>281.82510400000001</v>
      </c>
      <c r="H147" s="52">
        <v>89.159415999999993</v>
      </c>
      <c r="I147" s="120">
        <f t="shared" si="1"/>
        <v>-1.1375420355421717E-3</v>
      </c>
      <c r="J147" s="120">
        <f t="shared" si="1"/>
        <v>-1.0952214409698513E-4</v>
      </c>
      <c r="K147"/>
      <c r="L147"/>
      <c r="N147" s="15"/>
      <c r="O147" s="15"/>
      <c r="P147" s="15"/>
      <c r="Q147" s="15"/>
      <c r="R147" s="15"/>
      <c r="S147" s="15"/>
      <c r="T147" s="15"/>
      <c r="U147" s="15"/>
      <c r="V147" s="15"/>
      <c r="W147" s="15"/>
      <c r="X147" s="15"/>
      <c r="Y147" s="15"/>
    </row>
    <row r="148" spans="6:25" s="21" customFormat="1" ht="14.25" x14ac:dyDescent="0.45">
      <c r="F148" s="119">
        <v>43654</v>
      </c>
      <c r="G148" s="52">
        <v>280.27648900000003</v>
      </c>
      <c r="H148" s="52">
        <v>89.159415999999993</v>
      </c>
      <c r="I148" s="120">
        <f t="shared" si="1"/>
        <v>-5.4949505137057431E-3</v>
      </c>
      <c r="J148" s="120">
        <f t="shared" si="1"/>
        <v>0</v>
      </c>
      <c r="K148"/>
      <c r="L148"/>
      <c r="N148" s="15"/>
      <c r="O148" s="15"/>
      <c r="P148" s="15"/>
      <c r="Q148" s="15"/>
      <c r="R148" s="15"/>
      <c r="S148" s="15"/>
      <c r="T148" s="15"/>
      <c r="U148" s="15"/>
      <c r="V148" s="15"/>
      <c r="W148" s="15"/>
      <c r="X148" s="15"/>
      <c r="Y148" s="15"/>
    </row>
    <row r="149" spans="6:25" s="21" customFormat="1" ht="14.25" x14ac:dyDescent="0.45">
      <c r="F149" s="119">
        <v>43655</v>
      </c>
      <c r="G149" s="52">
        <v>280.625854</v>
      </c>
      <c r="H149" s="52">
        <v>89.169182000000006</v>
      </c>
      <c r="I149" s="120">
        <f t="shared" ref="I149:J212" si="2">G149/G148-1</f>
        <v>1.2465012718207991E-3</v>
      </c>
      <c r="J149" s="120">
        <f t="shared" si="2"/>
        <v>1.0953414051084742E-4</v>
      </c>
      <c r="K149"/>
      <c r="L149"/>
      <c r="N149" s="15"/>
      <c r="O149" s="15"/>
      <c r="P149" s="15"/>
      <c r="Q149" s="15"/>
      <c r="R149" s="15"/>
      <c r="S149" s="15"/>
      <c r="T149" s="15"/>
      <c r="U149" s="15"/>
      <c r="V149" s="15"/>
      <c r="W149" s="15"/>
      <c r="X149" s="15"/>
      <c r="Y149" s="15"/>
    </row>
    <row r="150" spans="6:25" s="21" customFormat="1" ht="14.25" x14ac:dyDescent="0.45">
      <c r="F150" s="119">
        <v>43656</v>
      </c>
      <c r="G150" s="52">
        <v>281.96673600000003</v>
      </c>
      <c r="H150" s="52">
        <v>89.178932000000003</v>
      </c>
      <c r="I150" s="120">
        <f t="shared" si="2"/>
        <v>4.7781841226932631E-3</v>
      </c>
      <c r="J150" s="120">
        <f t="shared" si="2"/>
        <v>1.0934270990614614E-4</v>
      </c>
      <c r="K150"/>
      <c r="L150"/>
      <c r="N150" s="15"/>
      <c r="O150" s="15"/>
      <c r="P150" s="15"/>
      <c r="Q150" s="15"/>
      <c r="R150" s="15"/>
      <c r="S150" s="15"/>
      <c r="T150" s="15"/>
      <c r="U150" s="15"/>
      <c r="V150" s="15"/>
      <c r="W150" s="15"/>
      <c r="X150" s="15"/>
      <c r="Y150" s="15"/>
    </row>
    <row r="151" spans="6:25" s="21" customFormat="1" ht="14.25" x14ac:dyDescent="0.45">
      <c r="F151" s="119">
        <v>43657</v>
      </c>
      <c r="G151" s="52">
        <v>282.627655</v>
      </c>
      <c r="H151" s="52">
        <v>89.198409999999996</v>
      </c>
      <c r="I151" s="120">
        <f t="shared" si="2"/>
        <v>2.3439608848043747E-3</v>
      </c>
      <c r="J151" s="120">
        <f t="shared" si="2"/>
        <v>2.1841481573248167E-4</v>
      </c>
      <c r="K151"/>
      <c r="L151"/>
      <c r="N151" s="15"/>
      <c r="O151" s="15"/>
      <c r="P151" s="15"/>
      <c r="Q151" s="15"/>
      <c r="R151" s="15"/>
      <c r="S151" s="15"/>
      <c r="T151" s="15"/>
      <c r="U151" s="15"/>
      <c r="V151" s="15"/>
      <c r="W151" s="15"/>
      <c r="X151" s="15"/>
      <c r="Y151" s="15"/>
    </row>
    <row r="152" spans="6:25" s="21" customFormat="1" ht="14.25" x14ac:dyDescent="0.45">
      <c r="F152" s="119">
        <v>43658</v>
      </c>
      <c r="G152" s="52">
        <v>283.89306599999998</v>
      </c>
      <c r="H152" s="52">
        <v>89.208175999999995</v>
      </c>
      <c r="I152" s="120">
        <f t="shared" si="2"/>
        <v>4.477307785043072E-3</v>
      </c>
      <c r="J152" s="120">
        <f t="shared" si="2"/>
        <v>1.0948625653761646E-4</v>
      </c>
      <c r="K152"/>
      <c r="L152"/>
      <c r="N152" s="15"/>
      <c r="O152" s="15"/>
      <c r="P152" s="15"/>
      <c r="Q152" s="15"/>
      <c r="R152" s="15"/>
      <c r="S152" s="15"/>
      <c r="T152" s="15"/>
      <c r="U152" s="15"/>
      <c r="V152" s="15"/>
      <c r="W152" s="15"/>
      <c r="X152" s="15"/>
      <c r="Y152" s="15"/>
    </row>
    <row r="153" spans="6:25" s="21" customFormat="1" ht="14.25" x14ac:dyDescent="0.45">
      <c r="F153" s="119">
        <v>43661</v>
      </c>
      <c r="G153" s="52">
        <v>283.98748799999998</v>
      </c>
      <c r="H153" s="52">
        <v>89.208175999999995</v>
      </c>
      <c r="I153" s="120">
        <f t="shared" si="2"/>
        <v>3.3259706314914261E-4</v>
      </c>
      <c r="J153" s="120">
        <f t="shared" si="2"/>
        <v>0</v>
      </c>
      <c r="K153"/>
      <c r="L153"/>
      <c r="N153" s="15"/>
      <c r="O153" s="15"/>
      <c r="P153" s="15"/>
      <c r="Q153" s="15"/>
      <c r="R153" s="15"/>
      <c r="S153" s="15"/>
      <c r="T153" s="15"/>
      <c r="U153" s="15"/>
      <c r="V153" s="15"/>
      <c r="W153" s="15"/>
      <c r="X153" s="15"/>
      <c r="Y153" s="15"/>
    </row>
    <row r="154" spans="6:25" s="21" customFormat="1" ht="14.25" x14ac:dyDescent="0.45">
      <c r="F154" s="119">
        <v>43662</v>
      </c>
      <c r="G154" s="52">
        <v>283.07153299999999</v>
      </c>
      <c r="H154" s="52">
        <v>89.217934</v>
      </c>
      <c r="I154" s="120">
        <f t="shared" si="2"/>
        <v>-3.2253357584542952E-3</v>
      </c>
      <c r="J154" s="120">
        <f t="shared" si="2"/>
        <v>1.0938459273068801E-4</v>
      </c>
      <c r="K154"/>
      <c r="L154"/>
      <c r="N154" s="15"/>
      <c r="O154" s="15"/>
      <c r="P154" s="15"/>
      <c r="Q154" s="15"/>
      <c r="R154" s="15"/>
      <c r="S154" s="15"/>
      <c r="T154" s="15"/>
      <c r="U154" s="15"/>
      <c r="V154" s="15"/>
      <c r="W154" s="15"/>
      <c r="X154" s="15"/>
      <c r="Y154" s="15"/>
    </row>
    <row r="155" spans="6:25" s="21" customFormat="1" ht="14.25" x14ac:dyDescent="0.45">
      <c r="F155" s="119">
        <v>43663</v>
      </c>
      <c r="G155" s="52">
        <v>281.14520299999998</v>
      </c>
      <c r="H155" s="52">
        <v>89.217934</v>
      </c>
      <c r="I155" s="120">
        <f t="shared" si="2"/>
        <v>-6.8050996848206813E-3</v>
      </c>
      <c r="J155" s="120">
        <f t="shared" si="2"/>
        <v>0</v>
      </c>
      <c r="K155"/>
      <c r="L155"/>
      <c r="N155" s="15"/>
      <c r="O155" s="15"/>
      <c r="P155" s="15"/>
      <c r="Q155" s="15"/>
      <c r="R155" s="15"/>
      <c r="S155" s="15"/>
      <c r="T155" s="15"/>
      <c r="U155" s="15"/>
      <c r="V155" s="15"/>
      <c r="W155" s="15"/>
      <c r="X155" s="15"/>
      <c r="Y155" s="15"/>
    </row>
    <row r="156" spans="6:25" s="21" customFormat="1" ht="14.25" x14ac:dyDescent="0.45">
      <c r="F156" s="119">
        <v>43664</v>
      </c>
      <c r="G156" s="52">
        <v>282.17446899999999</v>
      </c>
      <c r="H156" s="52">
        <v>89.247153999999995</v>
      </c>
      <c r="I156" s="120">
        <f t="shared" si="2"/>
        <v>3.6609765666177907E-3</v>
      </c>
      <c r="J156" s="120">
        <f t="shared" si="2"/>
        <v>3.2751262767405365E-4</v>
      </c>
      <c r="K156"/>
      <c r="L156"/>
      <c r="N156" s="15"/>
      <c r="O156" s="15"/>
      <c r="P156" s="15"/>
      <c r="Q156" s="15"/>
      <c r="R156" s="15"/>
      <c r="S156" s="15"/>
      <c r="T156" s="15"/>
      <c r="U156" s="15"/>
      <c r="V156" s="15"/>
      <c r="W156" s="15"/>
      <c r="X156" s="15"/>
      <c r="Y156" s="15"/>
    </row>
    <row r="157" spans="6:25" s="21" customFormat="1" ht="14.25" x14ac:dyDescent="0.45">
      <c r="F157" s="119">
        <v>43665</v>
      </c>
      <c r="G157" s="52">
        <v>280.60699499999998</v>
      </c>
      <c r="H157" s="52">
        <v>89.247153999999995</v>
      </c>
      <c r="I157" s="120">
        <f t="shared" si="2"/>
        <v>-5.5549816592371792E-3</v>
      </c>
      <c r="J157" s="120">
        <f t="shared" si="2"/>
        <v>0</v>
      </c>
      <c r="K157"/>
      <c r="L157"/>
      <c r="N157" s="15"/>
      <c r="O157" s="15"/>
      <c r="P157" s="15"/>
      <c r="Q157" s="15"/>
      <c r="R157" s="15"/>
      <c r="S157" s="15"/>
      <c r="T157" s="15"/>
      <c r="U157" s="15"/>
      <c r="V157" s="15"/>
      <c r="W157" s="15"/>
      <c r="X157" s="15"/>
      <c r="Y157" s="15"/>
    </row>
    <row r="158" spans="6:25" s="21" customFormat="1" ht="14.25" x14ac:dyDescent="0.45">
      <c r="F158" s="119">
        <v>43668</v>
      </c>
      <c r="G158" s="52">
        <v>281.29629499999999</v>
      </c>
      <c r="H158" s="52">
        <v>89.247153999999995</v>
      </c>
      <c r="I158" s="120">
        <f t="shared" si="2"/>
        <v>2.4564605027042052E-3</v>
      </c>
      <c r="J158" s="120">
        <f t="shared" si="2"/>
        <v>0</v>
      </c>
      <c r="K158"/>
      <c r="L158"/>
      <c r="N158" s="15"/>
      <c r="O158" s="15"/>
      <c r="P158" s="15"/>
      <c r="Q158" s="15"/>
      <c r="R158" s="15"/>
      <c r="S158" s="15"/>
      <c r="T158" s="15"/>
      <c r="U158" s="15"/>
      <c r="V158" s="15"/>
      <c r="W158" s="15"/>
      <c r="X158" s="15"/>
      <c r="Y158" s="15"/>
    </row>
    <row r="159" spans="6:25" s="21" customFormat="1" ht="14.25" x14ac:dyDescent="0.45">
      <c r="F159" s="119">
        <v>43669</v>
      </c>
      <c r="G159" s="52">
        <v>283.30755599999998</v>
      </c>
      <c r="H159" s="52">
        <v>89.237426999999997</v>
      </c>
      <c r="I159" s="120">
        <f t="shared" si="2"/>
        <v>7.149973304838575E-3</v>
      </c>
      <c r="J159" s="120">
        <f t="shared" si="2"/>
        <v>-1.0898946984905233E-4</v>
      </c>
      <c r="K159"/>
      <c r="L159"/>
      <c r="N159" s="15"/>
      <c r="O159" s="15"/>
      <c r="P159" s="15"/>
      <c r="Q159" s="15"/>
      <c r="R159" s="15"/>
      <c r="S159" s="15"/>
      <c r="T159" s="15"/>
      <c r="U159" s="15"/>
      <c r="V159" s="15"/>
      <c r="W159" s="15"/>
      <c r="X159" s="15"/>
      <c r="Y159" s="15"/>
    </row>
    <row r="160" spans="6:25" s="21" customFormat="1" ht="14.25" x14ac:dyDescent="0.45">
      <c r="F160" s="119">
        <v>43670</v>
      </c>
      <c r="G160" s="52">
        <v>284.63897700000001</v>
      </c>
      <c r="H160" s="52">
        <v>89.256889000000001</v>
      </c>
      <c r="I160" s="120">
        <f t="shared" si="2"/>
        <v>4.6995605016622033E-3</v>
      </c>
      <c r="J160" s="120">
        <f t="shared" si="2"/>
        <v>2.1809234818026546E-4</v>
      </c>
      <c r="K160"/>
      <c r="L160"/>
      <c r="N160" s="15"/>
      <c r="O160" s="15"/>
      <c r="P160" s="15"/>
      <c r="Q160" s="15"/>
      <c r="R160" s="15"/>
      <c r="S160" s="15"/>
      <c r="T160" s="15"/>
      <c r="U160" s="15"/>
      <c r="V160" s="15"/>
      <c r="W160" s="15"/>
      <c r="X160" s="15"/>
      <c r="Y160" s="15"/>
    </row>
    <row r="161" spans="6:25" s="21" customFormat="1" ht="14.25" x14ac:dyDescent="0.45">
      <c r="F161" s="119">
        <v>43671</v>
      </c>
      <c r="G161" s="52">
        <v>283.27926600000001</v>
      </c>
      <c r="H161" s="52">
        <v>89.276381999999998</v>
      </c>
      <c r="I161" s="120">
        <f t="shared" si="2"/>
        <v>-4.7769669998497521E-3</v>
      </c>
      <c r="J161" s="120">
        <f t="shared" si="2"/>
        <v>2.1839210640650641E-4</v>
      </c>
      <c r="K161"/>
      <c r="L161"/>
      <c r="N161" s="15"/>
      <c r="O161" s="15"/>
      <c r="P161" s="15"/>
      <c r="Q161" s="15"/>
      <c r="R161" s="15"/>
      <c r="S161" s="15"/>
      <c r="T161" s="15"/>
      <c r="U161" s="15"/>
      <c r="V161" s="15"/>
      <c r="W161" s="15"/>
      <c r="X161" s="15"/>
      <c r="Y161" s="15"/>
    </row>
    <row r="162" spans="6:25" s="21" customFormat="1" ht="14.25" x14ac:dyDescent="0.45">
      <c r="F162" s="119">
        <v>43672</v>
      </c>
      <c r="G162" s="52">
        <v>285.17721599999999</v>
      </c>
      <c r="H162" s="52">
        <v>89.266655</v>
      </c>
      <c r="I162" s="120">
        <f t="shared" si="2"/>
        <v>6.6999255780335609E-3</v>
      </c>
      <c r="J162" s="120">
        <f t="shared" si="2"/>
        <v>-1.0895378802422417E-4</v>
      </c>
      <c r="K162"/>
      <c r="L162"/>
      <c r="N162" s="15"/>
      <c r="O162" s="15"/>
      <c r="P162" s="15"/>
      <c r="Q162" s="15"/>
      <c r="R162" s="15"/>
      <c r="S162" s="15"/>
      <c r="T162" s="15"/>
      <c r="U162" s="15"/>
      <c r="V162" s="15"/>
      <c r="W162" s="15"/>
      <c r="X162" s="15"/>
      <c r="Y162" s="15"/>
    </row>
    <row r="163" spans="6:25" s="21" customFormat="1" ht="14.25" x14ac:dyDescent="0.45">
      <c r="F163" s="119">
        <v>43675</v>
      </c>
      <c r="G163" s="52">
        <v>284.65789799999999</v>
      </c>
      <c r="H163" s="52">
        <v>89.286140000000003</v>
      </c>
      <c r="I163" s="120">
        <f t="shared" si="2"/>
        <v>-1.8210360816482973E-3</v>
      </c>
      <c r="J163" s="120">
        <f t="shared" si="2"/>
        <v>2.1827859462186794E-4</v>
      </c>
      <c r="K163"/>
      <c r="L163"/>
      <c r="N163" s="15"/>
      <c r="O163" s="15"/>
      <c r="P163" s="15"/>
      <c r="Q163" s="15"/>
      <c r="R163" s="15"/>
      <c r="S163" s="15"/>
      <c r="T163" s="15"/>
      <c r="U163" s="15"/>
      <c r="V163" s="15"/>
      <c r="W163" s="15"/>
      <c r="X163" s="15"/>
      <c r="Y163" s="15"/>
    </row>
    <row r="164" spans="6:25" s="21" customFormat="1" ht="14.25" x14ac:dyDescent="0.45">
      <c r="F164" s="119">
        <v>43676</v>
      </c>
      <c r="G164" s="52">
        <v>283.959137</v>
      </c>
      <c r="H164" s="52">
        <v>89.286140000000003</v>
      </c>
      <c r="I164" s="120">
        <f t="shared" si="2"/>
        <v>-2.4547395484526557E-3</v>
      </c>
      <c r="J164" s="120">
        <f t="shared" si="2"/>
        <v>0</v>
      </c>
      <c r="K164"/>
      <c r="L164"/>
      <c r="N164" s="15"/>
      <c r="O164" s="15"/>
      <c r="P164" s="15"/>
      <c r="Q164" s="15"/>
      <c r="R164" s="15"/>
      <c r="S164" s="15"/>
      <c r="T164" s="15"/>
      <c r="U164" s="15"/>
      <c r="V164" s="15"/>
      <c r="W164" s="15"/>
      <c r="X164" s="15"/>
      <c r="Y164" s="15"/>
    </row>
    <row r="165" spans="6:25" s="21" customFormat="1" ht="14.25" x14ac:dyDescent="0.45">
      <c r="F165" s="119">
        <v>43677</v>
      </c>
      <c r="G165" s="52">
        <v>280.852509</v>
      </c>
      <c r="H165" s="52">
        <v>89.295876000000007</v>
      </c>
      <c r="I165" s="120">
        <f t="shared" si="2"/>
        <v>-1.0940405133010422E-2</v>
      </c>
      <c r="J165" s="120">
        <f t="shared" si="2"/>
        <v>1.0904268008449236E-4</v>
      </c>
      <c r="K165"/>
      <c r="L165"/>
      <c r="N165" s="15"/>
      <c r="O165" s="15"/>
      <c r="P165" s="15"/>
      <c r="Q165" s="15"/>
      <c r="R165" s="15"/>
      <c r="S165" s="15"/>
      <c r="T165" s="15"/>
      <c r="U165" s="15"/>
      <c r="V165" s="15"/>
      <c r="W165" s="15"/>
      <c r="X165" s="15"/>
      <c r="Y165" s="15"/>
    </row>
    <row r="166" spans="6:25" s="21" customFormat="1" ht="14.25" x14ac:dyDescent="0.45">
      <c r="F166" s="119">
        <v>43678</v>
      </c>
      <c r="G166" s="52">
        <v>278.40683000000001</v>
      </c>
      <c r="H166" s="52">
        <v>89.320312999999999</v>
      </c>
      <c r="I166" s="120">
        <f t="shared" si="2"/>
        <v>-8.7080546608183651E-3</v>
      </c>
      <c r="J166" s="120">
        <f t="shared" si="2"/>
        <v>2.7366325405653313E-4</v>
      </c>
      <c r="K166"/>
      <c r="L166"/>
      <c r="N166" s="15"/>
      <c r="O166" s="15"/>
      <c r="P166" s="15"/>
      <c r="Q166" s="15"/>
      <c r="R166" s="15"/>
      <c r="S166" s="15"/>
      <c r="T166" s="15"/>
      <c r="U166" s="15"/>
      <c r="V166" s="15"/>
      <c r="W166" s="15"/>
      <c r="X166" s="15"/>
      <c r="Y166" s="15"/>
    </row>
    <row r="167" spans="6:25" s="21" customFormat="1" ht="14.25" x14ac:dyDescent="0.45">
      <c r="F167" s="119">
        <v>43679</v>
      </c>
      <c r="G167" s="52">
        <v>276.31057700000002</v>
      </c>
      <c r="H167" s="52">
        <v>89.320312999999999</v>
      </c>
      <c r="I167" s="120">
        <f t="shared" si="2"/>
        <v>-7.5294596759712951E-3</v>
      </c>
      <c r="J167" s="120">
        <f t="shared" si="2"/>
        <v>0</v>
      </c>
      <c r="K167"/>
      <c r="L167"/>
      <c r="N167" s="15"/>
      <c r="O167" s="15"/>
      <c r="P167" s="15"/>
      <c r="Q167" s="15"/>
      <c r="R167" s="15"/>
      <c r="S167" s="15"/>
      <c r="T167" s="15"/>
      <c r="U167" s="15"/>
      <c r="V167" s="15"/>
      <c r="W167" s="15"/>
      <c r="X167" s="15"/>
      <c r="Y167" s="15"/>
    </row>
    <row r="168" spans="6:25" s="21" customFormat="1" ht="14.25" x14ac:dyDescent="0.45">
      <c r="F168" s="119">
        <v>43682</v>
      </c>
      <c r="G168" s="52">
        <v>268.00100700000002</v>
      </c>
      <c r="H168" s="52">
        <v>89.310531999999995</v>
      </c>
      <c r="I168" s="120">
        <f t="shared" si="2"/>
        <v>-3.0073296832209273E-2</v>
      </c>
      <c r="J168" s="120">
        <f t="shared" si="2"/>
        <v>-1.0950476628990291E-4</v>
      </c>
      <c r="K168"/>
      <c r="L168"/>
      <c r="N168" s="15"/>
      <c r="O168" s="15"/>
      <c r="P168" s="15"/>
      <c r="Q168" s="15"/>
      <c r="R168" s="15"/>
      <c r="S168" s="15"/>
      <c r="T168" s="15"/>
      <c r="U168" s="15"/>
      <c r="V168" s="15"/>
      <c r="W168" s="15"/>
      <c r="X168" s="15"/>
      <c r="Y168" s="15"/>
    </row>
    <row r="169" spans="6:25" s="21" customFormat="1" ht="14.25" x14ac:dyDescent="0.45">
      <c r="F169" s="119">
        <v>43683</v>
      </c>
      <c r="G169" s="52">
        <v>271.75924700000002</v>
      </c>
      <c r="H169" s="52">
        <v>89.320312999999999</v>
      </c>
      <c r="I169" s="120">
        <f t="shared" si="2"/>
        <v>1.4023230890322758E-2</v>
      </c>
      <c r="J169" s="120">
        <f t="shared" si="2"/>
        <v>1.0951675889692147E-4</v>
      </c>
      <c r="K169"/>
      <c r="L169"/>
      <c r="N169" s="15"/>
      <c r="O169" s="15"/>
      <c r="P169" s="15"/>
      <c r="Q169" s="15"/>
      <c r="R169" s="15"/>
      <c r="S169" s="15"/>
      <c r="T169" s="15"/>
      <c r="U169" s="15"/>
      <c r="V169" s="15"/>
      <c r="W169" s="15"/>
      <c r="X169" s="15"/>
      <c r="Y169" s="15"/>
    </row>
    <row r="170" spans="6:25" s="21" customFormat="1" ht="14.25" x14ac:dyDescent="0.45">
      <c r="F170" s="119">
        <v>43684</v>
      </c>
      <c r="G170" s="52">
        <v>271.91970800000001</v>
      </c>
      <c r="H170" s="52">
        <v>89.339827999999997</v>
      </c>
      <c r="I170" s="120">
        <f t="shared" si="2"/>
        <v>5.9045276939562186E-4</v>
      </c>
      <c r="J170" s="120">
        <f t="shared" si="2"/>
        <v>2.1848333648355478E-4</v>
      </c>
      <c r="K170"/>
      <c r="L170"/>
      <c r="N170" s="15"/>
      <c r="O170" s="15"/>
      <c r="P170" s="15"/>
      <c r="Q170" s="15"/>
      <c r="R170" s="15"/>
      <c r="S170" s="15"/>
      <c r="T170" s="15"/>
      <c r="U170" s="15"/>
      <c r="V170" s="15"/>
      <c r="W170" s="15"/>
      <c r="X170" s="15"/>
      <c r="Y170" s="15"/>
    </row>
    <row r="171" spans="6:25" s="21" customFormat="1" ht="14.25" x14ac:dyDescent="0.45">
      <c r="F171" s="119">
        <v>43685</v>
      </c>
      <c r="G171" s="52">
        <v>277.25491299999999</v>
      </c>
      <c r="H171" s="52">
        <v>89.349586000000002</v>
      </c>
      <c r="I171" s="120">
        <f t="shared" si="2"/>
        <v>1.9620516067926808E-2</v>
      </c>
      <c r="J171" s="120">
        <f t="shared" si="2"/>
        <v>1.0922340257923935E-4</v>
      </c>
      <c r="K171"/>
      <c r="L171"/>
      <c r="N171" s="15"/>
      <c r="O171" s="15"/>
      <c r="P171" s="15"/>
      <c r="Q171" s="15"/>
      <c r="R171" s="15"/>
      <c r="S171" s="15"/>
      <c r="T171" s="15"/>
      <c r="U171" s="15"/>
      <c r="V171" s="15"/>
      <c r="W171" s="15"/>
      <c r="X171" s="15"/>
      <c r="Y171" s="15"/>
    </row>
    <row r="172" spans="6:25" s="21" customFormat="1" ht="14.25" x14ac:dyDescent="0.45">
      <c r="F172" s="119">
        <v>43686</v>
      </c>
      <c r="G172" s="52">
        <v>275.366333</v>
      </c>
      <c r="H172" s="52">
        <v>89.339827999999997</v>
      </c>
      <c r="I172" s="120">
        <f t="shared" si="2"/>
        <v>-6.8117097712169228E-3</v>
      </c>
      <c r="J172" s="120">
        <f t="shared" si="2"/>
        <v>-1.0921147413045507E-4</v>
      </c>
      <c r="K172"/>
      <c r="L172"/>
      <c r="N172" s="15"/>
      <c r="O172" s="15"/>
      <c r="P172" s="15"/>
      <c r="Q172" s="15"/>
      <c r="R172" s="15"/>
      <c r="S172" s="15"/>
      <c r="T172" s="15"/>
      <c r="U172" s="15"/>
      <c r="V172" s="15"/>
      <c r="W172" s="15"/>
      <c r="X172" s="15"/>
      <c r="Y172" s="15"/>
    </row>
    <row r="173" spans="6:25" s="21" customFormat="1" ht="14.25" x14ac:dyDescent="0.45">
      <c r="F173" s="119">
        <v>43689</v>
      </c>
      <c r="G173" s="52">
        <v>272.01416</v>
      </c>
      <c r="H173" s="52">
        <v>89.359367000000006</v>
      </c>
      <c r="I173" s="120">
        <f t="shared" si="2"/>
        <v>-1.2173503432607369E-2</v>
      </c>
      <c r="J173" s="120">
        <f t="shared" si="2"/>
        <v>2.1870424912839859E-4</v>
      </c>
      <c r="K173"/>
      <c r="L173"/>
      <c r="N173" s="15"/>
      <c r="O173" s="15"/>
      <c r="P173" s="15"/>
      <c r="Q173" s="15"/>
      <c r="R173" s="15"/>
      <c r="S173" s="15"/>
      <c r="T173" s="15"/>
      <c r="U173" s="15"/>
      <c r="V173" s="15"/>
      <c r="W173" s="15"/>
      <c r="X173" s="15"/>
      <c r="Y173" s="15"/>
    </row>
    <row r="174" spans="6:25" s="21" customFormat="1" ht="14.25" x14ac:dyDescent="0.45">
      <c r="F174" s="119">
        <v>43690</v>
      </c>
      <c r="G174" s="52">
        <v>276.244415</v>
      </c>
      <c r="H174" s="52">
        <v>89.369140999999999</v>
      </c>
      <c r="I174" s="120">
        <f t="shared" si="2"/>
        <v>1.5551598490313845E-2</v>
      </c>
      <c r="J174" s="120">
        <f t="shared" si="2"/>
        <v>1.0937857247794724E-4</v>
      </c>
      <c r="K174"/>
      <c r="L174"/>
      <c r="N174" s="15"/>
      <c r="O174" s="15"/>
      <c r="P174" s="15"/>
      <c r="Q174" s="15"/>
      <c r="R174" s="15"/>
      <c r="S174" s="15"/>
      <c r="T174" s="15"/>
      <c r="U174" s="15"/>
      <c r="V174" s="15"/>
      <c r="W174" s="15"/>
      <c r="X174" s="15"/>
      <c r="Y174" s="15"/>
    </row>
    <row r="175" spans="6:25" s="21" customFormat="1" ht="14.25" x14ac:dyDescent="0.45">
      <c r="F175" s="119">
        <v>43691</v>
      </c>
      <c r="G175" s="52">
        <v>268.07656900000001</v>
      </c>
      <c r="H175" s="52">
        <v>89.359367000000006</v>
      </c>
      <c r="I175" s="120">
        <f t="shared" si="2"/>
        <v>-2.956746111953068E-2</v>
      </c>
      <c r="J175" s="120">
        <f t="shared" si="2"/>
        <v>-1.0936661011429205E-4</v>
      </c>
      <c r="K175"/>
      <c r="L175"/>
      <c r="N175" s="15"/>
      <c r="O175" s="15"/>
      <c r="P175" s="15"/>
      <c r="Q175" s="15"/>
      <c r="R175" s="15"/>
      <c r="S175" s="15"/>
      <c r="T175" s="15"/>
      <c r="U175" s="15"/>
      <c r="V175" s="15"/>
      <c r="W175" s="15"/>
      <c r="X175" s="15"/>
      <c r="Y175" s="15"/>
    </row>
    <row r="176" spans="6:25" s="21" customFormat="1" ht="14.25" x14ac:dyDescent="0.45">
      <c r="F176" s="119">
        <v>43692</v>
      </c>
      <c r="G176" s="52">
        <v>268.78478999999999</v>
      </c>
      <c r="H176" s="52">
        <v>89.398398999999998</v>
      </c>
      <c r="I176" s="120">
        <f t="shared" si="2"/>
        <v>2.6418608781879627E-3</v>
      </c>
      <c r="J176" s="120">
        <f t="shared" si="2"/>
        <v>4.3679808072050186E-4</v>
      </c>
      <c r="K176"/>
      <c r="L176"/>
      <c r="N176" s="15"/>
      <c r="O176" s="15"/>
      <c r="P176" s="15"/>
      <c r="Q176" s="15"/>
      <c r="R176" s="15"/>
      <c r="S176" s="15"/>
      <c r="T176" s="15"/>
      <c r="U176" s="15"/>
      <c r="V176" s="15"/>
      <c r="W176" s="15"/>
      <c r="X176" s="15"/>
      <c r="Y176" s="15"/>
    </row>
    <row r="177" spans="6:25" s="21" customFormat="1" ht="14.25" x14ac:dyDescent="0.45">
      <c r="F177" s="119">
        <v>43693</v>
      </c>
      <c r="G177" s="52">
        <v>272.75070199999999</v>
      </c>
      <c r="H177" s="52">
        <v>89.388656999999995</v>
      </c>
      <c r="I177" s="120">
        <f t="shared" si="2"/>
        <v>1.4754971812207085E-2</v>
      </c>
      <c r="J177" s="120">
        <f t="shared" si="2"/>
        <v>-1.089728687423408E-4</v>
      </c>
      <c r="K177"/>
      <c r="L177"/>
      <c r="N177" s="15"/>
      <c r="O177" s="15"/>
      <c r="P177" s="15"/>
      <c r="Q177" s="15"/>
      <c r="R177" s="15"/>
      <c r="S177" s="15"/>
      <c r="T177" s="15"/>
      <c r="U177" s="15"/>
      <c r="V177" s="15"/>
      <c r="W177" s="15"/>
      <c r="X177" s="15"/>
      <c r="Y177" s="15"/>
    </row>
    <row r="178" spans="6:25" s="21" customFormat="1" ht="14.25" x14ac:dyDescent="0.45">
      <c r="F178" s="119">
        <v>43696</v>
      </c>
      <c r="G178" s="52">
        <v>276.03668199999998</v>
      </c>
      <c r="H178" s="52">
        <v>89.388656999999995</v>
      </c>
      <c r="I178" s="120">
        <f t="shared" si="2"/>
        <v>1.2047558359721489E-2</v>
      </c>
      <c r="J178" s="120">
        <f t="shared" si="2"/>
        <v>0</v>
      </c>
      <c r="K178"/>
      <c r="L178"/>
      <c r="N178" s="15"/>
      <c r="O178" s="15"/>
      <c r="P178" s="15"/>
      <c r="Q178" s="15"/>
      <c r="R178" s="15"/>
      <c r="S178" s="15"/>
      <c r="T178" s="15"/>
      <c r="U178" s="15"/>
      <c r="V178" s="15"/>
      <c r="W178" s="15"/>
      <c r="X178" s="15"/>
      <c r="Y178" s="15"/>
    </row>
    <row r="179" spans="6:25" s="21" customFormat="1" ht="14.25" x14ac:dyDescent="0.45">
      <c r="F179" s="119">
        <v>43697</v>
      </c>
      <c r="G179" s="52">
        <v>273.92156999999997</v>
      </c>
      <c r="H179" s="52">
        <v>89.398398999999998</v>
      </c>
      <c r="I179" s="120">
        <f t="shared" si="2"/>
        <v>-7.6624308938766372E-3</v>
      </c>
      <c r="J179" s="120">
        <f t="shared" si="2"/>
        <v>1.0898474512277545E-4</v>
      </c>
      <c r="K179"/>
      <c r="L179"/>
      <c r="N179" s="15"/>
      <c r="O179" s="15"/>
      <c r="P179" s="15"/>
      <c r="Q179" s="15"/>
      <c r="R179" s="15"/>
      <c r="S179" s="15"/>
      <c r="T179" s="15"/>
      <c r="U179" s="15"/>
      <c r="V179" s="15"/>
      <c r="W179" s="15"/>
      <c r="X179" s="15"/>
      <c r="Y179" s="15"/>
    </row>
    <row r="180" spans="6:25" s="21" customFormat="1" ht="14.25" x14ac:dyDescent="0.45">
      <c r="F180" s="119">
        <v>43698</v>
      </c>
      <c r="G180" s="52">
        <v>276.15011600000003</v>
      </c>
      <c r="H180" s="52">
        <v>89.388656999999995</v>
      </c>
      <c r="I180" s="120">
        <f t="shared" si="2"/>
        <v>8.1357083343238656E-3</v>
      </c>
      <c r="J180" s="120">
        <f t="shared" si="2"/>
        <v>-1.089728687423408E-4</v>
      </c>
      <c r="K180"/>
      <c r="L180"/>
      <c r="N180" s="15"/>
      <c r="O180" s="15"/>
      <c r="P180" s="15"/>
      <c r="Q180" s="15"/>
      <c r="R180" s="15"/>
      <c r="S180" s="15"/>
      <c r="T180" s="15"/>
      <c r="U180" s="15"/>
      <c r="V180" s="15"/>
      <c r="W180" s="15"/>
      <c r="X180" s="15"/>
      <c r="Y180" s="15"/>
    </row>
    <row r="181" spans="6:25" s="21" customFormat="1" ht="14.25" x14ac:dyDescent="0.45">
      <c r="F181" s="119">
        <v>43699</v>
      </c>
      <c r="G181" s="52">
        <v>276.06506300000001</v>
      </c>
      <c r="H181" s="52">
        <v>89.417946000000001</v>
      </c>
      <c r="I181" s="120">
        <f t="shared" si="2"/>
        <v>-3.0799552515858863E-4</v>
      </c>
      <c r="J181" s="120">
        <f t="shared" si="2"/>
        <v>3.2765902277742676E-4</v>
      </c>
      <c r="K181"/>
      <c r="L181"/>
      <c r="N181" s="15"/>
      <c r="O181" s="15"/>
      <c r="P181" s="15"/>
      <c r="Q181" s="15"/>
      <c r="R181" s="15"/>
      <c r="S181" s="15"/>
      <c r="T181" s="15"/>
      <c r="U181" s="15"/>
      <c r="V181" s="15"/>
      <c r="W181" s="15"/>
      <c r="X181" s="15"/>
      <c r="Y181" s="15"/>
    </row>
    <row r="182" spans="6:25" s="21" customFormat="1" ht="14.25" x14ac:dyDescent="0.45">
      <c r="F182" s="119">
        <v>43700</v>
      </c>
      <c r="G182" s="52">
        <v>268.97363300000001</v>
      </c>
      <c r="H182" s="52">
        <v>89.408173000000005</v>
      </c>
      <c r="I182" s="120">
        <f t="shared" si="2"/>
        <v>-2.5687531493255311E-2</v>
      </c>
      <c r="J182" s="120">
        <f t="shared" si="2"/>
        <v>-1.0929573354323541E-4</v>
      </c>
      <c r="K182"/>
      <c r="L182"/>
      <c r="N182" s="15"/>
      <c r="O182" s="15"/>
      <c r="P182" s="15"/>
      <c r="Q182" s="15"/>
      <c r="R182" s="15"/>
      <c r="S182" s="15"/>
      <c r="T182" s="15"/>
      <c r="U182" s="15"/>
      <c r="V182" s="15"/>
      <c r="W182" s="15"/>
      <c r="X182" s="15"/>
      <c r="Y182" s="15"/>
    </row>
    <row r="183" spans="6:25" s="21" customFormat="1" ht="14.25" x14ac:dyDescent="0.45">
      <c r="F183" s="119">
        <v>43703</v>
      </c>
      <c r="G183" s="52">
        <v>271.94802900000002</v>
      </c>
      <c r="H183" s="52">
        <v>89.417946000000001</v>
      </c>
      <c r="I183" s="120">
        <f t="shared" si="2"/>
        <v>1.1058318121464294E-2</v>
      </c>
      <c r="J183" s="120">
        <f t="shared" si="2"/>
        <v>1.0930768040640082E-4</v>
      </c>
      <c r="K183"/>
      <c r="L183"/>
      <c r="N183" s="15"/>
      <c r="O183" s="15"/>
      <c r="P183" s="15"/>
      <c r="Q183" s="15"/>
      <c r="R183" s="15"/>
      <c r="S183" s="15"/>
      <c r="T183" s="15"/>
      <c r="U183" s="15"/>
      <c r="V183" s="15"/>
      <c r="W183" s="15"/>
      <c r="X183" s="15"/>
      <c r="Y183" s="15"/>
    </row>
    <row r="184" spans="6:25" s="21" customFormat="1" ht="14.25" x14ac:dyDescent="0.45">
      <c r="F184" s="119">
        <v>43704</v>
      </c>
      <c r="G184" s="52">
        <v>270.88110399999999</v>
      </c>
      <c r="H184" s="52">
        <v>89.427689000000001</v>
      </c>
      <c r="I184" s="120">
        <f t="shared" si="2"/>
        <v>-3.9232680005929499E-3</v>
      </c>
      <c r="J184" s="120">
        <f t="shared" si="2"/>
        <v>1.0896023042183955E-4</v>
      </c>
      <c r="K184"/>
      <c r="L184"/>
      <c r="N184" s="15"/>
      <c r="O184" s="15"/>
      <c r="P184" s="15"/>
      <c r="Q184" s="15"/>
      <c r="R184" s="15"/>
      <c r="S184" s="15"/>
      <c r="T184" s="15"/>
      <c r="U184" s="15"/>
      <c r="V184" s="15"/>
      <c r="W184" s="15"/>
      <c r="X184" s="15"/>
      <c r="Y184" s="15"/>
    </row>
    <row r="185" spans="6:25" s="21" customFormat="1" ht="14.25" x14ac:dyDescent="0.45">
      <c r="F185" s="119">
        <v>43705</v>
      </c>
      <c r="G185" s="52">
        <v>272.78851300000002</v>
      </c>
      <c r="H185" s="52">
        <v>89.417946000000001</v>
      </c>
      <c r="I185" s="120">
        <f t="shared" si="2"/>
        <v>7.0414989153324559E-3</v>
      </c>
      <c r="J185" s="120">
        <f t="shared" si="2"/>
        <v>-1.0894835938346503E-4</v>
      </c>
      <c r="K185"/>
      <c r="L185"/>
      <c r="N185" s="15"/>
      <c r="O185" s="15"/>
      <c r="P185" s="15"/>
      <c r="Q185" s="15"/>
      <c r="R185" s="15"/>
      <c r="S185" s="15"/>
      <c r="T185" s="15"/>
      <c r="U185" s="15"/>
      <c r="V185" s="15"/>
      <c r="W185" s="15"/>
      <c r="X185" s="15"/>
      <c r="Y185" s="15"/>
    </row>
    <row r="186" spans="6:25" s="21" customFormat="1" ht="14.25" x14ac:dyDescent="0.45">
      <c r="F186" s="119">
        <v>43706</v>
      </c>
      <c r="G186" s="52">
        <v>276.27279700000003</v>
      </c>
      <c r="H186" s="52">
        <v>89.437461999999996</v>
      </c>
      <c r="I186" s="120">
        <f t="shared" si="2"/>
        <v>1.2772839888606224E-2</v>
      </c>
      <c r="J186" s="120">
        <f t="shared" si="2"/>
        <v>2.1825596396496394E-4</v>
      </c>
      <c r="K186"/>
      <c r="L186"/>
      <c r="N186" s="15"/>
      <c r="O186" s="15"/>
      <c r="P186" s="15"/>
      <c r="Q186" s="15"/>
      <c r="R186" s="15"/>
      <c r="S186" s="15"/>
      <c r="T186" s="15"/>
      <c r="U186" s="15"/>
      <c r="V186" s="15"/>
      <c r="W186" s="15"/>
      <c r="X186" s="15"/>
      <c r="Y186" s="15"/>
    </row>
    <row r="187" spans="6:25" s="21" customFormat="1" ht="14.25" x14ac:dyDescent="0.45">
      <c r="F187" s="119">
        <v>43707</v>
      </c>
      <c r="G187" s="52">
        <v>276.15011600000003</v>
      </c>
      <c r="H187" s="52">
        <v>89.447211999999993</v>
      </c>
      <c r="I187" s="120">
        <f t="shared" si="2"/>
        <v>-4.4405747265807705E-4</v>
      </c>
      <c r="J187" s="120">
        <f t="shared" si="2"/>
        <v>1.0901472137025969E-4</v>
      </c>
      <c r="K187"/>
      <c r="L187"/>
      <c r="N187" s="15"/>
      <c r="O187" s="15"/>
      <c r="P187" s="15"/>
      <c r="Q187" s="15"/>
      <c r="R187" s="15"/>
      <c r="S187" s="15"/>
      <c r="T187" s="15"/>
      <c r="U187" s="15"/>
      <c r="V187" s="15"/>
      <c r="W187" s="15"/>
      <c r="X187" s="15"/>
      <c r="Y187" s="15"/>
    </row>
    <row r="188" spans="6:25" s="21" customFormat="1" ht="14.25" x14ac:dyDescent="0.45">
      <c r="F188" s="119">
        <v>43711</v>
      </c>
      <c r="G188" s="52">
        <v>274.53533900000002</v>
      </c>
      <c r="H188" s="52">
        <v>89.464850999999996</v>
      </c>
      <c r="I188" s="120">
        <f t="shared" si="2"/>
        <v>-5.8474608788504634E-3</v>
      </c>
      <c r="J188" s="120">
        <f t="shared" si="2"/>
        <v>1.9720010949031419E-4</v>
      </c>
      <c r="K188"/>
      <c r="L188"/>
      <c r="N188" s="15"/>
      <c r="O188" s="15"/>
      <c r="P188" s="15"/>
      <c r="Q188" s="15"/>
      <c r="R188" s="15"/>
      <c r="S188" s="15"/>
      <c r="T188" s="15"/>
      <c r="U188" s="15"/>
      <c r="V188" s="15"/>
      <c r="W188" s="15"/>
      <c r="X188" s="15"/>
      <c r="Y188" s="15"/>
    </row>
    <row r="189" spans="6:25" s="21" customFormat="1" ht="14.25" x14ac:dyDescent="0.45">
      <c r="F189" s="119">
        <v>43712</v>
      </c>
      <c r="G189" s="52">
        <v>277.65145899999999</v>
      </c>
      <c r="H189" s="52">
        <v>89.455062999999996</v>
      </c>
      <c r="I189" s="120">
        <f t="shared" si="2"/>
        <v>1.1350524166945153E-2</v>
      </c>
      <c r="J189" s="120">
        <f t="shared" si="2"/>
        <v>-1.0940609513787614E-4</v>
      </c>
      <c r="K189"/>
      <c r="L189"/>
      <c r="N189" s="15"/>
      <c r="O189" s="15"/>
      <c r="P189" s="15"/>
      <c r="Q189" s="15"/>
      <c r="R189" s="15"/>
      <c r="S189" s="15"/>
      <c r="T189" s="15"/>
      <c r="U189" s="15"/>
      <c r="V189" s="15"/>
      <c r="W189" s="15"/>
      <c r="X189" s="15"/>
      <c r="Y189" s="15"/>
    </row>
    <row r="190" spans="6:25" s="21" customFormat="1" ht="14.25" x14ac:dyDescent="0.45">
      <c r="F190" s="119">
        <v>43713</v>
      </c>
      <c r="G190" s="52">
        <v>281.22076399999997</v>
      </c>
      <c r="H190" s="52">
        <v>89.464850999999996</v>
      </c>
      <c r="I190" s="120">
        <f t="shared" si="2"/>
        <v>1.2855343936802432E-2</v>
      </c>
      <c r="J190" s="120">
        <f t="shared" si="2"/>
        <v>1.0941806614117588E-4</v>
      </c>
      <c r="K190"/>
      <c r="L190"/>
      <c r="N190" s="15"/>
      <c r="O190" s="15"/>
      <c r="P190" s="15"/>
      <c r="Q190" s="15"/>
      <c r="R190" s="15"/>
      <c r="S190" s="15"/>
      <c r="T190" s="15"/>
      <c r="U190" s="15"/>
      <c r="V190" s="15"/>
      <c r="W190" s="15"/>
      <c r="X190" s="15"/>
      <c r="Y190" s="15"/>
    </row>
    <row r="191" spans="6:25" s="21" customFormat="1" ht="14.25" x14ac:dyDescent="0.45">
      <c r="F191" s="119">
        <v>43714</v>
      </c>
      <c r="G191" s="52">
        <v>281.43789700000002</v>
      </c>
      <c r="H191" s="52">
        <v>89.474632</v>
      </c>
      <c r="I191" s="120">
        <f t="shared" si="2"/>
        <v>7.7210870531607689E-4</v>
      </c>
      <c r="J191" s="120">
        <f t="shared" si="2"/>
        <v>1.0932785211936746E-4</v>
      </c>
      <c r="K191"/>
      <c r="L191"/>
      <c r="N191" s="15"/>
      <c r="O191" s="15"/>
      <c r="P191" s="15"/>
      <c r="Q191" s="15"/>
      <c r="R191" s="15"/>
      <c r="S191" s="15"/>
      <c r="T191" s="15"/>
      <c r="U191" s="15"/>
      <c r="V191" s="15"/>
      <c r="W191" s="15"/>
      <c r="X191" s="15"/>
      <c r="Y191" s="15"/>
    </row>
    <row r="192" spans="6:25" s="21" customFormat="1" ht="14.25" x14ac:dyDescent="0.45">
      <c r="F192" s="119">
        <v>43717</v>
      </c>
      <c r="G192" s="52">
        <v>281.579498</v>
      </c>
      <c r="H192" s="52">
        <v>89.474632</v>
      </c>
      <c r="I192" s="120">
        <f t="shared" si="2"/>
        <v>5.0313408929425485E-4</v>
      </c>
      <c r="J192" s="120">
        <f t="shared" si="2"/>
        <v>0</v>
      </c>
      <c r="K192"/>
      <c r="L192"/>
      <c r="N192" s="15"/>
      <c r="O192" s="15"/>
      <c r="P192" s="15"/>
      <c r="Q192" s="15"/>
      <c r="R192" s="15"/>
      <c r="S192" s="15"/>
      <c r="T192" s="15"/>
      <c r="U192" s="15"/>
      <c r="V192" s="15"/>
      <c r="W192" s="15"/>
      <c r="X192" s="15"/>
      <c r="Y192" s="15"/>
    </row>
    <row r="193" spans="6:25" s="21" customFormat="1" ht="14.25" x14ac:dyDescent="0.45">
      <c r="F193" s="119">
        <v>43718</v>
      </c>
      <c r="G193" s="52">
        <v>281.51348899999999</v>
      </c>
      <c r="H193" s="52">
        <v>89.494193999999993</v>
      </c>
      <c r="I193" s="120">
        <f t="shared" si="2"/>
        <v>-2.3442402756190805E-4</v>
      </c>
      <c r="J193" s="120">
        <f t="shared" si="2"/>
        <v>2.1863180169323648E-4</v>
      </c>
      <c r="K193"/>
      <c r="L193"/>
      <c r="N193" s="15"/>
      <c r="O193" s="15"/>
      <c r="P193" s="15"/>
      <c r="Q193" s="15"/>
      <c r="R193" s="15"/>
      <c r="S193" s="15"/>
      <c r="T193" s="15"/>
      <c r="U193" s="15"/>
      <c r="V193" s="15"/>
      <c r="W193" s="15"/>
      <c r="X193" s="15"/>
      <c r="Y193" s="15"/>
    </row>
    <row r="194" spans="6:25" s="21" customFormat="1" ht="14.25" x14ac:dyDescent="0.45">
      <c r="F194" s="119">
        <v>43719</v>
      </c>
      <c r="G194" s="52">
        <v>283.51535000000001</v>
      </c>
      <c r="H194" s="52">
        <v>89.484413000000004</v>
      </c>
      <c r="I194" s="120">
        <f t="shared" si="2"/>
        <v>7.1110659993987024E-3</v>
      </c>
      <c r="J194" s="120">
        <f t="shared" si="2"/>
        <v>-1.0929200613829515E-4</v>
      </c>
      <c r="K194"/>
      <c r="L194"/>
      <c r="N194" s="15"/>
      <c r="O194" s="15"/>
      <c r="P194" s="15"/>
      <c r="Q194" s="15"/>
      <c r="R194" s="15"/>
      <c r="S194" s="15"/>
      <c r="T194" s="15"/>
      <c r="U194" s="15"/>
      <c r="V194" s="15"/>
      <c r="W194" s="15"/>
      <c r="X194" s="15"/>
      <c r="Y194" s="15"/>
    </row>
    <row r="195" spans="6:25" s="21" customFormat="1" ht="14.25" x14ac:dyDescent="0.45">
      <c r="F195" s="119">
        <v>43720</v>
      </c>
      <c r="G195" s="52">
        <v>284.497345</v>
      </c>
      <c r="H195" s="52">
        <v>89.503951999999998</v>
      </c>
      <c r="I195" s="120">
        <f t="shared" si="2"/>
        <v>3.4636396230398603E-3</v>
      </c>
      <c r="J195" s="120">
        <f t="shared" si="2"/>
        <v>2.1835087636978834E-4</v>
      </c>
      <c r="K195"/>
      <c r="L195"/>
      <c r="N195" s="15"/>
      <c r="O195" s="15"/>
      <c r="P195" s="15"/>
      <c r="Q195" s="15"/>
      <c r="R195" s="15"/>
      <c r="S195" s="15"/>
      <c r="T195" s="15"/>
      <c r="U195" s="15"/>
      <c r="V195" s="15"/>
      <c r="W195" s="15"/>
      <c r="X195" s="15"/>
      <c r="Y195" s="15"/>
    </row>
    <row r="196" spans="6:25" s="21" customFormat="1" ht="14.25" x14ac:dyDescent="0.45">
      <c r="F196" s="119">
        <v>43721</v>
      </c>
      <c r="G196" s="52">
        <v>284.30850199999998</v>
      </c>
      <c r="H196" s="52">
        <v>89.503951999999998</v>
      </c>
      <c r="I196" s="120">
        <f t="shared" si="2"/>
        <v>-6.6377772347936403E-4</v>
      </c>
      <c r="J196" s="120">
        <f t="shared" si="2"/>
        <v>0</v>
      </c>
      <c r="K196"/>
      <c r="L196"/>
      <c r="N196" s="15"/>
      <c r="O196" s="15"/>
      <c r="P196" s="15"/>
      <c r="Q196" s="15"/>
      <c r="R196" s="15"/>
      <c r="S196" s="15"/>
      <c r="T196" s="15"/>
      <c r="U196" s="15"/>
      <c r="V196" s="15"/>
      <c r="W196" s="15"/>
      <c r="X196" s="15"/>
      <c r="Y196" s="15"/>
    </row>
    <row r="197" spans="6:25" s="21" customFormat="1" ht="14.25" x14ac:dyDescent="0.45">
      <c r="F197" s="119">
        <v>43724</v>
      </c>
      <c r="G197" s="52">
        <v>283.43032799999997</v>
      </c>
      <c r="H197" s="52">
        <v>89.503951999999998</v>
      </c>
      <c r="I197" s="120">
        <f t="shared" si="2"/>
        <v>-3.0888066794428903E-3</v>
      </c>
      <c r="J197" s="120">
        <f t="shared" si="2"/>
        <v>0</v>
      </c>
      <c r="K197"/>
      <c r="L197"/>
      <c r="N197" s="15"/>
      <c r="O197" s="15"/>
      <c r="P197" s="15"/>
      <c r="Q197" s="15"/>
      <c r="R197" s="15"/>
      <c r="S197" s="15"/>
      <c r="T197" s="15"/>
      <c r="U197" s="15"/>
      <c r="V197" s="15"/>
      <c r="W197" s="15"/>
      <c r="X197" s="15"/>
      <c r="Y197" s="15"/>
    </row>
    <row r="198" spans="6:25" s="21" customFormat="1" ht="14.25" x14ac:dyDescent="0.45">
      <c r="F198" s="119">
        <v>43725</v>
      </c>
      <c r="G198" s="52">
        <v>284.14798000000002</v>
      </c>
      <c r="H198" s="52">
        <v>89.513756000000001</v>
      </c>
      <c r="I198" s="120">
        <f t="shared" si="2"/>
        <v>2.5320226140375102E-3</v>
      </c>
      <c r="J198" s="120">
        <f t="shared" si="2"/>
        <v>1.0953706267624597E-4</v>
      </c>
      <c r="K198"/>
      <c r="L198"/>
      <c r="N198" s="15"/>
      <c r="O198" s="15"/>
      <c r="P198" s="15"/>
      <c r="Q198" s="15"/>
      <c r="R198" s="15"/>
      <c r="S198" s="15"/>
      <c r="T198" s="15"/>
      <c r="U198" s="15"/>
      <c r="V198" s="15"/>
      <c r="W198" s="15"/>
      <c r="X198" s="15"/>
      <c r="Y198" s="15"/>
    </row>
    <row r="199" spans="6:25" s="21" customFormat="1" ht="14.25" x14ac:dyDescent="0.45">
      <c r="F199" s="119">
        <v>43726</v>
      </c>
      <c r="G199" s="52">
        <v>284.317993</v>
      </c>
      <c r="H199" s="52">
        <v>89.53331</v>
      </c>
      <c r="I199" s="120">
        <f t="shared" si="2"/>
        <v>5.9832556261696368E-4</v>
      </c>
      <c r="J199" s="120">
        <f t="shared" si="2"/>
        <v>2.1844687200922586E-4</v>
      </c>
      <c r="K199"/>
      <c r="L199"/>
      <c r="N199" s="15"/>
      <c r="O199" s="15"/>
      <c r="P199" s="15"/>
      <c r="Q199" s="15"/>
      <c r="R199" s="15"/>
      <c r="S199" s="15"/>
      <c r="T199" s="15"/>
      <c r="U199" s="15"/>
      <c r="V199" s="15"/>
      <c r="W199" s="15"/>
      <c r="X199" s="15"/>
      <c r="Y199" s="15"/>
    </row>
    <row r="200" spans="6:25" s="21" customFormat="1" ht="14.25" x14ac:dyDescent="0.45">
      <c r="F200" s="119">
        <v>43727</v>
      </c>
      <c r="G200" s="52">
        <v>284.29904199999999</v>
      </c>
      <c r="H200" s="52">
        <v>89.53331</v>
      </c>
      <c r="I200" s="120">
        <f t="shared" si="2"/>
        <v>-6.665424090834815E-5</v>
      </c>
      <c r="J200" s="120">
        <f t="shared" si="2"/>
        <v>0</v>
      </c>
      <c r="K200"/>
      <c r="L200"/>
      <c r="N200" s="15"/>
      <c r="O200" s="15"/>
      <c r="P200" s="15"/>
      <c r="Q200" s="15"/>
      <c r="R200" s="15"/>
      <c r="S200" s="15"/>
      <c r="T200" s="15"/>
      <c r="U200" s="15"/>
      <c r="V200" s="15"/>
      <c r="W200" s="15"/>
      <c r="X200" s="15"/>
      <c r="Y200" s="15"/>
    </row>
    <row r="201" spans="6:25" s="21" customFormat="1" ht="14.25" x14ac:dyDescent="0.45">
      <c r="F201" s="119">
        <v>43728</v>
      </c>
      <c r="G201" s="52">
        <v>282.95584100000002</v>
      </c>
      <c r="H201" s="52">
        <v>89.543098000000001</v>
      </c>
      <c r="I201" s="120">
        <f t="shared" si="2"/>
        <v>-4.7246061420072039E-3</v>
      </c>
      <c r="J201" s="120">
        <f t="shared" si="2"/>
        <v>1.0932244099981503E-4</v>
      </c>
      <c r="K201"/>
      <c r="L201"/>
      <c r="N201" s="15"/>
      <c r="O201" s="15"/>
      <c r="P201" s="15"/>
      <c r="Q201" s="15"/>
      <c r="R201" s="15"/>
      <c r="S201" s="15"/>
      <c r="T201" s="15"/>
      <c r="U201" s="15"/>
      <c r="V201" s="15"/>
      <c r="W201" s="15"/>
      <c r="X201" s="15"/>
      <c r="Y201" s="15"/>
    </row>
    <row r="202" spans="6:25" s="21" customFormat="1" ht="14.25" x14ac:dyDescent="0.45">
      <c r="F202" s="119">
        <v>43731</v>
      </c>
      <c r="G202" s="52">
        <v>282.88937399999998</v>
      </c>
      <c r="H202" s="52">
        <v>89.562652999999997</v>
      </c>
      <c r="I202" s="120">
        <f t="shared" si="2"/>
        <v>-2.3490237828327487E-4</v>
      </c>
      <c r="J202" s="120">
        <f t="shared" si="2"/>
        <v>2.1838645788196942E-4</v>
      </c>
      <c r="K202"/>
      <c r="L202"/>
      <c r="N202" s="15"/>
      <c r="O202" s="15"/>
      <c r="P202" s="15"/>
      <c r="Q202" s="15"/>
      <c r="R202" s="15"/>
      <c r="S202" s="15"/>
      <c r="T202" s="15"/>
      <c r="U202" s="15"/>
      <c r="V202" s="15"/>
      <c r="W202" s="15"/>
      <c r="X202" s="15"/>
      <c r="Y202" s="15"/>
    </row>
    <row r="203" spans="6:25" s="21" customFormat="1" ht="14.25" x14ac:dyDescent="0.45">
      <c r="F203" s="119">
        <v>43732</v>
      </c>
      <c r="G203" s="52">
        <v>280.66961700000002</v>
      </c>
      <c r="H203" s="52">
        <v>89.562652999999997</v>
      </c>
      <c r="I203" s="120">
        <f t="shared" si="2"/>
        <v>-7.8467316343948657E-3</v>
      </c>
      <c r="J203" s="120">
        <f t="shared" si="2"/>
        <v>0</v>
      </c>
      <c r="K203"/>
      <c r="L203"/>
      <c r="N203" s="15"/>
      <c r="O203" s="15"/>
      <c r="P203" s="15"/>
      <c r="Q203" s="15"/>
      <c r="R203" s="15"/>
      <c r="S203" s="15"/>
      <c r="T203" s="15"/>
      <c r="U203" s="15"/>
      <c r="V203" s="15"/>
      <c r="W203" s="15"/>
      <c r="X203" s="15"/>
      <c r="Y203" s="15"/>
    </row>
    <row r="204" spans="6:25" s="21" customFormat="1" ht="14.25" x14ac:dyDescent="0.45">
      <c r="F204" s="119">
        <v>43733</v>
      </c>
      <c r="G204" s="52">
        <v>282.32974200000001</v>
      </c>
      <c r="H204" s="52">
        <v>89.562652999999997</v>
      </c>
      <c r="I204" s="120">
        <f t="shared" si="2"/>
        <v>5.914872502925661E-3</v>
      </c>
      <c r="J204" s="120">
        <f t="shared" si="2"/>
        <v>0</v>
      </c>
      <c r="K204"/>
      <c r="L204"/>
      <c r="N204" s="15"/>
      <c r="O204" s="15"/>
      <c r="P204" s="15"/>
      <c r="Q204" s="15"/>
      <c r="R204" s="15"/>
      <c r="S204" s="15"/>
      <c r="T204" s="15"/>
      <c r="U204" s="15"/>
      <c r="V204" s="15"/>
      <c r="W204" s="15"/>
      <c r="X204" s="15"/>
      <c r="Y204" s="15"/>
    </row>
    <row r="205" spans="6:25" s="21" customFormat="1" ht="14.25" x14ac:dyDescent="0.45">
      <c r="F205" s="119">
        <v>43734</v>
      </c>
      <c r="G205" s="52">
        <v>281.74154700000003</v>
      </c>
      <c r="H205" s="52">
        <v>89.582222000000002</v>
      </c>
      <c r="I205" s="120">
        <f t="shared" si="2"/>
        <v>-2.0833618018182287E-3</v>
      </c>
      <c r="J205" s="120">
        <f t="shared" si="2"/>
        <v>2.1849509080529295E-4</v>
      </c>
      <c r="K205"/>
      <c r="L205"/>
      <c r="N205" s="15"/>
      <c r="O205" s="15"/>
      <c r="P205" s="15"/>
      <c r="Q205" s="15"/>
      <c r="R205" s="15"/>
      <c r="S205" s="15"/>
      <c r="T205" s="15"/>
      <c r="U205" s="15"/>
      <c r="V205" s="15"/>
      <c r="W205" s="15"/>
      <c r="X205" s="15"/>
      <c r="Y205" s="15"/>
    </row>
    <row r="206" spans="6:25" s="21" customFormat="1" ht="14.25" x14ac:dyDescent="0.45">
      <c r="F206" s="119">
        <v>43735</v>
      </c>
      <c r="G206" s="52">
        <v>280.223724</v>
      </c>
      <c r="H206" s="52">
        <v>89.582222000000002</v>
      </c>
      <c r="I206" s="120">
        <f t="shared" si="2"/>
        <v>-5.3872885137526971E-3</v>
      </c>
      <c r="J206" s="120">
        <f t="shared" si="2"/>
        <v>0</v>
      </c>
      <c r="K206"/>
      <c r="L206"/>
      <c r="N206" s="15"/>
      <c r="O206" s="15"/>
      <c r="P206" s="15"/>
      <c r="Q206" s="15"/>
      <c r="R206" s="15"/>
      <c r="S206" s="15"/>
      <c r="T206" s="15"/>
      <c r="U206" s="15"/>
      <c r="V206" s="15"/>
      <c r="W206" s="15"/>
      <c r="X206" s="15"/>
      <c r="Y206" s="15"/>
    </row>
    <row r="207" spans="6:25" s="21" customFormat="1" ht="14.25" x14ac:dyDescent="0.45">
      <c r="F207" s="119">
        <v>43738</v>
      </c>
      <c r="G207" s="52">
        <v>281.52337599999998</v>
      </c>
      <c r="H207" s="52">
        <v>89.591994999999997</v>
      </c>
      <c r="I207" s="120">
        <f t="shared" si="2"/>
        <v>4.6379085305425782E-3</v>
      </c>
      <c r="J207" s="120">
        <f t="shared" si="2"/>
        <v>1.0909530687897018E-4</v>
      </c>
      <c r="K207"/>
      <c r="L207"/>
      <c r="N207" s="15"/>
      <c r="O207" s="15"/>
      <c r="P207" s="15"/>
      <c r="Q207" s="15"/>
      <c r="R207" s="15"/>
      <c r="S207" s="15"/>
      <c r="T207" s="15"/>
      <c r="U207" s="15"/>
      <c r="V207" s="15"/>
      <c r="W207" s="15"/>
      <c r="X207" s="15"/>
      <c r="Y207" s="15"/>
    </row>
    <row r="208" spans="6:25" s="21" customFormat="1" ht="14.25" x14ac:dyDescent="0.45">
      <c r="F208" s="119">
        <v>43739</v>
      </c>
      <c r="G208" s="52">
        <v>278.17474399999998</v>
      </c>
      <c r="H208" s="52">
        <v>89.58905</v>
      </c>
      <c r="I208" s="120">
        <f t="shared" si="2"/>
        <v>-1.1894685434576502E-2</v>
      </c>
      <c r="J208" s="120">
        <f t="shared" si="2"/>
        <v>-3.2871240337906116E-5</v>
      </c>
      <c r="K208"/>
      <c r="L208"/>
      <c r="N208" s="15"/>
      <c r="O208" s="15"/>
      <c r="P208" s="15"/>
      <c r="Q208" s="15"/>
      <c r="R208" s="15"/>
      <c r="S208" s="15"/>
      <c r="T208" s="15"/>
      <c r="U208" s="15"/>
      <c r="V208" s="15"/>
      <c r="W208" s="15"/>
      <c r="X208" s="15"/>
      <c r="Y208" s="15"/>
    </row>
    <row r="209" spans="6:25" s="21" customFormat="1" ht="14.25" x14ac:dyDescent="0.45">
      <c r="F209" s="119">
        <v>43740</v>
      </c>
      <c r="G209" s="52">
        <v>273.26086400000003</v>
      </c>
      <c r="H209" s="52">
        <v>89.58905</v>
      </c>
      <c r="I209" s="120">
        <f t="shared" si="2"/>
        <v>-1.7664723724882592E-2</v>
      </c>
      <c r="J209" s="120">
        <f t="shared" si="2"/>
        <v>0</v>
      </c>
      <c r="K209"/>
      <c r="L209"/>
      <c r="N209" s="15"/>
      <c r="O209" s="15"/>
      <c r="P209" s="15"/>
      <c r="Q209" s="15"/>
      <c r="R209" s="15"/>
      <c r="S209" s="15"/>
      <c r="T209" s="15"/>
      <c r="U209" s="15"/>
      <c r="V209" s="15"/>
      <c r="W209" s="15"/>
      <c r="X209" s="15"/>
      <c r="Y209" s="15"/>
    </row>
    <row r="210" spans="6:25" s="21" customFormat="1" ht="14.25" x14ac:dyDescent="0.45">
      <c r="F210" s="119">
        <v>43741</v>
      </c>
      <c r="G210" s="52">
        <v>275.49960299999998</v>
      </c>
      <c r="H210" s="52">
        <v>89.618454</v>
      </c>
      <c r="I210" s="120">
        <f t="shared" si="2"/>
        <v>8.19268067600043E-3</v>
      </c>
      <c r="J210" s="120">
        <f t="shared" si="2"/>
        <v>3.2820975331238067E-4</v>
      </c>
      <c r="K210"/>
      <c r="L210"/>
      <c r="N210" s="15"/>
      <c r="O210" s="15"/>
      <c r="P210" s="15"/>
      <c r="Q210" s="15"/>
      <c r="R210" s="15"/>
      <c r="S210" s="15"/>
      <c r="T210" s="15"/>
      <c r="U210" s="15"/>
      <c r="V210" s="15"/>
      <c r="W210" s="15"/>
      <c r="X210" s="15"/>
      <c r="Y210" s="15"/>
    </row>
    <row r="211" spans="6:25" s="21" customFormat="1" ht="14.25" x14ac:dyDescent="0.45">
      <c r="F211" s="119">
        <v>43742</v>
      </c>
      <c r="G211" s="52">
        <v>279.22778299999999</v>
      </c>
      <c r="H211" s="52">
        <v>89.618454</v>
      </c>
      <c r="I211" s="120">
        <f t="shared" si="2"/>
        <v>1.3532433293560908E-2</v>
      </c>
      <c r="J211" s="120">
        <f t="shared" si="2"/>
        <v>0</v>
      </c>
      <c r="K211"/>
      <c r="L211"/>
      <c r="N211" s="15"/>
      <c r="O211" s="15"/>
      <c r="P211" s="15"/>
      <c r="Q211" s="15"/>
      <c r="R211" s="15"/>
      <c r="S211" s="15"/>
      <c r="T211" s="15"/>
      <c r="U211" s="15"/>
      <c r="V211" s="15"/>
      <c r="W211" s="15"/>
      <c r="X211" s="15"/>
      <c r="Y211" s="15"/>
    </row>
    <row r="212" spans="6:25" s="21" customFormat="1" ht="14.25" x14ac:dyDescent="0.45">
      <c r="F212" s="119">
        <v>43745</v>
      </c>
      <c r="G212" s="52">
        <v>278.022919</v>
      </c>
      <c r="H212" s="52">
        <v>89.628264999999999</v>
      </c>
      <c r="I212" s="120">
        <f t="shared" si="2"/>
        <v>-4.3149860914807325E-3</v>
      </c>
      <c r="J212" s="120">
        <f t="shared" si="2"/>
        <v>1.094752203603111E-4</v>
      </c>
      <c r="K212"/>
      <c r="L212"/>
      <c r="N212" s="15"/>
      <c r="O212" s="15"/>
      <c r="P212" s="15"/>
      <c r="Q212" s="15"/>
      <c r="R212" s="15"/>
      <c r="S212" s="15"/>
      <c r="T212" s="15"/>
      <c r="U212" s="15"/>
      <c r="V212" s="15"/>
      <c r="W212" s="15"/>
      <c r="X212" s="15"/>
      <c r="Y212" s="15"/>
    </row>
    <row r="213" spans="6:25" s="21" customFormat="1" ht="14.25" x14ac:dyDescent="0.45">
      <c r="F213" s="119">
        <v>43746</v>
      </c>
      <c r="G213" s="52">
        <v>273.706726</v>
      </c>
      <c r="H213" s="52">
        <v>89.628264999999999</v>
      </c>
      <c r="I213" s="120">
        <f t="shared" ref="I213:J276" si="3">G213/G212-1</f>
        <v>-1.5524594215198473E-2</v>
      </c>
      <c r="J213" s="120">
        <f t="shared" si="3"/>
        <v>0</v>
      </c>
      <c r="K213"/>
      <c r="L213"/>
      <c r="N213" s="15"/>
      <c r="O213" s="15"/>
      <c r="P213" s="15"/>
      <c r="Q213" s="15"/>
      <c r="R213" s="15"/>
      <c r="S213" s="15"/>
      <c r="T213" s="15"/>
      <c r="U213" s="15"/>
      <c r="V213" s="15"/>
      <c r="W213" s="15"/>
      <c r="X213" s="15"/>
      <c r="Y213" s="15"/>
    </row>
    <row r="214" spans="6:25" s="21" customFormat="1" ht="14.25" x14ac:dyDescent="0.45">
      <c r="F214" s="119">
        <v>43747</v>
      </c>
      <c r="G214" s="52">
        <v>276.30590799999999</v>
      </c>
      <c r="H214" s="52">
        <v>89.628264999999999</v>
      </c>
      <c r="I214" s="120">
        <f t="shared" si="3"/>
        <v>9.4962299172727249E-3</v>
      </c>
      <c r="J214" s="120">
        <f t="shared" si="3"/>
        <v>0</v>
      </c>
      <c r="K214"/>
      <c r="L214"/>
      <c r="N214" s="15"/>
      <c r="O214" s="15"/>
      <c r="P214" s="15"/>
      <c r="Q214" s="15"/>
      <c r="R214" s="15"/>
      <c r="S214" s="15"/>
      <c r="T214" s="15"/>
      <c r="U214" s="15"/>
      <c r="V214" s="15"/>
      <c r="W214" s="15"/>
      <c r="X214" s="15"/>
      <c r="Y214" s="15"/>
    </row>
    <row r="215" spans="6:25" s="21" customFormat="1" ht="14.25" x14ac:dyDescent="0.45">
      <c r="F215" s="119">
        <v>43748</v>
      </c>
      <c r="G215" s="52">
        <v>278.17474399999998</v>
      </c>
      <c r="H215" s="52">
        <v>89.647841999999997</v>
      </c>
      <c r="I215" s="120">
        <f t="shared" si="3"/>
        <v>6.7636483545621129E-3</v>
      </c>
      <c r="J215" s="120">
        <f t="shared" si="3"/>
        <v>2.1842439993680074E-4</v>
      </c>
      <c r="K215"/>
      <c r="L215"/>
      <c r="N215" s="15"/>
      <c r="O215" s="15"/>
      <c r="P215" s="15"/>
      <c r="Q215" s="15"/>
      <c r="R215" s="15"/>
      <c r="S215" s="15"/>
      <c r="T215" s="15"/>
      <c r="U215" s="15"/>
      <c r="V215" s="15"/>
      <c r="W215" s="15"/>
      <c r="X215" s="15"/>
      <c r="Y215" s="15"/>
    </row>
    <row r="216" spans="6:25" s="21" customFormat="1" ht="14.25" x14ac:dyDescent="0.45">
      <c r="F216" s="119">
        <v>43749</v>
      </c>
      <c r="G216" s="52">
        <v>281.05856299999999</v>
      </c>
      <c r="H216" s="52">
        <v>89.657639000000003</v>
      </c>
      <c r="I216" s="120">
        <f t="shared" si="3"/>
        <v>1.0366933239633003E-2</v>
      </c>
      <c r="J216" s="120">
        <f t="shared" si="3"/>
        <v>1.0928316601321875E-4</v>
      </c>
      <c r="K216"/>
      <c r="L216"/>
      <c r="N216" s="15"/>
      <c r="O216" s="15"/>
      <c r="P216" s="15"/>
      <c r="Q216" s="15"/>
      <c r="R216" s="15"/>
      <c r="S216" s="15"/>
      <c r="T216" s="15"/>
      <c r="U216" s="15"/>
      <c r="V216" s="15"/>
      <c r="W216" s="15"/>
      <c r="X216" s="15"/>
      <c r="Y216" s="15"/>
    </row>
    <row r="217" spans="6:25" s="21" customFormat="1" ht="14.25" x14ac:dyDescent="0.45">
      <c r="F217" s="119">
        <v>43752</v>
      </c>
      <c r="G217" s="52">
        <v>280.745544</v>
      </c>
      <c r="H217" s="52">
        <v>89.647841999999997</v>
      </c>
      <c r="I217" s="120">
        <f t="shared" si="3"/>
        <v>-1.1137145108082169E-3</v>
      </c>
      <c r="J217" s="120">
        <f t="shared" si="3"/>
        <v>-1.0927122450776761E-4</v>
      </c>
      <c r="K217"/>
      <c r="L217"/>
      <c r="N217" s="15"/>
      <c r="O217" s="15"/>
      <c r="P217" s="15"/>
      <c r="Q217" s="15"/>
      <c r="R217" s="15"/>
      <c r="S217" s="15"/>
      <c r="T217" s="15"/>
      <c r="U217" s="15"/>
      <c r="V217" s="15"/>
      <c r="W217" s="15"/>
      <c r="X217" s="15"/>
      <c r="Y217" s="15"/>
    </row>
    <row r="218" spans="6:25" s="21" customFormat="1" ht="14.25" x14ac:dyDescent="0.45">
      <c r="F218" s="119">
        <v>43753</v>
      </c>
      <c r="G218" s="52">
        <v>283.52499399999999</v>
      </c>
      <c r="H218" s="52">
        <v>89.657639000000003</v>
      </c>
      <c r="I218" s="120">
        <f t="shared" si="3"/>
        <v>9.9002461816455334E-3</v>
      </c>
      <c r="J218" s="120">
        <f t="shared" si="3"/>
        <v>1.0928316601321875E-4</v>
      </c>
      <c r="K218"/>
      <c r="L218"/>
      <c r="N218" s="15"/>
      <c r="O218" s="15"/>
      <c r="P218" s="15"/>
      <c r="Q218" s="15"/>
      <c r="R218" s="15"/>
      <c r="S218" s="15"/>
      <c r="T218" s="15"/>
      <c r="U218" s="15"/>
      <c r="V218" s="15"/>
      <c r="W218" s="15"/>
      <c r="X218" s="15"/>
      <c r="Y218" s="15"/>
    </row>
    <row r="219" spans="6:25" s="21" customFormat="1" ht="14.25" x14ac:dyDescent="0.45">
      <c r="F219" s="119">
        <v>43754</v>
      </c>
      <c r="G219" s="52">
        <v>283.06964099999999</v>
      </c>
      <c r="H219" s="52">
        <v>89.667434999999998</v>
      </c>
      <c r="I219" s="120">
        <f t="shared" si="3"/>
        <v>-1.6060418292435097E-3</v>
      </c>
      <c r="J219" s="120">
        <f t="shared" si="3"/>
        <v>1.0926007096845325E-4</v>
      </c>
      <c r="K219"/>
      <c r="L219"/>
      <c r="N219" s="15"/>
      <c r="O219" s="15"/>
      <c r="P219" s="15"/>
      <c r="Q219" s="15"/>
      <c r="R219" s="15"/>
      <c r="S219" s="15"/>
      <c r="T219" s="15"/>
      <c r="U219" s="15"/>
      <c r="V219" s="15"/>
      <c r="W219" s="15"/>
      <c r="X219" s="15"/>
      <c r="Y219" s="15"/>
    </row>
    <row r="220" spans="6:25" s="21" customFormat="1" ht="14.25" x14ac:dyDescent="0.45">
      <c r="F220" s="119">
        <v>43755</v>
      </c>
      <c r="G220" s="52">
        <v>283.904449</v>
      </c>
      <c r="H220" s="52">
        <v>89.677238000000003</v>
      </c>
      <c r="I220" s="120">
        <f t="shared" si="3"/>
        <v>2.9491258654614771E-3</v>
      </c>
      <c r="J220" s="120">
        <f t="shared" si="3"/>
        <v>1.0932620075521093E-4</v>
      </c>
      <c r="K220"/>
      <c r="L220"/>
      <c r="N220" s="15"/>
      <c r="O220" s="15"/>
      <c r="P220" s="15"/>
      <c r="Q220" s="15"/>
      <c r="R220" s="15"/>
      <c r="S220" s="15"/>
      <c r="T220" s="15"/>
      <c r="U220" s="15"/>
      <c r="V220" s="15"/>
      <c r="W220" s="15"/>
      <c r="X220" s="15"/>
      <c r="Y220" s="15"/>
    </row>
    <row r="221" spans="6:25" s="21" customFormat="1" ht="14.25" x14ac:dyDescent="0.45">
      <c r="F221" s="119">
        <v>43756</v>
      </c>
      <c r="G221" s="52">
        <v>282.66171300000002</v>
      </c>
      <c r="H221" s="52">
        <v>89.677238000000003</v>
      </c>
      <c r="I221" s="120">
        <f t="shared" si="3"/>
        <v>-4.377303717420733E-3</v>
      </c>
      <c r="J221" s="120">
        <f t="shared" si="3"/>
        <v>0</v>
      </c>
      <c r="K221"/>
      <c r="L221"/>
      <c r="N221" s="15"/>
      <c r="O221" s="15"/>
      <c r="P221" s="15"/>
      <c r="Q221" s="15"/>
      <c r="R221" s="15"/>
      <c r="S221" s="15"/>
      <c r="T221" s="15"/>
      <c r="U221" s="15"/>
      <c r="V221" s="15"/>
      <c r="W221" s="15"/>
      <c r="X221" s="15"/>
      <c r="Y221" s="15"/>
    </row>
    <row r="222" spans="6:25" s="21" customFormat="1" ht="14.25" x14ac:dyDescent="0.45">
      <c r="F222" s="119">
        <v>43759</v>
      </c>
      <c r="G222" s="52">
        <v>284.57794200000001</v>
      </c>
      <c r="H222" s="52">
        <v>89.687034999999995</v>
      </c>
      <c r="I222" s="120">
        <f t="shared" si="3"/>
        <v>6.7792308327232487E-3</v>
      </c>
      <c r="J222" s="120">
        <f t="shared" si="3"/>
        <v>1.0924734323314311E-4</v>
      </c>
      <c r="K222"/>
      <c r="L222"/>
      <c r="N222" s="15"/>
      <c r="O222" s="15"/>
      <c r="P222" s="15"/>
      <c r="Q222" s="15"/>
      <c r="R222" s="15"/>
      <c r="S222" s="15"/>
      <c r="T222" s="15"/>
      <c r="U222" s="15"/>
      <c r="V222" s="15"/>
      <c r="W222" s="15"/>
      <c r="X222" s="15"/>
      <c r="Y222" s="15"/>
    </row>
    <row r="223" spans="6:25" s="21" customFormat="1" ht="14.25" x14ac:dyDescent="0.45">
      <c r="F223" s="119">
        <v>43760</v>
      </c>
      <c r="G223" s="52">
        <v>283.64828499999999</v>
      </c>
      <c r="H223" s="52">
        <v>89.687034999999995</v>
      </c>
      <c r="I223" s="120">
        <f t="shared" si="3"/>
        <v>-3.2667921957212354E-3</v>
      </c>
      <c r="J223" s="120">
        <f t="shared" si="3"/>
        <v>0</v>
      </c>
      <c r="K223"/>
      <c r="L223"/>
      <c r="N223" s="15"/>
      <c r="O223" s="15"/>
      <c r="P223" s="15"/>
      <c r="Q223" s="15"/>
      <c r="R223" s="15"/>
      <c r="S223" s="15"/>
      <c r="T223" s="15"/>
      <c r="U223" s="15"/>
      <c r="V223" s="15"/>
      <c r="W223" s="15"/>
      <c r="X223" s="15"/>
      <c r="Y223" s="15"/>
    </row>
    <row r="224" spans="6:25" s="21" customFormat="1" ht="14.25" x14ac:dyDescent="0.45">
      <c r="F224" s="119">
        <v>43761</v>
      </c>
      <c r="G224" s="52">
        <v>284.47366299999999</v>
      </c>
      <c r="H224" s="52">
        <v>89.687034999999995</v>
      </c>
      <c r="I224" s="120">
        <f t="shared" si="3"/>
        <v>2.9098642355620541E-3</v>
      </c>
      <c r="J224" s="120">
        <f t="shared" si="3"/>
        <v>0</v>
      </c>
      <c r="K224"/>
      <c r="L224"/>
      <c r="N224" s="15"/>
      <c r="O224" s="15"/>
      <c r="P224" s="15"/>
      <c r="Q224" s="15"/>
      <c r="R224" s="15"/>
      <c r="S224" s="15"/>
      <c r="T224" s="15"/>
      <c r="U224" s="15"/>
      <c r="V224" s="15"/>
      <c r="W224" s="15"/>
      <c r="X224" s="15"/>
      <c r="Y224" s="15"/>
    </row>
    <row r="225" spans="6:25" s="21" customFormat="1" ht="14.25" x14ac:dyDescent="0.45">
      <c r="F225" s="119">
        <v>43762</v>
      </c>
      <c r="G225" s="52">
        <v>284.938446</v>
      </c>
      <c r="H225" s="52">
        <v>89.706619000000003</v>
      </c>
      <c r="I225" s="120">
        <f t="shared" si="3"/>
        <v>1.6338349044284772E-3</v>
      </c>
      <c r="J225" s="120">
        <f t="shared" si="3"/>
        <v>2.1835932027425287E-4</v>
      </c>
      <c r="K225"/>
      <c r="L225"/>
      <c r="N225" s="15"/>
      <c r="O225" s="15"/>
      <c r="P225" s="15"/>
      <c r="Q225" s="15"/>
      <c r="R225" s="15"/>
      <c r="S225" s="15"/>
      <c r="T225" s="15"/>
      <c r="U225" s="15"/>
      <c r="V225" s="15"/>
      <c r="W225" s="15"/>
      <c r="X225" s="15"/>
      <c r="Y225" s="15"/>
    </row>
    <row r="226" spans="6:25" s="21" customFormat="1" ht="14.25" x14ac:dyDescent="0.45">
      <c r="F226" s="119">
        <v>43763</v>
      </c>
      <c r="G226" s="52">
        <v>286.10519399999998</v>
      </c>
      <c r="H226" s="52">
        <v>89.706619000000003</v>
      </c>
      <c r="I226" s="120">
        <f t="shared" si="3"/>
        <v>4.0947370085677726E-3</v>
      </c>
      <c r="J226" s="120">
        <f t="shared" si="3"/>
        <v>0</v>
      </c>
      <c r="K226"/>
      <c r="L226"/>
      <c r="N226" s="15"/>
      <c r="O226" s="15"/>
      <c r="P226" s="15"/>
      <c r="Q226" s="15"/>
      <c r="R226" s="15"/>
      <c r="S226" s="15"/>
      <c r="T226" s="15"/>
      <c r="U226" s="15"/>
      <c r="V226" s="15"/>
      <c r="W226" s="15"/>
      <c r="X226" s="15"/>
      <c r="Y226" s="15"/>
    </row>
    <row r="227" spans="6:25" s="21" customFormat="1" ht="14.25" x14ac:dyDescent="0.45">
      <c r="F227" s="119">
        <v>43766</v>
      </c>
      <c r="G227" s="52">
        <v>287.71792599999998</v>
      </c>
      <c r="H227" s="52">
        <v>89.696815000000001</v>
      </c>
      <c r="I227" s="120">
        <f t="shared" si="3"/>
        <v>5.6368497805041606E-3</v>
      </c>
      <c r="J227" s="120">
        <f t="shared" si="3"/>
        <v>-1.0928959433864627E-4</v>
      </c>
      <c r="K227"/>
      <c r="L227"/>
      <c r="N227" s="15"/>
      <c r="O227" s="15"/>
      <c r="P227" s="15"/>
      <c r="Q227" s="15"/>
      <c r="R227" s="15"/>
      <c r="S227" s="15"/>
      <c r="T227" s="15"/>
      <c r="U227" s="15"/>
      <c r="V227" s="15"/>
      <c r="W227" s="15"/>
      <c r="X227" s="15"/>
      <c r="Y227" s="15"/>
    </row>
    <row r="228" spans="6:25" s="21" customFormat="1" ht="14.25" x14ac:dyDescent="0.45">
      <c r="F228" s="119">
        <v>43767</v>
      </c>
      <c r="G228" s="52">
        <v>287.63247699999999</v>
      </c>
      <c r="H228" s="52">
        <v>89.716431</v>
      </c>
      <c r="I228" s="120">
        <f t="shared" si="3"/>
        <v>-2.9698879450412718E-4</v>
      </c>
      <c r="J228" s="120">
        <f t="shared" si="3"/>
        <v>2.1869226906212624E-4</v>
      </c>
      <c r="K228"/>
      <c r="L228"/>
      <c r="N228" s="15"/>
      <c r="O228" s="15"/>
      <c r="P228" s="15"/>
      <c r="Q228" s="15"/>
      <c r="R228" s="15"/>
      <c r="S228" s="15"/>
      <c r="T228" s="15"/>
      <c r="U228" s="15"/>
      <c r="V228" s="15"/>
      <c r="W228" s="15"/>
      <c r="X228" s="15"/>
      <c r="Y228" s="15"/>
    </row>
    <row r="229" spans="6:25" s="21" customFormat="1" ht="14.25" x14ac:dyDescent="0.45">
      <c r="F229" s="119">
        <v>43768</v>
      </c>
      <c r="G229" s="52">
        <v>288.514771</v>
      </c>
      <c r="H229" s="52">
        <v>89.726212000000004</v>
      </c>
      <c r="I229" s="120">
        <f t="shared" si="3"/>
        <v>3.0674352534953986E-3</v>
      </c>
      <c r="J229" s="120">
        <f t="shared" si="3"/>
        <v>1.090212783876332E-4</v>
      </c>
      <c r="K229"/>
      <c r="L229"/>
      <c r="N229" s="15"/>
      <c r="O229" s="15"/>
      <c r="P229" s="15"/>
      <c r="Q229" s="15"/>
      <c r="R229" s="15"/>
      <c r="S229" s="15"/>
      <c r="T229" s="15"/>
      <c r="U229" s="15"/>
      <c r="V229" s="15"/>
      <c r="W229" s="15"/>
      <c r="X229" s="15"/>
      <c r="Y229" s="15"/>
    </row>
    <row r="230" spans="6:25" s="21" customFormat="1" ht="14.25" x14ac:dyDescent="0.45">
      <c r="F230" s="119">
        <v>43769</v>
      </c>
      <c r="G230" s="52">
        <v>287.74636800000002</v>
      </c>
      <c r="H230" s="52">
        <v>89.736007999999998</v>
      </c>
      <c r="I230" s="120">
        <f t="shared" si="3"/>
        <v>-2.6633055816749351E-3</v>
      </c>
      <c r="J230" s="120">
        <f t="shared" si="3"/>
        <v>1.0917656927267316E-4</v>
      </c>
      <c r="K230"/>
      <c r="L230"/>
      <c r="N230" s="15"/>
      <c r="O230" s="15"/>
      <c r="P230" s="15"/>
      <c r="Q230" s="15"/>
      <c r="R230" s="15"/>
      <c r="S230" s="15"/>
      <c r="T230" s="15"/>
      <c r="U230" s="15"/>
      <c r="V230" s="15"/>
      <c r="W230" s="15"/>
      <c r="X230" s="15"/>
      <c r="Y230" s="15"/>
    </row>
    <row r="231" spans="6:25" s="21" customFormat="1" ht="14.25" x14ac:dyDescent="0.45">
      <c r="F231" s="119">
        <v>43770</v>
      </c>
      <c r="G231" s="52">
        <v>290.41195699999997</v>
      </c>
      <c r="H231" s="52">
        <v>89.735039</v>
      </c>
      <c r="I231" s="120">
        <f t="shared" si="3"/>
        <v>9.2636755713975116E-3</v>
      </c>
      <c r="J231" s="120">
        <f t="shared" si="3"/>
        <v>-1.0798340839945908E-5</v>
      </c>
      <c r="K231"/>
      <c r="L231"/>
      <c r="N231" s="15"/>
      <c r="O231" s="15"/>
      <c r="P231" s="15"/>
      <c r="Q231" s="15"/>
      <c r="R231" s="15"/>
      <c r="S231" s="15"/>
      <c r="T231" s="15"/>
      <c r="U231" s="15"/>
      <c r="V231" s="15"/>
      <c r="W231" s="15"/>
      <c r="X231" s="15"/>
      <c r="Y231" s="15"/>
    </row>
    <row r="232" spans="6:25" s="21" customFormat="1" ht="14.25" x14ac:dyDescent="0.45">
      <c r="F232" s="119">
        <v>43773</v>
      </c>
      <c r="G232" s="52">
        <v>291.57879600000001</v>
      </c>
      <c r="H232" s="52">
        <v>89.74485</v>
      </c>
      <c r="I232" s="120">
        <f t="shared" si="3"/>
        <v>4.017875200641452E-3</v>
      </c>
      <c r="J232" s="120">
        <f t="shared" si="3"/>
        <v>1.0933298864457264E-4</v>
      </c>
      <c r="K232"/>
      <c r="L232"/>
      <c r="N232" s="15"/>
      <c r="O232" s="15"/>
      <c r="P232" s="15"/>
      <c r="Q232" s="15"/>
      <c r="R232" s="15"/>
      <c r="S232" s="15"/>
      <c r="T232" s="15"/>
      <c r="U232" s="15"/>
      <c r="V232" s="15"/>
      <c r="W232" s="15"/>
      <c r="X232" s="15"/>
      <c r="Y232" s="15"/>
    </row>
    <row r="233" spans="6:25" s="21" customFormat="1" ht="14.25" x14ac:dyDescent="0.45">
      <c r="F233" s="119">
        <v>43774</v>
      </c>
      <c r="G233" s="52">
        <v>291.25622600000003</v>
      </c>
      <c r="H233" s="52">
        <v>89.735039</v>
      </c>
      <c r="I233" s="120">
        <f t="shared" si="3"/>
        <v>-1.1062875779210835E-3</v>
      </c>
      <c r="J233" s="120">
        <f t="shared" si="3"/>
        <v>-1.0932103624883283E-4</v>
      </c>
      <c r="K233"/>
      <c r="L233"/>
      <c r="N233" s="15"/>
      <c r="O233" s="15"/>
      <c r="P233" s="15"/>
      <c r="Q233" s="15"/>
      <c r="R233" s="15"/>
      <c r="S233" s="15"/>
      <c r="T233" s="15"/>
      <c r="U233" s="15"/>
      <c r="V233" s="15"/>
      <c r="W233" s="15"/>
      <c r="X233" s="15"/>
      <c r="Y233" s="15"/>
    </row>
    <row r="234" spans="6:25" s="21" customFormat="1" ht="14.25" x14ac:dyDescent="0.45">
      <c r="F234" s="119">
        <v>43775</v>
      </c>
      <c r="G234" s="52">
        <v>291.322632</v>
      </c>
      <c r="H234" s="52">
        <v>89.74485</v>
      </c>
      <c r="I234" s="120">
        <f t="shared" si="3"/>
        <v>2.2799855959121373E-4</v>
      </c>
      <c r="J234" s="120">
        <f t="shared" si="3"/>
        <v>1.0933298864457264E-4</v>
      </c>
      <c r="K234"/>
      <c r="L234"/>
      <c r="N234" s="15"/>
      <c r="O234" s="15"/>
      <c r="P234" s="15"/>
      <c r="Q234" s="15"/>
      <c r="R234" s="15"/>
      <c r="S234" s="15"/>
      <c r="T234" s="15"/>
      <c r="U234" s="15"/>
      <c r="V234" s="15"/>
      <c r="W234" s="15"/>
      <c r="X234" s="15"/>
      <c r="Y234" s="15"/>
    </row>
    <row r="235" spans="6:25" s="21" customFormat="1" ht="14.25" x14ac:dyDescent="0.45">
      <c r="F235" s="119">
        <v>43776</v>
      </c>
      <c r="G235" s="52">
        <v>292.34716800000001</v>
      </c>
      <c r="H235" s="52">
        <v>89.764472999999995</v>
      </c>
      <c r="I235" s="120">
        <f t="shared" si="3"/>
        <v>3.5168431404257738E-3</v>
      </c>
      <c r="J235" s="120">
        <f t="shared" si="3"/>
        <v>2.1865321519842773E-4</v>
      </c>
      <c r="K235"/>
      <c r="L235"/>
      <c r="N235" s="15"/>
      <c r="O235" s="15"/>
      <c r="P235" s="15"/>
      <c r="Q235" s="15"/>
      <c r="R235" s="15"/>
      <c r="S235" s="15"/>
      <c r="T235" s="15"/>
      <c r="U235" s="15"/>
      <c r="V235" s="15"/>
      <c r="W235" s="15"/>
      <c r="X235" s="15"/>
      <c r="Y235" s="15"/>
    </row>
    <row r="236" spans="6:25" s="21" customFormat="1" ht="14.25" x14ac:dyDescent="0.45">
      <c r="F236" s="119">
        <v>43777</v>
      </c>
      <c r="G236" s="52">
        <v>293.06811499999998</v>
      </c>
      <c r="H236" s="52">
        <v>89.764472999999995</v>
      </c>
      <c r="I236" s="120">
        <f t="shared" si="3"/>
        <v>2.4660645934493353E-3</v>
      </c>
      <c r="J236" s="120">
        <f t="shared" si="3"/>
        <v>0</v>
      </c>
      <c r="K236"/>
      <c r="L236"/>
      <c r="N236" s="15"/>
      <c r="O236" s="15"/>
      <c r="P236" s="15"/>
      <c r="Q236" s="15"/>
      <c r="R236" s="15"/>
      <c r="S236" s="15"/>
      <c r="T236" s="15"/>
      <c r="U236" s="15"/>
      <c r="V236" s="15"/>
      <c r="W236" s="15"/>
      <c r="X236" s="15"/>
      <c r="Y236" s="15"/>
    </row>
    <row r="237" spans="6:25" s="21" customFormat="1" ht="14.25" x14ac:dyDescent="0.45">
      <c r="F237" s="119">
        <v>43780</v>
      </c>
      <c r="G237" s="52">
        <v>292.50845299999997</v>
      </c>
      <c r="H237" s="52">
        <v>89.764472999999995</v>
      </c>
      <c r="I237" s="120">
        <f t="shared" si="3"/>
        <v>-1.9096652667247582E-3</v>
      </c>
      <c r="J237" s="120">
        <f t="shared" si="3"/>
        <v>0</v>
      </c>
      <c r="K237"/>
      <c r="L237"/>
      <c r="N237" s="15"/>
      <c r="O237" s="15"/>
      <c r="P237" s="15"/>
      <c r="Q237" s="15"/>
      <c r="R237" s="15"/>
      <c r="S237" s="15"/>
      <c r="T237" s="15"/>
      <c r="U237" s="15"/>
      <c r="V237" s="15"/>
      <c r="W237" s="15"/>
      <c r="X237" s="15"/>
      <c r="Y237" s="15"/>
    </row>
    <row r="238" spans="6:25" s="21" customFormat="1" ht="14.25" x14ac:dyDescent="0.45">
      <c r="F238" s="119">
        <v>43781</v>
      </c>
      <c r="G238" s="52">
        <v>293.12506100000002</v>
      </c>
      <c r="H238" s="52">
        <v>89.774269000000004</v>
      </c>
      <c r="I238" s="120">
        <f t="shared" si="3"/>
        <v>2.1080006190454803E-3</v>
      </c>
      <c r="J238" s="120">
        <f t="shared" si="3"/>
        <v>1.0913003410606414E-4</v>
      </c>
      <c r="K238"/>
      <c r="L238"/>
      <c r="N238" s="15"/>
      <c r="O238" s="15"/>
      <c r="P238" s="15"/>
      <c r="Q238" s="15"/>
      <c r="R238" s="15"/>
      <c r="S238" s="15"/>
      <c r="T238" s="15"/>
      <c r="U238" s="15"/>
      <c r="V238" s="15"/>
      <c r="W238" s="15"/>
      <c r="X238" s="15"/>
      <c r="Y238" s="15"/>
    </row>
    <row r="239" spans="6:25" s="21" customFormat="1" ht="14.25" x14ac:dyDescent="0.45">
      <c r="F239" s="119">
        <v>43782</v>
      </c>
      <c r="G239" s="52">
        <v>293.21994000000001</v>
      </c>
      <c r="H239" s="52">
        <v>89.774269000000004</v>
      </c>
      <c r="I239" s="120">
        <f t="shared" si="3"/>
        <v>3.236809560953624E-4</v>
      </c>
      <c r="J239" s="120">
        <f t="shared" si="3"/>
        <v>0</v>
      </c>
      <c r="K239"/>
      <c r="L239"/>
      <c r="N239" s="15"/>
      <c r="O239" s="15"/>
      <c r="P239" s="15"/>
      <c r="Q239" s="15"/>
      <c r="R239" s="15"/>
      <c r="S239" s="15"/>
      <c r="T239" s="15"/>
      <c r="U239" s="15"/>
      <c r="V239" s="15"/>
      <c r="W239" s="15"/>
      <c r="X239" s="15"/>
      <c r="Y239" s="15"/>
    </row>
    <row r="240" spans="6:25" s="21" customFormat="1" ht="14.25" x14ac:dyDescent="0.45">
      <c r="F240" s="119">
        <v>43783</v>
      </c>
      <c r="G240" s="52">
        <v>293.64681999999999</v>
      </c>
      <c r="H240" s="52">
        <v>89.784087999999997</v>
      </c>
      <c r="I240" s="120">
        <f t="shared" si="3"/>
        <v>1.4558355069576034E-3</v>
      </c>
      <c r="J240" s="120">
        <f t="shared" si="3"/>
        <v>1.0937432417290616E-4</v>
      </c>
      <c r="K240"/>
      <c r="L240"/>
      <c r="N240" s="15"/>
      <c r="O240" s="15"/>
      <c r="P240" s="15"/>
      <c r="Q240" s="15"/>
      <c r="R240" s="15"/>
      <c r="S240" s="15"/>
      <c r="T240" s="15"/>
      <c r="U240" s="15"/>
      <c r="V240" s="15"/>
      <c r="W240" s="15"/>
      <c r="X240" s="15"/>
      <c r="Y240" s="15"/>
    </row>
    <row r="241" spans="6:25" s="21" customFormat="1" ht="14.25" x14ac:dyDescent="0.45">
      <c r="F241" s="119">
        <v>43784</v>
      </c>
      <c r="G241" s="52">
        <v>295.77172899999999</v>
      </c>
      <c r="H241" s="52">
        <v>89.774269000000004</v>
      </c>
      <c r="I241" s="120">
        <f t="shared" si="3"/>
        <v>7.236274515079133E-3</v>
      </c>
      <c r="J241" s="120">
        <f t="shared" si="3"/>
        <v>-1.0936236273839661E-4</v>
      </c>
      <c r="K241"/>
      <c r="L241"/>
      <c r="N241" s="15"/>
      <c r="O241" s="15"/>
      <c r="P241" s="15"/>
      <c r="Q241" s="15"/>
      <c r="R241" s="15"/>
      <c r="S241" s="15"/>
      <c r="T241" s="15"/>
      <c r="U241" s="15"/>
      <c r="V241" s="15"/>
      <c r="W241" s="15"/>
      <c r="X241" s="15"/>
      <c r="Y241" s="15"/>
    </row>
    <row r="242" spans="6:25" s="21" customFormat="1" ht="14.25" x14ac:dyDescent="0.45">
      <c r="F242" s="119">
        <v>43787</v>
      </c>
      <c r="G242" s="52">
        <v>295.989868</v>
      </c>
      <c r="H242" s="52">
        <v>89.793869000000001</v>
      </c>
      <c r="I242" s="120">
        <f t="shared" si="3"/>
        <v>7.3752484978029109E-4</v>
      </c>
      <c r="J242" s="120">
        <f t="shared" si="3"/>
        <v>2.1832536447607964E-4</v>
      </c>
      <c r="K242"/>
      <c r="L242"/>
      <c r="N242" s="15"/>
      <c r="O242" s="15"/>
      <c r="P242" s="15"/>
      <c r="Q242" s="15"/>
      <c r="R242" s="15"/>
      <c r="S242" s="15"/>
      <c r="T242" s="15"/>
      <c r="U242" s="15"/>
      <c r="V242" s="15"/>
      <c r="W242" s="15"/>
      <c r="X242" s="15"/>
      <c r="Y242" s="15"/>
    </row>
    <row r="243" spans="6:25" s="21" customFormat="1" ht="14.25" x14ac:dyDescent="0.45">
      <c r="F243" s="119">
        <v>43788</v>
      </c>
      <c r="G243" s="52">
        <v>295.90447999999998</v>
      </c>
      <c r="H243" s="52">
        <v>89.784087999999997</v>
      </c>
      <c r="I243" s="120">
        <f t="shared" si="3"/>
        <v>-2.8848284766291865E-4</v>
      </c>
      <c r="J243" s="120">
        <f t="shared" si="3"/>
        <v>-1.0892725871969322E-4</v>
      </c>
      <c r="K243"/>
      <c r="L243"/>
      <c r="N243" s="15"/>
      <c r="O243" s="15"/>
      <c r="P243" s="15"/>
      <c r="Q243" s="15"/>
      <c r="R243" s="15"/>
      <c r="S243" s="15"/>
      <c r="T243" s="15"/>
      <c r="U243" s="15"/>
      <c r="V243" s="15"/>
      <c r="W243" s="15"/>
      <c r="X243" s="15"/>
      <c r="Y243" s="15"/>
    </row>
    <row r="244" spans="6:25" s="21" customFormat="1" ht="14.25" x14ac:dyDescent="0.45">
      <c r="F244" s="119">
        <v>43789</v>
      </c>
      <c r="G244" s="52">
        <v>294.80413800000002</v>
      </c>
      <c r="H244" s="52">
        <v>89.793869000000001</v>
      </c>
      <c r="I244" s="120">
        <f t="shared" si="3"/>
        <v>-3.7185716147317693E-3</v>
      </c>
      <c r="J244" s="120">
        <f t="shared" si="3"/>
        <v>1.0893912515985704E-4</v>
      </c>
      <c r="K244"/>
      <c r="L244"/>
      <c r="N244" s="15"/>
      <c r="O244" s="15"/>
      <c r="P244" s="15"/>
      <c r="Q244" s="15"/>
      <c r="R244" s="15"/>
      <c r="S244" s="15"/>
      <c r="T244" s="15"/>
      <c r="U244" s="15"/>
      <c r="V244" s="15"/>
      <c r="W244" s="15"/>
      <c r="X244" s="15"/>
      <c r="Y244" s="15"/>
    </row>
    <row r="245" spans="6:25" s="21" customFormat="1" ht="14.25" x14ac:dyDescent="0.45">
      <c r="F245" s="119">
        <v>43790</v>
      </c>
      <c r="G245" s="52">
        <v>294.32986499999998</v>
      </c>
      <c r="H245" s="52">
        <v>89.793869000000001</v>
      </c>
      <c r="I245" s="120">
        <f t="shared" si="3"/>
        <v>-1.6087732119962617E-3</v>
      </c>
      <c r="J245" s="120">
        <f t="shared" si="3"/>
        <v>0</v>
      </c>
      <c r="K245"/>
      <c r="L245"/>
      <c r="N245" s="15"/>
      <c r="O245" s="15"/>
      <c r="P245" s="15"/>
      <c r="Q245" s="15"/>
      <c r="R245" s="15"/>
      <c r="S245" s="15"/>
      <c r="T245" s="15"/>
      <c r="U245" s="15"/>
      <c r="V245" s="15"/>
      <c r="W245" s="15"/>
      <c r="X245" s="15"/>
      <c r="Y245" s="15"/>
    </row>
    <row r="246" spans="6:25" s="21" customFormat="1" ht="14.25" x14ac:dyDescent="0.45">
      <c r="F246" s="119">
        <v>43791</v>
      </c>
      <c r="G246" s="52">
        <v>294.984375</v>
      </c>
      <c r="H246" s="52">
        <v>89.803711000000007</v>
      </c>
      <c r="I246" s="120">
        <f t="shared" si="3"/>
        <v>2.2237294880016467E-3</v>
      </c>
      <c r="J246" s="120">
        <f t="shared" si="3"/>
        <v>1.0960659240555337E-4</v>
      </c>
      <c r="K246"/>
      <c r="L246"/>
      <c r="N246" s="15"/>
      <c r="O246" s="15"/>
      <c r="P246" s="15"/>
      <c r="Q246" s="15"/>
      <c r="R246" s="15"/>
      <c r="S246" s="15"/>
      <c r="T246" s="15"/>
      <c r="U246" s="15"/>
      <c r="V246" s="15"/>
      <c r="W246" s="15"/>
      <c r="X246" s="15"/>
      <c r="Y246" s="15"/>
    </row>
    <row r="247" spans="6:25" s="21" customFormat="1" ht="14.25" x14ac:dyDescent="0.45">
      <c r="F247" s="119">
        <v>43794</v>
      </c>
      <c r="G247" s="52">
        <v>297.27050800000001</v>
      </c>
      <c r="H247" s="52">
        <v>89.803711000000007</v>
      </c>
      <c r="I247" s="120">
        <f t="shared" si="3"/>
        <v>7.7500138778536787E-3</v>
      </c>
      <c r="J247" s="120">
        <f t="shared" si="3"/>
        <v>0</v>
      </c>
      <c r="K247"/>
      <c r="L247"/>
      <c r="N247" s="15"/>
      <c r="O247" s="15"/>
      <c r="P247" s="15"/>
      <c r="Q247" s="15"/>
      <c r="R247" s="15"/>
      <c r="S247" s="15"/>
      <c r="T247" s="15"/>
      <c r="U247" s="15"/>
      <c r="V247" s="15"/>
      <c r="W247" s="15"/>
      <c r="X247" s="15"/>
      <c r="Y247" s="15"/>
    </row>
    <row r="248" spans="6:25" s="21" customFormat="1" ht="14.25" x14ac:dyDescent="0.45">
      <c r="F248" s="119">
        <v>43795</v>
      </c>
      <c r="G248" s="52">
        <v>297.94406099999998</v>
      </c>
      <c r="H248" s="52">
        <v>89.813522000000006</v>
      </c>
      <c r="I248" s="120">
        <f t="shared" si="3"/>
        <v>2.2657915328754274E-3</v>
      </c>
      <c r="J248" s="120">
        <f t="shared" si="3"/>
        <v>1.092493828012131E-4</v>
      </c>
      <c r="K248"/>
      <c r="L248"/>
      <c r="N248" s="15"/>
      <c r="O248" s="15"/>
      <c r="P248" s="15"/>
      <c r="Q248" s="15"/>
      <c r="R248" s="15"/>
      <c r="S248" s="15"/>
      <c r="T248" s="15"/>
      <c r="U248" s="15"/>
      <c r="V248" s="15"/>
      <c r="W248" s="15"/>
      <c r="X248" s="15"/>
      <c r="Y248" s="15"/>
    </row>
    <row r="249" spans="6:25" s="21" customFormat="1" ht="14.25" x14ac:dyDescent="0.45">
      <c r="F249" s="119">
        <v>43796</v>
      </c>
      <c r="G249" s="52">
        <v>299.272156</v>
      </c>
      <c r="H249" s="52">
        <v>89.833145000000002</v>
      </c>
      <c r="I249" s="120">
        <f t="shared" si="3"/>
        <v>4.4575313753276724E-3</v>
      </c>
      <c r="J249" s="120">
        <f t="shared" si="3"/>
        <v>2.1848603153529211E-4</v>
      </c>
      <c r="K249"/>
      <c r="L249"/>
      <c r="N249" s="15"/>
      <c r="O249" s="15"/>
      <c r="P249" s="15"/>
      <c r="Q249" s="15"/>
      <c r="R249" s="15"/>
      <c r="S249" s="15"/>
      <c r="T249" s="15"/>
      <c r="U249" s="15"/>
      <c r="V249" s="15"/>
      <c r="W249" s="15"/>
      <c r="X249" s="15"/>
      <c r="Y249" s="15"/>
    </row>
    <row r="250" spans="6:25" s="21" customFormat="1" ht="14.25" x14ac:dyDescent="0.45">
      <c r="F250" s="119">
        <v>43798</v>
      </c>
      <c r="G250" s="52">
        <v>298.16229199999998</v>
      </c>
      <c r="H250" s="52">
        <v>89.833145000000002</v>
      </c>
      <c r="I250" s="120">
        <f t="shared" si="3"/>
        <v>-3.7085441386669471E-3</v>
      </c>
      <c r="J250" s="120">
        <f t="shared" si="3"/>
        <v>0</v>
      </c>
      <c r="K250"/>
      <c r="L250"/>
      <c r="N250" s="15"/>
      <c r="O250" s="15"/>
      <c r="P250" s="15"/>
      <c r="Q250" s="15"/>
      <c r="R250" s="15"/>
      <c r="S250" s="15"/>
      <c r="T250" s="15"/>
      <c r="U250" s="15"/>
      <c r="V250" s="15"/>
      <c r="W250" s="15"/>
      <c r="X250" s="15"/>
      <c r="Y250" s="15"/>
    </row>
    <row r="251" spans="6:25" s="21" customFormat="1" ht="14.25" x14ac:dyDescent="0.45">
      <c r="F251" s="119">
        <v>43801</v>
      </c>
      <c r="G251" s="52">
        <v>295.62942500000003</v>
      </c>
      <c r="H251" s="52">
        <v>89.840012000000002</v>
      </c>
      <c r="I251" s="120">
        <f t="shared" si="3"/>
        <v>-8.4949273196489594E-3</v>
      </c>
      <c r="J251" s="120">
        <f t="shared" si="3"/>
        <v>7.6441718699804539E-5</v>
      </c>
      <c r="K251"/>
      <c r="L251"/>
      <c r="N251" s="15"/>
      <c r="O251" s="15"/>
      <c r="P251" s="15"/>
      <c r="Q251" s="15"/>
      <c r="R251" s="15"/>
      <c r="S251" s="15"/>
      <c r="T251" s="15"/>
      <c r="U251" s="15"/>
      <c r="V251" s="15"/>
      <c r="W251" s="15"/>
      <c r="X251" s="15"/>
      <c r="Y251" s="15"/>
    </row>
    <row r="252" spans="6:25" s="21" customFormat="1" ht="14.25" x14ac:dyDescent="0.45">
      <c r="F252" s="119">
        <v>43802</v>
      </c>
      <c r="G252" s="52">
        <v>293.64681999999999</v>
      </c>
      <c r="H252" s="52">
        <v>89.830214999999995</v>
      </c>
      <c r="I252" s="120">
        <f t="shared" si="3"/>
        <v>-6.7063858748162009E-3</v>
      </c>
      <c r="J252" s="120">
        <f t="shared" si="3"/>
        <v>-1.0904940662748164E-4</v>
      </c>
      <c r="K252"/>
      <c r="L252"/>
      <c r="N252" s="15"/>
      <c r="O252" s="15"/>
      <c r="P252" s="15"/>
      <c r="Q252" s="15"/>
      <c r="R252" s="15"/>
      <c r="S252" s="15"/>
      <c r="T252" s="15"/>
      <c r="U252" s="15"/>
      <c r="V252" s="15"/>
      <c r="W252" s="15"/>
      <c r="X252" s="15"/>
      <c r="Y252" s="15"/>
    </row>
    <row r="253" spans="6:25" s="21" customFormat="1" ht="14.25" x14ac:dyDescent="0.45">
      <c r="F253" s="119">
        <v>43803</v>
      </c>
      <c r="G253" s="52">
        <v>295.45867900000002</v>
      </c>
      <c r="H253" s="52">
        <v>89.840012000000002</v>
      </c>
      <c r="I253" s="120">
        <f t="shared" si="3"/>
        <v>6.1701979268837803E-3</v>
      </c>
      <c r="J253" s="120">
        <f t="shared" si="3"/>
        <v>1.0906129969745493E-4</v>
      </c>
      <c r="K253"/>
      <c r="L253"/>
      <c r="N253" s="15"/>
      <c r="O253" s="15"/>
      <c r="P253" s="15"/>
      <c r="Q253" s="15"/>
      <c r="R253" s="15"/>
      <c r="S253" s="15"/>
      <c r="T253" s="15"/>
      <c r="U253" s="15"/>
      <c r="V253" s="15"/>
      <c r="W253" s="15"/>
      <c r="X253" s="15"/>
      <c r="Y253" s="15"/>
    </row>
    <row r="254" spans="6:25" s="21" customFormat="1" ht="14.25" x14ac:dyDescent="0.45">
      <c r="F254" s="119">
        <v>43804</v>
      </c>
      <c r="G254" s="52">
        <v>295.989868</v>
      </c>
      <c r="H254" s="52">
        <v>89.859673000000001</v>
      </c>
      <c r="I254" s="120">
        <f t="shared" si="3"/>
        <v>1.7978453088527413E-3</v>
      </c>
      <c r="J254" s="120">
        <f t="shared" si="3"/>
        <v>2.1884458341348001E-4</v>
      </c>
      <c r="K254"/>
      <c r="L254"/>
      <c r="N254" s="15"/>
      <c r="O254" s="15"/>
      <c r="P254" s="15"/>
      <c r="Q254" s="15"/>
      <c r="R254" s="15"/>
      <c r="S254" s="15"/>
      <c r="T254" s="15"/>
      <c r="U254" s="15"/>
      <c r="V254" s="15"/>
      <c r="W254" s="15"/>
      <c r="X254" s="15"/>
      <c r="Y254" s="15"/>
    </row>
    <row r="255" spans="6:25" s="21" customFormat="1" ht="14.25" x14ac:dyDescent="0.45">
      <c r="F255" s="119">
        <v>43805</v>
      </c>
      <c r="G255" s="52">
        <v>298.69348100000002</v>
      </c>
      <c r="H255" s="52">
        <v>89.859673000000001</v>
      </c>
      <c r="I255" s="120">
        <f t="shared" si="3"/>
        <v>9.1341403618585559E-3</v>
      </c>
      <c r="J255" s="120">
        <f t="shared" si="3"/>
        <v>0</v>
      </c>
      <c r="K255"/>
      <c r="L255"/>
      <c r="N255" s="15"/>
      <c r="O255" s="15"/>
      <c r="P255" s="15"/>
      <c r="Q255" s="15"/>
      <c r="R255" s="15"/>
      <c r="S255" s="15"/>
      <c r="T255" s="15"/>
      <c r="U255" s="15"/>
      <c r="V255" s="15"/>
      <c r="W255" s="15"/>
      <c r="X255" s="15"/>
      <c r="Y255" s="15"/>
    </row>
    <row r="256" spans="6:25" s="21" customFormat="1" ht="14.25" x14ac:dyDescent="0.45">
      <c r="F256" s="119">
        <v>43808</v>
      </c>
      <c r="G256" s="52">
        <v>297.75433299999997</v>
      </c>
      <c r="H256" s="52">
        <v>89.869506999999999</v>
      </c>
      <c r="I256" s="120">
        <f t="shared" si="3"/>
        <v>-3.144186464518306E-3</v>
      </c>
      <c r="J256" s="120">
        <f t="shared" si="3"/>
        <v>1.094373000889437E-4</v>
      </c>
      <c r="K256"/>
      <c r="L256"/>
      <c r="N256" s="15"/>
      <c r="O256" s="15"/>
      <c r="P256" s="15"/>
      <c r="Q256" s="15"/>
      <c r="R256" s="15"/>
      <c r="S256" s="15"/>
      <c r="T256" s="15"/>
      <c r="U256" s="15"/>
      <c r="V256" s="15"/>
      <c r="W256" s="15"/>
      <c r="X256" s="15"/>
      <c r="Y256" s="15"/>
    </row>
    <row r="257" spans="6:25" s="21" customFormat="1" ht="14.25" x14ac:dyDescent="0.45">
      <c r="F257" s="119">
        <v>43809</v>
      </c>
      <c r="G257" s="52">
        <v>297.422302</v>
      </c>
      <c r="H257" s="52">
        <v>89.869506999999999</v>
      </c>
      <c r="I257" s="120">
        <f t="shared" si="3"/>
        <v>-1.1151172735409665E-3</v>
      </c>
      <c r="J257" s="120">
        <f t="shared" si="3"/>
        <v>0</v>
      </c>
      <c r="K257"/>
      <c r="L257"/>
      <c r="N257" s="15"/>
      <c r="O257" s="15"/>
      <c r="P257" s="15"/>
      <c r="Q257" s="15"/>
      <c r="R257" s="15"/>
      <c r="S257" s="15"/>
      <c r="T257" s="15"/>
      <c r="U257" s="15"/>
      <c r="V257" s="15"/>
      <c r="W257" s="15"/>
      <c r="X257" s="15"/>
      <c r="Y257" s="15"/>
    </row>
    <row r="258" spans="6:25" s="21" customFormat="1" ht="14.25" x14ac:dyDescent="0.45">
      <c r="F258" s="119">
        <v>43810</v>
      </c>
      <c r="G258" s="52">
        <v>298.26669299999998</v>
      </c>
      <c r="H258" s="52">
        <v>89.869506999999999</v>
      </c>
      <c r="I258" s="120">
        <f t="shared" si="3"/>
        <v>2.8390305445218367E-3</v>
      </c>
      <c r="J258" s="120">
        <f t="shared" si="3"/>
        <v>0</v>
      </c>
      <c r="K258"/>
      <c r="L258"/>
      <c r="N258" s="15"/>
      <c r="O258" s="15"/>
      <c r="P258" s="15"/>
      <c r="Q258" s="15"/>
      <c r="R258" s="15"/>
      <c r="S258" s="15"/>
      <c r="T258" s="15"/>
      <c r="U258" s="15"/>
      <c r="V258" s="15"/>
      <c r="W258" s="15"/>
      <c r="X258" s="15"/>
      <c r="Y258" s="15"/>
    </row>
    <row r="259" spans="6:25" s="21" customFormat="1" ht="14.25" x14ac:dyDescent="0.45">
      <c r="F259" s="119">
        <v>43811</v>
      </c>
      <c r="G259" s="52">
        <v>300.83737200000002</v>
      </c>
      <c r="H259" s="52">
        <v>89.889122</v>
      </c>
      <c r="I259" s="120">
        <f t="shared" si="3"/>
        <v>8.618726328923465E-3</v>
      </c>
      <c r="J259" s="120">
        <f t="shared" si="3"/>
        <v>2.1826090578191959E-4</v>
      </c>
      <c r="K259"/>
      <c r="L259"/>
      <c r="N259" s="15"/>
      <c r="O259" s="15"/>
      <c r="P259" s="15"/>
      <c r="Q259" s="15"/>
      <c r="R259" s="15"/>
      <c r="S259" s="15"/>
      <c r="T259" s="15"/>
      <c r="U259" s="15"/>
      <c r="V259" s="15"/>
      <c r="W259" s="15"/>
      <c r="X259" s="15"/>
      <c r="Y259" s="15"/>
    </row>
    <row r="260" spans="6:25" s="21" customFormat="1" ht="14.25" x14ac:dyDescent="0.45">
      <c r="F260" s="119">
        <v>43812</v>
      </c>
      <c r="G260" s="52">
        <v>301.01767000000001</v>
      </c>
      <c r="H260" s="52">
        <v>89.869506999999999</v>
      </c>
      <c r="I260" s="120">
        <f t="shared" si="3"/>
        <v>5.993204860199608E-4</v>
      </c>
      <c r="J260" s="120">
        <f t="shared" si="3"/>
        <v>-2.1821327835425119E-4</v>
      </c>
      <c r="K260"/>
      <c r="L260"/>
      <c r="N260" s="15"/>
      <c r="O260" s="15"/>
      <c r="P260" s="15"/>
      <c r="Q260" s="15"/>
      <c r="R260" s="15"/>
      <c r="S260" s="15"/>
      <c r="T260" s="15"/>
      <c r="U260" s="15"/>
      <c r="V260" s="15"/>
      <c r="W260" s="15"/>
      <c r="X260" s="15"/>
      <c r="Y260" s="15"/>
    </row>
    <row r="261" spans="6:25" s="21" customFormat="1" ht="14.25" x14ac:dyDescent="0.45">
      <c r="F261" s="119">
        <v>43815</v>
      </c>
      <c r="G261" s="52">
        <v>303.08563199999998</v>
      </c>
      <c r="H261" s="52">
        <v>89.889122</v>
      </c>
      <c r="I261" s="120">
        <f t="shared" si="3"/>
        <v>6.8699023549014804E-3</v>
      </c>
      <c r="J261" s="120">
        <f t="shared" si="3"/>
        <v>2.1826090578191959E-4</v>
      </c>
      <c r="K261"/>
      <c r="L261"/>
      <c r="N261" s="15"/>
      <c r="O261" s="15"/>
      <c r="P261" s="15"/>
      <c r="Q261" s="15"/>
      <c r="R261" s="15"/>
      <c r="S261" s="15"/>
      <c r="T261" s="15"/>
      <c r="U261" s="15"/>
      <c r="V261" s="15"/>
      <c r="W261" s="15"/>
      <c r="X261" s="15"/>
      <c r="Y261" s="15"/>
    </row>
    <row r="262" spans="6:25" s="21" customFormat="1" ht="14.25" x14ac:dyDescent="0.45">
      <c r="F262" s="119">
        <v>43816</v>
      </c>
      <c r="G262" s="52">
        <v>303.15200800000002</v>
      </c>
      <c r="H262" s="52">
        <v>89.879340999999997</v>
      </c>
      <c r="I262" s="120">
        <f t="shared" si="3"/>
        <v>2.1900081360515244E-4</v>
      </c>
      <c r="J262" s="120">
        <f t="shared" si="3"/>
        <v>-1.0881183153621521E-4</v>
      </c>
      <c r="K262"/>
      <c r="L262"/>
      <c r="N262" s="15"/>
      <c r="O262" s="15"/>
      <c r="P262" s="15"/>
      <c r="Q262" s="15"/>
      <c r="R262" s="15"/>
      <c r="S262" s="15"/>
      <c r="T262" s="15"/>
      <c r="U262" s="15"/>
      <c r="V262" s="15"/>
      <c r="W262" s="15"/>
      <c r="X262" s="15"/>
      <c r="Y262" s="15"/>
    </row>
    <row r="263" spans="6:25" s="21" customFormat="1" ht="14.25" x14ac:dyDescent="0.45">
      <c r="F263" s="119">
        <v>43817</v>
      </c>
      <c r="G263" s="52">
        <v>303.17095899999998</v>
      </c>
      <c r="H263" s="52">
        <v>89.898964000000007</v>
      </c>
      <c r="I263" s="120">
        <f t="shared" si="3"/>
        <v>6.2513193051172422E-5</v>
      </c>
      <c r="J263" s="120">
        <f t="shared" si="3"/>
        <v>2.1832603334304146E-4</v>
      </c>
      <c r="K263"/>
      <c r="L263"/>
      <c r="N263" s="15"/>
      <c r="O263" s="15"/>
      <c r="P263" s="15"/>
      <c r="Q263" s="15"/>
      <c r="R263" s="15"/>
      <c r="S263" s="15"/>
      <c r="T263" s="15"/>
      <c r="U263" s="15"/>
      <c r="V263" s="15"/>
      <c r="W263" s="15"/>
      <c r="X263" s="15"/>
      <c r="Y263" s="15"/>
    </row>
    <row r="264" spans="6:25" s="21" customFormat="1" ht="14.25" x14ac:dyDescent="0.45">
      <c r="F264" s="119">
        <v>43818</v>
      </c>
      <c r="G264" s="52">
        <v>304.41366599999998</v>
      </c>
      <c r="H264" s="52">
        <v>89.908783</v>
      </c>
      <c r="I264" s="120">
        <f t="shared" si="3"/>
        <v>4.0990304747494655E-3</v>
      </c>
      <c r="J264" s="120">
        <f t="shared" si="3"/>
        <v>1.0922261573553804E-4</v>
      </c>
      <c r="K264"/>
      <c r="L264"/>
      <c r="N264" s="15"/>
      <c r="O264" s="15"/>
      <c r="P264" s="15"/>
      <c r="Q264" s="15"/>
      <c r="R264" s="15"/>
      <c r="S264" s="15"/>
      <c r="T264" s="15"/>
      <c r="U264" s="15"/>
      <c r="V264" s="15"/>
      <c r="W264" s="15"/>
      <c r="X264" s="15"/>
      <c r="Y264" s="15"/>
    </row>
    <row r="265" spans="6:25" s="21" customFormat="1" ht="14.25" x14ac:dyDescent="0.45">
      <c r="F265" s="119">
        <v>43819</v>
      </c>
      <c r="G265" s="52">
        <v>305.74826000000002</v>
      </c>
      <c r="H265" s="52">
        <v>89.913703999999996</v>
      </c>
      <c r="I265" s="120">
        <f t="shared" si="3"/>
        <v>4.384146144083001E-3</v>
      </c>
      <c r="J265" s="120">
        <f t="shared" si="3"/>
        <v>5.4733251144023498E-5</v>
      </c>
      <c r="K265"/>
      <c r="L265"/>
      <c r="N265" s="15"/>
      <c r="O265" s="15"/>
      <c r="P265" s="15"/>
      <c r="Q265" s="15"/>
      <c r="R265" s="15"/>
      <c r="S265" s="15"/>
      <c r="T265" s="15"/>
      <c r="U265" s="15"/>
      <c r="V265" s="15"/>
      <c r="W265" s="15"/>
      <c r="X265" s="15"/>
      <c r="Y265" s="15"/>
    </row>
    <row r="266" spans="6:25" s="21" customFormat="1" ht="14.25" x14ac:dyDescent="0.45">
      <c r="F266" s="119">
        <v>43822</v>
      </c>
      <c r="G266" s="52">
        <v>306.21542399999998</v>
      </c>
      <c r="H266" s="52">
        <v>89.913703999999996</v>
      </c>
      <c r="I266" s="120">
        <f t="shared" si="3"/>
        <v>1.5279367411606959E-3</v>
      </c>
      <c r="J266" s="120">
        <f t="shared" si="3"/>
        <v>0</v>
      </c>
      <c r="K266"/>
      <c r="L266"/>
      <c r="N266" s="15"/>
      <c r="O266" s="15"/>
      <c r="P266" s="15"/>
      <c r="Q266" s="15"/>
      <c r="R266" s="15"/>
      <c r="S266" s="15"/>
      <c r="T266" s="15"/>
      <c r="U266" s="15"/>
      <c r="V266" s="15"/>
      <c r="W266" s="15"/>
      <c r="X266" s="15"/>
      <c r="Y266" s="15"/>
    </row>
    <row r="267" spans="6:25" s="21" customFormat="1" ht="14.25" x14ac:dyDescent="0.45">
      <c r="F267" s="119">
        <v>43823</v>
      </c>
      <c r="G267" s="52">
        <v>306.22500600000001</v>
      </c>
      <c r="H267" s="52">
        <v>89.923546000000002</v>
      </c>
      <c r="I267" s="120">
        <f t="shared" si="3"/>
        <v>3.1291696136248603E-5</v>
      </c>
      <c r="J267" s="120">
        <f t="shared" si="3"/>
        <v>1.0946051115867661E-4</v>
      </c>
      <c r="K267"/>
      <c r="L267"/>
      <c r="N267" s="15"/>
      <c r="O267" s="15"/>
      <c r="P267" s="15"/>
      <c r="Q267" s="15"/>
      <c r="R267" s="15"/>
      <c r="S267" s="15"/>
      <c r="T267" s="15"/>
      <c r="U267" s="15"/>
      <c r="V267" s="15"/>
      <c r="W267" s="15"/>
      <c r="X267" s="15"/>
      <c r="Y267" s="15"/>
    </row>
    <row r="268" spans="6:25" s="21" customFormat="1" ht="14.25" x14ac:dyDescent="0.45">
      <c r="F268" s="119">
        <v>43825</v>
      </c>
      <c r="G268" s="52">
        <v>307.85504200000003</v>
      </c>
      <c r="H268" s="52">
        <v>89.93338</v>
      </c>
      <c r="I268" s="120">
        <f t="shared" si="3"/>
        <v>5.3230009570153225E-3</v>
      </c>
      <c r="J268" s="120">
        <f t="shared" si="3"/>
        <v>1.0935956640323319E-4</v>
      </c>
      <c r="K268"/>
      <c r="L268"/>
      <c r="N268" s="15"/>
      <c r="O268" s="15"/>
      <c r="P268" s="15"/>
      <c r="Q268" s="15"/>
      <c r="R268" s="15"/>
      <c r="S268" s="15"/>
      <c r="T268" s="15"/>
      <c r="U268" s="15"/>
      <c r="V268" s="15"/>
      <c r="W268" s="15"/>
      <c r="X268" s="15"/>
      <c r="Y268" s="15"/>
    </row>
    <row r="269" spans="6:25" s="21" customFormat="1" ht="14.25" x14ac:dyDescent="0.45">
      <c r="F269" s="119">
        <v>43826</v>
      </c>
      <c r="G269" s="52">
        <v>307.77877799999999</v>
      </c>
      <c r="H269" s="52">
        <v>89.923546000000002</v>
      </c>
      <c r="I269" s="120">
        <f t="shared" si="3"/>
        <v>-2.477269805444271E-4</v>
      </c>
      <c r="J269" s="120">
        <f t="shared" si="3"/>
        <v>-1.0934760819614198E-4</v>
      </c>
      <c r="K269"/>
      <c r="L269"/>
      <c r="N269" s="15"/>
      <c r="O269" s="15"/>
      <c r="P269" s="15"/>
      <c r="Q269" s="15"/>
      <c r="R269" s="15"/>
      <c r="S269" s="15"/>
      <c r="T269" s="15"/>
      <c r="U269" s="15"/>
      <c r="V269" s="15"/>
      <c r="W269" s="15"/>
      <c r="X269" s="15"/>
      <c r="Y269" s="15"/>
    </row>
    <row r="270" spans="6:25" s="21" customFormat="1" ht="14.25" x14ac:dyDescent="0.45">
      <c r="F270" s="119">
        <v>43829</v>
      </c>
      <c r="G270" s="52">
        <v>306.08193999999997</v>
      </c>
      <c r="H270" s="52">
        <v>89.93338</v>
      </c>
      <c r="I270" s="120">
        <f t="shared" si="3"/>
        <v>-5.5131741409409907E-3</v>
      </c>
      <c r="J270" s="120">
        <f t="shared" si="3"/>
        <v>1.0935956640323319E-4</v>
      </c>
      <c r="K270"/>
      <c r="L270"/>
      <c r="N270" s="15"/>
      <c r="O270" s="15"/>
      <c r="P270" s="15"/>
      <c r="Q270" s="15"/>
      <c r="R270" s="15"/>
      <c r="S270" s="15"/>
      <c r="T270" s="15"/>
      <c r="U270" s="15"/>
      <c r="V270" s="15"/>
      <c r="W270" s="15"/>
      <c r="X270" s="15"/>
      <c r="Y270" s="15"/>
    </row>
    <row r="271" spans="6:25" s="21" customFormat="1" ht="14.25" x14ac:dyDescent="0.45">
      <c r="F271" s="119">
        <v>43830</v>
      </c>
      <c r="G271" s="52">
        <v>306.82549999999998</v>
      </c>
      <c r="H271" s="52">
        <v>89.93338</v>
      </c>
      <c r="I271" s="120">
        <f t="shared" si="3"/>
        <v>2.429284132216436E-3</v>
      </c>
      <c r="J271" s="120">
        <f t="shared" si="3"/>
        <v>0</v>
      </c>
      <c r="K271"/>
      <c r="L271"/>
      <c r="N271" s="15"/>
      <c r="O271" s="15"/>
      <c r="P271" s="15"/>
      <c r="Q271" s="15"/>
      <c r="R271" s="15"/>
      <c r="S271" s="15"/>
      <c r="T271" s="15"/>
      <c r="U271" s="15"/>
      <c r="V271" s="15"/>
      <c r="W271" s="15"/>
      <c r="X271" s="15"/>
      <c r="Y271" s="15"/>
    </row>
    <row r="272" spans="6:25" s="21" customFormat="1" ht="14.25" x14ac:dyDescent="0.45">
      <c r="F272" s="119">
        <v>43832</v>
      </c>
      <c r="G272" s="52">
        <v>309.69491599999998</v>
      </c>
      <c r="H272" s="52">
        <v>89.962897999999996</v>
      </c>
      <c r="I272" s="120">
        <f t="shared" si="3"/>
        <v>9.3519476053978146E-3</v>
      </c>
      <c r="J272" s="120">
        <f t="shared" si="3"/>
        <v>3.2822073405891494E-4</v>
      </c>
      <c r="K272"/>
      <c r="L272"/>
      <c r="N272" s="15"/>
      <c r="O272" s="15"/>
      <c r="P272" s="15"/>
      <c r="Q272" s="15"/>
      <c r="R272" s="15"/>
      <c r="S272" s="15"/>
      <c r="T272" s="15"/>
      <c r="U272" s="15"/>
      <c r="V272" s="15"/>
      <c r="W272" s="15"/>
      <c r="X272" s="15"/>
      <c r="Y272" s="15"/>
    </row>
    <row r="273" spans="6:25" s="21" customFormat="1" ht="14.25" x14ac:dyDescent="0.45">
      <c r="F273" s="119">
        <v>43833</v>
      </c>
      <c r="G273" s="52">
        <v>307.34979199999998</v>
      </c>
      <c r="H273" s="52">
        <v>89.962897999999996</v>
      </c>
      <c r="I273" s="120">
        <f t="shared" si="3"/>
        <v>-7.5723684143397252E-3</v>
      </c>
      <c r="J273" s="120">
        <f t="shared" si="3"/>
        <v>0</v>
      </c>
      <c r="K273"/>
      <c r="L273"/>
      <c r="N273" s="15"/>
      <c r="O273" s="15"/>
      <c r="P273" s="15"/>
      <c r="Q273" s="15"/>
      <c r="R273" s="15"/>
      <c r="S273" s="15"/>
      <c r="T273" s="15"/>
      <c r="U273" s="15"/>
      <c r="V273" s="15"/>
      <c r="W273" s="15"/>
      <c r="X273" s="15"/>
      <c r="Y273" s="15"/>
    </row>
    <row r="274" spans="6:25" s="21" customFormat="1" ht="14.25" x14ac:dyDescent="0.45">
      <c r="F274" s="119">
        <v>43836</v>
      </c>
      <c r="G274" s="52">
        <v>308.52236900000003</v>
      </c>
      <c r="H274" s="52">
        <v>89.953040999999999</v>
      </c>
      <c r="I274" s="120">
        <f t="shared" si="3"/>
        <v>3.8151221524171941E-3</v>
      </c>
      <c r="J274" s="120">
        <f t="shared" si="3"/>
        <v>-1.095673907702821E-4</v>
      </c>
      <c r="K274"/>
      <c r="L274"/>
      <c r="N274" s="15"/>
      <c r="O274" s="15"/>
      <c r="P274" s="15"/>
      <c r="Q274" s="15"/>
      <c r="R274" s="15"/>
      <c r="S274" s="15"/>
      <c r="T274" s="15"/>
      <c r="U274" s="15"/>
      <c r="V274" s="15"/>
      <c r="W274" s="15"/>
      <c r="X274" s="15"/>
      <c r="Y274" s="15"/>
    </row>
    <row r="275" spans="6:25" s="21" customFormat="1" ht="14.25" x14ac:dyDescent="0.45">
      <c r="F275" s="119">
        <v>43837</v>
      </c>
      <c r="G275" s="52">
        <v>307.65490699999998</v>
      </c>
      <c r="H275" s="52">
        <v>89.953040999999999</v>
      </c>
      <c r="I275" s="120">
        <f t="shared" si="3"/>
        <v>-2.8116664694741722E-3</v>
      </c>
      <c r="J275" s="120">
        <f t="shared" si="3"/>
        <v>0</v>
      </c>
      <c r="K275"/>
      <c r="L275"/>
      <c r="N275" s="15"/>
      <c r="O275" s="15"/>
      <c r="P275" s="15"/>
      <c r="Q275" s="15"/>
      <c r="R275" s="15"/>
      <c r="S275" s="15"/>
      <c r="T275" s="15"/>
      <c r="U275" s="15"/>
      <c r="V275" s="15"/>
      <c r="W275" s="15"/>
      <c r="X275" s="15"/>
      <c r="Y275" s="15"/>
    </row>
    <row r="276" spans="6:25" s="21" customFormat="1" ht="14.25" x14ac:dyDescent="0.45">
      <c r="F276" s="119">
        <v>43838</v>
      </c>
      <c r="G276" s="52">
        <v>309.29452500000002</v>
      </c>
      <c r="H276" s="52">
        <v>89.972740000000002</v>
      </c>
      <c r="I276" s="120">
        <f t="shared" si="3"/>
        <v>5.3294063013271664E-3</v>
      </c>
      <c r="J276" s="120">
        <f t="shared" si="3"/>
        <v>2.1899204052489019E-4</v>
      </c>
      <c r="K276"/>
      <c r="L276"/>
      <c r="N276" s="15"/>
      <c r="O276" s="15"/>
      <c r="P276" s="15"/>
      <c r="Q276" s="15"/>
      <c r="R276" s="15"/>
      <c r="S276" s="15"/>
      <c r="T276" s="15"/>
      <c r="U276" s="15"/>
      <c r="V276" s="15"/>
      <c r="W276" s="15"/>
      <c r="X276" s="15"/>
      <c r="Y276" s="15"/>
    </row>
    <row r="277" spans="6:25" s="21" customFormat="1" ht="14.25" x14ac:dyDescent="0.45">
      <c r="F277" s="119">
        <v>43839</v>
      </c>
      <c r="G277" s="52">
        <v>311.39172400000001</v>
      </c>
      <c r="H277" s="52">
        <v>89.982567000000003</v>
      </c>
      <c r="I277" s="120">
        <f t="shared" ref="I277:J342" si="4">G277/G276-1</f>
        <v>6.7805888254892643E-3</v>
      </c>
      <c r="J277" s="120">
        <f t="shared" si="4"/>
        <v>1.092219710103759E-4</v>
      </c>
      <c r="K277"/>
      <c r="L277"/>
      <c r="N277" s="15"/>
      <c r="O277" s="15"/>
      <c r="P277" s="15"/>
      <c r="Q277" s="15"/>
      <c r="R277" s="15"/>
      <c r="S277" s="15"/>
      <c r="T277" s="15"/>
      <c r="U277" s="15"/>
      <c r="V277" s="15"/>
      <c r="W277" s="15"/>
      <c r="X277" s="15"/>
      <c r="Y277" s="15"/>
    </row>
    <row r="278" spans="6:25" s="21" customFormat="1" ht="14.25" x14ac:dyDescent="0.45">
      <c r="F278" s="119">
        <v>43840</v>
      </c>
      <c r="G278" s="52">
        <v>310.49566700000003</v>
      </c>
      <c r="H278" s="52">
        <v>89.982567000000003</v>
      </c>
      <c r="I278" s="120">
        <f t="shared" si="4"/>
        <v>-2.8775877164930463E-3</v>
      </c>
      <c r="J278" s="120">
        <f t="shared" si="4"/>
        <v>0</v>
      </c>
      <c r="K278"/>
      <c r="L278"/>
      <c r="N278" s="15"/>
      <c r="O278" s="15"/>
      <c r="P278" s="15"/>
      <c r="Q278" s="15"/>
      <c r="R278" s="15"/>
      <c r="S278" s="15"/>
      <c r="T278" s="15"/>
      <c r="U278" s="15"/>
      <c r="V278" s="15"/>
      <c r="W278" s="15"/>
      <c r="X278" s="15"/>
      <c r="Y278" s="15"/>
    </row>
    <row r="279" spans="6:25" s="21" customFormat="1" ht="14.25" x14ac:dyDescent="0.45">
      <c r="F279" s="119">
        <v>43843</v>
      </c>
      <c r="G279" s="52">
        <v>312.63104199999998</v>
      </c>
      <c r="H279" s="52">
        <v>89.982567000000003</v>
      </c>
      <c r="I279" s="120">
        <f t="shared" si="4"/>
        <v>6.8773101429462358E-3</v>
      </c>
      <c r="J279" s="120">
        <f t="shared" si="4"/>
        <v>0</v>
      </c>
      <c r="K279"/>
      <c r="L279"/>
      <c r="N279" s="15"/>
      <c r="O279" s="15"/>
      <c r="P279" s="15"/>
      <c r="Q279" s="15"/>
      <c r="R279" s="15"/>
      <c r="S279" s="15"/>
      <c r="T279" s="15"/>
      <c r="U279" s="15"/>
      <c r="V279" s="15"/>
      <c r="W279" s="15"/>
      <c r="X279" s="15"/>
      <c r="Y279" s="15"/>
    </row>
    <row r="280" spans="6:25" s="21" customFormat="1" ht="14.25" x14ac:dyDescent="0.45">
      <c r="F280" s="119">
        <v>43844</v>
      </c>
      <c r="G280" s="52">
        <v>312.15441900000002</v>
      </c>
      <c r="H280" s="52">
        <v>89.982567000000003</v>
      </c>
      <c r="I280" s="120">
        <f t="shared" si="4"/>
        <v>-1.5245543019364316E-3</v>
      </c>
      <c r="J280" s="120">
        <f t="shared" si="4"/>
        <v>0</v>
      </c>
      <c r="K280"/>
      <c r="L280"/>
      <c r="N280" s="15"/>
      <c r="O280" s="15"/>
      <c r="P280" s="15"/>
      <c r="Q280" s="15"/>
      <c r="R280" s="15"/>
      <c r="S280" s="15"/>
      <c r="T280" s="15"/>
      <c r="U280" s="15"/>
      <c r="V280" s="15"/>
      <c r="W280" s="15"/>
      <c r="X280" s="15"/>
      <c r="Y280" s="15"/>
    </row>
    <row r="281" spans="6:25" s="21" customFormat="1" ht="14.25" x14ac:dyDescent="0.45">
      <c r="F281" s="119">
        <v>43845</v>
      </c>
      <c r="G281" s="52">
        <v>312.85983299999998</v>
      </c>
      <c r="H281" s="52">
        <v>89.992401000000001</v>
      </c>
      <c r="I281" s="120">
        <f t="shared" si="4"/>
        <v>2.2598238469915266E-3</v>
      </c>
      <c r="J281" s="120">
        <f t="shared" si="4"/>
        <v>1.0928783572050627E-4</v>
      </c>
      <c r="K281"/>
      <c r="L281"/>
      <c r="N281" s="15"/>
      <c r="O281" s="15"/>
      <c r="P281" s="15"/>
      <c r="Q281" s="15"/>
      <c r="R281" s="15"/>
      <c r="S281" s="15"/>
      <c r="T281" s="15"/>
      <c r="U281" s="15"/>
      <c r="V281" s="15"/>
      <c r="W281" s="15"/>
      <c r="X281" s="15"/>
      <c r="Y281" s="15"/>
    </row>
    <row r="282" spans="6:25" s="21" customFormat="1" ht="14.25" x14ac:dyDescent="0.45">
      <c r="F282" s="119">
        <v>43846</v>
      </c>
      <c r="G282" s="52">
        <v>315.462311</v>
      </c>
      <c r="H282" s="52">
        <v>90.012084999999999</v>
      </c>
      <c r="I282" s="120">
        <f t="shared" si="4"/>
        <v>8.3183513046241053E-3</v>
      </c>
      <c r="J282" s="120">
        <f t="shared" si="4"/>
        <v>2.1872957917845604E-4</v>
      </c>
      <c r="K282"/>
      <c r="L282"/>
      <c r="N282" s="15"/>
      <c r="O282" s="15"/>
      <c r="P282" s="15"/>
      <c r="Q282" s="15"/>
      <c r="R282" s="15"/>
      <c r="S282" s="15"/>
      <c r="T282" s="15"/>
      <c r="U282" s="15"/>
      <c r="V282" s="15"/>
      <c r="W282" s="15"/>
      <c r="X282" s="15"/>
      <c r="Y282" s="15"/>
    </row>
    <row r="283" spans="6:25" s="21" customFormat="1" ht="14.25" x14ac:dyDescent="0.45">
      <c r="F283" s="119">
        <v>43847</v>
      </c>
      <c r="G283" s="52">
        <v>316.44421399999999</v>
      </c>
      <c r="H283" s="52">
        <v>90.002228000000002</v>
      </c>
      <c r="I283" s="120">
        <f t="shared" si="4"/>
        <v>3.1125841844226176E-3</v>
      </c>
      <c r="J283" s="120">
        <f t="shared" si="4"/>
        <v>-1.0950751779603696E-4</v>
      </c>
      <c r="K283"/>
      <c r="L283"/>
      <c r="N283" s="15"/>
      <c r="O283" s="15"/>
      <c r="P283" s="15"/>
      <c r="Q283" s="15"/>
      <c r="R283" s="15"/>
      <c r="S283" s="15"/>
      <c r="T283" s="15"/>
      <c r="U283" s="15"/>
      <c r="V283" s="15"/>
      <c r="W283" s="15"/>
      <c r="X283" s="15"/>
      <c r="Y283" s="15"/>
    </row>
    <row r="284" spans="6:25" s="21" customFormat="1" ht="14.25" x14ac:dyDescent="0.45">
      <c r="F284" s="119">
        <v>43851</v>
      </c>
      <c r="G284" s="52">
        <v>315.824524</v>
      </c>
      <c r="H284" s="52">
        <v>90.012084999999999</v>
      </c>
      <c r="I284" s="120">
        <f t="shared" si="4"/>
        <v>-1.9582914541771412E-3</v>
      </c>
      <c r="J284" s="120">
        <f t="shared" si="4"/>
        <v>1.0951951100590662E-4</v>
      </c>
      <c r="K284"/>
      <c r="L284"/>
      <c r="N284" s="15"/>
      <c r="O284" s="15"/>
      <c r="P284" s="15"/>
      <c r="Q284" s="15"/>
      <c r="R284" s="15"/>
      <c r="S284" s="15"/>
      <c r="T284" s="15"/>
      <c r="U284" s="15"/>
      <c r="V284" s="15"/>
      <c r="W284" s="15"/>
      <c r="X284" s="15"/>
      <c r="Y284" s="15"/>
    </row>
    <row r="285" spans="6:25" s="21" customFormat="1" ht="14.25" x14ac:dyDescent="0.45">
      <c r="F285" s="119">
        <v>43852</v>
      </c>
      <c r="G285" s="52">
        <v>315.86270100000002</v>
      </c>
      <c r="H285" s="52">
        <v>90.012084999999999</v>
      </c>
      <c r="I285" s="120">
        <f t="shared" si="4"/>
        <v>1.2088041649360726E-4</v>
      </c>
      <c r="J285" s="120">
        <f t="shared" si="4"/>
        <v>0</v>
      </c>
      <c r="K285"/>
      <c r="L285"/>
      <c r="N285" s="15"/>
      <c r="O285" s="15"/>
      <c r="P285" s="15"/>
      <c r="Q285" s="15"/>
      <c r="R285" s="15"/>
      <c r="S285" s="15"/>
      <c r="T285" s="15"/>
      <c r="U285" s="15"/>
      <c r="V285" s="15"/>
      <c r="W285" s="15"/>
      <c r="X285" s="15"/>
      <c r="Y285" s="15"/>
    </row>
    <row r="286" spans="6:25" s="21" customFormat="1" ht="14.25" x14ac:dyDescent="0.45">
      <c r="F286" s="119">
        <v>43853</v>
      </c>
      <c r="G286" s="52">
        <v>316.22494499999999</v>
      </c>
      <c r="H286" s="52">
        <v>90.021904000000006</v>
      </c>
      <c r="I286" s="120">
        <f t="shared" si="4"/>
        <v>1.1468400632714815E-3</v>
      </c>
      <c r="J286" s="120">
        <f t="shared" si="4"/>
        <v>1.0908535226139549E-4</v>
      </c>
      <c r="K286"/>
      <c r="L286"/>
      <c r="N286" s="15"/>
      <c r="O286" s="15"/>
      <c r="P286" s="15"/>
      <c r="Q286" s="15"/>
      <c r="R286" s="15"/>
      <c r="S286" s="15"/>
      <c r="T286" s="15"/>
      <c r="U286" s="15"/>
      <c r="V286" s="15"/>
      <c r="W286" s="15"/>
      <c r="X286" s="15"/>
      <c r="Y286" s="15"/>
    </row>
    <row r="287" spans="6:25" s="21" customFormat="1" ht="14.25" x14ac:dyDescent="0.45">
      <c r="F287" s="119">
        <v>43854</v>
      </c>
      <c r="G287" s="52">
        <v>313.41275000000002</v>
      </c>
      <c r="H287" s="52">
        <v>90.021904000000006</v>
      </c>
      <c r="I287" s="120">
        <f t="shared" si="4"/>
        <v>-8.893020757739345E-3</v>
      </c>
      <c r="J287" s="120">
        <f t="shared" si="4"/>
        <v>0</v>
      </c>
      <c r="K287"/>
      <c r="L287"/>
      <c r="N287" s="15"/>
      <c r="O287" s="15"/>
      <c r="P287" s="15"/>
      <c r="Q287" s="15"/>
      <c r="R287" s="15"/>
      <c r="S287" s="15"/>
      <c r="T287" s="15"/>
      <c r="U287" s="15"/>
      <c r="V287" s="15"/>
      <c r="W287" s="15"/>
      <c r="X287" s="15"/>
      <c r="Y287" s="15"/>
    </row>
    <row r="288" spans="6:25" s="21" customFormat="1" ht="14.25" x14ac:dyDescent="0.45">
      <c r="F288" s="119">
        <v>43857</v>
      </c>
      <c r="G288" s="52">
        <v>308.38891599999999</v>
      </c>
      <c r="H288" s="52">
        <v>90.031745999999998</v>
      </c>
      <c r="I288" s="120">
        <f t="shared" si="4"/>
        <v>-1.6029449982491228E-2</v>
      </c>
      <c r="J288" s="120">
        <f t="shared" si="4"/>
        <v>1.0932894731929821E-4</v>
      </c>
      <c r="K288"/>
      <c r="L288"/>
      <c r="N288" s="15"/>
      <c r="O288" s="15"/>
      <c r="P288" s="15"/>
      <c r="Q288" s="15"/>
      <c r="R288" s="15"/>
      <c r="S288" s="15"/>
      <c r="T288" s="15"/>
      <c r="U288" s="15"/>
      <c r="V288" s="15"/>
      <c r="W288" s="15"/>
      <c r="X288" s="15"/>
      <c r="Y288" s="15"/>
    </row>
    <row r="289" spans="6:25" s="21" customFormat="1" ht="14.25" x14ac:dyDescent="0.45">
      <c r="F289" s="119">
        <v>43858</v>
      </c>
      <c r="G289" s="52">
        <v>311.62057499999997</v>
      </c>
      <c r="H289" s="52">
        <v>90.031745999999998</v>
      </c>
      <c r="I289" s="120">
        <f t="shared" si="4"/>
        <v>1.0479167156578262E-2</v>
      </c>
      <c r="J289" s="120">
        <f t="shared" si="4"/>
        <v>0</v>
      </c>
      <c r="K289"/>
      <c r="L289"/>
      <c r="N289" s="15"/>
      <c r="O289" s="15"/>
      <c r="P289" s="15"/>
      <c r="Q289" s="15"/>
      <c r="R289" s="15"/>
      <c r="S289" s="15"/>
      <c r="T289" s="15"/>
      <c r="U289" s="15"/>
      <c r="V289" s="15"/>
      <c r="W289" s="15"/>
      <c r="X289" s="15"/>
      <c r="Y289" s="15"/>
    </row>
    <row r="290" spans="6:25" s="21" customFormat="1" ht="14.25" x14ac:dyDescent="0.45">
      <c r="F290" s="119">
        <v>43859</v>
      </c>
      <c r="G290" s="52">
        <v>311.363159</v>
      </c>
      <c r="H290" s="52">
        <v>90.041579999999996</v>
      </c>
      <c r="I290" s="120">
        <f t="shared" si="4"/>
        <v>-8.2605585334016851E-4</v>
      </c>
      <c r="J290" s="120">
        <f t="shared" si="4"/>
        <v>1.0922813826130806E-4</v>
      </c>
      <c r="K290"/>
      <c r="L290"/>
      <c r="N290" s="15"/>
      <c r="O290" s="15"/>
      <c r="P290" s="15"/>
      <c r="Q290" s="15"/>
      <c r="R290" s="15"/>
      <c r="S290" s="15"/>
      <c r="T290" s="15"/>
      <c r="U290" s="15"/>
      <c r="V290" s="15"/>
      <c r="W290" s="15"/>
      <c r="X290" s="15"/>
      <c r="Y290" s="15"/>
    </row>
    <row r="291" spans="6:25" s="21" customFormat="1" ht="14.25" x14ac:dyDescent="0.45">
      <c r="F291" s="119">
        <v>43860</v>
      </c>
      <c r="G291" s="52">
        <v>312.373627</v>
      </c>
      <c r="H291" s="52">
        <v>90.041579999999996</v>
      </c>
      <c r="I291" s="120">
        <f t="shared" si="4"/>
        <v>3.2453036616320041E-3</v>
      </c>
      <c r="J291" s="120">
        <f t="shared" si="4"/>
        <v>0</v>
      </c>
      <c r="K291"/>
      <c r="L291"/>
      <c r="N291" s="15"/>
      <c r="O291" s="15"/>
      <c r="P291" s="15"/>
      <c r="Q291" s="15"/>
      <c r="R291" s="15"/>
      <c r="S291" s="15"/>
      <c r="T291" s="15"/>
      <c r="U291" s="15"/>
      <c r="V291" s="15"/>
      <c r="W291" s="15"/>
      <c r="X291" s="15"/>
      <c r="Y291" s="15"/>
    </row>
    <row r="292" spans="6:25" s="21" customFormat="1" ht="14.25" x14ac:dyDescent="0.45">
      <c r="F292" s="119">
        <v>43861</v>
      </c>
      <c r="G292" s="52">
        <v>306.70163000000002</v>
      </c>
      <c r="H292" s="52">
        <v>90.041579999999996</v>
      </c>
      <c r="I292" s="120">
        <f t="shared" si="4"/>
        <v>-1.8157733271125243E-2</v>
      </c>
      <c r="J292" s="120">
        <f t="shared" si="4"/>
        <v>0</v>
      </c>
      <c r="K292"/>
      <c r="L292"/>
      <c r="N292" s="15"/>
      <c r="O292" s="15"/>
      <c r="P292" s="15"/>
      <c r="Q292" s="15"/>
      <c r="R292" s="15"/>
      <c r="S292" s="15"/>
      <c r="T292" s="15"/>
      <c r="U292" s="15"/>
      <c r="V292" s="15"/>
      <c r="W292" s="15"/>
      <c r="X292" s="15"/>
      <c r="Y292" s="15"/>
    </row>
    <row r="293" spans="6:25" s="21" customFormat="1" ht="14.25" x14ac:dyDescent="0.45">
      <c r="F293" s="119">
        <v>43864</v>
      </c>
      <c r="G293" s="52">
        <v>308.979919</v>
      </c>
      <c r="H293" s="52">
        <v>90.049476999999996</v>
      </c>
      <c r="I293" s="120">
        <f t="shared" si="4"/>
        <v>7.4283563475028291E-3</v>
      </c>
      <c r="J293" s="120">
        <f t="shared" si="4"/>
        <v>8.7703925230941948E-5</v>
      </c>
      <c r="K293"/>
      <c r="L293"/>
      <c r="N293" s="15"/>
      <c r="O293" s="15"/>
      <c r="P293" s="15"/>
      <c r="Q293" s="15"/>
      <c r="R293" s="15"/>
      <c r="S293" s="15"/>
      <c r="T293" s="15"/>
      <c r="U293" s="15"/>
      <c r="V293" s="15"/>
      <c r="W293" s="15"/>
      <c r="X293" s="15"/>
      <c r="Y293" s="15"/>
    </row>
    <row r="294" spans="6:25" s="21" customFormat="1" ht="14.25" x14ac:dyDescent="0.45">
      <c r="F294" s="119">
        <v>43865</v>
      </c>
      <c r="G294" s="52">
        <v>313.68920900000001</v>
      </c>
      <c r="H294" s="52">
        <v>90.049476999999996</v>
      </c>
      <c r="I294" s="120">
        <f t="shared" si="4"/>
        <v>1.5241411206402766E-2</v>
      </c>
      <c r="J294" s="120">
        <f t="shared" si="4"/>
        <v>0</v>
      </c>
      <c r="K294"/>
      <c r="L294"/>
      <c r="N294" s="15"/>
      <c r="O294" s="15"/>
      <c r="P294" s="15"/>
      <c r="Q294" s="15"/>
      <c r="R294" s="15"/>
      <c r="S294" s="15"/>
      <c r="T294" s="15"/>
      <c r="U294" s="15"/>
      <c r="V294" s="15"/>
      <c r="W294" s="15"/>
      <c r="X294" s="15"/>
      <c r="Y294" s="15"/>
    </row>
    <row r="295" spans="6:25" s="21" customFormat="1" ht="14.25" x14ac:dyDescent="0.45">
      <c r="F295" s="119">
        <v>43866</v>
      </c>
      <c r="G295" s="52">
        <v>317.31167599999998</v>
      </c>
      <c r="H295" s="52">
        <v>90.069159999999997</v>
      </c>
      <c r="I295" s="120">
        <f t="shared" si="4"/>
        <v>1.1547949040223271E-2</v>
      </c>
      <c r="J295" s="120">
        <f t="shared" si="4"/>
        <v>2.1857983694895111E-4</v>
      </c>
      <c r="K295"/>
      <c r="L295"/>
      <c r="N295" s="15"/>
      <c r="O295" s="15"/>
      <c r="P295" s="15"/>
      <c r="Q295" s="15"/>
      <c r="R295" s="15"/>
      <c r="S295" s="15"/>
      <c r="T295" s="15"/>
      <c r="U295" s="15"/>
      <c r="V295" s="15"/>
      <c r="W295" s="15"/>
      <c r="X295" s="15"/>
      <c r="Y295" s="15"/>
    </row>
    <row r="296" spans="6:25" s="21" customFormat="1" ht="14.25" x14ac:dyDescent="0.45">
      <c r="F296" s="119">
        <v>43867</v>
      </c>
      <c r="G296" s="52">
        <v>318.37933299999997</v>
      </c>
      <c r="H296" s="52">
        <v>90.079018000000005</v>
      </c>
      <c r="I296" s="120">
        <f t="shared" si="4"/>
        <v>3.3646949694974282E-3</v>
      </c>
      <c r="J296" s="120">
        <f t="shared" si="4"/>
        <v>1.0944922768252319E-4</v>
      </c>
      <c r="K296"/>
      <c r="L296"/>
      <c r="N296" s="15"/>
      <c r="O296" s="15"/>
      <c r="P296" s="15"/>
      <c r="Q296" s="15"/>
      <c r="R296" s="15"/>
      <c r="S296" s="15"/>
      <c r="T296" s="15"/>
      <c r="U296" s="15"/>
      <c r="V296" s="15"/>
      <c r="W296" s="15"/>
      <c r="X296" s="15"/>
      <c r="Y296" s="15"/>
    </row>
    <row r="297" spans="6:25" s="21" customFormat="1" ht="14.25" x14ac:dyDescent="0.45">
      <c r="F297" s="119">
        <v>43868</v>
      </c>
      <c r="G297" s="52">
        <v>316.68255599999998</v>
      </c>
      <c r="H297" s="52">
        <v>90.079018000000005</v>
      </c>
      <c r="I297" s="120">
        <f t="shared" si="4"/>
        <v>-5.3294194193188593E-3</v>
      </c>
      <c r="J297" s="120">
        <f t="shared" si="4"/>
        <v>0</v>
      </c>
      <c r="K297"/>
      <c r="L297"/>
      <c r="N297" s="15"/>
      <c r="O297" s="15"/>
      <c r="P297" s="15"/>
      <c r="Q297" s="15"/>
      <c r="R297" s="15"/>
      <c r="S297" s="15"/>
      <c r="T297" s="15"/>
      <c r="U297" s="15"/>
      <c r="V297" s="15"/>
      <c r="W297" s="15"/>
      <c r="X297" s="15"/>
      <c r="Y297" s="15"/>
    </row>
    <row r="298" spans="6:25" s="21" customFormat="1" ht="14.25" x14ac:dyDescent="0.45">
      <c r="F298" s="119">
        <v>43871</v>
      </c>
      <c r="G298" s="52">
        <v>319.04669200000001</v>
      </c>
      <c r="H298" s="52">
        <v>90.069159999999997</v>
      </c>
      <c r="I298" s="120">
        <f t="shared" si="4"/>
        <v>7.4653180454942181E-3</v>
      </c>
      <c r="J298" s="120">
        <f t="shared" si="4"/>
        <v>-1.0943724986001158E-4</v>
      </c>
      <c r="K298"/>
      <c r="L298"/>
      <c r="N298" s="15"/>
      <c r="O298" s="15"/>
      <c r="P298" s="15"/>
      <c r="Q298" s="15"/>
      <c r="R298" s="15"/>
      <c r="S298" s="15"/>
      <c r="T298" s="15"/>
      <c r="U298" s="15"/>
      <c r="V298" s="15"/>
      <c r="W298" s="15"/>
      <c r="X298" s="15"/>
      <c r="Y298" s="15"/>
    </row>
    <row r="299" spans="6:25" s="21" customFormat="1" ht="14.25" x14ac:dyDescent="0.45">
      <c r="F299" s="119">
        <v>43872</v>
      </c>
      <c r="G299" s="52">
        <v>319.59957900000001</v>
      </c>
      <c r="H299" s="52">
        <v>90.079018000000005</v>
      </c>
      <c r="I299" s="120">
        <f t="shared" si="4"/>
        <v>1.7329344383234524E-3</v>
      </c>
      <c r="J299" s="120">
        <f t="shared" si="4"/>
        <v>1.0944922768252319E-4</v>
      </c>
      <c r="K299"/>
      <c r="L299"/>
      <c r="N299" s="15"/>
      <c r="O299" s="15"/>
      <c r="P299" s="15"/>
      <c r="Q299" s="15"/>
      <c r="R299" s="15"/>
      <c r="S299" s="15"/>
      <c r="T299" s="15"/>
      <c r="U299" s="15"/>
      <c r="V299" s="15"/>
      <c r="W299" s="15"/>
      <c r="X299" s="15"/>
      <c r="Y299" s="15"/>
    </row>
    <row r="300" spans="6:25" s="21" customFormat="1" ht="14.25" x14ac:dyDescent="0.45">
      <c r="F300" s="119">
        <v>43873</v>
      </c>
      <c r="G300" s="52">
        <v>321.65872200000001</v>
      </c>
      <c r="H300" s="52">
        <v>90.088866999999993</v>
      </c>
      <c r="I300" s="120">
        <f t="shared" si="4"/>
        <v>6.442883956364609E-3</v>
      </c>
      <c r="J300" s="120">
        <f t="shared" si="4"/>
        <v>1.0933733758045072E-4</v>
      </c>
      <c r="K300"/>
      <c r="L300"/>
      <c r="N300" s="15"/>
      <c r="O300" s="15"/>
      <c r="P300" s="15"/>
      <c r="Q300" s="15"/>
      <c r="R300" s="15"/>
      <c r="S300" s="15"/>
      <c r="T300" s="15"/>
      <c r="U300" s="15"/>
      <c r="V300" s="15"/>
      <c r="W300" s="15"/>
      <c r="X300" s="15"/>
      <c r="Y300" s="15"/>
    </row>
    <row r="301" spans="6:25" s="21" customFormat="1" ht="14.25" x14ac:dyDescent="0.45">
      <c r="F301" s="119">
        <v>43874</v>
      </c>
      <c r="G301" s="52">
        <v>321.31549100000001</v>
      </c>
      <c r="H301" s="52">
        <v>90.098708999999999</v>
      </c>
      <c r="I301" s="120">
        <f t="shared" si="4"/>
        <v>-1.067065733103334E-3</v>
      </c>
      <c r="J301" s="120">
        <f t="shared" si="4"/>
        <v>1.0924768317943645E-4</v>
      </c>
      <c r="K301"/>
      <c r="L301"/>
      <c r="N301" s="15"/>
      <c r="O301" s="15"/>
      <c r="P301" s="15"/>
      <c r="Q301" s="15"/>
      <c r="R301" s="15"/>
      <c r="S301" s="15"/>
      <c r="T301" s="15"/>
      <c r="U301" s="15"/>
      <c r="V301" s="15"/>
      <c r="W301" s="15"/>
      <c r="X301" s="15"/>
      <c r="Y301" s="15"/>
    </row>
    <row r="302" spans="6:25" s="21" customFormat="1" ht="14.25" x14ac:dyDescent="0.45">
      <c r="F302" s="119">
        <v>43875</v>
      </c>
      <c r="G302" s="52">
        <v>321.83023100000003</v>
      </c>
      <c r="H302" s="52">
        <v>90.098708999999999</v>
      </c>
      <c r="I302" s="120">
        <f t="shared" si="4"/>
        <v>1.6019769180690702E-3</v>
      </c>
      <c r="J302" s="120">
        <f t="shared" si="4"/>
        <v>0</v>
      </c>
      <c r="K302"/>
      <c r="L302"/>
      <c r="N302" s="15"/>
      <c r="O302" s="15"/>
      <c r="P302" s="15"/>
      <c r="Q302" s="15"/>
      <c r="R302" s="15"/>
      <c r="S302" s="15"/>
      <c r="T302" s="15"/>
      <c r="U302" s="15"/>
      <c r="V302" s="15"/>
      <c r="W302" s="15"/>
      <c r="X302" s="15"/>
      <c r="Y302" s="15"/>
    </row>
    <row r="303" spans="6:25" s="21" customFormat="1" ht="14.25" x14ac:dyDescent="0.45">
      <c r="F303" s="119">
        <v>43879</v>
      </c>
      <c r="G303" s="52">
        <v>321.00088499999998</v>
      </c>
      <c r="H303" s="52">
        <v>90.108542999999997</v>
      </c>
      <c r="I303" s="120">
        <f t="shared" si="4"/>
        <v>-2.5769673576750973E-3</v>
      </c>
      <c r="J303" s="120">
        <f t="shared" si="4"/>
        <v>1.0914695792152429E-4</v>
      </c>
      <c r="K303"/>
      <c r="L303"/>
      <c r="N303" s="15"/>
      <c r="O303" s="15"/>
      <c r="P303" s="15"/>
      <c r="Q303" s="15"/>
      <c r="R303" s="15"/>
      <c r="S303" s="15"/>
      <c r="T303" s="15"/>
      <c r="U303" s="15"/>
      <c r="V303" s="15"/>
      <c r="W303" s="15"/>
      <c r="X303" s="15"/>
      <c r="Y303" s="15"/>
    </row>
    <row r="304" spans="6:25" s="21" customFormat="1" ht="14.25" x14ac:dyDescent="0.45">
      <c r="F304" s="119">
        <v>43880</v>
      </c>
      <c r="G304" s="52">
        <v>322.535706</v>
      </c>
      <c r="H304" s="52">
        <v>90.108542999999997</v>
      </c>
      <c r="I304" s="120">
        <f t="shared" si="4"/>
        <v>4.7813606495197281E-3</v>
      </c>
      <c r="J304" s="120">
        <f t="shared" si="4"/>
        <v>0</v>
      </c>
      <c r="K304"/>
      <c r="L304"/>
      <c r="N304" s="15"/>
      <c r="O304" s="15"/>
      <c r="P304" s="15"/>
      <c r="Q304" s="15"/>
      <c r="R304" s="15"/>
      <c r="S304" s="15"/>
      <c r="T304" s="15"/>
      <c r="U304" s="15"/>
      <c r="V304" s="15"/>
      <c r="W304" s="15"/>
      <c r="X304" s="15"/>
      <c r="Y304" s="15"/>
    </row>
    <row r="305" spans="6:25" s="21" customFormat="1" ht="14.25" x14ac:dyDescent="0.45">
      <c r="F305" s="119">
        <v>43881</v>
      </c>
      <c r="G305" s="52">
        <v>321.21066300000001</v>
      </c>
      <c r="H305" s="52">
        <v>90.108542999999997</v>
      </c>
      <c r="I305" s="120">
        <f t="shared" si="4"/>
        <v>-4.1082056198763484E-3</v>
      </c>
      <c r="J305" s="120">
        <f t="shared" si="4"/>
        <v>0</v>
      </c>
      <c r="K305"/>
      <c r="L305"/>
      <c r="N305" s="15"/>
      <c r="O305" s="15"/>
      <c r="P305" s="15"/>
      <c r="Q305" s="15"/>
      <c r="R305" s="15"/>
      <c r="S305" s="15"/>
      <c r="T305" s="15"/>
      <c r="U305" s="15"/>
      <c r="V305" s="15"/>
      <c r="W305" s="15"/>
      <c r="X305" s="15"/>
      <c r="Y305" s="15"/>
    </row>
    <row r="306" spans="6:25" s="21" customFormat="1" ht="14.25" x14ac:dyDescent="0.45">
      <c r="F306" s="119">
        <v>43882</v>
      </c>
      <c r="G306" s="52">
        <v>317.90267899999998</v>
      </c>
      <c r="H306" s="52">
        <v>90.128249999999994</v>
      </c>
      <c r="I306" s="120">
        <f t="shared" si="4"/>
        <v>-1.0298487506935738E-2</v>
      </c>
      <c r="J306" s="120">
        <f t="shared" si="4"/>
        <v>2.1870290367465017E-4</v>
      </c>
      <c r="K306"/>
      <c r="L306"/>
      <c r="N306" s="15"/>
      <c r="O306" s="15"/>
      <c r="P306" s="15"/>
      <c r="Q306" s="15"/>
      <c r="R306" s="15"/>
      <c r="S306" s="15"/>
      <c r="T306" s="15"/>
      <c r="U306" s="15"/>
      <c r="V306" s="15"/>
      <c r="W306" s="15"/>
      <c r="X306" s="15"/>
      <c r="Y306" s="15"/>
    </row>
    <row r="307" spans="6:25" s="21" customFormat="1" ht="14.25" x14ac:dyDescent="0.45">
      <c r="F307" s="119">
        <v>43885</v>
      </c>
      <c r="G307" s="52">
        <v>307.35934400000002</v>
      </c>
      <c r="H307" s="52">
        <v>90.118401000000006</v>
      </c>
      <c r="I307" s="120">
        <f t="shared" si="4"/>
        <v>-3.316529144442959E-2</v>
      </c>
      <c r="J307" s="120">
        <f t="shared" si="4"/>
        <v>-1.092776127350481E-4</v>
      </c>
      <c r="K307"/>
      <c r="L307"/>
      <c r="N307" s="15"/>
      <c r="O307" s="15"/>
      <c r="P307" s="15"/>
      <c r="Q307" s="15"/>
      <c r="R307" s="15"/>
      <c r="S307" s="15"/>
      <c r="T307" s="15"/>
      <c r="U307" s="15"/>
      <c r="V307" s="15"/>
      <c r="W307" s="15"/>
      <c r="X307" s="15"/>
      <c r="Y307" s="15"/>
    </row>
    <row r="308" spans="6:25" s="21" customFormat="1" ht="14.25" x14ac:dyDescent="0.45">
      <c r="F308" s="119">
        <v>43886</v>
      </c>
      <c r="G308" s="52">
        <v>298.04568499999999</v>
      </c>
      <c r="H308" s="52">
        <v>90.118401000000006</v>
      </c>
      <c r="I308" s="120">
        <f t="shared" si="4"/>
        <v>-3.0302182711582137E-2</v>
      </c>
      <c r="J308" s="120">
        <f t="shared" si="4"/>
        <v>0</v>
      </c>
      <c r="K308"/>
      <c r="L308"/>
      <c r="N308" s="15"/>
      <c r="O308" s="15"/>
      <c r="P308" s="15"/>
      <c r="Q308" s="15"/>
      <c r="R308" s="15"/>
      <c r="S308" s="15"/>
      <c r="T308" s="15"/>
      <c r="U308" s="15"/>
      <c r="V308" s="15"/>
      <c r="W308" s="15"/>
      <c r="X308" s="15"/>
      <c r="Y308" s="15"/>
    </row>
    <row r="309" spans="6:25" x14ac:dyDescent="0.55000000000000004">
      <c r="F309" s="119">
        <v>43887</v>
      </c>
      <c r="G309" s="52">
        <v>296.94946299999998</v>
      </c>
      <c r="H309" s="52">
        <v>90.138084000000006</v>
      </c>
      <c r="I309" s="120">
        <f t="shared" si="4"/>
        <v>-3.67803345316009E-3</v>
      </c>
      <c r="J309" s="120">
        <f t="shared" si="4"/>
        <v>2.1841266358024747E-4</v>
      </c>
    </row>
    <row r="310" spans="6:25" x14ac:dyDescent="0.55000000000000004">
      <c r="F310" s="119">
        <v>43888</v>
      </c>
      <c r="G310" s="52">
        <v>283.61294600000002</v>
      </c>
      <c r="H310" s="52">
        <v>90.157791000000003</v>
      </c>
      <c r="I310" s="120">
        <f t="shared" si="4"/>
        <v>-4.49117397460993E-2</v>
      </c>
      <c r="J310" s="120">
        <f t="shared" si="4"/>
        <v>2.1863122806120572E-4</v>
      </c>
    </row>
    <row r="311" spans="6:25" x14ac:dyDescent="0.55000000000000004">
      <c r="F311" s="119">
        <v>43889</v>
      </c>
      <c r="G311" s="52">
        <v>282.421356</v>
      </c>
      <c r="H311" s="52">
        <v>90.147942</v>
      </c>
      <c r="I311" s="120">
        <f t="shared" si="4"/>
        <v>-4.2014654718900424E-3</v>
      </c>
      <c r="J311" s="120">
        <f t="shared" si="4"/>
        <v>-1.0924180695603969E-4</v>
      </c>
    </row>
    <row r="312" spans="6:25" x14ac:dyDescent="0.55000000000000004">
      <c r="F312" s="119">
        <v>43892</v>
      </c>
      <c r="G312" s="52">
        <v>294.652039</v>
      </c>
      <c r="H312" s="52">
        <v>90.174567999999994</v>
      </c>
      <c r="I312" s="120">
        <f t="shared" si="4"/>
        <v>4.3306509016265649E-2</v>
      </c>
      <c r="J312" s="120">
        <f t="shared" si="4"/>
        <v>2.953589334295792E-4</v>
      </c>
    </row>
    <row r="313" spans="6:25" x14ac:dyDescent="0.55000000000000004">
      <c r="F313" s="119">
        <v>43893</v>
      </c>
      <c r="G313" s="52">
        <v>286.21539300000001</v>
      </c>
      <c r="H313" s="52">
        <v>90.194282999999999</v>
      </c>
      <c r="I313" s="120">
        <f t="shared" si="4"/>
        <v>-2.863257294479471E-2</v>
      </c>
      <c r="J313" s="120">
        <f t="shared" si="4"/>
        <v>2.1863148820422396E-4</v>
      </c>
    </row>
    <row r="314" spans="6:25" x14ac:dyDescent="0.55000000000000004">
      <c r="F314" s="119">
        <v>43894</v>
      </c>
      <c r="G314" s="52">
        <v>298.24594100000002</v>
      </c>
      <c r="H314" s="52">
        <v>90.233704000000003</v>
      </c>
      <c r="I314" s="120">
        <f t="shared" si="4"/>
        <v>4.2033197005585166E-2</v>
      </c>
      <c r="J314" s="120">
        <f t="shared" si="4"/>
        <v>4.370676132543494E-4</v>
      </c>
    </row>
    <row r="315" spans="6:25" x14ac:dyDescent="0.55000000000000004">
      <c r="F315" s="119">
        <v>43895</v>
      </c>
      <c r="G315" s="52">
        <v>288.33175699999998</v>
      </c>
      <c r="H315" s="52">
        <v>90.253433000000001</v>
      </c>
      <c r="I315" s="120">
        <f t="shared" si="4"/>
        <v>-3.3241639322092342E-2</v>
      </c>
      <c r="J315" s="120">
        <f t="shared" si="4"/>
        <v>2.1864335747534547E-4</v>
      </c>
    </row>
    <row r="316" spans="6:25" x14ac:dyDescent="0.55000000000000004">
      <c r="F316" s="119">
        <v>43896</v>
      </c>
      <c r="G316" s="52">
        <v>283.56527699999998</v>
      </c>
      <c r="H316" s="52">
        <v>90.253433000000001</v>
      </c>
      <c r="I316" s="120">
        <f t="shared" si="4"/>
        <v>-1.6531234885791668E-2</v>
      </c>
      <c r="J316" s="120">
        <f t="shared" si="4"/>
        <v>0</v>
      </c>
    </row>
    <row r="317" spans="6:25" x14ac:dyDescent="0.55000000000000004">
      <c r="F317" s="119">
        <v>43899</v>
      </c>
      <c r="G317" s="52">
        <v>261.42044099999998</v>
      </c>
      <c r="H317" s="52">
        <v>90.292846999999995</v>
      </c>
      <c r="I317" s="120">
        <f t="shared" si="4"/>
        <v>-7.809431477042228E-2</v>
      </c>
      <c r="J317" s="120">
        <f t="shared" si="4"/>
        <v>4.3670360993353086E-4</v>
      </c>
    </row>
    <row r="318" spans="6:25" x14ac:dyDescent="0.55000000000000004">
      <c r="F318" s="119">
        <v>43900</v>
      </c>
      <c r="G318" s="52">
        <v>274.94754</v>
      </c>
      <c r="H318" s="52">
        <v>90.273148000000006</v>
      </c>
      <c r="I318" s="120">
        <f t="shared" si="4"/>
        <v>5.1744610896743204E-2</v>
      </c>
      <c r="J318" s="120">
        <f t="shared" si="4"/>
        <v>-2.1816789097350853E-4</v>
      </c>
    </row>
    <row r="320" spans="6:25" x14ac:dyDescent="0.55000000000000004">
      <c r="G320" s="1" t="s">
        <v>627</v>
      </c>
      <c r="H320" s="1" t="s">
        <v>628</v>
      </c>
      <c r="I320" s="13" t="s">
        <v>638</v>
      </c>
      <c r="J320" s="13" t="s">
        <v>639</v>
      </c>
    </row>
    <row r="321" spans="6:10" x14ac:dyDescent="0.55000000000000004">
      <c r="F321" s="119">
        <v>43901</v>
      </c>
      <c r="G321" s="52">
        <v>261.54422</v>
      </c>
      <c r="H321" s="52">
        <v>90.292846999999995</v>
      </c>
      <c r="I321" s="120">
        <f>G321/G318-1</f>
        <v>-4.8748644923318873E-2</v>
      </c>
      <c r="J321" s="120">
        <f>H321/H318-1</f>
        <v>2.1821549858858091E-4</v>
      </c>
    </row>
    <row r="322" spans="6:10" x14ac:dyDescent="0.55000000000000004">
      <c r="F322" s="119">
        <v>43902</v>
      </c>
      <c r="G322" s="52">
        <v>236.52046200000001</v>
      </c>
      <c r="H322" s="52">
        <v>90.302704000000006</v>
      </c>
      <c r="I322" s="120">
        <f t="shared" si="4"/>
        <v>-9.5676968124166484E-2</v>
      </c>
      <c r="J322" s="120">
        <f t="shared" si="4"/>
        <v>1.0916700854513017E-4</v>
      </c>
    </row>
    <row r="323" spans="6:10" x14ac:dyDescent="0.55000000000000004">
      <c r="F323" s="119">
        <v>43903</v>
      </c>
      <c r="G323" s="52">
        <v>256.73971599999999</v>
      </c>
      <c r="H323" s="52">
        <v>90.322449000000006</v>
      </c>
      <c r="I323" s="120">
        <f t="shared" si="4"/>
        <v>8.5486278138590777E-2</v>
      </c>
      <c r="J323" s="120">
        <f t="shared" si="4"/>
        <v>2.1865347465110929E-4</v>
      </c>
    </row>
    <row r="324" spans="6:10" x14ac:dyDescent="0.55000000000000004">
      <c r="F324" s="119">
        <v>43906</v>
      </c>
      <c r="G324" s="52">
        <v>228.64630099999999</v>
      </c>
      <c r="H324" s="52">
        <v>90.332283000000004</v>
      </c>
      <c r="I324" s="120">
        <f t="shared" si="4"/>
        <v>-0.10942372079277363</v>
      </c>
      <c r="J324" s="120">
        <f t="shared" si="4"/>
        <v>1.0887658725899918E-4</v>
      </c>
    </row>
    <row r="325" spans="6:10" x14ac:dyDescent="0.55000000000000004">
      <c r="F325" s="119">
        <v>43907</v>
      </c>
      <c r="G325" s="52">
        <v>240.99142499999999</v>
      </c>
      <c r="H325" s="52">
        <v>90.332283000000004</v>
      </c>
      <c r="I325" s="120">
        <f t="shared" si="4"/>
        <v>5.3992231433475091E-2</v>
      </c>
      <c r="J325" s="120">
        <f t="shared" si="4"/>
        <v>0</v>
      </c>
    </row>
    <row r="326" spans="6:10" x14ac:dyDescent="0.55000000000000004">
      <c r="F326" s="119">
        <v>43908</v>
      </c>
      <c r="G326" s="52">
        <v>228.789322</v>
      </c>
      <c r="H326" s="52">
        <v>90.352019999999996</v>
      </c>
      <c r="I326" s="120">
        <f t="shared" si="4"/>
        <v>-5.0632934346107938E-2</v>
      </c>
      <c r="J326" s="120">
        <f t="shared" si="4"/>
        <v>2.1849331539636196E-4</v>
      </c>
    </row>
    <row r="327" spans="6:10" x14ac:dyDescent="0.55000000000000004">
      <c r="F327" s="119">
        <v>43909</v>
      </c>
      <c r="G327" s="52">
        <v>229.27546699999999</v>
      </c>
      <c r="H327" s="52">
        <v>90.332283000000004</v>
      </c>
      <c r="I327" s="120">
        <f t="shared" si="4"/>
        <v>2.1248587816524722E-3</v>
      </c>
      <c r="J327" s="120">
        <f t="shared" si="4"/>
        <v>-2.1844558649597445E-4</v>
      </c>
    </row>
    <row r="328" spans="6:10" x14ac:dyDescent="0.55000000000000004">
      <c r="F328" s="119">
        <v>43910</v>
      </c>
      <c r="G328" s="52">
        <v>219.39503500000001</v>
      </c>
      <c r="H328" s="52">
        <v>90.361862000000002</v>
      </c>
      <c r="I328" s="120">
        <f t="shared" si="4"/>
        <v>-4.3094152764281524E-2</v>
      </c>
      <c r="J328" s="120">
        <f t="shared" si="4"/>
        <v>3.2744661174999301E-4</v>
      </c>
    </row>
    <row r="329" spans="6:10" x14ac:dyDescent="0.55000000000000004">
      <c r="F329" s="119">
        <v>43913</v>
      </c>
      <c r="G329" s="52">
        <v>213.785492</v>
      </c>
      <c r="H329" s="52">
        <v>90.342147999999995</v>
      </c>
      <c r="I329" s="120">
        <f t="shared" si="4"/>
        <v>-2.5568231295662658E-2</v>
      </c>
      <c r="J329" s="120">
        <f t="shared" si="4"/>
        <v>-2.1816726175927226E-4</v>
      </c>
    </row>
    <row r="330" spans="6:10" x14ac:dyDescent="0.55000000000000004">
      <c r="F330" s="119">
        <v>43914</v>
      </c>
      <c r="G330" s="52">
        <v>233.155136</v>
      </c>
      <c r="H330" s="52">
        <v>90.342147999999995</v>
      </c>
      <c r="I330" s="120">
        <f t="shared" si="4"/>
        <v>9.0603173390269021E-2</v>
      </c>
      <c r="J330" s="120">
        <f t="shared" si="4"/>
        <v>0</v>
      </c>
    </row>
    <row r="331" spans="6:10" x14ac:dyDescent="0.55000000000000004">
      <c r="F331" s="119">
        <v>43915</v>
      </c>
      <c r="G331" s="52">
        <v>236.645554</v>
      </c>
      <c r="H331" s="52">
        <v>90.342147999999995</v>
      </c>
      <c r="I331" s="120">
        <f t="shared" si="4"/>
        <v>1.4970367197915779E-2</v>
      </c>
      <c r="J331" s="120">
        <f t="shared" si="4"/>
        <v>0</v>
      </c>
    </row>
    <row r="332" spans="6:10" x14ac:dyDescent="0.55000000000000004">
      <c r="F332" s="119">
        <v>43916</v>
      </c>
      <c r="G332" s="52">
        <v>250.463211</v>
      </c>
      <c r="H332" s="52">
        <v>90.342147999999995</v>
      </c>
      <c r="I332" s="120">
        <f t="shared" si="4"/>
        <v>5.8389675049631329E-2</v>
      </c>
      <c r="J332" s="120">
        <f t="shared" si="4"/>
        <v>0</v>
      </c>
    </row>
    <row r="333" spans="6:10" x14ac:dyDescent="0.55000000000000004">
      <c r="F333" s="119">
        <v>43917</v>
      </c>
      <c r="G333" s="52">
        <v>243.003006</v>
      </c>
      <c r="H333" s="52">
        <v>90.322449000000006</v>
      </c>
      <c r="I333" s="120">
        <f t="shared" si="4"/>
        <v>-2.9785631870702156E-2</v>
      </c>
      <c r="J333" s="120">
        <f t="shared" si="4"/>
        <v>-2.1804883364062722E-4</v>
      </c>
    </row>
    <row r="334" spans="6:10" x14ac:dyDescent="0.55000000000000004">
      <c r="F334" s="119">
        <v>43920</v>
      </c>
      <c r="G334" s="52">
        <v>250.894699</v>
      </c>
      <c r="H334" s="52">
        <v>90.322449000000006</v>
      </c>
      <c r="I334" s="120">
        <f t="shared" si="4"/>
        <v>3.247570114420717E-2</v>
      </c>
      <c r="J334" s="120">
        <f t="shared" si="4"/>
        <v>0</v>
      </c>
    </row>
    <row r="335" spans="6:10" x14ac:dyDescent="0.55000000000000004">
      <c r="F335" s="119">
        <v>43921</v>
      </c>
      <c r="G335" s="52">
        <v>247.15501399999999</v>
      </c>
      <c r="H335" s="52">
        <v>90.332283000000004</v>
      </c>
      <c r="I335" s="120">
        <f t="shared" si="4"/>
        <v>-1.4905396626175849E-2</v>
      </c>
      <c r="J335" s="120">
        <f t="shared" si="4"/>
        <v>1.0887658725899918E-4</v>
      </c>
    </row>
    <row r="336" spans="6:10" x14ac:dyDescent="0.55000000000000004">
      <c r="F336" s="119">
        <v>43922</v>
      </c>
      <c r="G336" s="52">
        <v>236.03183000000001</v>
      </c>
      <c r="H336" s="52">
        <v>90.324402000000006</v>
      </c>
      <c r="I336" s="120">
        <f t="shared" si="4"/>
        <v>-4.5004889117887692E-2</v>
      </c>
      <c r="J336" s="120">
        <f t="shared" si="4"/>
        <v>-8.7244556854604305E-5</v>
      </c>
    </row>
    <row r="337" spans="6:10" x14ac:dyDescent="0.55000000000000004">
      <c r="F337" s="119">
        <v>43923</v>
      </c>
      <c r="G337" s="52">
        <v>241.478363</v>
      </c>
      <c r="H337" s="52">
        <v>90.334266999999997</v>
      </c>
      <c r="I337" s="120">
        <f t="shared" si="4"/>
        <v>2.3075417412981913E-2</v>
      </c>
      <c r="J337" s="120">
        <f t="shared" si="4"/>
        <v>1.0921744048730808E-4</v>
      </c>
    </row>
    <row r="338" spans="6:10" x14ac:dyDescent="0.55000000000000004">
      <c r="F338" s="119">
        <v>43924</v>
      </c>
      <c r="G338" s="52">
        <v>237.98799099999999</v>
      </c>
      <c r="H338" s="52">
        <v>90.304671999999997</v>
      </c>
      <c r="I338" s="120">
        <f t="shared" si="4"/>
        <v>-1.445418113920216E-2</v>
      </c>
      <c r="J338" s="120">
        <f t="shared" si="4"/>
        <v>-3.2761654002244622E-4</v>
      </c>
    </row>
    <row r="339" spans="6:10" x14ac:dyDescent="0.55000000000000004">
      <c r="F339" s="119">
        <v>43927</v>
      </c>
      <c r="G339" s="52">
        <v>253.97271699999999</v>
      </c>
      <c r="H339" s="52">
        <v>90.314537000000001</v>
      </c>
      <c r="I339" s="120">
        <f t="shared" si="4"/>
        <v>6.7166103351828266E-2</v>
      </c>
      <c r="J339" s="120">
        <f t="shared" si="4"/>
        <v>1.0924130259848397E-4</v>
      </c>
    </row>
    <row r="340" spans="6:10" x14ac:dyDescent="0.55000000000000004">
      <c r="F340" s="119">
        <v>43928</v>
      </c>
      <c r="G340" s="52">
        <v>254.23165900000001</v>
      </c>
      <c r="H340" s="52">
        <v>90.294807000000006</v>
      </c>
      <c r="I340" s="120">
        <f t="shared" si="4"/>
        <v>1.0195662079719447E-3</v>
      </c>
      <c r="J340" s="120">
        <f t="shared" si="4"/>
        <v>-2.1845874047932146E-4</v>
      </c>
    </row>
    <row r="341" spans="6:10" x14ac:dyDescent="0.55000000000000004">
      <c r="F341" s="119">
        <v>43929</v>
      </c>
      <c r="G341" s="52">
        <v>262.76577800000001</v>
      </c>
      <c r="H341" s="52">
        <v>90.304671999999997</v>
      </c>
      <c r="I341" s="120">
        <f t="shared" si="4"/>
        <v>3.3568277977527483E-2</v>
      </c>
      <c r="J341" s="120">
        <f t="shared" si="4"/>
        <v>1.0925323756416638E-4</v>
      </c>
    </row>
    <row r="342" spans="6:10" x14ac:dyDescent="0.55000000000000004">
      <c r="F342" s="119">
        <v>43930</v>
      </c>
      <c r="G342" s="52">
        <v>266.76443499999999</v>
      </c>
      <c r="H342" s="52">
        <v>90.284935000000004</v>
      </c>
      <c r="I342" s="120">
        <f t="shared" si="4"/>
        <v>1.521757144493896E-2</v>
      </c>
      <c r="J342" s="120">
        <f t="shared" si="4"/>
        <v>-2.185601205659804E-4</v>
      </c>
    </row>
    <row r="343" spans="6:10" x14ac:dyDescent="0.55000000000000004">
      <c r="F343" s="119">
        <v>43934</v>
      </c>
      <c r="G343" s="52">
        <v>264.32876599999997</v>
      </c>
      <c r="H343" s="52">
        <v>90.304671999999997</v>
      </c>
      <c r="I343" s="120">
        <f t="shared" ref="I343:J406" si="5">G343/G342-1</f>
        <v>-9.1304112559082995E-3</v>
      </c>
      <c r="J343" s="120">
        <f t="shared" si="5"/>
        <v>2.1860789953476178E-4</v>
      </c>
    </row>
    <row r="344" spans="6:10" x14ac:dyDescent="0.55000000000000004">
      <c r="F344" s="119">
        <v>43935</v>
      </c>
      <c r="G344" s="52">
        <v>272.124664</v>
      </c>
      <c r="H344" s="52">
        <v>90.314537000000001</v>
      </c>
      <c r="I344" s="120">
        <f t="shared" si="5"/>
        <v>2.949318803992762E-2</v>
      </c>
      <c r="J344" s="120">
        <f t="shared" si="5"/>
        <v>1.0924130259848397E-4</v>
      </c>
    </row>
    <row r="345" spans="6:10" x14ac:dyDescent="0.55000000000000004">
      <c r="F345" s="119">
        <v>43936</v>
      </c>
      <c r="G345" s="52">
        <v>266.342468</v>
      </c>
      <c r="H345" s="52">
        <v>90.304671999999997</v>
      </c>
      <c r="I345" s="120">
        <f t="shared" si="5"/>
        <v>-2.1248334917558176E-2</v>
      </c>
      <c r="J345" s="120">
        <f t="shared" si="5"/>
        <v>-1.0922937023971624E-4</v>
      </c>
    </row>
    <row r="346" spans="6:10" x14ac:dyDescent="0.55000000000000004">
      <c r="F346" s="119">
        <v>43937</v>
      </c>
      <c r="G346" s="52">
        <v>267.627411</v>
      </c>
      <c r="H346" s="52">
        <v>90.294807000000006</v>
      </c>
      <c r="I346" s="120">
        <f t="shared" si="5"/>
        <v>4.8244014919918143E-3</v>
      </c>
      <c r="J346" s="120">
        <f t="shared" si="5"/>
        <v>-1.0924130259826192E-4</v>
      </c>
    </row>
    <row r="347" spans="6:10" x14ac:dyDescent="0.55000000000000004">
      <c r="F347" s="119">
        <v>43938</v>
      </c>
      <c r="G347" s="52">
        <v>274.85745200000002</v>
      </c>
      <c r="H347" s="52">
        <v>90.314537000000001</v>
      </c>
      <c r="I347" s="120">
        <f t="shared" si="5"/>
        <v>2.7015323180031192E-2</v>
      </c>
      <c r="J347" s="120">
        <f t="shared" si="5"/>
        <v>2.1850647512877686E-4</v>
      </c>
    </row>
    <row r="348" spans="6:10" x14ac:dyDescent="0.55000000000000004">
      <c r="F348" s="119">
        <v>43941</v>
      </c>
      <c r="G348" s="52">
        <v>270.01504499999999</v>
      </c>
      <c r="H348" s="52">
        <v>90.304671999999997</v>
      </c>
      <c r="I348" s="120">
        <f t="shared" si="5"/>
        <v>-1.7617885070112749E-2</v>
      </c>
      <c r="J348" s="120">
        <f t="shared" si="5"/>
        <v>-1.0922937023971624E-4</v>
      </c>
    </row>
    <row r="349" spans="6:10" x14ac:dyDescent="0.55000000000000004">
      <c r="F349" s="119">
        <v>43942</v>
      </c>
      <c r="G349" s="52">
        <v>261.81652800000001</v>
      </c>
      <c r="H349" s="52">
        <v>90.304671999999997</v>
      </c>
      <c r="I349" s="120">
        <f t="shared" si="5"/>
        <v>-3.0363185873587106E-2</v>
      </c>
      <c r="J349" s="120">
        <f t="shared" si="5"/>
        <v>0</v>
      </c>
    </row>
    <row r="350" spans="6:10" x14ac:dyDescent="0.55000000000000004">
      <c r="F350" s="119">
        <v>43943</v>
      </c>
      <c r="G350" s="52">
        <v>267.627411</v>
      </c>
      <c r="H350" s="52">
        <v>90.304671999999997</v>
      </c>
      <c r="I350" s="120">
        <f t="shared" si="5"/>
        <v>2.2194484986830076E-2</v>
      </c>
      <c r="J350" s="120">
        <f t="shared" si="5"/>
        <v>0</v>
      </c>
    </row>
    <row r="351" spans="6:10" x14ac:dyDescent="0.55000000000000004">
      <c r="F351" s="119">
        <v>43944</v>
      </c>
      <c r="G351" s="52">
        <v>267.60824600000001</v>
      </c>
      <c r="H351" s="52">
        <v>90.314537000000001</v>
      </c>
      <c r="I351" s="120">
        <f t="shared" si="5"/>
        <v>-7.1610751411377294E-5</v>
      </c>
      <c r="J351" s="120">
        <f t="shared" si="5"/>
        <v>1.0924130259848397E-4</v>
      </c>
    </row>
    <row r="352" spans="6:10" x14ac:dyDescent="0.55000000000000004">
      <c r="F352" s="119">
        <v>43945</v>
      </c>
      <c r="G352" s="52">
        <v>271.338348</v>
      </c>
      <c r="H352" s="52">
        <v>90.304671999999997</v>
      </c>
      <c r="I352" s="120">
        <f t="shared" si="5"/>
        <v>1.3938666150070667E-2</v>
      </c>
      <c r="J352" s="120">
        <f t="shared" si="5"/>
        <v>-1.0922937023971624E-4</v>
      </c>
    </row>
    <row r="353" spans="6:10" x14ac:dyDescent="0.55000000000000004">
      <c r="F353" s="119">
        <v>43948</v>
      </c>
      <c r="G353" s="52">
        <v>275.25064099999997</v>
      </c>
      <c r="H353" s="52">
        <v>90.304671999999997</v>
      </c>
      <c r="I353" s="120">
        <f t="shared" si="5"/>
        <v>1.4418503793647286E-2</v>
      </c>
      <c r="J353" s="120">
        <f t="shared" si="5"/>
        <v>0</v>
      </c>
    </row>
    <row r="354" spans="6:10" x14ac:dyDescent="0.55000000000000004">
      <c r="F354" s="119">
        <v>43949</v>
      </c>
      <c r="G354" s="52">
        <v>273.98492399999998</v>
      </c>
      <c r="H354" s="52">
        <v>90.304671999999997</v>
      </c>
      <c r="I354" s="120">
        <f t="shared" si="5"/>
        <v>-4.5984161758955144E-3</v>
      </c>
      <c r="J354" s="120">
        <f t="shared" si="5"/>
        <v>0</v>
      </c>
    </row>
    <row r="355" spans="6:10" x14ac:dyDescent="0.55000000000000004">
      <c r="F355" s="119">
        <v>43950</v>
      </c>
      <c r="G355" s="52">
        <v>281.15741000000003</v>
      </c>
      <c r="H355" s="52">
        <v>90.294807000000006</v>
      </c>
      <c r="I355" s="120">
        <f t="shared" si="5"/>
        <v>2.6178396589441766E-2</v>
      </c>
      <c r="J355" s="120">
        <f t="shared" si="5"/>
        <v>-1.0924130259826192E-4</v>
      </c>
    </row>
    <row r="356" spans="6:10" x14ac:dyDescent="0.55000000000000004">
      <c r="F356" s="119">
        <v>43951</v>
      </c>
      <c r="G356" s="52">
        <v>278.53964200000001</v>
      </c>
      <c r="H356" s="52">
        <v>90.314537000000001</v>
      </c>
      <c r="I356" s="120">
        <f t="shared" si="5"/>
        <v>-9.3106847157256034E-3</v>
      </c>
      <c r="J356" s="120">
        <f t="shared" si="5"/>
        <v>2.1850647512877686E-4</v>
      </c>
    </row>
    <row r="357" spans="6:10" x14ac:dyDescent="0.55000000000000004">
      <c r="F357" s="119">
        <v>43952</v>
      </c>
      <c r="G357" s="52">
        <v>271.16574100000003</v>
      </c>
      <c r="H357" s="52">
        <v>90.298743999999999</v>
      </c>
      <c r="I357" s="120">
        <f t="shared" si="5"/>
        <v>-2.6473434614380675E-2</v>
      </c>
      <c r="J357" s="120">
        <f t="shared" si="5"/>
        <v>-1.7486664411514585E-4</v>
      </c>
    </row>
    <row r="358" spans="6:10" x14ac:dyDescent="0.55000000000000004">
      <c r="F358" s="119">
        <v>43955</v>
      </c>
      <c r="G358" s="52">
        <v>271.91366599999998</v>
      </c>
      <c r="H358" s="52">
        <v>90.298743999999999</v>
      </c>
      <c r="I358" s="120">
        <f t="shared" si="5"/>
        <v>2.7581839698547217E-3</v>
      </c>
      <c r="J358" s="120">
        <f t="shared" si="5"/>
        <v>0</v>
      </c>
    </row>
    <row r="359" spans="6:10" x14ac:dyDescent="0.55000000000000004">
      <c r="F359" s="119">
        <v>43956</v>
      </c>
      <c r="G359" s="52">
        <v>274.42596400000002</v>
      </c>
      <c r="H359" s="52">
        <v>90.298743999999999</v>
      </c>
      <c r="I359" s="120">
        <f t="shared" si="5"/>
        <v>9.2393223075446507E-3</v>
      </c>
      <c r="J359" s="120">
        <f t="shared" si="5"/>
        <v>0</v>
      </c>
    </row>
    <row r="360" spans="6:10" x14ac:dyDescent="0.55000000000000004">
      <c r="F360" s="119">
        <v>43957</v>
      </c>
      <c r="G360" s="52">
        <v>272.56573500000002</v>
      </c>
      <c r="H360" s="52">
        <v>90.308616999999998</v>
      </c>
      <c r="I360" s="120">
        <f t="shared" si="5"/>
        <v>-6.7786188044510753E-3</v>
      </c>
      <c r="J360" s="120">
        <f t="shared" si="5"/>
        <v>1.0933706896287809E-4</v>
      </c>
    </row>
    <row r="361" spans="6:10" x14ac:dyDescent="0.55000000000000004">
      <c r="F361" s="119">
        <v>43958</v>
      </c>
      <c r="G361" s="52">
        <v>275.85470600000002</v>
      </c>
      <c r="H361" s="52">
        <v>90.298743999999999</v>
      </c>
      <c r="I361" s="120">
        <f t="shared" si="5"/>
        <v>1.2066707504521768E-2</v>
      </c>
      <c r="J361" s="120">
        <f t="shared" si="5"/>
        <v>-1.0932511567529613E-4</v>
      </c>
    </row>
    <row r="362" spans="6:10" x14ac:dyDescent="0.55000000000000004">
      <c r="F362" s="119">
        <v>43959</v>
      </c>
      <c r="G362" s="52">
        <v>280.41906699999998</v>
      </c>
      <c r="H362" s="52">
        <v>90.298743999999999</v>
      </c>
      <c r="I362" s="120">
        <f t="shared" si="5"/>
        <v>1.6546250256828987E-2</v>
      </c>
      <c r="J362" s="120">
        <f t="shared" si="5"/>
        <v>0</v>
      </c>
    </row>
    <row r="363" spans="6:10" x14ac:dyDescent="0.55000000000000004">
      <c r="F363" s="119">
        <v>43962</v>
      </c>
      <c r="G363" s="52">
        <v>280.47662400000002</v>
      </c>
      <c r="H363" s="52">
        <v>90.308616999999998</v>
      </c>
      <c r="I363" s="120">
        <f t="shared" si="5"/>
        <v>2.0525351794287161E-4</v>
      </c>
      <c r="J363" s="120">
        <f t="shared" si="5"/>
        <v>1.0933706896287809E-4</v>
      </c>
    </row>
    <row r="364" spans="6:10" x14ac:dyDescent="0.55000000000000004">
      <c r="F364" s="119">
        <v>43963</v>
      </c>
      <c r="G364" s="52">
        <v>274.88623000000001</v>
      </c>
      <c r="H364" s="52">
        <v>90.308616999999998</v>
      </c>
      <c r="I364" s="120">
        <f t="shared" si="5"/>
        <v>-1.9931764438237076E-2</v>
      </c>
      <c r="J364" s="120">
        <f t="shared" si="5"/>
        <v>0</v>
      </c>
    </row>
    <row r="365" spans="6:10" x14ac:dyDescent="0.55000000000000004">
      <c r="F365" s="119">
        <v>43964</v>
      </c>
      <c r="G365" s="52">
        <v>270.02462800000001</v>
      </c>
      <c r="H365" s="52">
        <v>90.308616999999998</v>
      </c>
      <c r="I365" s="120">
        <f t="shared" si="5"/>
        <v>-1.7685869532278908E-2</v>
      </c>
      <c r="J365" s="120">
        <f t="shared" si="5"/>
        <v>0</v>
      </c>
    </row>
    <row r="366" spans="6:10" x14ac:dyDescent="0.55000000000000004">
      <c r="F366" s="119">
        <v>43965</v>
      </c>
      <c r="G366" s="52">
        <v>273.25613399999997</v>
      </c>
      <c r="H366" s="52">
        <v>90.318481000000006</v>
      </c>
      <c r="I366" s="120">
        <f t="shared" si="5"/>
        <v>1.1967449132084251E-2</v>
      </c>
      <c r="J366" s="120">
        <f t="shared" si="5"/>
        <v>1.0922545741132161E-4</v>
      </c>
    </row>
    <row r="367" spans="6:10" x14ac:dyDescent="0.55000000000000004">
      <c r="F367" s="119">
        <v>43966</v>
      </c>
      <c r="G367" s="52">
        <v>274.51226800000001</v>
      </c>
      <c r="H367" s="52">
        <v>90.298743999999999</v>
      </c>
      <c r="I367" s="120">
        <f t="shared" si="5"/>
        <v>4.5969105308356628E-3</v>
      </c>
      <c r="J367" s="120">
        <f t="shared" si="5"/>
        <v>-2.1852670440736244E-4</v>
      </c>
    </row>
    <row r="368" spans="6:10" x14ac:dyDescent="0.55000000000000004">
      <c r="F368" s="119">
        <v>43969</v>
      </c>
      <c r="G368" s="52">
        <v>282.87383999999997</v>
      </c>
      <c r="H368" s="52">
        <v>90.298743999999999</v>
      </c>
      <c r="I368" s="120">
        <f t="shared" si="5"/>
        <v>3.0459738870395325E-2</v>
      </c>
      <c r="J368" s="120">
        <f t="shared" si="5"/>
        <v>0</v>
      </c>
    </row>
    <row r="369" spans="6:10" x14ac:dyDescent="0.55000000000000004">
      <c r="F369" s="119">
        <v>43970</v>
      </c>
      <c r="G369" s="52">
        <v>279.968323</v>
      </c>
      <c r="H369" s="52">
        <v>90.298743999999999</v>
      </c>
      <c r="I369" s="120">
        <f t="shared" si="5"/>
        <v>-1.0271423472739571E-2</v>
      </c>
      <c r="J369" s="120">
        <f t="shared" si="5"/>
        <v>0</v>
      </c>
    </row>
    <row r="370" spans="6:10" x14ac:dyDescent="0.55000000000000004">
      <c r="F370" s="119">
        <v>43971</v>
      </c>
      <c r="G370" s="52">
        <v>284.72451799999999</v>
      </c>
      <c r="H370" s="52">
        <v>90.298743999999999</v>
      </c>
      <c r="I370" s="120">
        <f t="shared" si="5"/>
        <v>1.6988332640760939E-2</v>
      </c>
      <c r="J370" s="120">
        <f t="shared" si="5"/>
        <v>0</v>
      </c>
    </row>
    <row r="371" spans="6:10" x14ac:dyDescent="0.55000000000000004">
      <c r="F371" s="119">
        <v>43972</v>
      </c>
      <c r="G371" s="52">
        <v>282.75878899999998</v>
      </c>
      <c r="H371" s="52">
        <v>90.308616999999998</v>
      </c>
      <c r="I371" s="120">
        <f t="shared" si="5"/>
        <v>-6.9039681366674932E-3</v>
      </c>
      <c r="J371" s="120">
        <f t="shared" si="5"/>
        <v>1.0933706896287809E-4</v>
      </c>
    </row>
    <row r="372" spans="6:10" x14ac:dyDescent="0.55000000000000004">
      <c r="F372" s="119">
        <v>43973</v>
      </c>
      <c r="G372" s="52">
        <v>283.29580700000002</v>
      </c>
      <c r="H372" s="52">
        <v>90.298743999999999</v>
      </c>
      <c r="I372" s="120">
        <f t="shared" si="5"/>
        <v>1.8992088695075626E-3</v>
      </c>
      <c r="J372" s="120">
        <f t="shared" si="5"/>
        <v>-1.0932511567529613E-4</v>
      </c>
    </row>
    <row r="373" spans="6:10" x14ac:dyDescent="0.55000000000000004">
      <c r="F373" s="119">
        <v>43977</v>
      </c>
      <c r="G373" s="52">
        <v>286.78610200000003</v>
      </c>
      <c r="H373" s="52">
        <v>90.308616999999998</v>
      </c>
      <c r="I373" s="120">
        <f t="shared" si="5"/>
        <v>1.232032001094896E-2</v>
      </c>
      <c r="J373" s="120">
        <f t="shared" si="5"/>
        <v>1.0933706896287809E-4</v>
      </c>
    </row>
    <row r="374" spans="6:10" x14ac:dyDescent="0.55000000000000004">
      <c r="F374" s="119">
        <v>43978</v>
      </c>
      <c r="G374" s="52">
        <v>291.05319200000002</v>
      </c>
      <c r="H374" s="52">
        <v>90.298743999999999</v>
      </c>
      <c r="I374" s="120">
        <f t="shared" si="5"/>
        <v>1.4878998564581858E-2</v>
      </c>
      <c r="J374" s="120">
        <f t="shared" si="5"/>
        <v>-1.0932511567529613E-4</v>
      </c>
    </row>
    <row r="375" spans="6:10" x14ac:dyDescent="0.55000000000000004">
      <c r="F375" s="119">
        <v>43979</v>
      </c>
      <c r="G375" s="52">
        <v>290.51623499999999</v>
      </c>
      <c r="H375" s="52">
        <v>90.298743999999999</v>
      </c>
      <c r="I375" s="120">
        <f t="shared" si="5"/>
        <v>-1.84487583286852E-3</v>
      </c>
      <c r="J375" s="120">
        <f t="shared" si="5"/>
        <v>0</v>
      </c>
    </row>
    <row r="376" spans="6:10" x14ac:dyDescent="0.55000000000000004">
      <c r="F376" s="119">
        <v>43980</v>
      </c>
      <c r="G376" s="52">
        <v>291.810699</v>
      </c>
      <c r="H376" s="52">
        <v>90.298743999999999</v>
      </c>
      <c r="I376" s="120">
        <f t="shared" si="5"/>
        <v>4.4557372155122899E-3</v>
      </c>
      <c r="J376" s="120">
        <f t="shared" si="5"/>
        <v>0</v>
      </c>
    </row>
    <row r="377" spans="6:10" x14ac:dyDescent="0.55000000000000004">
      <c r="F377" s="119">
        <v>43983</v>
      </c>
      <c r="G377" s="52">
        <v>292.99017300000003</v>
      </c>
      <c r="H377" s="52">
        <v>90.308616999999998</v>
      </c>
      <c r="I377" s="120">
        <f t="shared" si="5"/>
        <v>4.0419148579609043E-3</v>
      </c>
      <c r="J377" s="120">
        <f t="shared" si="5"/>
        <v>1.0933706896287809E-4</v>
      </c>
    </row>
    <row r="378" spans="6:10" x14ac:dyDescent="0.55000000000000004">
      <c r="F378" s="119">
        <v>43984</v>
      </c>
      <c r="G378" s="52">
        <v>295.41610700000001</v>
      </c>
      <c r="H378" s="52">
        <v>90.308616999999998</v>
      </c>
      <c r="I378" s="120">
        <f t="shared" si="5"/>
        <v>8.279915927419168E-3</v>
      </c>
      <c r="J378" s="120">
        <f t="shared" si="5"/>
        <v>0</v>
      </c>
    </row>
    <row r="379" spans="6:10" x14ac:dyDescent="0.55000000000000004">
      <c r="F379" s="119">
        <v>43985</v>
      </c>
      <c r="G379" s="52">
        <v>299.34765599999997</v>
      </c>
      <c r="H379" s="52">
        <v>90.308616999999998</v>
      </c>
      <c r="I379" s="120">
        <f t="shared" si="5"/>
        <v>1.3308512660076266E-2</v>
      </c>
      <c r="J379" s="120">
        <f t="shared" si="5"/>
        <v>0</v>
      </c>
    </row>
    <row r="380" spans="6:10" x14ac:dyDescent="0.55000000000000004">
      <c r="F380" s="119">
        <v>43986</v>
      </c>
      <c r="G380" s="52">
        <v>298.56133999999997</v>
      </c>
      <c r="H380" s="52">
        <v>90.308616999999998</v>
      </c>
      <c r="I380" s="120">
        <f t="shared" si="5"/>
        <v>-2.6267651816855864E-3</v>
      </c>
      <c r="J380" s="120">
        <f t="shared" si="5"/>
        <v>0</v>
      </c>
    </row>
    <row r="381" spans="6:10" x14ac:dyDescent="0.55000000000000004">
      <c r="F381" s="119">
        <v>43987</v>
      </c>
      <c r="G381" s="52">
        <v>306.213348</v>
      </c>
      <c r="H381" s="52">
        <v>90.288887000000003</v>
      </c>
      <c r="I381" s="120">
        <f t="shared" si="5"/>
        <v>2.5629600938956276E-2</v>
      </c>
      <c r="J381" s="120">
        <f t="shared" si="5"/>
        <v>-2.1847306110334141E-4</v>
      </c>
    </row>
    <row r="382" spans="6:10" x14ac:dyDescent="0.55000000000000004">
      <c r="F382" s="119">
        <v>43990</v>
      </c>
      <c r="G382" s="52">
        <v>309.91467299999999</v>
      </c>
      <c r="H382" s="52">
        <v>90.298743999999999</v>
      </c>
      <c r="I382" s="120">
        <f t="shared" si="5"/>
        <v>1.2087405804400042E-2</v>
      </c>
      <c r="J382" s="120">
        <f t="shared" si="5"/>
        <v>1.0917179652469855E-4</v>
      </c>
    </row>
    <row r="383" spans="6:10" x14ac:dyDescent="0.55000000000000004">
      <c r="F383" s="119">
        <v>43991</v>
      </c>
      <c r="G383" s="52">
        <v>307.60376000000002</v>
      </c>
      <c r="H383" s="52">
        <v>90.298743999999999</v>
      </c>
      <c r="I383" s="120">
        <f t="shared" si="5"/>
        <v>-7.4566104845250614E-3</v>
      </c>
      <c r="J383" s="120">
        <f t="shared" si="5"/>
        <v>0</v>
      </c>
    </row>
    <row r="384" spans="6:10" x14ac:dyDescent="0.55000000000000004">
      <c r="F384" s="119">
        <v>43992</v>
      </c>
      <c r="G384" s="52">
        <v>305.88732900000002</v>
      </c>
      <c r="H384" s="52">
        <v>90.308616999999998</v>
      </c>
      <c r="I384" s="120">
        <f t="shared" si="5"/>
        <v>-5.5800065642890306E-3</v>
      </c>
      <c r="J384" s="120">
        <f t="shared" si="5"/>
        <v>1.0933706896287809E-4</v>
      </c>
    </row>
    <row r="385" spans="6:10" x14ac:dyDescent="0.55000000000000004">
      <c r="F385" s="119">
        <v>43993</v>
      </c>
      <c r="G385" s="52">
        <v>288.25320399999998</v>
      </c>
      <c r="H385" s="52">
        <v>90.288887000000003</v>
      </c>
      <c r="I385" s="120">
        <f t="shared" si="5"/>
        <v>-5.7649086209779044E-2</v>
      </c>
      <c r="J385" s="120">
        <f t="shared" si="5"/>
        <v>-2.1847306110334141E-4</v>
      </c>
    </row>
    <row r="386" spans="6:10" x14ac:dyDescent="0.55000000000000004">
      <c r="F386" s="119">
        <v>43994</v>
      </c>
      <c r="G386" s="52">
        <v>291.70526100000001</v>
      </c>
      <c r="H386" s="52">
        <v>90.308616999999998</v>
      </c>
      <c r="I386" s="120">
        <f t="shared" si="5"/>
        <v>1.1975780154728222E-2</v>
      </c>
      <c r="J386" s="120">
        <f t="shared" si="5"/>
        <v>2.1852080201179014E-4</v>
      </c>
    </row>
    <row r="387" spans="6:10" x14ac:dyDescent="0.55000000000000004">
      <c r="F387" s="119">
        <v>43997</v>
      </c>
      <c r="G387" s="52">
        <v>294.42852800000003</v>
      </c>
      <c r="H387" s="52">
        <v>90.308616999999998</v>
      </c>
      <c r="I387" s="120">
        <f t="shared" si="5"/>
        <v>9.3356800993726896E-3</v>
      </c>
      <c r="J387" s="120">
        <f t="shared" si="5"/>
        <v>0</v>
      </c>
    </row>
    <row r="388" spans="6:10" x14ac:dyDescent="0.55000000000000004">
      <c r="F388" s="119">
        <v>43998</v>
      </c>
      <c r="G388" s="52">
        <v>300.09558099999998</v>
      </c>
      <c r="H388" s="52">
        <v>90.308616999999998</v>
      </c>
      <c r="I388" s="120">
        <f t="shared" si="5"/>
        <v>1.92476355416209E-2</v>
      </c>
      <c r="J388" s="120">
        <f t="shared" si="5"/>
        <v>0</v>
      </c>
    </row>
    <row r="389" spans="6:10" x14ac:dyDescent="0.55000000000000004">
      <c r="F389" s="119">
        <v>43999</v>
      </c>
      <c r="G389" s="52">
        <v>298.84903000000003</v>
      </c>
      <c r="H389" s="52">
        <v>90.308616999999998</v>
      </c>
      <c r="I389" s="120">
        <f t="shared" si="5"/>
        <v>-4.1538465706363326E-3</v>
      </c>
      <c r="J389" s="120">
        <f t="shared" si="5"/>
        <v>0</v>
      </c>
    </row>
    <row r="390" spans="6:10" x14ac:dyDescent="0.55000000000000004">
      <c r="F390" s="119">
        <v>44000</v>
      </c>
      <c r="G390" s="52">
        <v>298.96404999999999</v>
      </c>
      <c r="H390" s="52">
        <v>90.298743999999999</v>
      </c>
      <c r="I390" s="120">
        <f t="shared" si="5"/>
        <v>3.8487660475250429E-4</v>
      </c>
      <c r="J390" s="120">
        <f t="shared" si="5"/>
        <v>-1.0932511567529613E-4</v>
      </c>
    </row>
    <row r="391" spans="6:10" x14ac:dyDescent="0.55000000000000004">
      <c r="F391" s="119">
        <v>44001</v>
      </c>
      <c r="G391" s="52">
        <v>297.25552399999998</v>
      </c>
      <c r="H391" s="52">
        <v>90.298743999999999</v>
      </c>
      <c r="I391" s="120">
        <f t="shared" si="5"/>
        <v>-5.7148208956896429E-3</v>
      </c>
      <c r="J391" s="120">
        <f t="shared" si="5"/>
        <v>0</v>
      </c>
    </row>
    <row r="392" spans="6:10" x14ac:dyDescent="0.55000000000000004">
      <c r="F392" s="119">
        <v>44004</v>
      </c>
      <c r="G392" s="52">
        <v>299.16253699999999</v>
      </c>
      <c r="H392" s="52">
        <v>90.298743999999999</v>
      </c>
      <c r="I392" s="120">
        <f t="shared" si="5"/>
        <v>6.4153997017057929E-3</v>
      </c>
      <c r="J392" s="120">
        <f t="shared" si="5"/>
        <v>0</v>
      </c>
    </row>
    <row r="393" spans="6:10" x14ac:dyDescent="0.55000000000000004">
      <c r="F393" s="119">
        <v>44005</v>
      </c>
      <c r="G393" s="52">
        <v>300.53970299999997</v>
      </c>
      <c r="H393" s="52">
        <v>90.298743999999999</v>
      </c>
      <c r="I393" s="120">
        <f t="shared" si="5"/>
        <v>4.6034039348983313E-3</v>
      </c>
      <c r="J393" s="120">
        <f t="shared" si="5"/>
        <v>0</v>
      </c>
    </row>
    <row r="394" spans="6:10" x14ac:dyDescent="0.55000000000000004">
      <c r="F394" s="119">
        <v>44006</v>
      </c>
      <c r="G394" s="52">
        <v>292.87329099999999</v>
      </c>
      <c r="H394" s="52">
        <v>90.298743999999999</v>
      </c>
      <c r="I394" s="120">
        <f t="shared" si="5"/>
        <v>-2.5508816051501793E-2</v>
      </c>
      <c r="J394" s="120">
        <f t="shared" si="5"/>
        <v>0</v>
      </c>
    </row>
    <row r="395" spans="6:10" x14ac:dyDescent="0.55000000000000004">
      <c r="F395" s="119">
        <v>44007</v>
      </c>
      <c r="G395" s="52">
        <v>296.01306199999999</v>
      </c>
      <c r="H395" s="52">
        <v>90.308616999999998</v>
      </c>
      <c r="I395" s="120">
        <f t="shared" si="5"/>
        <v>1.0720578135614334E-2</v>
      </c>
      <c r="J395" s="120">
        <f t="shared" si="5"/>
        <v>1.0933706896287809E-4</v>
      </c>
    </row>
    <row r="396" spans="6:10" x14ac:dyDescent="0.55000000000000004">
      <c r="F396" s="119">
        <v>44008</v>
      </c>
      <c r="G396" s="52">
        <v>288.98236100000003</v>
      </c>
      <c r="H396" s="52">
        <v>90.298743999999999</v>
      </c>
      <c r="I396" s="120">
        <f t="shared" si="5"/>
        <v>-2.375132013600123E-2</v>
      </c>
      <c r="J396" s="120">
        <f t="shared" si="5"/>
        <v>-1.0932511567529613E-4</v>
      </c>
    </row>
    <row r="397" spans="6:10" x14ac:dyDescent="0.55000000000000004">
      <c r="F397" s="119">
        <v>44011</v>
      </c>
      <c r="G397" s="52">
        <v>293.22967499999999</v>
      </c>
      <c r="H397" s="52">
        <v>90.298743999999999</v>
      </c>
      <c r="I397" s="120">
        <f t="shared" si="5"/>
        <v>1.4697485290460222E-2</v>
      </c>
      <c r="J397" s="120">
        <f t="shared" si="5"/>
        <v>0</v>
      </c>
    </row>
    <row r="398" spans="6:10" x14ac:dyDescent="0.55000000000000004">
      <c r="F398" s="119">
        <v>44012</v>
      </c>
      <c r="G398" s="52">
        <v>296.98577899999998</v>
      </c>
      <c r="H398" s="52">
        <v>90.298743999999999</v>
      </c>
      <c r="I398" s="120">
        <f t="shared" si="5"/>
        <v>1.2809426603906937E-2</v>
      </c>
      <c r="J398" s="120">
        <f t="shared" si="5"/>
        <v>0</v>
      </c>
    </row>
    <row r="399" spans="6:10" x14ac:dyDescent="0.55000000000000004">
      <c r="F399" s="119">
        <v>44013</v>
      </c>
      <c r="G399" s="52">
        <v>299.06616200000002</v>
      </c>
      <c r="H399" s="52">
        <v>90.298743999999999</v>
      </c>
      <c r="I399" s="120">
        <f t="shared" si="5"/>
        <v>7.0049919797676719E-3</v>
      </c>
      <c r="J399" s="120">
        <f t="shared" si="5"/>
        <v>0</v>
      </c>
    </row>
    <row r="400" spans="6:10" x14ac:dyDescent="0.55000000000000004">
      <c r="F400" s="119">
        <v>44014</v>
      </c>
      <c r="G400" s="52">
        <v>300.71310399999999</v>
      </c>
      <c r="H400" s="52">
        <v>90.308616999999998</v>
      </c>
      <c r="I400" s="120">
        <f t="shared" si="5"/>
        <v>5.5069486597416617E-3</v>
      </c>
      <c r="J400" s="120">
        <f t="shared" si="5"/>
        <v>1.0933706896287809E-4</v>
      </c>
    </row>
    <row r="401" spans="6:10" x14ac:dyDescent="0.55000000000000004">
      <c r="F401" s="119">
        <v>44018</v>
      </c>
      <c r="G401" s="52">
        <v>305.35528599999998</v>
      </c>
      <c r="H401" s="52">
        <v>90.298743999999999</v>
      </c>
      <c r="I401" s="120">
        <f t="shared" si="5"/>
        <v>1.5437245461707549E-2</v>
      </c>
      <c r="J401" s="120">
        <f t="shared" si="5"/>
        <v>-1.0932511567529613E-4</v>
      </c>
    </row>
    <row r="402" spans="6:10" x14ac:dyDescent="0.55000000000000004">
      <c r="F402" s="119">
        <v>44019</v>
      </c>
      <c r="G402" s="52">
        <v>302.20593300000002</v>
      </c>
      <c r="H402" s="52">
        <v>90.298743999999999</v>
      </c>
      <c r="I402" s="120">
        <f t="shared" si="5"/>
        <v>-1.0313733360423849E-2</v>
      </c>
      <c r="J402" s="120">
        <f t="shared" si="5"/>
        <v>0</v>
      </c>
    </row>
    <row r="403" spans="6:10" x14ac:dyDescent="0.55000000000000004">
      <c r="F403" s="119">
        <v>44020</v>
      </c>
      <c r="G403" s="52">
        <v>304.517426</v>
      </c>
      <c r="H403" s="52">
        <v>90.298743999999999</v>
      </c>
      <c r="I403" s="120">
        <f t="shared" si="5"/>
        <v>7.6487346792095678E-3</v>
      </c>
      <c r="J403" s="120">
        <f t="shared" si="5"/>
        <v>0</v>
      </c>
    </row>
    <row r="404" spans="6:10" x14ac:dyDescent="0.55000000000000004">
      <c r="F404" s="119">
        <v>44021</v>
      </c>
      <c r="G404" s="52">
        <v>302.78381300000001</v>
      </c>
      <c r="H404" s="52">
        <v>90.298743999999999</v>
      </c>
      <c r="I404" s="120">
        <f t="shared" si="5"/>
        <v>-5.6929845453245198E-3</v>
      </c>
      <c r="J404" s="120">
        <f t="shared" si="5"/>
        <v>0</v>
      </c>
    </row>
    <row r="405" spans="6:10" x14ac:dyDescent="0.55000000000000004">
      <c r="F405" s="119">
        <v>44022</v>
      </c>
      <c r="G405" s="52">
        <v>305.87536599999999</v>
      </c>
      <c r="H405" s="52">
        <v>90.308616999999998</v>
      </c>
      <c r="I405" s="120">
        <f t="shared" si="5"/>
        <v>1.0210430238554391E-2</v>
      </c>
      <c r="J405" s="120">
        <f t="shared" si="5"/>
        <v>1.0933706896287809E-4</v>
      </c>
    </row>
    <row r="406" spans="6:10" x14ac:dyDescent="0.55000000000000004">
      <c r="F406" s="119">
        <v>44025</v>
      </c>
      <c r="G406" s="52">
        <v>303.22680700000001</v>
      </c>
      <c r="H406" s="52">
        <v>90.308616999999998</v>
      </c>
      <c r="I406" s="120">
        <f t="shared" si="5"/>
        <v>-8.658948363955421E-3</v>
      </c>
      <c r="J406" s="120">
        <f t="shared" si="5"/>
        <v>0</v>
      </c>
    </row>
    <row r="407" spans="6:10" x14ac:dyDescent="0.55000000000000004">
      <c r="F407" s="119">
        <v>44026</v>
      </c>
      <c r="G407" s="52">
        <v>307.156342</v>
      </c>
      <c r="H407" s="52">
        <v>90.308616999999998</v>
      </c>
      <c r="I407" s="120">
        <f t="shared" ref="I407:J470" si="6">G407/G406-1</f>
        <v>1.295906202646524E-2</v>
      </c>
      <c r="J407" s="120">
        <f t="shared" si="6"/>
        <v>0</v>
      </c>
    </row>
    <row r="408" spans="6:10" x14ac:dyDescent="0.55000000000000004">
      <c r="F408" s="119">
        <v>44027</v>
      </c>
      <c r="G408" s="52">
        <v>309.97827100000001</v>
      </c>
      <c r="H408" s="52">
        <v>90.308616999999998</v>
      </c>
      <c r="I408" s="120">
        <f t="shared" si="6"/>
        <v>9.1872724542343409E-3</v>
      </c>
      <c r="J408" s="120">
        <f t="shared" si="6"/>
        <v>0</v>
      </c>
    </row>
    <row r="409" spans="6:10" x14ac:dyDescent="0.55000000000000004">
      <c r="F409" s="119">
        <v>44028</v>
      </c>
      <c r="G409" s="52">
        <v>308.95739700000001</v>
      </c>
      <c r="H409" s="52">
        <v>90.298743999999999</v>
      </c>
      <c r="I409" s="120">
        <f t="shared" si="6"/>
        <v>-3.2933727796681245E-3</v>
      </c>
      <c r="J409" s="120">
        <f t="shared" si="6"/>
        <v>-1.0932511567529613E-4</v>
      </c>
    </row>
    <row r="410" spans="6:10" x14ac:dyDescent="0.55000000000000004">
      <c r="F410" s="119">
        <v>44029</v>
      </c>
      <c r="G410" s="52">
        <v>309.853027</v>
      </c>
      <c r="H410" s="52">
        <v>90.308616999999998</v>
      </c>
      <c r="I410" s="120">
        <f t="shared" si="6"/>
        <v>2.8988786437762482E-3</v>
      </c>
      <c r="J410" s="120">
        <f t="shared" si="6"/>
        <v>1.0933706896287809E-4</v>
      </c>
    </row>
    <row r="411" spans="6:10" x14ac:dyDescent="0.55000000000000004">
      <c r="F411" s="119">
        <v>44032</v>
      </c>
      <c r="G411" s="52">
        <v>312.35711700000002</v>
      </c>
      <c r="H411" s="52">
        <v>90.308616999999998</v>
      </c>
      <c r="I411" s="120">
        <f t="shared" si="6"/>
        <v>8.0815411882357857E-3</v>
      </c>
      <c r="J411" s="120">
        <f t="shared" si="6"/>
        <v>0</v>
      </c>
    </row>
    <row r="412" spans="6:10" x14ac:dyDescent="0.55000000000000004">
      <c r="F412" s="119">
        <v>44033</v>
      </c>
      <c r="G412" s="52">
        <v>313.02175899999997</v>
      </c>
      <c r="H412" s="52">
        <v>90.308616999999998</v>
      </c>
      <c r="I412" s="120">
        <f t="shared" si="6"/>
        <v>2.1278272971125833E-3</v>
      </c>
      <c r="J412" s="120">
        <f t="shared" si="6"/>
        <v>0</v>
      </c>
    </row>
    <row r="413" spans="6:10" x14ac:dyDescent="0.55000000000000004">
      <c r="F413" s="119">
        <v>44034</v>
      </c>
      <c r="G413" s="52">
        <v>314.80343599999998</v>
      </c>
      <c r="H413" s="52">
        <v>90.298743999999999</v>
      </c>
      <c r="I413" s="120">
        <f t="shared" si="6"/>
        <v>5.6918631014402088E-3</v>
      </c>
      <c r="J413" s="120">
        <f t="shared" si="6"/>
        <v>-1.0932511567529613E-4</v>
      </c>
    </row>
    <row r="414" spans="6:10" x14ac:dyDescent="0.55000000000000004">
      <c r="F414" s="119">
        <v>44035</v>
      </c>
      <c r="G414" s="52">
        <v>311.047302</v>
      </c>
      <c r="H414" s="52">
        <v>90.308616999999998</v>
      </c>
      <c r="I414" s="120">
        <f t="shared" si="6"/>
        <v>-1.193168044074322E-2</v>
      </c>
      <c r="J414" s="120">
        <f t="shared" si="6"/>
        <v>1.0933706896287809E-4</v>
      </c>
    </row>
    <row r="415" spans="6:10" x14ac:dyDescent="0.55000000000000004">
      <c r="F415" s="119">
        <v>44036</v>
      </c>
      <c r="G415" s="52">
        <v>309.04406699999998</v>
      </c>
      <c r="H415" s="52">
        <v>90.298743999999999</v>
      </c>
      <c r="I415" s="120">
        <f t="shared" si="6"/>
        <v>-6.4402905510494435E-3</v>
      </c>
      <c r="J415" s="120">
        <f t="shared" si="6"/>
        <v>-1.0932511567529613E-4</v>
      </c>
    </row>
    <row r="416" spans="6:10" x14ac:dyDescent="0.55000000000000004">
      <c r="F416" s="119">
        <v>44039</v>
      </c>
      <c r="G416" s="52">
        <v>311.297729</v>
      </c>
      <c r="H416" s="52">
        <v>90.298743999999999</v>
      </c>
      <c r="I416" s="120">
        <f t="shared" si="6"/>
        <v>7.292364554599251E-3</v>
      </c>
      <c r="J416" s="120">
        <f t="shared" si="6"/>
        <v>0</v>
      </c>
    </row>
    <row r="417" spans="6:10" x14ac:dyDescent="0.55000000000000004">
      <c r="F417" s="119">
        <v>44040</v>
      </c>
      <c r="G417" s="52">
        <v>309.32330300000001</v>
      </c>
      <c r="H417" s="52">
        <v>90.308616999999998</v>
      </c>
      <c r="I417" s="120">
        <f t="shared" si="6"/>
        <v>-6.3425647412930219E-3</v>
      </c>
      <c r="J417" s="120">
        <f t="shared" si="6"/>
        <v>1.0933706896287809E-4</v>
      </c>
    </row>
    <row r="418" spans="6:10" x14ac:dyDescent="0.55000000000000004">
      <c r="F418" s="119">
        <v>44041</v>
      </c>
      <c r="G418" s="52">
        <v>313.12759399999999</v>
      </c>
      <c r="H418" s="52">
        <v>90.308616999999998</v>
      </c>
      <c r="I418" s="120">
        <f t="shared" si="6"/>
        <v>1.2298753320890254E-2</v>
      </c>
      <c r="J418" s="120">
        <f t="shared" si="6"/>
        <v>0</v>
      </c>
    </row>
    <row r="419" spans="6:10" x14ac:dyDescent="0.55000000000000004">
      <c r="F419" s="119">
        <v>44042</v>
      </c>
      <c r="G419" s="52">
        <v>312.01043700000002</v>
      </c>
      <c r="H419" s="52">
        <v>90.298743999999999</v>
      </c>
      <c r="I419" s="120">
        <f t="shared" si="6"/>
        <v>-3.5677373103053522E-3</v>
      </c>
      <c r="J419" s="120">
        <f t="shared" si="6"/>
        <v>-1.0932511567529613E-4</v>
      </c>
    </row>
    <row r="420" spans="6:10" x14ac:dyDescent="0.55000000000000004">
      <c r="F420" s="119">
        <v>44043</v>
      </c>
      <c r="G420" s="52">
        <v>314.47592200000003</v>
      </c>
      <c r="H420" s="52">
        <v>90.308616999999998</v>
      </c>
      <c r="I420" s="120">
        <f t="shared" si="6"/>
        <v>7.9019311780266221E-3</v>
      </c>
      <c r="J420" s="120">
        <f t="shared" si="6"/>
        <v>1.0933706896287809E-4</v>
      </c>
    </row>
    <row r="421" spans="6:10" x14ac:dyDescent="0.55000000000000004">
      <c r="F421" s="119">
        <v>44046</v>
      </c>
      <c r="G421" s="52">
        <v>316.66229199999998</v>
      </c>
      <c r="H421" s="52">
        <v>90.298743999999999</v>
      </c>
      <c r="I421" s="120">
        <f t="shared" si="6"/>
        <v>6.952424166833282E-3</v>
      </c>
      <c r="J421" s="120">
        <f t="shared" si="6"/>
        <v>-1.0932511567529613E-4</v>
      </c>
    </row>
    <row r="422" spans="6:10" x14ac:dyDescent="0.55000000000000004">
      <c r="F422" s="119">
        <v>44047</v>
      </c>
      <c r="G422" s="52">
        <v>317.88537600000001</v>
      </c>
      <c r="H422" s="52">
        <v>90.308616999999998</v>
      </c>
      <c r="I422" s="120">
        <f t="shared" si="6"/>
        <v>3.8624238846853842E-3</v>
      </c>
      <c r="J422" s="120">
        <f t="shared" si="6"/>
        <v>1.0933706896287809E-4</v>
      </c>
    </row>
    <row r="423" spans="6:10" x14ac:dyDescent="0.55000000000000004">
      <c r="F423" s="119">
        <v>44048</v>
      </c>
      <c r="G423" s="52">
        <v>319.85983299999998</v>
      </c>
      <c r="H423" s="52">
        <v>90.298743999999999</v>
      </c>
      <c r="I423" s="120">
        <f t="shared" si="6"/>
        <v>6.2112231296855835E-3</v>
      </c>
      <c r="J423" s="120">
        <f t="shared" si="6"/>
        <v>-1.0932511567529613E-4</v>
      </c>
    </row>
    <row r="424" spans="6:10" x14ac:dyDescent="0.55000000000000004">
      <c r="F424" s="119">
        <v>44049</v>
      </c>
      <c r="G424" s="52">
        <v>321.99789399999997</v>
      </c>
      <c r="H424" s="52">
        <v>90.298743999999999</v>
      </c>
      <c r="I424" s="120">
        <f t="shared" si="6"/>
        <v>6.6843685246342766E-3</v>
      </c>
      <c r="J424" s="120">
        <f t="shared" si="6"/>
        <v>0</v>
      </c>
    </row>
    <row r="425" spans="6:10" x14ac:dyDescent="0.55000000000000004">
      <c r="F425" s="119">
        <v>44050</v>
      </c>
      <c r="G425" s="52">
        <v>322.22903400000001</v>
      </c>
      <c r="H425" s="52">
        <v>90.308616999999998</v>
      </c>
      <c r="I425" s="120">
        <f t="shared" si="6"/>
        <v>7.1783078183740301E-4</v>
      </c>
      <c r="J425" s="120">
        <f t="shared" si="6"/>
        <v>1.0933706896287809E-4</v>
      </c>
    </row>
    <row r="426" spans="6:10" x14ac:dyDescent="0.55000000000000004">
      <c r="F426" s="119">
        <v>44053</v>
      </c>
      <c r="G426" s="52">
        <v>323.19216899999998</v>
      </c>
      <c r="H426" s="52">
        <v>90.308616999999998</v>
      </c>
      <c r="I426" s="120">
        <f t="shared" si="6"/>
        <v>2.9889764682098363E-3</v>
      </c>
      <c r="J426" s="120">
        <f t="shared" si="6"/>
        <v>0</v>
      </c>
    </row>
    <row r="427" spans="6:10" x14ac:dyDescent="0.55000000000000004">
      <c r="F427" s="119">
        <v>44054</v>
      </c>
      <c r="G427" s="52">
        <v>320.52435300000002</v>
      </c>
      <c r="H427" s="52">
        <v>90.298743999999999</v>
      </c>
      <c r="I427" s="120">
        <f t="shared" si="6"/>
        <v>-8.2545811931474811E-3</v>
      </c>
      <c r="J427" s="120">
        <f t="shared" si="6"/>
        <v>-1.0932511567529613E-4</v>
      </c>
    </row>
    <row r="428" spans="6:10" x14ac:dyDescent="0.55000000000000004">
      <c r="F428" s="119">
        <v>44055</v>
      </c>
      <c r="G428" s="52">
        <v>324.99316399999998</v>
      </c>
      <c r="H428" s="52">
        <v>90.298743999999999</v>
      </c>
      <c r="I428" s="120">
        <f t="shared" si="6"/>
        <v>1.3942188661090427E-2</v>
      </c>
      <c r="J428" s="120">
        <f t="shared" si="6"/>
        <v>0</v>
      </c>
    </row>
    <row r="429" spans="6:10" x14ac:dyDescent="0.55000000000000004">
      <c r="F429" s="119">
        <v>44056</v>
      </c>
      <c r="G429" s="52">
        <v>324.40566999999999</v>
      </c>
      <c r="H429" s="52">
        <v>90.308616999999998</v>
      </c>
      <c r="I429" s="120">
        <f t="shared" si="6"/>
        <v>-1.8077118692871874E-3</v>
      </c>
      <c r="J429" s="120">
        <f t="shared" si="6"/>
        <v>1.0933706896287809E-4</v>
      </c>
    </row>
    <row r="430" spans="6:10" x14ac:dyDescent="0.55000000000000004">
      <c r="F430" s="119">
        <v>44057</v>
      </c>
      <c r="G430" s="52">
        <v>324.41531400000002</v>
      </c>
      <c r="H430" s="52">
        <v>90.298743999999999</v>
      </c>
      <c r="I430" s="120">
        <f t="shared" si="6"/>
        <v>2.9728210360957519E-5</v>
      </c>
      <c r="J430" s="120">
        <f t="shared" si="6"/>
        <v>-1.0932511567529613E-4</v>
      </c>
    </row>
    <row r="431" spans="6:10" x14ac:dyDescent="0.55000000000000004">
      <c r="F431" s="119">
        <v>44060</v>
      </c>
      <c r="G431" s="52">
        <v>325.44589200000001</v>
      </c>
      <c r="H431" s="52">
        <v>90.298743999999999</v>
      </c>
      <c r="I431" s="120">
        <f t="shared" si="6"/>
        <v>3.1767242652422922E-3</v>
      </c>
      <c r="J431" s="120">
        <f t="shared" si="6"/>
        <v>0</v>
      </c>
    </row>
    <row r="432" spans="6:10" x14ac:dyDescent="0.55000000000000004">
      <c r="F432" s="119">
        <v>44061</v>
      </c>
      <c r="G432" s="52">
        <v>326.14898699999998</v>
      </c>
      <c r="H432" s="52">
        <v>90.308616999999998</v>
      </c>
      <c r="I432" s="120">
        <f t="shared" si="6"/>
        <v>2.1604052080028691E-3</v>
      </c>
      <c r="J432" s="120">
        <f t="shared" si="6"/>
        <v>1.0933706896287809E-4</v>
      </c>
    </row>
    <row r="433" spans="6:10" x14ac:dyDescent="0.55000000000000004">
      <c r="F433" s="119">
        <v>44062</v>
      </c>
      <c r="G433" s="52">
        <v>324.790955</v>
      </c>
      <c r="H433" s="52">
        <v>90.308616999999998</v>
      </c>
      <c r="I433" s="120">
        <f t="shared" si="6"/>
        <v>-4.1638393928231654E-3</v>
      </c>
      <c r="J433" s="120">
        <f t="shared" si="6"/>
        <v>0</v>
      </c>
    </row>
    <row r="434" spans="6:10" x14ac:dyDescent="0.55000000000000004">
      <c r="F434" s="119">
        <v>44063</v>
      </c>
      <c r="G434" s="52">
        <v>325.80221599999999</v>
      </c>
      <c r="H434" s="52">
        <v>90.308616999999998</v>
      </c>
      <c r="I434" s="120">
        <f t="shared" si="6"/>
        <v>3.1135750070379054E-3</v>
      </c>
      <c r="J434" s="120">
        <f t="shared" si="6"/>
        <v>0</v>
      </c>
    </row>
    <row r="435" spans="6:10" x14ac:dyDescent="0.55000000000000004">
      <c r="F435" s="119">
        <v>44064</v>
      </c>
      <c r="G435" s="52">
        <v>326.95794699999999</v>
      </c>
      <c r="H435" s="52">
        <v>90.308616999999998</v>
      </c>
      <c r="I435" s="120">
        <f t="shared" si="6"/>
        <v>3.5473392851324004E-3</v>
      </c>
      <c r="J435" s="120">
        <f t="shared" si="6"/>
        <v>0</v>
      </c>
    </row>
    <row r="436" spans="6:10" x14ac:dyDescent="0.55000000000000004">
      <c r="F436" s="119">
        <v>44067</v>
      </c>
      <c r="G436" s="52">
        <v>330.271118</v>
      </c>
      <c r="H436" s="52">
        <v>90.308616999999998</v>
      </c>
      <c r="I436" s="120">
        <f t="shared" si="6"/>
        <v>1.0133324577059399E-2</v>
      </c>
      <c r="J436" s="120">
        <f t="shared" si="6"/>
        <v>0</v>
      </c>
    </row>
    <row r="437" spans="6:10" x14ac:dyDescent="0.55000000000000004">
      <c r="F437" s="119">
        <v>44068</v>
      </c>
      <c r="G437" s="52">
        <v>331.42681900000002</v>
      </c>
      <c r="H437" s="52">
        <v>90.298743999999999</v>
      </c>
      <c r="I437" s="120">
        <f t="shared" si="6"/>
        <v>3.4992493651837542E-3</v>
      </c>
      <c r="J437" s="120">
        <f t="shared" si="6"/>
        <v>-1.0932511567529613E-4</v>
      </c>
    </row>
    <row r="438" spans="6:10" x14ac:dyDescent="0.55000000000000004">
      <c r="F438" s="119">
        <v>44069</v>
      </c>
      <c r="G438" s="52">
        <v>334.749573</v>
      </c>
      <c r="H438" s="52">
        <v>90.298743999999999</v>
      </c>
      <c r="I438" s="120">
        <f t="shared" si="6"/>
        <v>1.0025603872449329E-2</v>
      </c>
      <c r="J438" s="120">
        <f t="shared" si="6"/>
        <v>0</v>
      </c>
    </row>
    <row r="439" spans="6:10" x14ac:dyDescent="0.55000000000000004">
      <c r="F439" s="119">
        <v>44070</v>
      </c>
      <c r="G439" s="52">
        <v>335.48150600000002</v>
      </c>
      <c r="H439" s="52">
        <v>90.298743999999999</v>
      </c>
      <c r="I439" s="120">
        <f t="shared" si="6"/>
        <v>2.1865091370856238E-3</v>
      </c>
      <c r="J439" s="120">
        <f t="shared" si="6"/>
        <v>0</v>
      </c>
    </row>
    <row r="440" spans="6:10" x14ac:dyDescent="0.55000000000000004">
      <c r="F440" s="119">
        <v>44071</v>
      </c>
      <c r="G440" s="52">
        <v>337.64849900000002</v>
      </c>
      <c r="H440" s="52">
        <v>90.308616999999998</v>
      </c>
      <c r="I440" s="120">
        <f t="shared" si="6"/>
        <v>6.4593515923945244E-3</v>
      </c>
      <c r="J440" s="120">
        <f t="shared" si="6"/>
        <v>1.0933706896287809E-4</v>
      </c>
    </row>
    <row r="441" spans="6:10" x14ac:dyDescent="0.55000000000000004">
      <c r="F441" s="119">
        <v>44074</v>
      </c>
      <c r="G441" s="52">
        <v>336.42535400000003</v>
      </c>
      <c r="H441" s="52">
        <v>90.308616999999998</v>
      </c>
      <c r="I441" s="120">
        <f t="shared" si="6"/>
        <v>-3.6225394267189737E-3</v>
      </c>
      <c r="J441" s="120">
        <f t="shared" si="6"/>
        <v>0</v>
      </c>
    </row>
    <row r="442" spans="6:10" x14ac:dyDescent="0.55000000000000004">
      <c r="F442" s="119">
        <v>44075</v>
      </c>
      <c r="G442" s="52">
        <v>339.59396400000003</v>
      </c>
      <c r="H442" s="52">
        <v>90.308616999999998</v>
      </c>
      <c r="I442" s="120">
        <f t="shared" si="6"/>
        <v>9.4184637463441412E-3</v>
      </c>
      <c r="J442" s="120">
        <f t="shared" si="6"/>
        <v>0</v>
      </c>
    </row>
    <row r="443" spans="6:10" x14ac:dyDescent="0.55000000000000004">
      <c r="F443" s="119">
        <v>44076</v>
      </c>
      <c r="G443" s="52">
        <v>344.50589000000002</v>
      </c>
      <c r="H443" s="52">
        <v>90.308616999999998</v>
      </c>
      <c r="I443" s="120">
        <f t="shared" si="6"/>
        <v>1.4464114562413144E-2</v>
      </c>
      <c r="J443" s="120">
        <f t="shared" si="6"/>
        <v>0</v>
      </c>
    </row>
    <row r="444" spans="6:10" x14ac:dyDescent="0.55000000000000004">
      <c r="F444" s="119">
        <v>44077</v>
      </c>
      <c r="G444" s="52">
        <v>332.64996300000001</v>
      </c>
      <c r="H444" s="52">
        <v>90.298743999999999</v>
      </c>
      <c r="I444" s="120">
        <f t="shared" si="6"/>
        <v>-3.4414294048789706E-2</v>
      </c>
      <c r="J444" s="120">
        <f t="shared" si="6"/>
        <v>-1.0932511567529613E-4</v>
      </c>
    </row>
    <row r="445" spans="6:10" x14ac:dyDescent="0.55000000000000004">
      <c r="F445" s="119">
        <v>44078</v>
      </c>
      <c r="G445" s="52">
        <v>329.93396000000001</v>
      </c>
      <c r="H445" s="52">
        <v>90.308616999999998</v>
      </c>
      <c r="I445" s="120">
        <f t="shared" si="6"/>
        <v>-8.1647476389468121E-3</v>
      </c>
      <c r="J445" s="120">
        <f t="shared" si="6"/>
        <v>1.0933706896287809E-4</v>
      </c>
    </row>
    <row r="446" spans="6:10" x14ac:dyDescent="0.55000000000000004">
      <c r="F446" s="119">
        <v>44082</v>
      </c>
      <c r="G446" s="52">
        <v>320.91924999999998</v>
      </c>
      <c r="H446" s="52">
        <v>90.308616999999998</v>
      </c>
      <c r="I446" s="120">
        <f t="shared" si="6"/>
        <v>-2.7322770896333393E-2</v>
      </c>
      <c r="J446" s="120">
        <f t="shared" si="6"/>
        <v>0</v>
      </c>
    </row>
    <row r="447" spans="6:10" x14ac:dyDescent="0.55000000000000004">
      <c r="F447" s="119">
        <v>44083</v>
      </c>
      <c r="G447" s="52">
        <v>327.25650000000002</v>
      </c>
      <c r="H447" s="52">
        <v>90.298743999999999</v>
      </c>
      <c r="I447" s="120">
        <f t="shared" si="6"/>
        <v>1.9747179391700787E-2</v>
      </c>
      <c r="J447" s="120">
        <f t="shared" si="6"/>
        <v>-1.0932511567529613E-4</v>
      </c>
    </row>
    <row r="448" spans="6:10" x14ac:dyDescent="0.55000000000000004">
      <c r="F448" s="119">
        <v>44084</v>
      </c>
      <c r="G448" s="52">
        <v>321.57415800000001</v>
      </c>
      <c r="H448" s="52">
        <v>90.298743999999999</v>
      </c>
      <c r="I448" s="120">
        <f t="shared" si="6"/>
        <v>-1.7363572610475275E-2</v>
      </c>
      <c r="J448" s="120">
        <f t="shared" si="6"/>
        <v>0</v>
      </c>
    </row>
    <row r="449" spans="6:10" x14ac:dyDescent="0.55000000000000004">
      <c r="F449" s="119">
        <v>44085</v>
      </c>
      <c r="G449" s="52">
        <v>321.73791499999999</v>
      </c>
      <c r="H449" s="52">
        <v>90.288887000000003</v>
      </c>
      <c r="I449" s="120">
        <f t="shared" si="6"/>
        <v>5.0923557109960882E-4</v>
      </c>
      <c r="J449" s="120">
        <f t="shared" si="6"/>
        <v>-1.0915987934445592E-4</v>
      </c>
    </row>
    <row r="450" spans="6:10" x14ac:dyDescent="0.55000000000000004">
      <c r="F450" s="119">
        <v>44088</v>
      </c>
      <c r="G450" s="52">
        <v>325.97558600000002</v>
      </c>
      <c r="H450" s="52">
        <v>90.308616999999998</v>
      </c>
      <c r="I450" s="120">
        <f t="shared" si="6"/>
        <v>1.3171189351432355E-2</v>
      </c>
      <c r="J450" s="120">
        <f t="shared" si="6"/>
        <v>2.1852080201179014E-4</v>
      </c>
    </row>
    <row r="451" spans="6:10" x14ac:dyDescent="0.55000000000000004">
      <c r="F451" s="119">
        <v>44089</v>
      </c>
      <c r="G451" s="52">
        <v>327.622589</v>
      </c>
      <c r="H451" s="52">
        <v>90.288887000000003</v>
      </c>
      <c r="I451" s="120">
        <f t="shared" si="6"/>
        <v>5.0525348238807943E-3</v>
      </c>
      <c r="J451" s="120">
        <f t="shared" si="6"/>
        <v>-2.1847306110334141E-4</v>
      </c>
    </row>
    <row r="452" spans="6:10" x14ac:dyDescent="0.55000000000000004">
      <c r="F452" s="119">
        <v>44090</v>
      </c>
      <c r="G452" s="52">
        <v>326.32229599999999</v>
      </c>
      <c r="H452" s="52">
        <v>90.308616999999998</v>
      </c>
      <c r="I452" s="120">
        <f t="shared" si="6"/>
        <v>-3.9688746858660418E-3</v>
      </c>
      <c r="J452" s="120">
        <f t="shared" si="6"/>
        <v>2.1852080201179014E-4</v>
      </c>
    </row>
    <row r="453" spans="6:10" x14ac:dyDescent="0.55000000000000004">
      <c r="F453" s="119">
        <v>44091</v>
      </c>
      <c r="G453" s="52">
        <v>323.452179</v>
      </c>
      <c r="H453" s="52">
        <v>90.308616999999998</v>
      </c>
      <c r="I453" s="120">
        <f t="shared" si="6"/>
        <v>-8.79534446521546E-3</v>
      </c>
      <c r="J453" s="120">
        <f t="shared" si="6"/>
        <v>0</v>
      </c>
    </row>
    <row r="454" spans="6:10" x14ac:dyDescent="0.55000000000000004">
      <c r="F454" s="119">
        <v>44092</v>
      </c>
      <c r="G454" s="52">
        <v>319.72839399999998</v>
      </c>
      <c r="H454" s="52">
        <v>90.288887000000003</v>
      </c>
      <c r="I454" s="120">
        <f t="shared" si="6"/>
        <v>-1.151262919765339E-2</v>
      </c>
      <c r="J454" s="120">
        <f t="shared" si="6"/>
        <v>-2.1847306110334141E-4</v>
      </c>
    </row>
    <row r="455" spans="6:10" x14ac:dyDescent="0.55000000000000004">
      <c r="F455" s="119">
        <v>44095</v>
      </c>
      <c r="G455" s="52">
        <v>316.17001299999998</v>
      </c>
      <c r="H455" s="52">
        <v>90.288887000000003</v>
      </c>
      <c r="I455" s="120">
        <f t="shared" si="6"/>
        <v>-1.1129386900808003E-2</v>
      </c>
      <c r="J455" s="120">
        <f t="shared" si="6"/>
        <v>0</v>
      </c>
    </row>
    <row r="456" spans="6:10" x14ac:dyDescent="0.55000000000000004">
      <c r="F456" s="119">
        <v>44096</v>
      </c>
      <c r="G456" s="52">
        <v>319.38998400000003</v>
      </c>
      <c r="H456" s="52">
        <v>90.288887000000003</v>
      </c>
      <c r="I456" s="120">
        <f t="shared" si="6"/>
        <v>1.0184302329772299E-2</v>
      </c>
      <c r="J456" s="120">
        <f t="shared" si="6"/>
        <v>0</v>
      </c>
    </row>
    <row r="457" spans="6:10" x14ac:dyDescent="0.55000000000000004">
      <c r="F457" s="119">
        <v>44097</v>
      </c>
      <c r="G457" s="52">
        <v>311.98303199999998</v>
      </c>
      <c r="H457" s="52">
        <v>90.288887000000003</v>
      </c>
      <c r="I457" s="120">
        <f t="shared" si="6"/>
        <v>-2.3190933877250353E-2</v>
      </c>
      <c r="J457" s="120">
        <f t="shared" si="6"/>
        <v>0</v>
      </c>
    </row>
    <row r="458" spans="6:10" x14ac:dyDescent="0.55000000000000004">
      <c r="F458" s="119">
        <v>44098</v>
      </c>
      <c r="G458" s="52">
        <v>312.81454500000001</v>
      </c>
      <c r="H458" s="52">
        <v>90.298743999999999</v>
      </c>
      <c r="I458" s="120">
        <f t="shared" si="6"/>
        <v>2.6652507178661633E-3</v>
      </c>
      <c r="J458" s="120">
        <f t="shared" si="6"/>
        <v>1.0917179652469855E-4</v>
      </c>
    </row>
    <row r="459" spans="6:10" x14ac:dyDescent="0.55000000000000004">
      <c r="F459" s="119">
        <v>44099</v>
      </c>
      <c r="G459" s="52">
        <v>317.871826</v>
      </c>
      <c r="H459" s="52">
        <v>90.288887000000003</v>
      </c>
      <c r="I459" s="120">
        <f t="shared" si="6"/>
        <v>1.6167026376602722E-2</v>
      </c>
      <c r="J459" s="120">
        <f t="shared" si="6"/>
        <v>-1.0915987934445592E-4</v>
      </c>
    </row>
    <row r="460" spans="6:10" x14ac:dyDescent="0.55000000000000004">
      <c r="F460" s="119">
        <v>44102</v>
      </c>
      <c r="G460" s="52">
        <v>323.15145899999999</v>
      </c>
      <c r="H460" s="52">
        <v>90.298743999999999</v>
      </c>
      <c r="I460" s="120">
        <f t="shared" si="6"/>
        <v>1.6609314095046512E-2</v>
      </c>
      <c r="J460" s="120">
        <f t="shared" si="6"/>
        <v>1.0917179652469855E-4</v>
      </c>
    </row>
    <row r="461" spans="6:10" x14ac:dyDescent="0.55000000000000004">
      <c r="F461" s="119">
        <v>44103</v>
      </c>
      <c r="G461" s="52">
        <v>321.391571</v>
      </c>
      <c r="H461" s="52">
        <v>90.298743999999999</v>
      </c>
      <c r="I461" s="120">
        <f t="shared" si="6"/>
        <v>-5.4460159500625549E-3</v>
      </c>
      <c r="J461" s="120">
        <f t="shared" si="6"/>
        <v>0</v>
      </c>
    </row>
    <row r="462" spans="6:10" x14ac:dyDescent="0.55000000000000004">
      <c r="F462" s="119">
        <v>44104</v>
      </c>
      <c r="G462" s="52">
        <v>323.82833900000003</v>
      </c>
      <c r="H462" s="52">
        <v>90.288887000000003</v>
      </c>
      <c r="I462" s="120">
        <f t="shared" si="6"/>
        <v>7.581928774354818E-3</v>
      </c>
      <c r="J462" s="120">
        <f t="shared" si="6"/>
        <v>-1.0915987934445592E-4</v>
      </c>
    </row>
    <row r="463" spans="6:10" x14ac:dyDescent="0.55000000000000004">
      <c r="F463" s="119">
        <v>44105</v>
      </c>
      <c r="G463" s="52">
        <v>325.90731799999998</v>
      </c>
      <c r="H463" s="52">
        <v>90.288887000000003</v>
      </c>
      <c r="I463" s="120">
        <f t="shared" si="6"/>
        <v>6.4200032845178612E-3</v>
      </c>
      <c r="J463" s="120">
        <f t="shared" si="6"/>
        <v>0</v>
      </c>
    </row>
    <row r="464" spans="6:10" x14ac:dyDescent="0.55000000000000004">
      <c r="F464" s="119">
        <v>44106</v>
      </c>
      <c r="G464" s="52">
        <v>322.813019</v>
      </c>
      <c r="H464" s="52">
        <v>90.288887000000003</v>
      </c>
      <c r="I464" s="120">
        <f t="shared" si="6"/>
        <v>-9.4944139916489645E-3</v>
      </c>
      <c r="J464" s="120">
        <f t="shared" si="6"/>
        <v>0</v>
      </c>
    </row>
    <row r="465" spans="6:10" x14ac:dyDescent="0.55000000000000004">
      <c r="F465" s="119">
        <v>44109</v>
      </c>
      <c r="G465" s="52">
        <v>328.53750600000001</v>
      </c>
      <c r="H465" s="52">
        <v>90.288887000000003</v>
      </c>
      <c r="I465" s="120">
        <f t="shared" si="6"/>
        <v>1.7733135478033457E-2</v>
      </c>
      <c r="J465" s="120">
        <f t="shared" si="6"/>
        <v>0</v>
      </c>
    </row>
    <row r="466" spans="6:10" x14ac:dyDescent="0.55000000000000004">
      <c r="F466" s="119">
        <v>44110</v>
      </c>
      <c r="G466" s="52">
        <v>323.86706500000003</v>
      </c>
      <c r="H466" s="52">
        <v>90.298743999999999</v>
      </c>
      <c r="I466" s="120">
        <f t="shared" si="6"/>
        <v>-1.4215853333956918E-2</v>
      </c>
      <c r="J466" s="120">
        <f t="shared" si="6"/>
        <v>1.0917179652469855E-4</v>
      </c>
    </row>
    <row r="467" spans="6:10" x14ac:dyDescent="0.55000000000000004">
      <c r="F467" s="119">
        <v>44111</v>
      </c>
      <c r="G467" s="52">
        <v>329.504456</v>
      </c>
      <c r="H467" s="52">
        <v>90.288887000000003</v>
      </c>
      <c r="I467" s="120">
        <f t="shared" si="6"/>
        <v>1.740649670567751E-2</v>
      </c>
      <c r="J467" s="120">
        <f t="shared" si="6"/>
        <v>-1.0915987934445592E-4</v>
      </c>
    </row>
    <row r="468" spans="6:10" x14ac:dyDescent="0.55000000000000004">
      <c r="F468" s="119">
        <v>44112</v>
      </c>
      <c r="G468" s="52">
        <v>332.42477400000001</v>
      </c>
      <c r="H468" s="52">
        <v>90.288887000000003</v>
      </c>
      <c r="I468" s="120">
        <f t="shared" si="6"/>
        <v>8.8627572308157543E-3</v>
      </c>
      <c r="J468" s="120">
        <f t="shared" si="6"/>
        <v>0</v>
      </c>
    </row>
    <row r="469" spans="6:10" x14ac:dyDescent="0.55000000000000004">
      <c r="F469" s="119">
        <v>44113</v>
      </c>
      <c r="G469" s="52">
        <v>335.39328</v>
      </c>
      <c r="H469" s="52">
        <v>90.288887000000003</v>
      </c>
      <c r="I469" s="120">
        <f t="shared" si="6"/>
        <v>8.9298579172683024E-3</v>
      </c>
      <c r="J469" s="120">
        <f t="shared" si="6"/>
        <v>0</v>
      </c>
    </row>
    <row r="470" spans="6:10" x14ac:dyDescent="0.55000000000000004">
      <c r="F470" s="119">
        <v>44116</v>
      </c>
      <c r="G470" s="52">
        <v>340.788971</v>
      </c>
      <c r="H470" s="52">
        <v>90.298743999999999</v>
      </c>
      <c r="I470" s="120">
        <f t="shared" si="6"/>
        <v>1.608765387308897E-2</v>
      </c>
      <c r="J470" s="120">
        <f t="shared" si="6"/>
        <v>1.0917179652469855E-4</v>
      </c>
    </row>
    <row r="471" spans="6:10" x14ac:dyDescent="0.55000000000000004">
      <c r="F471" s="119">
        <v>44117</v>
      </c>
      <c r="G471" s="52">
        <v>338.56500199999999</v>
      </c>
      <c r="H471" s="52">
        <v>90.288887000000003</v>
      </c>
      <c r="I471" s="120">
        <f t="shared" ref="I471:J526" si="7">G471/G470-1</f>
        <v>-6.5259418269143499E-3</v>
      </c>
      <c r="J471" s="120">
        <f t="shared" si="7"/>
        <v>-1.0915987934445592E-4</v>
      </c>
    </row>
    <row r="472" spans="6:10" x14ac:dyDescent="0.55000000000000004">
      <c r="F472" s="119">
        <v>44118</v>
      </c>
      <c r="G472" s="52">
        <v>336.43765300000001</v>
      </c>
      <c r="H472" s="52">
        <v>90.288887000000003</v>
      </c>
      <c r="I472" s="120">
        <f t="shared" si="7"/>
        <v>-6.2834285511884636E-3</v>
      </c>
      <c r="J472" s="120">
        <f t="shared" si="7"/>
        <v>0</v>
      </c>
    </row>
    <row r="473" spans="6:10" x14ac:dyDescent="0.55000000000000004">
      <c r="F473" s="119">
        <v>44119</v>
      </c>
      <c r="G473" s="52">
        <v>336.02181999999999</v>
      </c>
      <c r="H473" s="52">
        <v>90.288887000000003</v>
      </c>
      <c r="I473" s="120">
        <f t="shared" si="7"/>
        <v>-1.2359882917148957E-3</v>
      </c>
      <c r="J473" s="120">
        <f t="shared" si="7"/>
        <v>0</v>
      </c>
    </row>
    <row r="474" spans="6:10" x14ac:dyDescent="0.55000000000000004">
      <c r="F474" s="119">
        <v>44120</v>
      </c>
      <c r="G474" s="52">
        <v>335.81875600000001</v>
      </c>
      <c r="H474" s="52">
        <v>90.298743999999999</v>
      </c>
      <c r="I474" s="120">
        <f t="shared" si="7"/>
        <v>-6.0431789816506321E-4</v>
      </c>
      <c r="J474" s="120">
        <f t="shared" si="7"/>
        <v>1.0917179652469855E-4</v>
      </c>
    </row>
    <row r="475" spans="6:10" x14ac:dyDescent="0.55000000000000004">
      <c r="F475" s="119">
        <v>44123</v>
      </c>
      <c r="G475" s="52">
        <v>330.71319599999998</v>
      </c>
      <c r="H475" s="52">
        <v>90.298743999999999</v>
      </c>
      <c r="I475" s="120">
        <f t="shared" si="7"/>
        <v>-1.5203319971800577E-2</v>
      </c>
      <c r="J475" s="120">
        <f t="shared" si="7"/>
        <v>0</v>
      </c>
    </row>
    <row r="476" spans="6:10" x14ac:dyDescent="0.55000000000000004">
      <c r="F476" s="119">
        <v>44124</v>
      </c>
      <c r="G476" s="52">
        <v>332.03793300000001</v>
      </c>
      <c r="H476" s="52">
        <v>90.288887000000003</v>
      </c>
      <c r="I476" s="120">
        <f t="shared" si="7"/>
        <v>4.0056974321642791E-3</v>
      </c>
      <c r="J476" s="120">
        <f t="shared" si="7"/>
        <v>-1.0915987934445592E-4</v>
      </c>
    </row>
    <row r="477" spans="6:10" x14ac:dyDescent="0.55000000000000004">
      <c r="F477" s="119">
        <v>44125</v>
      </c>
      <c r="G477" s="52">
        <v>331.40936299999998</v>
      </c>
      <c r="H477" s="52">
        <v>90.288887000000003</v>
      </c>
      <c r="I477" s="120">
        <f t="shared" si="7"/>
        <v>-1.8930668382398652E-3</v>
      </c>
      <c r="J477" s="120">
        <f t="shared" si="7"/>
        <v>0</v>
      </c>
    </row>
    <row r="478" spans="6:10" x14ac:dyDescent="0.55000000000000004">
      <c r="F478" s="119">
        <v>44126</v>
      </c>
      <c r="G478" s="52">
        <v>333.22726399999999</v>
      </c>
      <c r="H478" s="52">
        <v>90.298743999999999</v>
      </c>
      <c r="I478" s="120">
        <f t="shared" si="7"/>
        <v>5.4853640330010389E-3</v>
      </c>
      <c r="J478" s="120">
        <f t="shared" si="7"/>
        <v>1.0917179652469855E-4</v>
      </c>
    </row>
    <row r="479" spans="6:10" x14ac:dyDescent="0.55000000000000004">
      <c r="F479" s="119">
        <v>44127</v>
      </c>
      <c r="G479" s="52">
        <v>334.35870399999999</v>
      </c>
      <c r="H479" s="52">
        <v>90.298743999999999</v>
      </c>
      <c r="I479" s="120">
        <f t="shared" si="7"/>
        <v>3.3954004435843288E-3</v>
      </c>
      <c r="J479" s="120">
        <f t="shared" si="7"/>
        <v>0</v>
      </c>
    </row>
    <row r="480" spans="6:10" x14ac:dyDescent="0.55000000000000004">
      <c r="F480" s="119">
        <v>44130</v>
      </c>
      <c r="G480" s="52">
        <v>328.17974900000002</v>
      </c>
      <c r="H480" s="52">
        <v>90.298743999999999</v>
      </c>
      <c r="I480" s="120">
        <f t="shared" si="7"/>
        <v>-1.8480018393658981E-2</v>
      </c>
      <c r="J480" s="120">
        <f t="shared" si="7"/>
        <v>0</v>
      </c>
    </row>
    <row r="481" spans="6:10" x14ac:dyDescent="0.55000000000000004">
      <c r="F481" s="119">
        <v>44131</v>
      </c>
      <c r="G481" s="52">
        <v>327.04840100000001</v>
      </c>
      <c r="H481" s="52">
        <v>90.288887000000003</v>
      </c>
      <c r="I481" s="120">
        <f t="shared" si="7"/>
        <v>-3.4473425110700395E-3</v>
      </c>
      <c r="J481" s="120">
        <f t="shared" si="7"/>
        <v>-1.0915987934445592E-4</v>
      </c>
    </row>
    <row r="482" spans="6:10" x14ac:dyDescent="0.55000000000000004">
      <c r="F482" s="119">
        <v>44132</v>
      </c>
      <c r="G482" s="52">
        <v>315.87023900000003</v>
      </c>
      <c r="H482" s="52">
        <v>90.288887000000003</v>
      </c>
      <c r="I482" s="120">
        <f t="shared" si="7"/>
        <v>-3.4178922648210652E-2</v>
      </c>
      <c r="J482" s="120">
        <f t="shared" si="7"/>
        <v>0</v>
      </c>
    </row>
    <row r="483" spans="6:10" x14ac:dyDescent="0.55000000000000004">
      <c r="F483" s="119">
        <v>44133</v>
      </c>
      <c r="G483" s="52">
        <v>319.08056599999998</v>
      </c>
      <c r="H483" s="52">
        <v>90.298743999999999</v>
      </c>
      <c r="I483" s="120">
        <f t="shared" si="7"/>
        <v>1.0163436131759074E-2</v>
      </c>
      <c r="J483" s="120">
        <f t="shared" si="7"/>
        <v>1.0917179652469855E-4</v>
      </c>
    </row>
    <row r="484" spans="6:10" x14ac:dyDescent="0.55000000000000004">
      <c r="F484" s="119">
        <v>44134</v>
      </c>
      <c r="G484" s="52">
        <v>315.75418100000002</v>
      </c>
      <c r="H484" s="52">
        <v>90.298743999999999</v>
      </c>
      <c r="I484" s="120">
        <f t="shared" si="7"/>
        <v>-1.042490629153503E-2</v>
      </c>
      <c r="J484" s="120">
        <f t="shared" si="7"/>
        <v>0</v>
      </c>
    </row>
    <row r="485" spans="6:10" x14ac:dyDescent="0.55000000000000004">
      <c r="F485" s="119">
        <v>44137</v>
      </c>
      <c r="G485" s="52">
        <v>319.29330399999998</v>
      </c>
      <c r="H485" s="52">
        <v>90.298743999999999</v>
      </c>
      <c r="I485" s="120">
        <f t="shared" si="7"/>
        <v>1.1208475494422609E-2</v>
      </c>
      <c r="J485" s="120">
        <f t="shared" si="7"/>
        <v>0</v>
      </c>
    </row>
    <row r="486" spans="6:10" x14ac:dyDescent="0.55000000000000004">
      <c r="F486" s="119">
        <v>44138</v>
      </c>
      <c r="G486" s="52">
        <v>324.930725</v>
      </c>
      <c r="H486" s="52">
        <v>90.298743999999999</v>
      </c>
      <c r="I486" s="120">
        <f t="shared" si="7"/>
        <v>1.7655932427571353E-2</v>
      </c>
      <c r="J486" s="120">
        <f t="shared" si="7"/>
        <v>0</v>
      </c>
    </row>
    <row r="487" spans="6:10" x14ac:dyDescent="0.55000000000000004">
      <c r="F487" s="119">
        <v>44139</v>
      </c>
      <c r="G487" s="52">
        <v>332.192657</v>
      </c>
      <c r="H487" s="52">
        <v>90.288887000000003</v>
      </c>
      <c r="I487" s="120">
        <f t="shared" si="7"/>
        <v>2.2349169965382609E-2</v>
      </c>
      <c r="J487" s="120">
        <f t="shared" si="7"/>
        <v>-1.0915987934445592E-4</v>
      </c>
    </row>
    <row r="488" spans="6:10" x14ac:dyDescent="0.55000000000000004">
      <c r="F488" s="119">
        <v>44140</v>
      </c>
      <c r="G488" s="52">
        <v>338.67138699999998</v>
      </c>
      <c r="H488" s="52">
        <v>90.298743999999999</v>
      </c>
      <c r="I488" s="120">
        <f t="shared" si="7"/>
        <v>1.9502929590644147E-2</v>
      </c>
      <c r="J488" s="120">
        <f t="shared" si="7"/>
        <v>1.0917179652469855E-4</v>
      </c>
    </row>
    <row r="489" spans="6:10" x14ac:dyDescent="0.55000000000000004">
      <c r="F489" s="119">
        <v>44141</v>
      </c>
      <c r="G489" s="52">
        <v>338.59399400000001</v>
      </c>
      <c r="H489" s="52">
        <v>90.288887000000003</v>
      </c>
      <c r="I489" s="120">
        <f t="shared" si="7"/>
        <v>-2.2851945269286578E-4</v>
      </c>
      <c r="J489" s="120">
        <f t="shared" si="7"/>
        <v>-1.0915987934445592E-4</v>
      </c>
    </row>
    <row r="490" spans="6:10" x14ac:dyDescent="0.55000000000000004">
      <c r="F490" s="119">
        <v>44144</v>
      </c>
      <c r="G490" s="52">
        <v>342.84863300000001</v>
      </c>
      <c r="H490" s="52">
        <v>90.298743999999999</v>
      </c>
      <c r="I490" s="120">
        <f t="shared" si="7"/>
        <v>1.2565606819357811E-2</v>
      </c>
      <c r="J490" s="120">
        <f t="shared" si="7"/>
        <v>1.0917179652469855E-4</v>
      </c>
    </row>
    <row r="491" spans="6:10" x14ac:dyDescent="0.55000000000000004">
      <c r="F491" s="119">
        <v>44145</v>
      </c>
      <c r="G491" s="52">
        <v>342.34582499999999</v>
      </c>
      <c r="H491" s="52">
        <v>90.288887000000003</v>
      </c>
      <c r="I491" s="120">
        <f t="shared" si="7"/>
        <v>-1.4665597339570402E-3</v>
      </c>
      <c r="J491" s="120">
        <f t="shared" si="7"/>
        <v>-1.0915987934445592E-4</v>
      </c>
    </row>
    <row r="492" spans="6:10" x14ac:dyDescent="0.55000000000000004">
      <c r="F492" s="119">
        <v>44146</v>
      </c>
      <c r="G492" s="52">
        <v>344.88897700000001</v>
      </c>
      <c r="H492" s="52">
        <v>90.288887000000003</v>
      </c>
      <c r="I492" s="120">
        <f t="shared" si="7"/>
        <v>7.4286052707084327E-3</v>
      </c>
      <c r="J492" s="120">
        <f t="shared" si="7"/>
        <v>0</v>
      </c>
    </row>
    <row r="493" spans="6:10" x14ac:dyDescent="0.55000000000000004">
      <c r="F493" s="119">
        <v>44147</v>
      </c>
      <c r="G493" s="52">
        <v>341.54321299999998</v>
      </c>
      <c r="H493" s="52">
        <v>90.288887000000003</v>
      </c>
      <c r="I493" s="120">
        <f t="shared" si="7"/>
        <v>-9.700988501003982E-3</v>
      </c>
      <c r="J493" s="120">
        <f t="shared" si="7"/>
        <v>0</v>
      </c>
    </row>
    <row r="494" spans="6:10" x14ac:dyDescent="0.55000000000000004">
      <c r="F494" s="119">
        <v>44148</v>
      </c>
      <c r="G494" s="52">
        <v>346.27172899999999</v>
      </c>
      <c r="H494" s="52">
        <v>90.298743999999999</v>
      </c>
      <c r="I494" s="120">
        <f t="shared" si="7"/>
        <v>1.3844561449388282E-2</v>
      </c>
      <c r="J494" s="120">
        <f t="shared" si="7"/>
        <v>1.0917179652469855E-4</v>
      </c>
    </row>
    <row r="495" spans="6:10" x14ac:dyDescent="0.55000000000000004">
      <c r="F495" s="119">
        <v>44151</v>
      </c>
      <c r="G495" s="52">
        <v>350.594086</v>
      </c>
      <c r="H495" s="52">
        <v>90.298743999999999</v>
      </c>
      <c r="I495" s="120">
        <f t="shared" si="7"/>
        <v>1.2482558170378466E-2</v>
      </c>
      <c r="J495" s="120">
        <f t="shared" si="7"/>
        <v>0</v>
      </c>
    </row>
    <row r="496" spans="6:10" x14ac:dyDescent="0.55000000000000004">
      <c r="F496" s="119">
        <v>44152</v>
      </c>
      <c r="G496" s="52">
        <v>348.70843500000001</v>
      </c>
      <c r="H496" s="52">
        <v>90.298743999999999</v>
      </c>
      <c r="I496" s="120">
        <f t="shared" si="7"/>
        <v>-5.3784449746822061E-3</v>
      </c>
      <c r="J496" s="120">
        <f t="shared" si="7"/>
        <v>0</v>
      </c>
    </row>
    <row r="497" spans="6:10" x14ac:dyDescent="0.55000000000000004">
      <c r="F497" s="119">
        <v>44153</v>
      </c>
      <c r="G497" s="52">
        <v>344.511841</v>
      </c>
      <c r="H497" s="52">
        <v>90.298743999999999</v>
      </c>
      <c r="I497" s="120">
        <f t="shared" si="7"/>
        <v>-1.2034678771105756E-2</v>
      </c>
      <c r="J497" s="120">
        <f t="shared" si="7"/>
        <v>0</v>
      </c>
    </row>
    <row r="498" spans="6:10" x14ac:dyDescent="0.55000000000000004">
      <c r="F498" s="119">
        <v>44154</v>
      </c>
      <c r="G498" s="52">
        <v>345.962311</v>
      </c>
      <c r="H498" s="52">
        <v>90.298743999999999</v>
      </c>
      <c r="I498" s="120">
        <f t="shared" si="7"/>
        <v>4.2102181329668475E-3</v>
      </c>
      <c r="J498" s="120">
        <f t="shared" si="7"/>
        <v>0</v>
      </c>
    </row>
    <row r="499" spans="6:10" x14ac:dyDescent="0.55000000000000004">
      <c r="F499" s="119">
        <v>44155</v>
      </c>
      <c r="G499" s="52">
        <v>343.59320100000002</v>
      </c>
      <c r="H499" s="52">
        <v>90.298743999999999</v>
      </c>
      <c r="I499" s="120">
        <f t="shared" si="7"/>
        <v>-6.847884652961489E-3</v>
      </c>
      <c r="J499" s="120">
        <f t="shared" si="7"/>
        <v>0</v>
      </c>
    </row>
    <row r="500" spans="6:10" x14ac:dyDescent="0.55000000000000004">
      <c r="F500" s="119">
        <v>44158</v>
      </c>
      <c r="G500" s="52">
        <v>345.65289300000001</v>
      </c>
      <c r="H500" s="52">
        <v>90.298743999999999</v>
      </c>
      <c r="I500" s="120">
        <f t="shared" si="7"/>
        <v>5.994565649161343E-3</v>
      </c>
      <c r="J500" s="120">
        <f t="shared" si="7"/>
        <v>0</v>
      </c>
    </row>
    <row r="501" spans="6:10" x14ac:dyDescent="0.55000000000000004">
      <c r="F501" s="119">
        <v>44159</v>
      </c>
      <c r="G501" s="52">
        <v>351.22262599999999</v>
      </c>
      <c r="H501" s="52">
        <v>90.298743999999999</v>
      </c>
      <c r="I501" s="120">
        <f t="shared" si="7"/>
        <v>1.611365943348253E-2</v>
      </c>
      <c r="J501" s="120">
        <f t="shared" si="7"/>
        <v>0</v>
      </c>
    </row>
    <row r="502" spans="6:10" x14ac:dyDescent="0.55000000000000004">
      <c r="F502" s="119">
        <v>44160</v>
      </c>
      <c r="G502" s="52">
        <v>350.68112200000002</v>
      </c>
      <c r="H502" s="52">
        <v>90.288887000000003</v>
      </c>
      <c r="I502" s="120">
        <f t="shared" si="7"/>
        <v>-1.5417685533732906E-3</v>
      </c>
      <c r="J502" s="120">
        <f t="shared" si="7"/>
        <v>-1.0915987934445592E-4</v>
      </c>
    </row>
    <row r="503" spans="6:10" x14ac:dyDescent="0.55000000000000004">
      <c r="F503" s="119">
        <v>44162</v>
      </c>
      <c r="G503" s="52">
        <v>351.65780599999999</v>
      </c>
      <c r="H503" s="52">
        <v>90.298743999999999</v>
      </c>
      <c r="I503" s="120">
        <f t="shared" si="7"/>
        <v>2.7851057234840049E-3</v>
      </c>
      <c r="J503" s="120">
        <f t="shared" si="7"/>
        <v>1.0917179652469855E-4</v>
      </c>
    </row>
    <row r="504" spans="6:10" x14ac:dyDescent="0.55000000000000004">
      <c r="F504" s="119">
        <v>44165</v>
      </c>
      <c r="G504" s="52">
        <v>350.10095200000001</v>
      </c>
      <c r="H504" s="52">
        <v>90.288887000000003</v>
      </c>
      <c r="I504" s="120">
        <f t="shared" si="7"/>
        <v>-4.4271845340466687E-3</v>
      </c>
      <c r="J504" s="120">
        <f t="shared" si="7"/>
        <v>-1.0915987934445592E-4</v>
      </c>
    </row>
    <row r="505" spans="6:10" x14ac:dyDescent="0.55000000000000004">
      <c r="F505" s="119">
        <v>44166</v>
      </c>
      <c r="G505" s="52">
        <v>353.93008400000002</v>
      </c>
      <c r="H505" s="52">
        <v>90.281981999999999</v>
      </c>
      <c r="I505" s="120">
        <f t="shared" si="7"/>
        <v>1.0937222472905406E-2</v>
      </c>
      <c r="J505" s="120">
        <f t="shared" si="7"/>
        <v>-7.6476742924103114E-5</v>
      </c>
    </row>
    <row r="506" spans="6:10" x14ac:dyDescent="0.55000000000000004">
      <c r="F506" s="119">
        <v>44167</v>
      </c>
      <c r="G506" s="52">
        <v>354.67468300000002</v>
      </c>
      <c r="H506" s="52">
        <v>90.291847000000004</v>
      </c>
      <c r="I506" s="120">
        <f t="shared" si="7"/>
        <v>2.1038025125887927E-3</v>
      </c>
      <c r="J506" s="120">
        <f t="shared" si="7"/>
        <v>1.0926875752459431E-4</v>
      </c>
    </row>
    <row r="507" spans="6:10" x14ac:dyDescent="0.55000000000000004">
      <c r="F507" s="119">
        <v>44168</v>
      </c>
      <c r="G507" s="52">
        <v>354.57797199999999</v>
      </c>
      <c r="H507" s="52">
        <v>90.291847000000004</v>
      </c>
      <c r="I507" s="120">
        <f t="shared" si="7"/>
        <v>-2.7267522785101583E-4</v>
      </c>
      <c r="J507" s="120">
        <f t="shared" si="7"/>
        <v>0</v>
      </c>
    </row>
    <row r="508" spans="6:10" x14ac:dyDescent="0.55000000000000004">
      <c r="F508" s="119">
        <v>44169</v>
      </c>
      <c r="G508" s="52">
        <v>357.633667</v>
      </c>
      <c r="H508" s="52">
        <v>90.301711999999995</v>
      </c>
      <c r="I508" s="120">
        <f t="shared" si="7"/>
        <v>8.6178365304656612E-3</v>
      </c>
      <c r="J508" s="120">
        <f t="shared" si="7"/>
        <v>1.0925681916762464E-4</v>
      </c>
    </row>
    <row r="509" spans="6:10" x14ac:dyDescent="0.55000000000000004">
      <c r="F509" s="119">
        <v>44172</v>
      </c>
      <c r="G509" s="52">
        <v>356.89871199999999</v>
      </c>
      <c r="H509" s="52">
        <v>90.281981999999999</v>
      </c>
      <c r="I509" s="120">
        <f t="shared" si="7"/>
        <v>-2.0550498116275184E-3</v>
      </c>
      <c r="J509" s="120">
        <f t="shared" si="7"/>
        <v>-2.1848976683846999E-4</v>
      </c>
    </row>
    <row r="510" spans="6:10" x14ac:dyDescent="0.55000000000000004">
      <c r="F510" s="119">
        <v>44173</v>
      </c>
      <c r="G510" s="52">
        <v>357.94305400000002</v>
      </c>
      <c r="H510" s="52">
        <v>90.281981999999999</v>
      </c>
      <c r="I510" s="120">
        <f t="shared" si="7"/>
        <v>2.9261579402954929E-3</v>
      </c>
      <c r="J510" s="120">
        <f t="shared" si="7"/>
        <v>0</v>
      </c>
    </row>
    <row r="511" spans="6:10" x14ac:dyDescent="0.55000000000000004">
      <c r="F511" s="119">
        <v>44174</v>
      </c>
      <c r="G511" s="52">
        <v>354.73272700000001</v>
      </c>
      <c r="H511" s="52">
        <v>90.281981999999999</v>
      </c>
      <c r="I511" s="120">
        <f t="shared" si="7"/>
        <v>-8.9688204984695874E-3</v>
      </c>
      <c r="J511" s="120">
        <f t="shared" si="7"/>
        <v>0</v>
      </c>
    </row>
    <row r="512" spans="6:10" x14ac:dyDescent="0.55000000000000004">
      <c r="F512" s="119">
        <v>44175</v>
      </c>
      <c r="G512" s="52">
        <v>354.61663800000002</v>
      </c>
      <c r="H512" s="52">
        <v>90.281981999999999</v>
      </c>
      <c r="I512" s="120">
        <f t="shared" si="7"/>
        <v>-3.2725765390118067E-4</v>
      </c>
      <c r="J512" s="120">
        <f t="shared" si="7"/>
        <v>0</v>
      </c>
    </row>
    <row r="513" spans="6:10" x14ac:dyDescent="0.55000000000000004">
      <c r="F513" s="119">
        <v>44176</v>
      </c>
      <c r="G513" s="52">
        <v>354.200897</v>
      </c>
      <c r="H513" s="52">
        <v>90.291847000000004</v>
      </c>
      <c r="I513" s="120">
        <f t="shared" si="7"/>
        <v>-1.1723674397928763E-3</v>
      </c>
      <c r="J513" s="120">
        <f t="shared" si="7"/>
        <v>1.0926875752459431E-4</v>
      </c>
    </row>
    <row r="514" spans="6:10" x14ac:dyDescent="0.55000000000000004">
      <c r="F514" s="119">
        <v>44179</v>
      </c>
      <c r="G514" s="52">
        <v>352.61508199999997</v>
      </c>
      <c r="H514" s="52">
        <v>90.281981999999999</v>
      </c>
      <c r="I514" s="120">
        <f t="shared" si="7"/>
        <v>-4.4771625747747068E-3</v>
      </c>
      <c r="J514" s="120">
        <f t="shared" si="7"/>
        <v>-1.0925681916784669E-4</v>
      </c>
    </row>
    <row r="515" spans="6:10" x14ac:dyDescent="0.55000000000000004">
      <c r="F515" s="119">
        <v>44180</v>
      </c>
      <c r="G515" s="52">
        <v>357.38220200000001</v>
      </c>
      <c r="H515" s="52">
        <v>90.281981999999999</v>
      </c>
      <c r="I515" s="120">
        <f t="shared" si="7"/>
        <v>1.351933097405067E-2</v>
      </c>
      <c r="J515" s="120">
        <f t="shared" si="7"/>
        <v>0</v>
      </c>
    </row>
    <row r="516" spans="6:10" x14ac:dyDescent="0.55000000000000004">
      <c r="F516" s="119">
        <v>44181</v>
      </c>
      <c r="G516" s="52">
        <v>357.94305400000002</v>
      </c>
      <c r="H516" s="52">
        <v>90.291847000000004</v>
      </c>
      <c r="I516" s="120">
        <f t="shared" si="7"/>
        <v>1.5693338864144479E-3</v>
      </c>
      <c r="J516" s="120">
        <f t="shared" si="7"/>
        <v>1.0926875752459431E-4</v>
      </c>
    </row>
    <row r="517" spans="6:10" x14ac:dyDescent="0.55000000000000004">
      <c r="F517" s="119">
        <v>44182</v>
      </c>
      <c r="G517" s="52">
        <v>359.94464099999999</v>
      </c>
      <c r="H517" s="52">
        <v>90.291847000000004</v>
      </c>
      <c r="I517" s="120">
        <f t="shared" si="7"/>
        <v>5.5919146289677979E-3</v>
      </c>
      <c r="J517" s="120">
        <f t="shared" si="7"/>
        <v>0</v>
      </c>
    </row>
    <row r="518" spans="6:10" x14ac:dyDescent="0.55000000000000004">
      <c r="F518" s="119">
        <v>44183</v>
      </c>
      <c r="G518" s="52">
        <v>358.50741599999998</v>
      </c>
      <c r="H518" s="52">
        <v>90.291847000000004</v>
      </c>
      <c r="I518" s="120">
        <f t="shared" si="7"/>
        <v>-3.9929056757369574E-3</v>
      </c>
      <c r="J518" s="120">
        <f t="shared" si="7"/>
        <v>0</v>
      </c>
    </row>
    <row r="519" spans="6:10" x14ac:dyDescent="0.55000000000000004">
      <c r="F519" s="119">
        <v>44186</v>
      </c>
      <c r="G519" s="52">
        <v>357.22555499999999</v>
      </c>
      <c r="H519" s="52">
        <v>90.291847000000004</v>
      </c>
      <c r="I519" s="120">
        <f t="shared" si="7"/>
        <v>-3.5755494664578835E-3</v>
      </c>
      <c r="J519" s="120">
        <f t="shared" si="7"/>
        <v>0</v>
      </c>
    </row>
    <row r="520" spans="6:10" x14ac:dyDescent="0.55000000000000004">
      <c r="F520" s="119">
        <v>44187</v>
      </c>
      <c r="G520" s="52">
        <v>356.62350500000002</v>
      </c>
      <c r="H520" s="52">
        <v>90.291847000000004</v>
      </c>
      <c r="I520" s="120">
        <f t="shared" si="7"/>
        <v>-1.6853497505238124E-3</v>
      </c>
      <c r="J520" s="120">
        <f t="shared" si="7"/>
        <v>0</v>
      </c>
    </row>
    <row r="521" spans="6:10" x14ac:dyDescent="0.55000000000000004">
      <c r="F521" s="119">
        <v>44188</v>
      </c>
      <c r="G521" s="52">
        <v>356.94400000000002</v>
      </c>
      <c r="H521" s="52">
        <v>90.281981999999999</v>
      </c>
      <c r="I521" s="120">
        <f t="shared" si="7"/>
        <v>8.9869286658483816E-4</v>
      </c>
      <c r="J521" s="120">
        <f t="shared" si="7"/>
        <v>-1.0925681916784669E-4</v>
      </c>
    </row>
    <row r="522" spans="6:10" x14ac:dyDescent="0.55000000000000004">
      <c r="F522" s="119">
        <v>44189</v>
      </c>
      <c r="G522" s="52">
        <v>358.33264200000002</v>
      </c>
      <c r="H522" s="52">
        <v>90.291847000000004</v>
      </c>
      <c r="I522" s="120">
        <f t="shared" si="7"/>
        <v>3.8903637545384395E-3</v>
      </c>
      <c r="J522" s="120">
        <f t="shared" si="7"/>
        <v>1.0926875752459431E-4</v>
      </c>
    </row>
    <row r="523" spans="6:10" x14ac:dyDescent="0.55000000000000004">
      <c r="F523" s="119">
        <v>44193</v>
      </c>
      <c r="G523" s="52">
        <v>361.41101099999997</v>
      </c>
      <c r="H523" s="52">
        <v>90.291847000000004</v>
      </c>
      <c r="I523" s="120">
        <f t="shared" si="7"/>
        <v>8.5908137835792875E-3</v>
      </c>
      <c r="J523" s="120">
        <f t="shared" si="7"/>
        <v>0</v>
      </c>
    </row>
    <row r="524" spans="6:10" x14ac:dyDescent="0.55000000000000004">
      <c r="F524" s="119">
        <v>44194</v>
      </c>
      <c r="G524" s="52">
        <v>360.72155800000002</v>
      </c>
      <c r="H524" s="52">
        <v>90.291847000000004</v>
      </c>
      <c r="I524" s="120">
        <f t="shared" si="7"/>
        <v>-1.9076701567345422E-3</v>
      </c>
      <c r="J524" s="120">
        <f t="shared" si="7"/>
        <v>0</v>
      </c>
    </row>
    <row r="525" spans="6:10" x14ac:dyDescent="0.55000000000000004">
      <c r="F525" s="119">
        <v>44195</v>
      </c>
      <c r="G525" s="52">
        <v>361.236176</v>
      </c>
      <c r="H525" s="52">
        <v>90.281981999999999</v>
      </c>
      <c r="I525" s="120">
        <f t="shared" si="7"/>
        <v>1.4266350002845041E-3</v>
      </c>
      <c r="J525" s="120">
        <f t="shared" si="7"/>
        <v>-1.0925681916784669E-4</v>
      </c>
    </row>
    <row r="526" spans="6:10" x14ac:dyDescent="0.55000000000000004">
      <c r="F526" s="119">
        <v>44196</v>
      </c>
      <c r="G526" s="52">
        <v>363.07156400000002</v>
      </c>
      <c r="H526" s="52">
        <v>90.291847000000004</v>
      </c>
      <c r="I526" s="120">
        <f t="shared" si="7"/>
        <v>5.0808532531914086E-3</v>
      </c>
      <c r="J526" s="120">
        <f t="shared" si="7"/>
        <v>1.0926875752459431E-4</v>
      </c>
    </row>
  </sheetData>
  <mergeCells count="1">
    <mergeCell ref="D22:D23"/>
  </mergeCells>
  <pageMargins left="0.511811024" right="0.511811024" top="0.78740157499999996" bottom="0.78740157499999996" header="0.31496062000000002" footer="0.31496062000000002"/>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78C-1908-4121-85E0-AC827CD6E53E}">
  <sheetPr codeName="Planilha71">
    <tabColor theme="9" tint="0.59999389629810485"/>
  </sheetPr>
  <dimension ref="A1:AA143"/>
  <sheetViews>
    <sheetView showGridLines="0" zoomScale="85" zoomScaleNormal="85" workbookViewId="0">
      <selection activeCell="K6" sqref="K6"/>
    </sheetView>
  </sheetViews>
  <sheetFormatPr defaultColWidth="8.796875" defaultRowHeight="18" x14ac:dyDescent="0.55000000000000004"/>
  <cols>
    <col min="1" max="1" width="12.6640625" style="17" customWidth="1"/>
    <col min="2" max="2" width="61.796875" customWidth="1"/>
    <col min="3" max="3" width="9.6640625" customWidth="1"/>
    <col min="4" max="4" width="8.796875" customWidth="1"/>
    <col min="5" max="5" width="10" bestFit="1" customWidth="1"/>
    <col min="6" max="6" width="22.33203125" bestFit="1" customWidth="1"/>
    <col min="7" max="12" width="14.33203125" customWidth="1"/>
    <col min="14" max="14" width="12.33203125" style="15" bestFit="1" customWidth="1"/>
    <col min="15" max="17" width="8.796875" style="15"/>
    <col min="18" max="18" width="10.6640625" style="15" bestFit="1" customWidth="1"/>
    <col min="19" max="19" width="7.6640625" style="15" customWidth="1"/>
    <col min="20" max="27" width="8.796875" style="15"/>
  </cols>
  <sheetData>
    <row r="1" spans="1:24" x14ac:dyDescent="0.55000000000000004">
      <c r="A1" s="16" t="s">
        <v>796</v>
      </c>
      <c r="N1" s="14"/>
      <c r="O1" s="14"/>
      <c r="P1" s="14"/>
      <c r="Q1" s="14"/>
      <c r="R1" s="14"/>
      <c r="S1" s="14"/>
      <c r="T1" s="14"/>
      <c r="U1" s="14"/>
      <c r="V1" s="14"/>
      <c r="W1" s="14"/>
      <c r="X1" s="14"/>
    </row>
    <row r="2" spans="1:24" x14ac:dyDescent="0.55000000000000004">
      <c r="A2" s="17" t="s">
        <v>797</v>
      </c>
      <c r="N2" s="14"/>
      <c r="O2" s="14"/>
      <c r="P2" s="14"/>
      <c r="Q2" s="14"/>
      <c r="R2" s="14"/>
      <c r="S2" s="14"/>
      <c r="T2" s="14"/>
      <c r="U2" s="14"/>
      <c r="V2" s="14"/>
      <c r="W2" s="14"/>
      <c r="X2" s="14"/>
    </row>
    <row r="3" spans="1:24" x14ac:dyDescent="0.55000000000000004">
      <c r="P3" s="27"/>
    </row>
    <row r="4" spans="1:24" ht="15.75" x14ac:dyDescent="0.5">
      <c r="A4" s="2" t="s">
        <v>15</v>
      </c>
      <c r="B4" s="2" t="s">
        <v>16</v>
      </c>
      <c r="C4" s="2"/>
      <c r="P4" s="27"/>
    </row>
    <row r="5" spans="1:24" ht="15.75" x14ac:dyDescent="0.45">
      <c r="A5" s="23" t="s">
        <v>22</v>
      </c>
      <c r="B5" s="26" t="s">
        <v>798</v>
      </c>
      <c r="C5" s="26"/>
      <c r="P5" s="27"/>
    </row>
    <row r="6" spans="1:24" ht="31.5" x14ac:dyDescent="0.45">
      <c r="A6" s="23" t="s">
        <v>799</v>
      </c>
      <c r="B6" s="26" t="s">
        <v>802</v>
      </c>
      <c r="C6" s="26"/>
      <c r="P6" s="27"/>
    </row>
    <row r="7" spans="1:24" ht="15.75" x14ac:dyDescent="0.45">
      <c r="A7" s="23"/>
      <c r="B7" s="26"/>
      <c r="C7" s="26"/>
      <c r="P7" s="27"/>
      <c r="R7" s="60"/>
      <c r="S7" s="60"/>
    </row>
    <row r="8" spans="1:24" ht="15.75" x14ac:dyDescent="0.45">
      <c r="A8" s="23"/>
      <c r="B8" s="26"/>
      <c r="C8" s="26"/>
      <c r="P8" s="27"/>
      <c r="R8" s="60"/>
      <c r="S8" s="60"/>
    </row>
    <row r="9" spans="1:24" ht="15.75" x14ac:dyDescent="0.45">
      <c r="A9" s="23"/>
      <c r="B9" s="26"/>
      <c r="C9" s="26"/>
      <c r="D9" s="1" t="s">
        <v>17</v>
      </c>
      <c r="F9" s="13" t="s">
        <v>800</v>
      </c>
      <c r="G9" s="12">
        <v>2</v>
      </c>
      <c r="P9" s="27"/>
      <c r="R9" s="60"/>
      <c r="S9" s="60"/>
    </row>
    <row r="10" spans="1:24" ht="15.75" x14ac:dyDescent="0.45">
      <c r="A10" s="23"/>
      <c r="B10" s="26"/>
      <c r="C10" s="26"/>
      <c r="P10" s="27"/>
      <c r="R10" s="60"/>
      <c r="S10" s="60"/>
    </row>
    <row r="11" spans="1:24" x14ac:dyDescent="0.55000000000000004">
      <c r="H11" s="182" t="s">
        <v>22</v>
      </c>
      <c r="I11" s="182"/>
      <c r="J11" s="182"/>
      <c r="K11" s="182"/>
      <c r="L11" s="182"/>
      <c r="P11" s="27"/>
      <c r="S11" s="53"/>
    </row>
    <row r="12" spans="1:24" ht="36.75" customHeight="1" x14ac:dyDescent="0.55000000000000004">
      <c r="F12" s="13" t="s">
        <v>658</v>
      </c>
      <c r="G12" s="123" t="s">
        <v>659</v>
      </c>
      <c r="H12" s="123" t="s">
        <v>660</v>
      </c>
      <c r="I12" s="123" t="s">
        <v>661</v>
      </c>
      <c r="J12" s="123" t="s">
        <v>662</v>
      </c>
      <c r="K12" s="123" t="s">
        <v>663</v>
      </c>
      <c r="L12" s="123" t="s">
        <v>664</v>
      </c>
      <c r="N12" s="60" t="s">
        <v>249</v>
      </c>
      <c r="O12" s="124"/>
      <c r="P12" s="62"/>
      <c r="Q12" s="62"/>
      <c r="S12" s="53"/>
      <c r="T12" s="124" t="s">
        <v>801</v>
      </c>
    </row>
    <row r="13" spans="1:24" x14ac:dyDescent="0.55000000000000004">
      <c r="F13" s="13" t="s">
        <v>665</v>
      </c>
      <c r="G13" s="13">
        <v>-1.1299999999999999</v>
      </c>
      <c r="H13" s="12">
        <v>-0.36</v>
      </c>
      <c r="I13" s="12">
        <v>2.63</v>
      </c>
      <c r="J13" s="12">
        <v>-0.33</v>
      </c>
      <c r="K13" s="12">
        <v>-0.24</v>
      </c>
      <c r="L13" s="12">
        <v>0.09</v>
      </c>
      <c r="N13" s="62" cm="1">
        <f t="array" ref="N13:R17">_xlfn.LAMBDA(_xlpm.matrix,_xlop.dimension,
_xlfn.LET(
_xlpm.dimension,IF(_xlfn.ISOMITTED(_xlpm.dimension),2,IF(OR(_xlpm.dimension=1,_xlpm.dimension=2),_xlpm.dimension,0)),
_xlfn.SWITCH(_xlpm.dimension,
1,_xlfn.MAKEARRAY(ROWS(_xlpm.matrix),ROWS(_xlpm.matrix),_xlfn.LAMBDA(_xlpm.row,_xlpm.col,CORREL(INDEX(_xlpm.matrix,_xlpm.row,0),INDEX(_xlpm.matrix,_xlpm.col,0)))),
2,_xlfn.MAKEARRAY(COLUMNS(_xlpm.matrix),COLUMNS(_xlpm.matrix),_xlfn.LAMBDA(_xlpm.row,_xlpm.col,CORREL(INDEX(_xlpm.matrix,0,_xlpm.row),INDEX(_xlpm.matrix,0,_xlpm.col)))),
"# Dimension must be either 1 (rows) or 2 (columns)"
)))($H$13:$L$143,$G$9)</f>
        <v>1</v>
      </c>
      <c r="O13" s="62">
        <v>-6.2439855474834341E-2</v>
      </c>
      <c r="P13" s="62">
        <v>5.9929986417952247E-2</v>
      </c>
      <c r="Q13" s="62">
        <v>-0.32798149023473094</v>
      </c>
      <c r="R13" s="62">
        <v>0.27037479599142705</v>
      </c>
      <c r="S13" s="62"/>
      <c r="T13" s="62" cm="1">
        <f t="array" ref="T13:X17">CORRCOEF($H$13:$L$143,$G$9)</f>
        <v>1</v>
      </c>
      <c r="U13" s="62">
        <v>-6.2439855474834341E-2</v>
      </c>
      <c r="V13" s="62">
        <v>5.9929986417952247E-2</v>
      </c>
      <c r="W13" s="62">
        <v>-0.32798149023473094</v>
      </c>
      <c r="X13" s="62">
        <v>0.27037479599142705</v>
      </c>
    </row>
    <row r="14" spans="1:24" x14ac:dyDescent="0.55000000000000004">
      <c r="F14" s="13" t="s">
        <v>666</v>
      </c>
      <c r="G14" s="13">
        <v>7.38</v>
      </c>
      <c r="H14" s="12">
        <v>-0.35</v>
      </c>
      <c r="I14" s="12">
        <v>-0.9</v>
      </c>
      <c r="J14" s="12">
        <v>-0.23</v>
      </c>
      <c r="K14" s="12">
        <v>-0.34</v>
      </c>
      <c r="L14" s="12">
        <v>-0.65</v>
      </c>
      <c r="N14" s="62">
        <v>-6.2439855474834341E-2</v>
      </c>
      <c r="O14" s="62">
        <v>1</v>
      </c>
      <c r="P14" s="62">
        <v>-3.7056633446461679E-2</v>
      </c>
      <c r="Q14" s="62">
        <v>-0.18017327057329521</v>
      </c>
      <c r="R14" s="62">
        <v>-1.025370567272208E-2</v>
      </c>
      <c r="S14" s="62"/>
      <c r="T14" s="62">
        <v>-6.2439855474834341E-2</v>
      </c>
      <c r="U14" s="62">
        <v>1</v>
      </c>
      <c r="V14" s="62">
        <v>-3.7056633446461679E-2</v>
      </c>
      <c r="W14" s="62">
        <v>-0.18017327057329521</v>
      </c>
      <c r="X14" s="62">
        <v>-1.025370567272208E-2</v>
      </c>
    </row>
    <row r="15" spans="1:24" x14ac:dyDescent="0.55000000000000004">
      <c r="F15" s="13" t="s">
        <v>667</v>
      </c>
      <c r="G15" s="13">
        <v>0.62</v>
      </c>
      <c r="H15" s="12">
        <v>1.43</v>
      </c>
      <c r="I15" s="12">
        <v>-0.19</v>
      </c>
      <c r="J15" s="12">
        <v>-0.13</v>
      </c>
      <c r="K15" s="12">
        <v>-0.31</v>
      </c>
      <c r="L15" s="12">
        <v>0.44</v>
      </c>
      <c r="N15" s="62">
        <v>5.9929986417952247E-2</v>
      </c>
      <c r="O15" s="62">
        <v>-3.7056633446461679E-2</v>
      </c>
      <c r="P15" s="62">
        <v>1</v>
      </c>
      <c r="Q15" s="62">
        <v>-4.82633747720638E-2</v>
      </c>
      <c r="R15" s="62">
        <v>-3.5368575893573173E-2</v>
      </c>
      <c r="S15" s="62"/>
      <c r="T15" s="62">
        <v>5.9929986417952247E-2</v>
      </c>
      <c r="U15" s="62">
        <v>-3.7056633446461679E-2</v>
      </c>
      <c r="V15" s="62">
        <v>1</v>
      </c>
      <c r="W15" s="62">
        <v>-4.82633747720638E-2</v>
      </c>
      <c r="X15" s="62">
        <v>-3.5368575893573173E-2</v>
      </c>
    </row>
    <row r="16" spans="1:24" s="21" customFormat="1" x14ac:dyDescent="0.55000000000000004">
      <c r="A16" s="17"/>
      <c r="B16"/>
      <c r="C16"/>
      <c r="D16"/>
      <c r="E16"/>
      <c r="F16" s="13" t="s">
        <v>668</v>
      </c>
      <c r="G16" s="13">
        <v>1</v>
      </c>
      <c r="H16" s="12">
        <v>1.36</v>
      </c>
      <c r="I16" s="12">
        <v>0.09</v>
      </c>
      <c r="J16" s="12">
        <v>-0.57999999999999996</v>
      </c>
      <c r="K16" s="12">
        <v>-0.32</v>
      </c>
      <c r="L16" s="12">
        <v>0.51</v>
      </c>
      <c r="M16"/>
      <c r="N16" s="62">
        <v>-0.32798149023473094</v>
      </c>
      <c r="O16" s="62">
        <v>-0.18017327057329521</v>
      </c>
      <c r="P16" s="62">
        <v>-4.82633747720638E-2</v>
      </c>
      <c r="Q16" s="62">
        <v>1</v>
      </c>
      <c r="R16" s="62">
        <v>-0.31951111175656488</v>
      </c>
      <c r="S16" s="62"/>
      <c r="T16" s="62">
        <v>-0.32798149023473094</v>
      </c>
      <c r="U16" s="62">
        <v>-0.18017327057329521</v>
      </c>
      <c r="V16" s="62">
        <v>-4.82633747720638E-2</v>
      </c>
      <c r="W16" s="62">
        <v>1</v>
      </c>
      <c r="X16" s="62">
        <v>-0.31951111175656488</v>
      </c>
    </row>
    <row r="17" spans="6:24" s="21" customFormat="1" ht="14.25" x14ac:dyDescent="0.45">
      <c r="F17" s="13" t="s">
        <v>669</v>
      </c>
      <c r="G17" s="13">
        <v>1.37</v>
      </c>
      <c r="H17" s="12">
        <v>-0.27</v>
      </c>
      <c r="I17" s="12">
        <v>-0.56999999999999995</v>
      </c>
      <c r="J17" s="12">
        <v>-0.1</v>
      </c>
      <c r="K17" s="12">
        <v>-0.12</v>
      </c>
      <c r="L17" s="12">
        <v>-0.93</v>
      </c>
      <c r="M17"/>
      <c r="N17" s="62">
        <v>0.27037479599142705</v>
      </c>
      <c r="O17" s="62">
        <v>-1.025370567272208E-2</v>
      </c>
      <c r="P17" s="62">
        <v>-3.5368575893573173E-2</v>
      </c>
      <c r="Q17" s="62">
        <v>-0.31951111175656488</v>
      </c>
      <c r="R17" s="62">
        <v>1.0000000000000002</v>
      </c>
      <c r="S17" s="62"/>
      <c r="T17" s="62">
        <v>0.27037479599142705</v>
      </c>
      <c r="U17" s="62">
        <v>-1.025370567272208E-2</v>
      </c>
      <c r="V17" s="62">
        <v>-3.5368575893573173E-2</v>
      </c>
      <c r="W17" s="62">
        <v>-0.31951111175656488</v>
      </c>
      <c r="X17" s="62">
        <v>1.0000000000000002</v>
      </c>
    </row>
    <row r="18" spans="6:24" s="21" customFormat="1" ht="14.25" x14ac:dyDescent="0.45">
      <c r="F18" s="13" t="s">
        <v>670</v>
      </c>
      <c r="G18" s="13">
        <v>0.22</v>
      </c>
      <c r="H18" s="12">
        <v>1.07</v>
      </c>
      <c r="I18" s="12">
        <v>0.15</v>
      </c>
      <c r="J18" s="12">
        <v>-0.22</v>
      </c>
      <c r="K18" s="12">
        <v>-0.14000000000000001</v>
      </c>
      <c r="L18" s="12">
        <v>-0.37</v>
      </c>
      <c r="M18"/>
      <c r="N18" s="62"/>
      <c r="O18" s="62"/>
      <c r="P18" s="62"/>
      <c r="Q18" s="62"/>
      <c r="R18" s="62"/>
      <c r="S18" s="62"/>
      <c r="T18" s="62"/>
      <c r="U18" s="62"/>
      <c r="V18" s="62"/>
      <c r="W18" s="62"/>
      <c r="X18" s="62"/>
    </row>
    <row r="19" spans="6:24" s="21" customFormat="1" ht="14.25" x14ac:dyDescent="0.45">
      <c r="F19" s="13" t="s">
        <v>671</v>
      </c>
      <c r="G19" s="13">
        <v>7.03</v>
      </c>
      <c r="H19" s="12">
        <v>-0.97</v>
      </c>
      <c r="I19" s="12">
        <v>0.85</v>
      </c>
      <c r="J19" s="12">
        <v>-0.34</v>
      </c>
      <c r="K19" s="12">
        <v>0.42</v>
      </c>
      <c r="L19" s="12">
        <v>-1.69</v>
      </c>
      <c r="M19"/>
      <c r="N19" s="62"/>
      <c r="O19" s="62"/>
      <c r="P19" s="62"/>
      <c r="Q19" s="62"/>
      <c r="R19" s="62"/>
      <c r="S19" s="62"/>
      <c r="T19" s="62"/>
      <c r="U19" s="62"/>
      <c r="V19" s="62"/>
      <c r="W19" s="62"/>
      <c r="X19" s="62"/>
    </row>
    <row r="20" spans="6:24" s="21" customFormat="1" ht="14.25" x14ac:dyDescent="0.45">
      <c r="F20" s="13" t="s">
        <v>672</v>
      </c>
      <c r="G20" s="13">
        <v>-0.23</v>
      </c>
      <c r="H20" s="12">
        <v>0.63</v>
      </c>
      <c r="I20" s="12">
        <v>-1.1100000000000001</v>
      </c>
      <c r="J20" s="12">
        <v>-0.01</v>
      </c>
      <c r="K20" s="12">
        <v>0.15</v>
      </c>
      <c r="L20" s="12">
        <v>-0.84</v>
      </c>
      <c r="M20"/>
      <c r="N20" s="62"/>
      <c r="O20" s="62"/>
      <c r="P20" s="62"/>
      <c r="Q20" s="62"/>
      <c r="R20" s="62"/>
      <c r="S20" s="62"/>
      <c r="T20" s="62"/>
      <c r="U20" s="62"/>
      <c r="V20" s="62"/>
      <c r="W20" s="62"/>
      <c r="X20" s="62"/>
    </row>
    <row r="21" spans="6:24" s="21" customFormat="1" ht="14.25" x14ac:dyDescent="0.45">
      <c r="F21" s="13" t="s">
        <v>673</v>
      </c>
      <c r="G21" s="13">
        <v>1.4</v>
      </c>
      <c r="H21" s="12">
        <v>-7.0000000000000007E-2</v>
      </c>
      <c r="I21" s="12">
        <v>0.53</v>
      </c>
      <c r="J21" s="12">
        <v>-0.21</v>
      </c>
      <c r="K21" s="12">
        <v>0.42</v>
      </c>
      <c r="L21" s="12">
        <v>-0.09</v>
      </c>
      <c r="M21"/>
      <c r="N21" s="62"/>
      <c r="O21" s="62"/>
      <c r="P21" s="62"/>
      <c r="Q21" s="62"/>
      <c r="R21" s="62"/>
      <c r="S21" s="62"/>
      <c r="T21" s="62"/>
      <c r="U21" s="62"/>
      <c r="V21" s="62"/>
      <c r="W21" s="62"/>
      <c r="X21" s="62"/>
    </row>
    <row r="22" spans="6:24" s="21" customFormat="1" ht="14.25" x14ac:dyDescent="0.45">
      <c r="F22" s="13" t="s">
        <v>674</v>
      </c>
      <c r="G22" s="13">
        <v>1.24</v>
      </c>
      <c r="H22" s="12">
        <v>1.31</v>
      </c>
      <c r="I22" s="12">
        <v>0.03</v>
      </c>
      <c r="J22" s="12">
        <v>-0.92</v>
      </c>
      <c r="K22" s="12">
        <v>-0.34</v>
      </c>
      <c r="L22" s="12">
        <v>1.1100000000000001</v>
      </c>
      <c r="M22"/>
      <c r="N22" s="62"/>
      <c r="O22" s="62"/>
      <c r="P22" s="62"/>
      <c r="Q22" s="62"/>
      <c r="R22" s="62"/>
      <c r="S22" s="62"/>
      <c r="T22" s="62"/>
      <c r="U22" s="62"/>
      <c r="V22" s="62"/>
      <c r="W22" s="62"/>
      <c r="X22" s="62"/>
    </row>
    <row r="23" spans="6:24" s="21" customFormat="1" ht="14.25" x14ac:dyDescent="0.45">
      <c r="F23" s="13" t="s">
        <v>675</v>
      </c>
      <c r="G23" s="13">
        <v>4</v>
      </c>
      <c r="H23" s="12">
        <v>-1.18</v>
      </c>
      <c r="I23" s="12">
        <v>0.11</v>
      </c>
      <c r="J23" s="12">
        <v>-0.26</v>
      </c>
      <c r="K23" s="12">
        <v>-0.77</v>
      </c>
      <c r="L23" s="12">
        <v>-1.01</v>
      </c>
      <c r="M23"/>
      <c r="N23" s="62"/>
      <c r="O23" s="15"/>
      <c r="P23" s="27"/>
      <c r="Q23" s="15"/>
      <c r="R23" s="15"/>
      <c r="S23" s="53"/>
      <c r="T23" s="15"/>
      <c r="U23" s="15"/>
      <c r="V23" s="15"/>
      <c r="W23" s="15"/>
      <c r="X23" s="15"/>
    </row>
    <row r="24" spans="6:24" s="21" customFormat="1" ht="14.25" x14ac:dyDescent="0.45">
      <c r="F24" s="13" t="s">
        <v>676</v>
      </c>
      <c r="G24" s="13">
        <v>4.26</v>
      </c>
      <c r="H24" s="12">
        <v>-0.52</v>
      </c>
      <c r="I24" s="12">
        <v>1.63</v>
      </c>
      <c r="J24" s="12">
        <v>-0.35</v>
      </c>
      <c r="K24" s="12">
        <v>-0.1</v>
      </c>
      <c r="L24" s="12">
        <v>0.32</v>
      </c>
      <c r="M24"/>
      <c r="N24" s="27"/>
      <c r="O24" s="15"/>
      <c r="P24" s="27"/>
      <c r="Q24" s="15"/>
      <c r="R24" s="15"/>
      <c r="S24" s="53"/>
      <c r="T24" s="15"/>
      <c r="U24" s="15"/>
      <c r="V24" s="15"/>
      <c r="W24" s="15"/>
      <c r="X24" s="15"/>
    </row>
    <row r="25" spans="6:24" s="21" customFormat="1" ht="14.25" x14ac:dyDescent="0.45">
      <c r="F25" s="13" t="s">
        <v>677</v>
      </c>
      <c r="G25" s="13">
        <v>0.8</v>
      </c>
      <c r="H25" s="12">
        <v>-0.46</v>
      </c>
      <c r="I25" s="12">
        <v>-0.6</v>
      </c>
      <c r="J25" s="12">
        <v>-0.46</v>
      </c>
      <c r="K25" s="12">
        <v>-0.26</v>
      </c>
      <c r="L25" s="12">
        <v>0.28999999999999998</v>
      </c>
      <c r="M25"/>
      <c r="N25" s="27"/>
      <c r="O25" s="15"/>
      <c r="P25" s="27"/>
      <c r="Q25" s="15"/>
      <c r="R25" s="15"/>
      <c r="S25" s="53"/>
      <c r="T25" s="15"/>
      <c r="U25" s="15"/>
      <c r="V25" s="15"/>
      <c r="W25" s="15"/>
      <c r="X25" s="15"/>
    </row>
    <row r="26" spans="6:24" s="21" customFormat="1" ht="14.25" x14ac:dyDescent="0.45">
      <c r="F26" s="13" t="s">
        <v>678</v>
      </c>
      <c r="G26" s="13">
        <v>3.39</v>
      </c>
      <c r="H26" s="12">
        <v>-0.1</v>
      </c>
      <c r="I26" s="12">
        <v>-0.38</v>
      </c>
      <c r="J26" s="12">
        <v>-0.22</v>
      </c>
      <c r="K26" s="12">
        <v>-0.5</v>
      </c>
      <c r="L26" s="12">
        <v>0.51</v>
      </c>
      <c r="M26"/>
      <c r="N26" s="27"/>
      <c r="O26" s="15"/>
      <c r="P26" s="27"/>
      <c r="Q26" s="15"/>
      <c r="R26" s="15"/>
      <c r="S26" s="53"/>
      <c r="T26" s="15"/>
      <c r="U26" s="15"/>
      <c r="V26" s="15"/>
      <c r="W26" s="15"/>
      <c r="X26" s="15"/>
    </row>
    <row r="27" spans="6:24" s="21" customFormat="1" ht="14.25" x14ac:dyDescent="0.45">
      <c r="F27" s="13" t="s">
        <v>679</v>
      </c>
      <c r="G27" s="13">
        <v>0.75</v>
      </c>
      <c r="H27" s="12">
        <v>0.11</v>
      </c>
      <c r="I27" s="12">
        <v>1.25</v>
      </c>
      <c r="J27" s="12">
        <v>-0.27</v>
      </c>
      <c r="K27" s="12">
        <v>-0.09</v>
      </c>
      <c r="L27" s="12">
        <v>0.34</v>
      </c>
      <c r="M27"/>
      <c r="N27" s="27"/>
      <c r="O27" s="15"/>
      <c r="P27" s="27"/>
      <c r="Q27" s="15"/>
      <c r="R27" s="15"/>
      <c r="S27" s="53"/>
      <c r="T27" s="15"/>
      <c r="U27" s="15"/>
      <c r="V27" s="15"/>
      <c r="W27" s="15"/>
      <c r="X27" s="15"/>
    </row>
    <row r="28" spans="6:24" s="21" customFormat="1" ht="14.25" x14ac:dyDescent="0.45">
      <c r="F28" s="13" t="s">
        <v>680</v>
      </c>
      <c r="G28" s="13">
        <v>0.38</v>
      </c>
      <c r="H28" s="12">
        <v>0.17</v>
      </c>
      <c r="I28" s="12">
        <v>-1.19</v>
      </c>
      <c r="J28" s="12">
        <v>-0.04</v>
      </c>
      <c r="K28" s="12">
        <v>0.08</v>
      </c>
      <c r="L28" s="12">
        <v>0.65</v>
      </c>
      <c r="M28"/>
      <c r="N28" s="27"/>
      <c r="O28" s="15"/>
      <c r="P28" s="27"/>
      <c r="Q28" s="15"/>
      <c r="R28" s="15"/>
      <c r="S28" s="53"/>
      <c r="T28" s="15"/>
      <c r="U28" s="15"/>
      <c r="V28" s="15"/>
      <c r="W28" s="15"/>
      <c r="X28" s="15"/>
    </row>
    <row r="29" spans="6:24" s="21" customFormat="1" ht="14.25" x14ac:dyDescent="0.45">
      <c r="F29" s="13" t="s">
        <v>681</v>
      </c>
      <c r="G29" s="13">
        <v>2.83</v>
      </c>
      <c r="H29" s="12">
        <v>1.03</v>
      </c>
      <c r="I29" s="12">
        <v>1.72</v>
      </c>
      <c r="J29" s="12">
        <v>-0.14000000000000001</v>
      </c>
      <c r="K29" s="12">
        <v>-0.67</v>
      </c>
      <c r="L29" s="12">
        <v>1.44</v>
      </c>
      <c r="M29"/>
      <c r="N29" s="27"/>
      <c r="O29" s="15"/>
      <c r="P29" s="27"/>
      <c r="Q29" s="15"/>
      <c r="R29" s="15"/>
      <c r="S29" s="53"/>
      <c r="T29" s="15"/>
      <c r="U29" s="15"/>
      <c r="V29" s="15"/>
      <c r="W29" s="15"/>
      <c r="X29" s="15"/>
    </row>
    <row r="30" spans="6:24" s="21" customFormat="1" ht="14.25" x14ac:dyDescent="0.45">
      <c r="F30" s="13" t="s">
        <v>682</v>
      </c>
      <c r="G30" s="13">
        <v>4.43</v>
      </c>
      <c r="H30" s="12">
        <v>0.2</v>
      </c>
      <c r="I30" s="12">
        <v>-0.45</v>
      </c>
      <c r="J30" s="12">
        <v>-0.17</v>
      </c>
      <c r="K30" s="12">
        <v>-0.03</v>
      </c>
      <c r="L30" s="12">
        <v>7.0000000000000007E-2</v>
      </c>
      <c r="M30"/>
      <c r="N30" s="27"/>
      <c r="O30" s="15"/>
      <c r="P30" s="27"/>
      <c r="Q30" s="15"/>
      <c r="R30" s="15"/>
      <c r="S30" s="53"/>
      <c r="T30" s="15"/>
      <c r="U30" s="15"/>
      <c r="V30" s="15"/>
      <c r="W30" s="15"/>
      <c r="X30" s="15"/>
    </row>
    <row r="31" spans="6:24" s="21" customFormat="1" ht="14.25" x14ac:dyDescent="0.45">
      <c r="F31" s="13" t="s">
        <v>683</v>
      </c>
      <c r="G31" s="13">
        <v>2.74</v>
      </c>
      <c r="H31" s="12">
        <v>-1.47</v>
      </c>
      <c r="I31" s="12">
        <v>-0.22</v>
      </c>
      <c r="J31" s="12">
        <v>-0.31</v>
      </c>
      <c r="K31" s="12">
        <v>-1.19</v>
      </c>
      <c r="L31" s="12">
        <v>0.44</v>
      </c>
      <c r="M31"/>
      <c r="N31" s="27"/>
      <c r="O31" s="15"/>
      <c r="P31" s="27"/>
      <c r="Q31" s="15"/>
      <c r="R31" s="15"/>
      <c r="S31" s="53"/>
      <c r="T31" s="15"/>
      <c r="U31" s="15"/>
      <c r="V31" s="15"/>
      <c r="W31" s="15"/>
      <c r="X31" s="15"/>
    </row>
    <row r="32" spans="6:24" s="21" customFormat="1" ht="14.25" x14ac:dyDescent="0.45">
      <c r="F32" s="13" t="s">
        <v>684</v>
      </c>
      <c r="G32" s="13">
        <v>-1.29</v>
      </c>
      <c r="H32" s="12">
        <v>-2.2200000000000002</v>
      </c>
      <c r="I32" s="12">
        <v>-1.54</v>
      </c>
      <c r="J32" s="12">
        <v>-0.4</v>
      </c>
      <c r="K32" s="12">
        <v>-0.73</v>
      </c>
      <c r="L32" s="12">
        <v>1.87</v>
      </c>
      <c r="M32"/>
      <c r="N32" s="27"/>
      <c r="O32" s="15"/>
      <c r="P32" s="27"/>
      <c r="Q32" s="15"/>
      <c r="R32" s="15"/>
      <c r="S32" s="53"/>
      <c r="T32" s="15"/>
      <c r="U32" s="15"/>
      <c r="V32" s="15"/>
      <c r="W32" s="15"/>
      <c r="X32" s="15"/>
    </row>
    <row r="33" spans="6:12" s="21" customFormat="1" ht="14.25" x14ac:dyDescent="0.45">
      <c r="F33" s="13" t="s">
        <v>685</v>
      </c>
      <c r="G33" s="13">
        <v>4.4800000000000004</v>
      </c>
      <c r="H33" s="12">
        <v>-0.45</v>
      </c>
      <c r="I33" s="12">
        <v>1.31</v>
      </c>
      <c r="J33" s="12">
        <v>0.11</v>
      </c>
      <c r="K33" s="12">
        <v>-0.4</v>
      </c>
      <c r="L33" s="12">
        <v>0.2</v>
      </c>
    </row>
    <row r="34" spans="6:12" s="21" customFormat="1" ht="14.25" x14ac:dyDescent="0.45">
      <c r="F34" s="13" t="s">
        <v>686</v>
      </c>
      <c r="G34" s="13">
        <v>1.07</v>
      </c>
      <c r="H34" s="12">
        <v>-1.04</v>
      </c>
      <c r="I34" s="12">
        <v>-0.26</v>
      </c>
      <c r="J34" s="12">
        <v>-0.15</v>
      </c>
      <c r="K34" s="12">
        <v>-0.15</v>
      </c>
      <c r="L34" s="12">
        <v>-0.92</v>
      </c>
    </row>
    <row r="35" spans="6:12" s="21" customFormat="1" ht="14.25" x14ac:dyDescent="0.45">
      <c r="F35" s="13" t="s">
        <v>687</v>
      </c>
      <c r="G35" s="13">
        <v>0.22</v>
      </c>
      <c r="H35" s="12">
        <v>1.29</v>
      </c>
      <c r="I35" s="12">
        <v>-0.25</v>
      </c>
      <c r="J35" s="12">
        <v>-0.15</v>
      </c>
      <c r="K35" s="12">
        <v>-0.24</v>
      </c>
      <c r="L35" s="12">
        <v>0.79</v>
      </c>
    </row>
    <row r="36" spans="6:12" s="21" customFormat="1" ht="14.25" x14ac:dyDescent="0.45">
      <c r="F36" s="13" t="s">
        <v>688</v>
      </c>
      <c r="G36" s="13">
        <v>0.21</v>
      </c>
      <c r="H36" s="12">
        <v>-1.55</v>
      </c>
      <c r="I36" s="12">
        <v>-0.41</v>
      </c>
      <c r="J36" s="12">
        <v>0.08</v>
      </c>
      <c r="K36" s="12">
        <v>-0.78</v>
      </c>
      <c r="L36" s="12">
        <v>-2.13</v>
      </c>
    </row>
    <row r="37" spans="6:12" s="21" customFormat="1" ht="14.25" x14ac:dyDescent="0.45">
      <c r="F37" s="13" t="s">
        <v>689</v>
      </c>
      <c r="G37" s="13">
        <v>-0.13</v>
      </c>
      <c r="H37" s="12">
        <v>0.56000000000000005</v>
      </c>
      <c r="I37" s="12">
        <v>-0.24</v>
      </c>
      <c r="J37" s="12">
        <v>0</v>
      </c>
      <c r="K37" s="12">
        <v>-0.13</v>
      </c>
      <c r="L37" s="12">
        <v>-0.3</v>
      </c>
    </row>
    <row r="38" spans="6:12" s="21" customFormat="1" ht="14.25" x14ac:dyDescent="0.45">
      <c r="F38" s="13" t="s">
        <v>690</v>
      </c>
      <c r="G38" s="13">
        <v>5.57</v>
      </c>
      <c r="H38" s="12">
        <v>0.24</v>
      </c>
      <c r="I38" s="12">
        <v>2.29</v>
      </c>
      <c r="J38" s="12">
        <v>-0.3</v>
      </c>
      <c r="K38" s="12">
        <v>-7.0000000000000007E-2</v>
      </c>
      <c r="L38" s="12">
        <v>0.06</v>
      </c>
    </row>
    <row r="39" spans="6:12" s="21" customFormat="1" ht="14.25" x14ac:dyDescent="0.45">
      <c r="F39" s="13" t="s">
        <v>691</v>
      </c>
      <c r="G39" s="13">
        <v>1.87</v>
      </c>
      <c r="H39" s="12">
        <v>-0.03</v>
      </c>
      <c r="I39" s="12">
        <v>-0.3</v>
      </c>
      <c r="J39" s="12">
        <v>0.02</v>
      </c>
      <c r="K39" s="12">
        <v>0.04</v>
      </c>
      <c r="L39" s="12">
        <v>-0.16</v>
      </c>
    </row>
    <row r="40" spans="6:12" s="21" customFormat="1" ht="14.25" x14ac:dyDescent="0.45">
      <c r="F40" s="13" t="s">
        <v>692</v>
      </c>
      <c r="G40" s="13">
        <v>-5.98</v>
      </c>
      <c r="H40" s="12">
        <v>-0.68</v>
      </c>
      <c r="I40" s="12">
        <v>7.0000000000000007E-2</v>
      </c>
      <c r="J40" s="12">
        <v>2.23</v>
      </c>
      <c r="K40" s="12">
        <v>-0.2</v>
      </c>
      <c r="L40" s="12">
        <v>-0.69</v>
      </c>
    </row>
    <row r="41" spans="6:12" s="21" customFormat="1" ht="14.25" x14ac:dyDescent="0.45">
      <c r="F41" s="13" t="s">
        <v>693</v>
      </c>
      <c r="G41" s="13">
        <v>1.1100000000000001</v>
      </c>
      <c r="H41" s="12">
        <v>0.37</v>
      </c>
      <c r="I41" s="12">
        <v>-0.87</v>
      </c>
      <c r="J41" s="12">
        <v>-0.01</v>
      </c>
      <c r="K41" s="12">
        <v>-0.22</v>
      </c>
      <c r="L41" s="12">
        <v>0.17</v>
      </c>
    </row>
    <row r="42" spans="6:12" s="21" customFormat="1" ht="14.25" x14ac:dyDescent="0.45">
      <c r="F42" s="13" t="s">
        <v>694</v>
      </c>
      <c r="G42" s="13">
        <v>3.56</v>
      </c>
      <c r="H42" s="12">
        <v>-0.76</v>
      </c>
      <c r="I42" s="12">
        <v>-0.57999999999999996</v>
      </c>
      <c r="J42" s="12">
        <v>-0.24</v>
      </c>
      <c r="K42" s="12">
        <v>-0.8</v>
      </c>
      <c r="L42" s="12">
        <v>-1.05</v>
      </c>
    </row>
    <row r="43" spans="6:12" s="21" customFormat="1" ht="14.25" x14ac:dyDescent="0.45">
      <c r="F43" s="13" t="s">
        <v>695</v>
      </c>
      <c r="G43" s="13">
        <v>3.37</v>
      </c>
      <c r="H43" s="12">
        <v>0.52</v>
      </c>
      <c r="I43" s="12">
        <v>-0.25</v>
      </c>
      <c r="J43" s="12">
        <v>-0.22</v>
      </c>
      <c r="K43" s="12">
        <v>-0.46</v>
      </c>
      <c r="L43" s="12">
        <v>0.56000000000000005</v>
      </c>
    </row>
    <row r="44" spans="6:12" s="21" customFormat="1" ht="14.25" x14ac:dyDescent="0.45">
      <c r="F44" s="13" t="s">
        <v>696</v>
      </c>
      <c r="G44" s="13">
        <v>1.86</v>
      </c>
      <c r="H44" s="12">
        <v>0.96</v>
      </c>
      <c r="I44" s="12">
        <v>-0.6</v>
      </c>
      <c r="J44" s="12">
        <v>9.56</v>
      </c>
      <c r="K44" s="12">
        <v>-0.56000000000000005</v>
      </c>
      <c r="L44" s="12">
        <v>0.03</v>
      </c>
    </row>
    <row r="45" spans="6:12" s="21" customFormat="1" ht="14.25" x14ac:dyDescent="0.45">
      <c r="F45" s="13" t="s">
        <v>697</v>
      </c>
      <c r="G45" s="13">
        <v>1.95</v>
      </c>
      <c r="H45" s="12">
        <v>0.82</v>
      </c>
      <c r="I45" s="12">
        <v>0.27</v>
      </c>
      <c r="J45" s="12">
        <v>-0.05</v>
      </c>
      <c r="K45" s="12">
        <v>-0.08</v>
      </c>
      <c r="L45" s="12">
        <v>0.56000000000000005</v>
      </c>
    </row>
    <row r="46" spans="6:12" s="21" customFormat="1" ht="14.25" x14ac:dyDescent="0.45">
      <c r="F46" s="13" t="s">
        <v>698</v>
      </c>
      <c r="G46" s="13">
        <v>2.41</v>
      </c>
      <c r="H46" s="12">
        <v>1.48</v>
      </c>
      <c r="I46" s="12">
        <v>-0.25</v>
      </c>
      <c r="J46" s="12">
        <v>-0.61</v>
      </c>
      <c r="K46" s="12">
        <v>-0.46</v>
      </c>
      <c r="L46" s="12">
        <v>1.24</v>
      </c>
    </row>
    <row r="47" spans="6:12" s="21" customFormat="1" ht="14.25" x14ac:dyDescent="0.45">
      <c r="F47" s="13" t="s">
        <v>699</v>
      </c>
      <c r="G47" s="13">
        <v>3.96</v>
      </c>
      <c r="H47" s="12">
        <v>0.1</v>
      </c>
      <c r="I47" s="12">
        <v>0.16</v>
      </c>
      <c r="J47" s="12">
        <v>-0.1</v>
      </c>
      <c r="K47" s="12">
        <v>-0.27</v>
      </c>
      <c r="L47" s="12">
        <v>-0.89</v>
      </c>
    </row>
    <row r="48" spans="6:12" s="21" customFormat="1" ht="14.25" x14ac:dyDescent="0.45">
      <c r="F48" s="13" t="s">
        <v>700</v>
      </c>
      <c r="G48" s="13">
        <v>-1.61</v>
      </c>
      <c r="H48" s="12">
        <v>-7.0000000000000007E-2</v>
      </c>
      <c r="I48" s="12">
        <v>0.03</v>
      </c>
      <c r="J48" s="12">
        <v>-0.32</v>
      </c>
      <c r="K48" s="12">
        <v>-0.55000000000000004</v>
      </c>
      <c r="L48" s="12">
        <v>-0.31</v>
      </c>
    </row>
    <row r="49" spans="6:12" s="21" customFormat="1" ht="14.25" x14ac:dyDescent="0.45">
      <c r="F49" s="13" t="s">
        <v>701</v>
      </c>
      <c r="G49" s="13">
        <v>1.86</v>
      </c>
      <c r="H49" s="12">
        <v>-0.37</v>
      </c>
      <c r="I49" s="12">
        <v>-0.69</v>
      </c>
      <c r="J49" s="12">
        <v>-0.15</v>
      </c>
      <c r="K49" s="12">
        <v>-0.59</v>
      </c>
      <c r="L49" s="12">
        <v>-7.0000000000000007E-2</v>
      </c>
    </row>
    <row r="50" spans="6:12" s="21" customFormat="1" ht="14.25" x14ac:dyDescent="0.45">
      <c r="F50" s="13" t="s">
        <v>702</v>
      </c>
      <c r="G50" s="13">
        <v>-8.85</v>
      </c>
      <c r="H50" s="12">
        <v>0.25</v>
      </c>
      <c r="I50" s="12">
        <v>-1.42</v>
      </c>
      <c r="J50" s="12">
        <v>-0.01</v>
      </c>
      <c r="K50" s="12">
        <v>-0.37</v>
      </c>
      <c r="L50" s="12">
        <v>1.61</v>
      </c>
    </row>
    <row r="51" spans="6:12" s="21" customFormat="1" ht="14.25" x14ac:dyDescent="0.45">
      <c r="F51" s="13" t="s">
        <v>703</v>
      </c>
      <c r="G51" s="13">
        <v>4.63</v>
      </c>
      <c r="H51" s="12">
        <v>0.82</v>
      </c>
      <c r="I51" s="12">
        <v>0.37</v>
      </c>
      <c r="J51" s="12">
        <v>0.5</v>
      </c>
      <c r="K51" s="12">
        <v>-0.18</v>
      </c>
      <c r="L51" s="12">
        <v>0.57999999999999996</v>
      </c>
    </row>
    <row r="52" spans="6:12" s="21" customFormat="1" ht="14.25" x14ac:dyDescent="0.45">
      <c r="F52" s="13" t="s">
        <v>704</v>
      </c>
      <c r="G52" s="13">
        <v>1.18</v>
      </c>
      <c r="H52" s="12">
        <v>-0.36</v>
      </c>
      <c r="I52" s="12">
        <v>-1.39</v>
      </c>
      <c r="J52" s="12">
        <v>-0.13</v>
      </c>
      <c r="K52" s="12">
        <v>-0.13</v>
      </c>
      <c r="L52" s="12">
        <v>0.72</v>
      </c>
    </row>
    <row r="53" spans="6:12" s="21" customFormat="1" ht="14.25" x14ac:dyDescent="0.45">
      <c r="F53" s="13" t="s">
        <v>705</v>
      </c>
      <c r="G53" s="13">
        <v>5.6</v>
      </c>
      <c r="H53" s="12">
        <v>-1.5</v>
      </c>
      <c r="I53" s="12">
        <v>1.3</v>
      </c>
      <c r="J53" s="12">
        <v>-0.15</v>
      </c>
      <c r="K53" s="12">
        <v>2.2999999999999998</v>
      </c>
      <c r="L53" s="12">
        <v>-1.2</v>
      </c>
    </row>
    <row r="54" spans="6:12" s="21" customFormat="1" ht="14.25" x14ac:dyDescent="0.45">
      <c r="F54" s="13" t="s">
        <v>706</v>
      </c>
      <c r="G54" s="13">
        <v>1.06</v>
      </c>
      <c r="H54" s="12">
        <v>1.34</v>
      </c>
      <c r="I54" s="12">
        <v>-7.0000000000000007E-2</v>
      </c>
      <c r="J54" s="12">
        <v>0.16</v>
      </c>
      <c r="K54" s="12">
        <v>-0.41</v>
      </c>
      <c r="L54" s="12">
        <v>1.1000000000000001</v>
      </c>
    </row>
    <row r="55" spans="6:12" s="21" customFormat="1" ht="14.25" x14ac:dyDescent="0.45">
      <c r="F55" s="13" t="s">
        <v>707</v>
      </c>
      <c r="G55" s="13">
        <v>1.37</v>
      </c>
      <c r="H55" s="12">
        <v>1.22</v>
      </c>
      <c r="I55" s="12">
        <v>-7.0000000000000007E-2</v>
      </c>
      <c r="J55" s="12">
        <v>-0.22</v>
      </c>
      <c r="K55" s="12">
        <v>-0.4</v>
      </c>
      <c r="L55" s="12">
        <v>1.1200000000000001</v>
      </c>
    </row>
    <row r="56" spans="6:12" s="21" customFormat="1" ht="14.25" x14ac:dyDescent="0.45">
      <c r="F56" s="13" t="s">
        <v>708</v>
      </c>
      <c r="G56" s="13">
        <v>1.39</v>
      </c>
      <c r="H56" s="12">
        <v>0.09</v>
      </c>
      <c r="I56" s="12">
        <v>-0.31</v>
      </c>
      <c r="J56" s="12">
        <v>0.48</v>
      </c>
      <c r="K56" s="12">
        <v>-0.15</v>
      </c>
      <c r="L56" s="12">
        <v>-0.9</v>
      </c>
    </row>
    <row r="57" spans="6:12" s="21" customFormat="1" ht="14.25" x14ac:dyDescent="0.45">
      <c r="F57" s="13" t="s">
        <v>709</v>
      </c>
      <c r="G57" s="13">
        <v>3</v>
      </c>
      <c r="H57" s="12">
        <v>-1.54</v>
      </c>
      <c r="I57" s="12">
        <v>-0.27</v>
      </c>
      <c r="J57" s="12">
        <v>-0.23</v>
      </c>
      <c r="K57" s="12">
        <v>0.7</v>
      </c>
      <c r="L57" s="12">
        <v>-1.37</v>
      </c>
    </row>
    <row r="58" spans="6:12" s="21" customFormat="1" ht="14.25" x14ac:dyDescent="0.45">
      <c r="F58" s="13" t="s">
        <v>710</v>
      </c>
      <c r="G58" s="13">
        <v>5.16</v>
      </c>
      <c r="H58" s="12">
        <v>-0.27</v>
      </c>
      <c r="I58" s="12">
        <v>0.31</v>
      </c>
      <c r="J58" s="12">
        <v>0.33</v>
      </c>
      <c r="K58" s="12">
        <v>0.28999999999999998</v>
      </c>
      <c r="L58" s="12">
        <v>-0.56999999999999995</v>
      </c>
    </row>
    <row r="59" spans="6:12" s="21" customFormat="1" ht="14.25" x14ac:dyDescent="0.45">
      <c r="F59" s="13" t="s">
        <v>711</v>
      </c>
      <c r="G59" s="13">
        <v>0.28000000000000003</v>
      </c>
      <c r="H59" s="12">
        <v>1.31</v>
      </c>
      <c r="I59" s="12">
        <v>-0.41</v>
      </c>
      <c r="J59" s="12">
        <v>-0.22</v>
      </c>
      <c r="K59" s="12">
        <v>-0.34</v>
      </c>
      <c r="L59" s="12">
        <v>0.67</v>
      </c>
    </row>
    <row r="60" spans="6:12" s="21" customFormat="1" ht="14.25" x14ac:dyDescent="0.45">
      <c r="F60" s="13" t="s">
        <v>712</v>
      </c>
      <c r="G60" s="13">
        <v>4.2</v>
      </c>
      <c r="H60" s="12">
        <v>-0.79</v>
      </c>
      <c r="I60" s="12">
        <v>0.21</v>
      </c>
      <c r="J60" s="12">
        <v>0.15</v>
      </c>
      <c r="K60" s="12">
        <v>0.71</v>
      </c>
      <c r="L60" s="12">
        <v>-1.25</v>
      </c>
    </row>
    <row r="61" spans="6:12" s="21" customFormat="1" ht="14.25" x14ac:dyDescent="0.45">
      <c r="F61" s="13" t="s">
        <v>713</v>
      </c>
      <c r="G61" s="13">
        <v>2.0299999999999998</v>
      </c>
      <c r="H61" s="12">
        <v>0.73</v>
      </c>
      <c r="I61" s="12">
        <v>-1.5</v>
      </c>
      <c r="J61" s="12">
        <v>-0.18</v>
      </c>
      <c r="K61" s="12">
        <v>-0.55000000000000004</v>
      </c>
      <c r="L61" s="12">
        <v>0.52</v>
      </c>
    </row>
    <row r="62" spans="6:12" s="21" customFormat="1" ht="14.25" x14ac:dyDescent="0.45">
      <c r="F62" s="13" t="s">
        <v>714</v>
      </c>
      <c r="G62" s="13">
        <v>2.2400000000000002</v>
      </c>
      <c r="H62" s="12">
        <v>-0.31</v>
      </c>
      <c r="I62" s="12">
        <v>-1.26</v>
      </c>
      <c r="J62" s="12">
        <v>-0.28000000000000003</v>
      </c>
      <c r="K62" s="12">
        <v>0.08</v>
      </c>
      <c r="L62" s="12">
        <v>-0.89</v>
      </c>
    </row>
    <row r="63" spans="6:12" s="21" customFormat="1" ht="14.25" x14ac:dyDescent="0.45">
      <c r="F63" s="13" t="s">
        <v>715</v>
      </c>
      <c r="G63" s="13">
        <v>2.65</v>
      </c>
      <c r="H63" s="12">
        <v>-1.42</v>
      </c>
      <c r="I63" s="12">
        <v>-0.63</v>
      </c>
      <c r="J63" s="12">
        <v>-0.37</v>
      </c>
      <c r="K63" s="12">
        <v>1.1299999999999999</v>
      </c>
      <c r="L63" s="12">
        <v>-0.26</v>
      </c>
    </row>
    <row r="64" spans="6:12" s="21" customFormat="1" ht="14.25" x14ac:dyDescent="0.45">
      <c r="F64" s="13" t="s">
        <v>716</v>
      </c>
      <c r="G64" s="13">
        <v>-2.9</v>
      </c>
      <c r="H64" s="12">
        <v>-1.08</v>
      </c>
      <c r="I64" s="12">
        <v>-1.02</v>
      </c>
      <c r="J64" s="12">
        <v>-0.35</v>
      </c>
      <c r="K64" s="12">
        <v>2.82</v>
      </c>
      <c r="L64" s="12">
        <v>-1.48</v>
      </c>
    </row>
    <row r="65" spans="6:12" s="21" customFormat="1" ht="14.25" x14ac:dyDescent="0.45">
      <c r="F65" s="13" t="s">
        <v>717</v>
      </c>
      <c r="G65" s="13">
        <v>0.98</v>
      </c>
      <c r="H65" s="12">
        <v>-0.7</v>
      </c>
      <c r="I65" s="12">
        <v>-0.3</v>
      </c>
      <c r="J65" s="12">
        <v>-0.04</v>
      </c>
      <c r="K65" s="12">
        <v>0.2</v>
      </c>
      <c r="L65" s="12">
        <v>-0.48</v>
      </c>
    </row>
    <row r="66" spans="6:12" s="21" customFormat="1" ht="14.25" x14ac:dyDescent="0.45">
      <c r="F66" s="13" t="s">
        <v>718</v>
      </c>
      <c r="G66" s="13">
        <v>-1.99</v>
      </c>
      <c r="H66" s="12">
        <v>1.32</v>
      </c>
      <c r="I66" s="12">
        <v>-0.72</v>
      </c>
      <c r="J66" s="12">
        <v>1.1200000000000001</v>
      </c>
      <c r="K66" s="12">
        <v>-0.08</v>
      </c>
      <c r="L66" s="12">
        <v>-0.94</v>
      </c>
    </row>
    <row r="67" spans="6:12" s="21" customFormat="1" ht="14.25" x14ac:dyDescent="0.45">
      <c r="F67" s="13" t="s">
        <v>719</v>
      </c>
      <c r="G67" s="13">
        <v>4.6399999999999997</v>
      </c>
      <c r="H67" s="12">
        <v>0.57999999999999996</v>
      </c>
      <c r="I67" s="12">
        <v>0.42</v>
      </c>
      <c r="J67" s="12">
        <v>1.48</v>
      </c>
      <c r="K67" s="12">
        <v>0.01</v>
      </c>
      <c r="L67" s="12">
        <v>0.54</v>
      </c>
    </row>
    <row r="68" spans="6:12" s="21" customFormat="1" ht="14.25" x14ac:dyDescent="0.45">
      <c r="F68" s="13" t="s">
        <v>720</v>
      </c>
      <c r="G68" s="13">
        <v>-0.5</v>
      </c>
      <c r="H68" s="12">
        <v>1.6</v>
      </c>
      <c r="I68" s="12">
        <v>-0.56999999999999995</v>
      </c>
      <c r="J68" s="12">
        <v>-0.59</v>
      </c>
      <c r="K68" s="12">
        <v>-0.05</v>
      </c>
      <c r="L68" s="12">
        <v>1.32</v>
      </c>
    </row>
    <row r="69" spans="6:12" s="21" customFormat="1" ht="14.25" x14ac:dyDescent="0.45">
      <c r="F69" s="13" t="s">
        <v>721</v>
      </c>
      <c r="G69" s="13">
        <v>3.13</v>
      </c>
      <c r="H69" s="12">
        <v>-0.85</v>
      </c>
      <c r="I69" s="12">
        <v>0.61</v>
      </c>
      <c r="J69" s="12">
        <v>-0.23</v>
      </c>
      <c r="K69" s="12">
        <v>0.8</v>
      </c>
      <c r="L69" s="12">
        <v>-0.73</v>
      </c>
    </row>
    <row r="70" spans="6:12" s="21" customFormat="1" ht="14.25" x14ac:dyDescent="0.45">
      <c r="F70" s="13" t="s">
        <v>722</v>
      </c>
      <c r="G70" s="13">
        <v>3.88</v>
      </c>
      <c r="H70" s="12">
        <v>-0.4</v>
      </c>
      <c r="I70" s="12">
        <v>1.1200000000000001</v>
      </c>
      <c r="J70" s="12">
        <v>-0.19</v>
      </c>
      <c r="K70" s="12">
        <v>-0.05</v>
      </c>
      <c r="L70" s="12">
        <v>-1.27</v>
      </c>
    </row>
    <row r="71" spans="6:12" s="21" customFormat="1" ht="14.25" x14ac:dyDescent="0.45">
      <c r="F71" s="13" t="s">
        <v>723</v>
      </c>
      <c r="G71" s="13">
        <v>3.97</v>
      </c>
      <c r="H71" s="12">
        <v>1.65</v>
      </c>
      <c r="I71" s="12">
        <v>2.36</v>
      </c>
      <c r="J71" s="12">
        <v>-1.55</v>
      </c>
      <c r="K71" s="12">
        <v>-0.43</v>
      </c>
      <c r="L71" s="12">
        <v>-0.74</v>
      </c>
    </row>
    <row r="72" spans="6:12" s="21" customFormat="1" ht="14.25" x14ac:dyDescent="0.45">
      <c r="F72" s="13" t="s">
        <v>724</v>
      </c>
      <c r="G72" s="13">
        <v>1.52</v>
      </c>
      <c r="H72" s="12">
        <v>1.22</v>
      </c>
      <c r="I72" s="12">
        <v>-0.42</v>
      </c>
      <c r="J72" s="12">
        <v>0.06</v>
      </c>
      <c r="K72" s="12">
        <v>-0.45</v>
      </c>
      <c r="L72" s="12">
        <v>1.03</v>
      </c>
    </row>
    <row r="73" spans="6:12" s="21" customFormat="1" ht="14.25" x14ac:dyDescent="0.45">
      <c r="F73" s="13" t="s">
        <v>725</v>
      </c>
      <c r="G73" s="13">
        <v>0.55000000000000004</v>
      </c>
      <c r="H73" s="12">
        <v>1.0900000000000001</v>
      </c>
      <c r="I73" s="12">
        <v>-0.82</v>
      </c>
      <c r="J73" s="12">
        <v>-0.25</v>
      </c>
      <c r="K73" s="12">
        <v>-0.49</v>
      </c>
      <c r="L73" s="12">
        <v>0.39</v>
      </c>
    </row>
    <row r="74" spans="6:12" s="21" customFormat="1" ht="14.25" x14ac:dyDescent="0.45">
      <c r="F74" s="13" t="s">
        <v>726</v>
      </c>
      <c r="G74" s="13">
        <v>0.24</v>
      </c>
      <c r="H74" s="12">
        <v>-0.18</v>
      </c>
      <c r="I74" s="12">
        <v>-0.17</v>
      </c>
      <c r="J74" s="12">
        <v>-0.02</v>
      </c>
      <c r="K74" s="12">
        <v>0.11</v>
      </c>
      <c r="L74" s="12">
        <v>-0.49</v>
      </c>
    </row>
    <row r="75" spans="6:12" s="21" customFormat="1" ht="14.25" x14ac:dyDescent="0.45">
      <c r="F75" s="13" t="s">
        <v>727</v>
      </c>
      <c r="G75" s="13">
        <v>0.49</v>
      </c>
      <c r="H75" s="12">
        <v>-0.33</v>
      </c>
      <c r="I75" s="12">
        <v>-0.76</v>
      </c>
      <c r="J75" s="12">
        <v>-0.23</v>
      </c>
      <c r="K75" s="12">
        <v>-0.46</v>
      </c>
      <c r="L75" s="12">
        <v>-0.23</v>
      </c>
    </row>
    <row r="76" spans="6:12" s="21" customFormat="1" ht="14.25" x14ac:dyDescent="0.45">
      <c r="F76" s="13" t="s">
        <v>728</v>
      </c>
      <c r="G76" s="13">
        <v>1.84</v>
      </c>
      <c r="H76" s="12">
        <v>1.07</v>
      </c>
      <c r="I76" s="12">
        <v>0.82</v>
      </c>
      <c r="J76" s="12">
        <v>-0.34</v>
      </c>
      <c r="K76" s="12">
        <v>-0.53</v>
      </c>
      <c r="L76" s="12">
        <v>0.13</v>
      </c>
    </row>
    <row r="77" spans="6:12" s="21" customFormat="1" ht="14.25" x14ac:dyDescent="0.45">
      <c r="F77" s="13" t="s">
        <v>729</v>
      </c>
      <c r="G77" s="13">
        <v>4.34</v>
      </c>
      <c r="H77" s="12">
        <v>-0.31</v>
      </c>
      <c r="I77" s="12">
        <v>0.67</v>
      </c>
      <c r="J77" s="12">
        <v>-0.06</v>
      </c>
      <c r="K77" s="12">
        <v>-0.11</v>
      </c>
      <c r="L77" s="12">
        <v>-0.37</v>
      </c>
    </row>
    <row r="78" spans="6:12" s="21" customFormat="1" ht="14.25" x14ac:dyDescent="0.45">
      <c r="F78" s="13" t="s">
        <v>730</v>
      </c>
      <c r="G78" s="13">
        <v>2.34</v>
      </c>
      <c r="H78" s="12">
        <v>-1.1399999999999999</v>
      </c>
      <c r="I78" s="12">
        <v>1.01</v>
      </c>
      <c r="J78" s="12">
        <v>-0.09</v>
      </c>
      <c r="K78" s="12">
        <v>-0.39</v>
      </c>
      <c r="L78" s="12">
        <v>7.0000000000000007E-2</v>
      </c>
    </row>
    <row r="79" spans="6:12" s="21" customFormat="1" ht="14.25" x14ac:dyDescent="0.45">
      <c r="F79" s="13" t="s">
        <v>731</v>
      </c>
      <c r="G79" s="13">
        <v>2.82</v>
      </c>
      <c r="H79" s="12">
        <v>0.64</v>
      </c>
      <c r="I79" s="12">
        <v>-0.28999999999999998</v>
      </c>
      <c r="J79" s="12">
        <v>-0.11</v>
      </c>
      <c r="K79" s="12">
        <v>-0.09</v>
      </c>
      <c r="L79" s="12">
        <v>0.44</v>
      </c>
    </row>
    <row r="80" spans="6:12" s="21" customFormat="1" ht="14.25" x14ac:dyDescent="0.45">
      <c r="F80" s="13" t="s">
        <v>732</v>
      </c>
      <c r="G80" s="13">
        <v>-6.79</v>
      </c>
      <c r="H80" s="12">
        <v>0.09</v>
      </c>
      <c r="I80" s="12">
        <v>-0.77</v>
      </c>
      <c r="J80" s="12">
        <v>0.01</v>
      </c>
      <c r="K80" s="12">
        <v>-0.05</v>
      </c>
      <c r="L80" s="12">
        <v>-0.08</v>
      </c>
    </row>
    <row r="81" spans="6:12" s="21" customFormat="1" ht="14.25" x14ac:dyDescent="0.45">
      <c r="F81" s="13" t="s">
        <v>733</v>
      </c>
      <c r="G81" s="13">
        <v>-1.61</v>
      </c>
      <c r="H81" s="12">
        <v>-1.19</v>
      </c>
      <c r="I81" s="12">
        <v>1.06</v>
      </c>
      <c r="J81" s="12">
        <v>7.0000000000000007E-2</v>
      </c>
      <c r="K81" s="12">
        <v>0.35</v>
      </c>
      <c r="L81" s="12">
        <v>3.87</v>
      </c>
    </row>
    <row r="82" spans="6:12" s="21" customFormat="1" ht="14.25" x14ac:dyDescent="0.45">
      <c r="F82" s="13" t="s">
        <v>734</v>
      </c>
      <c r="G82" s="13">
        <v>4.8899999999999997</v>
      </c>
      <c r="H82" s="12">
        <v>0.69</v>
      </c>
      <c r="I82" s="12">
        <v>-0.9</v>
      </c>
      <c r="J82" s="12">
        <v>-0.13</v>
      </c>
      <c r="K82" s="12">
        <v>-0.17</v>
      </c>
      <c r="L82" s="12">
        <v>0.06</v>
      </c>
    </row>
    <row r="83" spans="6:12" s="21" customFormat="1" ht="14.25" x14ac:dyDescent="0.45">
      <c r="F83" s="13" t="s">
        <v>735</v>
      </c>
      <c r="G83" s="13">
        <v>0.33</v>
      </c>
      <c r="H83" s="12">
        <v>1.92</v>
      </c>
      <c r="I83" s="12">
        <v>-0.9</v>
      </c>
      <c r="J83" s="12">
        <v>-1.94</v>
      </c>
      <c r="K83" s="12">
        <v>-0.28000000000000003</v>
      </c>
      <c r="L83" s="12">
        <v>0.12</v>
      </c>
    </row>
    <row r="84" spans="6:12" s="21" customFormat="1" ht="14.25" x14ac:dyDescent="0.45">
      <c r="F84" s="13" t="s">
        <v>736</v>
      </c>
      <c r="G84" s="13">
        <v>2.1</v>
      </c>
      <c r="H84" s="12">
        <v>-1.76</v>
      </c>
      <c r="I84" s="12">
        <v>-0.34</v>
      </c>
      <c r="J84" s="12">
        <v>-0.08</v>
      </c>
      <c r="K84" s="12">
        <v>0.43</v>
      </c>
      <c r="L84" s="12">
        <v>-0.36</v>
      </c>
    </row>
    <row r="85" spans="6:12" s="21" customFormat="1" ht="14.25" x14ac:dyDescent="0.45">
      <c r="F85" s="13" t="s">
        <v>737</v>
      </c>
      <c r="G85" s="13">
        <v>1.65</v>
      </c>
      <c r="H85" s="12">
        <v>-1.98</v>
      </c>
      <c r="I85" s="12">
        <v>-1.53</v>
      </c>
      <c r="J85" s="12">
        <v>-0.28000000000000003</v>
      </c>
      <c r="K85" s="12">
        <v>1.1100000000000001</v>
      </c>
      <c r="L85" s="12">
        <v>-0.41</v>
      </c>
    </row>
    <row r="86" spans="6:12" s="21" customFormat="1" ht="14.25" x14ac:dyDescent="0.45">
      <c r="F86" s="13" t="s">
        <v>738</v>
      </c>
      <c r="G86" s="13">
        <v>2.93</v>
      </c>
      <c r="H86" s="12">
        <v>0.33</v>
      </c>
      <c r="I86" s="12">
        <v>-0.45</v>
      </c>
      <c r="J86" s="12">
        <v>-0.16</v>
      </c>
      <c r="K86" s="12">
        <v>-0.48</v>
      </c>
      <c r="L86" s="12">
        <v>-0.78</v>
      </c>
    </row>
    <row r="87" spans="6:12" s="21" customFormat="1" ht="14.25" x14ac:dyDescent="0.45">
      <c r="F87" s="13" t="s">
        <v>739</v>
      </c>
      <c r="G87" s="13">
        <v>1.66</v>
      </c>
      <c r="H87" s="12">
        <v>-1.4</v>
      </c>
      <c r="I87" s="12">
        <v>-0.39</v>
      </c>
      <c r="J87" s="12">
        <v>-0.13</v>
      </c>
      <c r="K87" s="12">
        <v>-0.9</v>
      </c>
      <c r="L87" s="12">
        <v>-0.11</v>
      </c>
    </row>
    <row r="88" spans="6:12" s="21" customFormat="1" ht="14.25" x14ac:dyDescent="0.45">
      <c r="F88" s="13" t="s">
        <v>740</v>
      </c>
      <c r="G88" s="13">
        <v>1.1599999999999999</v>
      </c>
      <c r="H88" s="12">
        <v>1</v>
      </c>
      <c r="I88" s="12">
        <v>-0.28999999999999998</v>
      </c>
      <c r="J88" s="12">
        <v>2.23</v>
      </c>
      <c r="K88" s="12">
        <v>-0.3</v>
      </c>
      <c r="L88" s="12">
        <v>0.13</v>
      </c>
    </row>
    <row r="89" spans="6:12" s="21" customFormat="1" ht="14.25" x14ac:dyDescent="0.45">
      <c r="F89" s="13" t="s">
        <v>741</v>
      </c>
      <c r="G89" s="13">
        <v>3.07</v>
      </c>
      <c r="H89" s="12">
        <v>-1.01</v>
      </c>
      <c r="I89" s="12">
        <v>2.34</v>
      </c>
      <c r="J89" s="12">
        <v>-1.52</v>
      </c>
      <c r="K89" s="12">
        <v>-0.18</v>
      </c>
      <c r="L89" s="12">
        <v>-0.59</v>
      </c>
    </row>
    <row r="90" spans="6:12" s="21" customFormat="1" ht="14.25" x14ac:dyDescent="0.45">
      <c r="F90" s="13" t="s">
        <v>742</v>
      </c>
      <c r="G90" s="13">
        <v>2.98</v>
      </c>
      <c r="H90" s="12">
        <v>0.32</v>
      </c>
      <c r="I90" s="12">
        <v>-0.6</v>
      </c>
      <c r="J90" s="12">
        <v>-0.08</v>
      </c>
      <c r="K90" s="12">
        <v>-0.53</v>
      </c>
      <c r="L90" s="12">
        <v>-0.18</v>
      </c>
    </row>
    <row r="91" spans="6:12" s="21" customFormat="1" ht="14.25" x14ac:dyDescent="0.45">
      <c r="F91" s="13" t="s">
        <v>743</v>
      </c>
      <c r="G91" s="13">
        <v>-1.1399999999999999</v>
      </c>
      <c r="H91" s="12">
        <v>0.22</v>
      </c>
      <c r="I91" s="12">
        <v>-0.45</v>
      </c>
      <c r="J91" s="12">
        <v>-0.18</v>
      </c>
      <c r="K91" s="12">
        <v>0.06</v>
      </c>
      <c r="L91" s="12">
        <v>-0.84</v>
      </c>
    </row>
    <row r="92" spans="6:12" s="21" customFormat="1" ht="14.25" x14ac:dyDescent="0.45">
      <c r="F92" s="13" t="s">
        <v>744</v>
      </c>
      <c r="G92" s="13">
        <v>5.47</v>
      </c>
      <c r="H92" s="12">
        <v>-0.34</v>
      </c>
      <c r="I92" s="12">
        <v>0.15</v>
      </c>
      <c r="J92" s="12">
        <v>0</v>
      </c>
      <c r="K92" s="12">
        <v>0.28000000000000003</v>
      </c>
      <c r="L92" s="12">
        <v>-0.37</v>
      </c>
    </row>
    <row r="93" spans="6:12" s="21" customFormat="1" ht="14.25" x14ac:dyDescent="0.45">
      <c r="F93" s="13" t="s">
        <v>745</v>
      </c>
      <c r="G93" s="13">
        <v>3.37</v>
      </c>
      <c r="H93" s="12">
        <v>-0.36</v>
      </c>
      <c r="I93" s="12">
        <v>1.83</v>
      </c>
      <c r="J93" s="12">
        <v>1.27</v>
      </c>
      <c r="K93" s="12">
        <v>0.74</v>
      </c>
      <c r="L93" s="12">
        <v>-0.71</v>
      </c>
    </row>
    <row r="94" spans="6:12" s="21" customFormat="1" ht="14.25" x14ac:dyDescent="0.45">
      <c r="F94" s="13" t="s">
        <v>746</v>
      </c>
      <c r="G94" s="13">
        <v>4.08</v>
      </c>
      <c r="H94" s="12">
        <v>0.16</v>
      </c>
      <c r="I94" s="12">
        <v>0.89</v>
      </c>
      <c r="J94" s="12">
        <v>0.32</v>
      </c>
      <c r="K94" s="12">
        <v>-0.53</v>
      </c>
      <c r="L94" s="12">
        <v>0.23</v>
      </c>
    </row>
    <row r="95" spans="6:12" s="21" customFormat="1" ht="14.25" x14ac:dyDescent="0.45">
      <c r="F95" s="13" t="s">
        <v>747</v>
      </c>
      <c r="G95" s="13">
        <v>1.04</v>
      </c>
      <c r="H95" s="12">
        <v>-0.53</v>
      </c>
      <c r="I95" s="12">
        <v>0.92</v>
      </c>
      <c r="J95" s="12">
        <v>-0.28000000000000003</v>
      </c>
      <c r="K95" s="12">
        <v>-0.56999999999999995</v>
      </c>
      <c r="L95" s="12">
        <v>0.5</v>
      </c>
    </row>
    <row r="96" spans="6:12" s="21" customFormat="1" ht="14.25" x14ac:dyDescent="0.45">
      <c r="F96" s="13" t="s">
        <v>748</v>
      </c>
      <c r="G96" s="13">
        <v>-0.65</v>
      </c>
      <c r="H96" s="12">
        <v>-1.8</v>
      </c>
      <c r="I96" s="12">
        <v>2.64</v>
      </c>
      <c r="J96" s="12">
        <v>0.96</v>
      </c>
      <c r="K96" s="12">
        <v>-0.09</v>
      </c>
      <c r="L96" s="12">
        <v>0.88</v>
      </c>
    </row>
    <row r="97" spans="6:12" s="21" customFormat="1" ht="14.25" x14ac:dyDescent="0.45">
      <c r="F97" s="13" t="s">
        <v>749</v>
      </c>
      <c r="G97" s="13">
        <v>-2.97</v>
      </c>
      <c r="H97" s="12">
        <v>-0.17</v>
      </c>
      <c r="I97" s="12">
        <v>-1.48</v>
      </c>
      <c r="J97" s="12">
        <v>-0.54</v>
      </c>
      <c r="K97" s="12">
        <v>0.08</v>
      </c>
      <c r="L97" s="12">
        <v>1.59</v>
      </c>
    </row>
    <row r="98" spans="6:12" s="21" customFormat="1" ht="14.25" x14ac:dyDescent="0.45">
      <c r="F98" s="13" t="s">
        <v>750</v>
      </c>
      <c r="G98" s="13">
        <v>5.04</v>
      </c>
      <c r="H98" s="12">
        <v>-1.3</v>
      </c>
      <c r="I98" s="12">
        <v>3.93</v>
      </c>
      <c r="J98" s="12">
        <v>-0.35</v>
      </c>
      <c r="K98" s="12">
        <v>0.42</v>
      </c>
      <c r="L98" s="12">
        <v>-0.8</v>
      </c>
    </row>
    <row r="99" spans="6:12" s="21" customFormat="1" ht="14.25" x14ac:dyDescent="0.45">
      <c r="F99" s="13" t="s">
        <v>751</v>
      </c>
      <c r="G99" s="13">
        <v>1.08</v>
      </c>
      <c r="H99" s="12">
        <v>1.38</v>
      </c>
      <c r="I99" s="12">
        <v>-0.42</v>
      </c>
      <c r="J99" s="12">
        <v>-0.03</v>
      </c>
      <c r="K99" s="12">
        <v>-0.12</v>
      </c>
      <c r="L99" s="12">
        <v>1.35</v>
      </c>
    </row>
    <row r="100" spans="6:12" s="21" customFormat="1" ht="14.25" x14ac:dyDescent="0.45">
      <c r="F100" s="13" t="s">
        <v>752</v>
      </c>
      <c r="G100" s="13">
        <v>-5.05</v>
      </c>
      <c r="H100" s="12">
        <v>-0.85</v>
      </c>
      <c r="I100" s="12">
        <v>-0.94</v>
      </c>
      <c r="J100" s="12">
        <v>-0.02</v>
      </c>
      <c r="K100" s="12">
        <v>0.38</v>
      </c>
      <c r="L100" s="12">
        <v>-0.12</v>
      </c>
    </row>
    <row r="101" spans="6:12" s="21" customFormat="1" ht="14.25" x14ac:dyDescent="0.45">
      <c r="F101" s="13" t="s">
        <v>753</v>
      </c>
      <c r="G101" s="13">
        <v>1.96</v>
      </c>
      <c r="H101" s="12">
        <v>-1.71</v>
      </c>
      <c r="I101" s="12">
        <v>0.68</v>
      </c>
      <c r="J101" s="12">
        <v>0.13</v>
      </c>
      <c r="K101" s="12">
        <v>-1.06</v>
      </c>
      <c r="L101" s="12">
        <v>0.14000000000000001</v>
      </c>
    </row>
    <row r="102" spans="6:12" s="21" customFormat="1" ht="14.25" x14ac:dyDescent="0.45">
      <c r="F102" s="13" t="s">
        <v>754</v>
      </c>
      <c r="G102" s="13">
        <v>-0.38</v>
      </c>
      <c r="H102" s="12">
        <v>-0.85</v>
      </c>
      <c r="I102" s="12">
        <v>0.18</v>
      </c>
      <c r="J102" s="12">
        <v>-0.33</v>
      </c>
      <c r="K102" s="12">
        <v>1.49</v>
      </c>
      <c r="L102" s="12">
        <v>-1.75</v>
      </c>
    </row>
    <row r="103" spans="6:12" s="21" customFormat="1" ht="14.25" x14ac:dyDescent="0.45">
      <c r="F103" s="13" t="s">
        <v>755</v>
      </c>
      <c r="G103" s="13">
        <v>3.18</v>
      </c>
      <c r="H103" s="12">
        <v>-0.1</v>
      </c>
      <c r="I103" s="12">
        <v>1.21</v>
      </c>
      <c r="J103" s="12">
        <v>0.02</v>
      </c>
      <c r="K103" s="12">
        <v>-0.46</v>
      </c>
      <c r="L103" s="12">
        <v>-0.39</v>
      </c>
    </row>
    <row r="104" spans="6:12" s="21" customFormat="1" ht="14.25" x14ac:dyDescent="0.45">
      <c r="F104" s="13" t="s">
        <v>756</v>
      </c>
      <c r="G104" s="13">
        <v>0.47</v>
      </c>
      <c r="H104" s="12">
        <v>1.68</v>
      </c>
      <c r="I104" s="12">
        <v>0.53</v>
      </c>
      <c r="J104" s="12">
        <v>-0.1</v>
      </c>
      <c r="K104" s="12">
        <v>-0.2</v>
      </c>
      <c r="L104" s="12">
        <v>1.34</v>
      </c>
    </row>
    <row r="105" spans="6:12" s="21" customFormat="1" ht="14.25" x14ac:dyDescent="0.45">
      <c r="F105" s="13" t="s">
        <v>757</v>
      </c>
      <c r="G105" s="13">
        <v>-4.5199999999999996</v>
      </c>
      <c r="H105" s="12">
        <v>0.59</v>
      </c>
      <c r="I105" s="12">
        <v>-0.52</v>
      </c>
      <c r="J105" s="12">
        <v>0.03</v>
      </c>
      <c r="K105" s="12">
        <v>-0.57999999999999996</v>
      </c>
      <c r="L105" s="12">
        <v>1.36</v>
      </c>
    </row>
    <row r="106" spans="6:12" x14ac:dyDescent="0.55000000000000004">
      <c r="F106" s="13" t="s">
        <v>758</v>
      </c>
      <c r="G106" s="13">
        <v>-1.04</v>
      </c>
      <c r="H106" s="12">
        <v>-1.06</v>
      </c>
      <c r="I106" s="12">
        <v>-1.1200000000000001</v>
      </c>
      <c r="J106" s="12">
        <v>-0.33</v>
      </c>
      <c r="K106" s="12">
        <v>1.34</v>
      </c>
      <c r="L106" s="12">
        <v>-0.78</v>
      </c>
    </row>
    <row r="107" spans="6:12" x14ac:dyDescent="0.55000000000000004">
      <c r="F107" s="13" t="s">
        <v>759</v>
      </c>
      <c r="G107" s="13">
        <v>1.32</v>
      </c>
      <c r="H107" s="12">
        <v>0.55000000000000004</v>
      </c>
      <c r="I107" s="12">
        <v>1.94</v>
      </c>
      <c r="J107" s="12">
        <v>0.44</v>
      </c>
      <c r="K107" s="12">
        <v>-0.67</v>
      </c>
      <c r="L107" s="12">
        <v>-0.75</v>
      </c>
    </row>
    <row r="108" spans="6:12" x14ac:dyDescent="0.55000000000000004">
      <c r="F108" s="13" t="s">
        <v>760</v>
      </c>
      <c r="G108" s="13">
        <v>-1.29</v>
      </c>
      <c r="H108" s="12">
        <v>-0.13</v>
      </c>
      <c r="I108" s="12">
        <v>-0.28999999999999998</v>
      </c>
      <c r="J108" s="12">
        <v>-0.25</v>
      </c>
      <c r="K108" s="12">
        <v>-0.1</v>
      </c>
      <c r="L108" s="12">
        <v>-0.77</v>
      </c>
    </row>
    <row r="109" spans="6:12" x14ac:dyDescent="0.55000000000000004">
      <c r="F109" s="13" t="s">
        <v>761</v>
      </c>
      <c r="G109" s="13">
        <v>0.51</v>
      </c>
      <c r="H109" s="12">
        <v>-0.01</v>
      </c>
      <c r="I109" s="12">
        <v>-0.48</v>
      </c>
      <c r="J109" s="12">
        <v>-0.03</v>
      </c>
      <c r="K109" s="12">
        <v>-0.21</v>
      </c>
      <c r="L109" s="12">
        <v>-0.51</v>
      </c>
    </row>
    <row r="110" spans="6:12" s="15" customFormat="1" ht="14.25" x14ac:dyDescent="0.45">
      <c r="F110" s="13" t="s">
        <v>762</v>
      </c>
      <c r="G110" s="13">
        <v>4.5999999999999996</v>
      </c>
      <c r="H110" s="12">
        <v>-0.52</v>
      </c>
      <c r="I110" s="12">
        <v>0.18</v>
      </c>
      <c r="J110" s="12">
        <v>-0.21</v>
      </c>
      <c r="K110" s="12">
        <v>-0.15</v>
      </c>
      <c r="L110" s="12">
        <v>-0.64</v>
      </c>
    </row>
    <row r="111" spans="6:12" s="15" customFormat="1" ht="14.25" x14ac:dyDescent="0.45">
      <c r="F111" s="13" t="s">
        <v>763</v>
      </c>
      <c r="G111" s="13">
        <v>4.55</v>
      </c>
      <c r="H111" s="12">
        <v>0.54</v>
      </c>
      <c r="I111" s="12">
        <v>-0.61</v>
      </c>
      <c r="J111" s="12">
        <v>-0.17</v>
      </c>
      <c r="K111" s="12">
        <v>-0.19</v>
      </c>
      <c r="L111" s="12">
        <v>0.27</v>
      </c>
    </row>
    <row r="112" spans="6:12" s="15" customFormat="1" ht="14.25" x14ac:dyDescent="0.45">
      <c r="F112" s="13" t="s">
        <v>764</v>
      </c>
      <c r="G112" s="13">
        <v>2.38</v>
      </c>
      <c r="H112" s="12">
        <v>0.83</v>
      </c>
      <c r="I112" s="12">
        <v>-0.71</v>
      </c>
      <c r="J112" s="12">
        <v>-7.0000000000000007E-2</v>
      </c>
      <c r="K112" s="12">
        <v>-0.54</v>
      </c>
      <c r="L112" s="12">
        <v>0.08</v>
      </c>
    </row>
    <row r="113" spans="6:12" s="15" customFormat="1" ht="14.25" x14ac:dyDescent="0.45">
      <c r="F113" s="13" t="s">
        <v>765</v>
      </c>
      <c r="G113" s="13">
        <v>-1.02</v>
      </c>
      <c r="H113" s="12">
        <v>1.53</v>
      </c>
      <c r="I113" s="12">
        <v>2.21</v>
      </c>
      <c r="J113" s="12">
        <v>-0.56000000000000005</v>
      </c>
      <c r="K113" s="12">
        <v>-0.72</v>
      </c>
      <c r="L113" s="12">
        <v>0.35</v>
      </c>
    </row>
    <row r="114" spans="6:12" s="15" customFormat="1" ht="14.25" x14ac:dyDescent="0.45">
      <c r="F114" s="13" t="s">
        <v>766</v>
      </c>
      <c r="G114" s="13">
        <v>4.78</v>
      </c>
      <c r="H114" s="12">
        <v>0.39</v>
      </c>
      <c r="I114" s="12">
        <v>-0.22</v>
      </c>
      <c r="J114" s="12">
        <v>-0.12</v>
      </c>
      <c r="K114" s="12">
        <v>0.1</v>
      </c>
      <c r="L114" s="12">
        <v>0.16</v>
      </c>
    </row>
    <row r="115" spans="6:12" s="15" customFormat="1" ht="14.25" x14ac:dyDescent="0.45">
      <c r="F115" s="13" t="s">
        <v>767</v>
      </c>
      <c r="G115" s="13">
        <v>1.41</v>
      </c>
      <c r="H115" s="12">
        <v>0.33</v>
      </c>
      <c r="I115" s="12">
        <v>-0.2</v>
      </c>
      <c r="J115" s="12">
        <v>-0.22</v>
      </c>
      <c r="K115" s="12">
        <v>0.22</v>
      </c>
      <c r="L115" s="12">
        <v>0.32</v>
      </c>
    </row>
    <row r="116" spans="6:12" s="15" customFormat="1" ht="14.25" x14ac:dyDescent="0.45">
      <c r="F116" s="13" t="s">
        <v>768</v>
      </c>
      <c r="G116" s="13">
        <v>6.61</v>
      </c>
      <c r="H116" s="12">
        <v>-1.49</v>
      </c>
      <c r="I116" s="12">
        <v>0.28999999999999998</v>
      </c>
      <c r="J116" s="12">
        <v>-0.05</v>
      </c>
      <c r="K116" s="12">
        <v>0.01</v>
      </c>
      <c r="L116" s="12">
        <v>-0.1</v>
      </c>
    </row>
    <row r="117" spans="6:12" s="15" customFormat="1" ht="14.25" x14ac:dyDescent="0.45">
      <c r="F117" s="13" t="s">
        <v>769</v>
      </c>
      <c r="G117" s="13">
        <v>-1.33</v>
      </c>
      <c r="H117" s="12">
        <v>0.82</v>
      </c>
      <c r="I117" s="12">
        <v>0.5</v>
      </c>
      <c r="J117" s="12">
        <v>-0.35</v>
      </c>
      <c r="K117" s="12">
        <v>-0.98</v>
      </c>
      <c r="L117" s="12">
        <v>1.24</v>
      </c>
    </row>
    <row r="118" spans="6:12" s="15" customFormat="1" ht="14.25" x14ac:dyDescent="0.45">
      <c r="F118" s="13" t="s">
        <v>770</v>
      </c>
      <c r="G118" s="13">
        <v>2.42</v>
      </c>
      <c r="H118" s="12">
        <v>-1.07</v>
      </c>
      <c r="I118" s="12">
        <v>1</v>
      </c>
      <c r="J118" s="12">
        <v>0</v>
      </c>
      <c r="K118" s="12">
        <v>-0.28000000000000003</v>
      </c>
      <c r="L118" s="12">
        <v>-0.46</v>
      </c>
    </row>
    <row r="119" spans="6:12" s="15" customFormat="1" ht="14.25" x14ac:dyDescent="0.45">
      <c r="F119" s="13" t="s">
        <v>771</v>
      </c>
      <c r="G119" s="13">
        <v>4.8099999999999996</v>
      </c>
      <c r="H119" s="12">
        <v>0.02</v>
      </c>
      <c r="I119" s="12">
        <v>0.05</v>
      </c>
      <c r="J119" s="12">
        <v>0.39</v>
      </c>
      <c r="K119" s="12">
        <v>-0.26</v>
      </c>
      <c r="L119" s="12">
        <v>0.04</v>
      </c>
    </row>
    <row r="120" spans="6:12" s="15" customFormat="1" ht="14.25" x14ac:dyDescent="0.45">
      <c r="F120" s="13" t="s">
        <v>772</v>
      </c>
      <c r="G120" s="13">
        <v>4.38</v>
      </c>
      <c r="H120" s="12">
        <v>0.57999999999999996</v>
      </c>
      <c r="I120" s="12">
        <v>0.79</v>
      </c>
      <c r="J120" s="12">
        <v>0.88</v>
      </c>
      <c r="K120" s="12">
        <v>-0.27</v>
      </c>
      <c r="L120" s="12">
        <v>0.84</v>
      </c>
    </row>
    <row r="121" spans="6:12" s="15" customFormat="1" ht="14.25" x14ac:dyDescent="0.45">
      <c r="F121" s="13" t="s">
        <v>773</v>
      </c>
      <c r="G121" s="13">
        <v>3.31</v>
      </c>
      <c r="H121" s="12">
        <v>-1.76</v>
      </c>
      <c r="I121" s="12">
        <v>-1.45</v>
      </c>
      <c r="J121" s="12">
        <v>0.39</v>
      </c>
      <c r="K121" s="12">
        <v>2.11</v>
      </c>
      <c r="L121" s="12">
        <v>-1.34</v>
      </c>
    </row>
    <row r="122" spans="6:12" s="15" customFormat="1" ht="14.25" x14ac:dyDescent="0.45">
      <c r="F122" s="13" t="s">
        <v>774</v>
      </c>
      <c r="G122" s="13">
        <v>-0.41</v>
      </c>
      <c r="H122" s="12">
        <v>1.53</v>
      </c>
      <c r="I122" s="12">
        <v>0.02</v>
      </c>
      <c r="J122" s="12">
        <v>2.31</v>
      </c>
      <c r="K122" s="12">
        <v>-0.5</v>
      </c>
      <c r="L122" s="12">
        <v>-1.02</v>
      </c>
    </row>
    <row r="123" spans="6:12" s="15" customFormat="1" ht="14.25" x14ac:dyDescent="0.45">
      <c r="F123" s="13" t="s">
        <v>775</v>
      </c>
      <c r="G123" s="13">
        <v>2.1800000000000002</v>
      </c>
      <c r="H123" s="12">
        <v>0.7</v>
      </c>
      <c r="I123" s="12">
        <v>-0.14000000000000001</v>
      </c>
      <c r="J123" s="12">
        <v>-0.19</v>
      </c>
      <c r="K123" s="12">
        <v>-0.11</v>
      </c>
      <c r="L123" s="12">
        <v>0.55000000000000004</v>
      </c>
    </row>
    <row r="124" spans="6:12" s="15" customFormat="1" ht="14.25" x14ac:dyDescent="0.45">
      <c r="F124" s="13" t="s">
        <v>776</v>
      </c>
      <c r="G124" s="13">
        <v>2.4900000000000002</v>
      </c>
      <c r="H124" s="12">
        <v>0.9</v>
      </c>
      <c r="I124" s="12">
        <v>-0.49</v>
      </c>
      <c r="J124" s="12">
        <v>-0.1</v>
      </c>
      <c r="K124" s="12">
        <v>-0.3</v>
      </c>
      <c r="L124" s="12">
        <v>0.33</v>
      </c>
    </row>
    <row r="125" spans="6:12" s="15" customFormat="1" ht="14.25" x14ac:dyDescent="0.45">
      <c r="F125" s="13" t="s">
        <v>777</v>
      </c>
      <c r="G125" s="13">
        <v>-1.18</v>
      </c>
      <c r="H125" s="12">
        <v>-0.06</v>
      </c>
      <c r="I125" s="12">
        <v>-0.88</v>
      </c>
      <c r="J125" s="12">
        <v>-0.28000000000000003</v>
      </c>
      <c r="K125" s="12">
        <v>0.15</v>
      </c>
      <c r="L125" s="12">
        <v>0.82</v>
      </c>
    </row>
    <row r="126" spans="6:12" s="15" customFormat="1" ht="14.25" x14ac:dyDescent="0.45">
      <c r="F126" s="13" t="s">
        <v>778</v>
      </c>
      <c r="G126" s="13">
        <v>1.35</v>
      </c>
      <c r="H126" s="12">
        <v>1</v>
      </c>
      <c r="I126" s="12">
        <v>-0.49</v>
      </c>
      <c r="J126" s="12">
        <v>-0.3</v>
      </c>
      <c r="K126" s="12">
        <v>-0.47</v>
      </c>
      <c r="L126" s="12">
        <v>0.41</v>
      </c>
    </row>
    <row r="127" spans="6:12" s="15" customFormat="1" ht="14.25" x14ac:dyDescent="0.45">
      <c r="F127" s="13" t="s">
        <v>779</v>
      </c>
      <c r="G127" s="13">
        <v>1.66</v>
      </c>
      <c r="H127" s="12">
        <v>-0.37</v>
      </c>
      <c r="I127" s="12">
        <v>0.33</v>
      </c>
      <c r="J127" s="12">
        <v>-0.32</v>
      </c>
      <c r="K127" s="12">
        <v>0.04</v>
      </c>
      <c r="L127" s="12">
        <v>-1.1599999999999999</v>
      </c>
    </row>
    <row r="128" spans="6:12" s="15" customFormat="1" ht="14.25" x14ac:dyDescent="0.45">
      <c r="F128" s="13" t="s">
        <v>780</v>
      </c>
      <c r="G128" s="13">
        <v>-4.8600000000000003</v>
      </c>
      <c r="H128" s="12">
        <v>-1.65</v>
      </c>
      <c r="I128" s="12">
        <v>-2.0299999999999998</v>
      </c>
      <c r="J128" s="12">
        <v>-0.14000000000000001</v>
      </c>
      <c r="K128" s="12">
        <v>8.73</v>
      </c>
      <c r="L128" s="12">
        <v>-2.12</v>
      </c>
    </row>
    <row r="129" spans="6:12" s="15" customFormat="1" ht="14.25" x14ac:dyDescent="0.45">
      <c r="F129" s="13" t="s">
        <v>781</v>
      </c>
      <c r="G129" s="13">
        <v>0.18</v>
      </c>
      <c r="H129" s="12">
        <v>1.4</v>
      </c>
      <c r="I129" s="12">
        <v>0.06</v>
      </c>
      <c r="J129" s="12">
        <v>-0.1</v>
      </c>
      <c r="K129" s="12">
        <v>-0.27</v>
      </c>
      <c r="L129" s="12">
        <v>1.58</v>
      </c>
    </row>
    <row r="130" spans="6:12" s="15" customFormat="1" ht="14.25" x14ac:dyDescent="0.45">
      <c r="F130" s="13" t="s">
        <v>782</v>
      </c>
      <c r="G130" s="13">
        <v>0.22</v>
      </c>
      <c r="H130" s="12">
        <v>1.68</v>
      </c>
      <c r="I130" s="12">
        <v>-0.28999999999999998</v>
      </c>
      <c r="J130" s="12">
        <v>0.11</v>
      </c>
      <c r="K130" s="12">
        <v>-0.53</v>
      </c>
      <c r="L130" s="12">
        <v>-0.75</v>
      </c>
    </row>
    <row r="131" spans="6:12" s="15" customFormat="1" ht="14.25" x14ac:dyDescent="0.45">
      <c r="F131" s="13" t="s">
        <v>783</v>
      </c>
      <c r="G131" s="13">
        <v>2.0699999999999998</v>
      </c>
      <c r="H131" s="12">
        <v>0.03</v>
      </c>
      <c r="I131" s="12">
        <v>-0.09</v>
      </c>
      <c r="J131" s="12">
        <v>-0.32</v>
      </c>
      <c r="K131" s="12">
        <v>-0.47</v>
      </c>
      <c r="L131" s="12">
        <v>-0.04</v>
      </c>
    </row>
    <row r="132" spans="6:12" s="15" customFormat="1" ht="14.25" x14ac:dyDescent="0.45">
      <c r="F132" s="13" t="s">
        <v>784</v>
      </c>
      <c r="G132" s="13">
        <v>16.41</v>
      </c>
      <c r="H132" s="12">
        <v>-1.19</v>
      </c>
      <c r="I132" s="12">
        <v>0.11</v>
      </c>
      <c r="J132" s="12">
        <v>-0.05</v>
      </c>
      <c r="K132" s="12">
        <v>-0.43</v>
      </c>
      <c r="L132" s="12">
        <v>5.17</v>
      </c>
    </row>
    <row r="133" spans="6:12" s="15" customFormat="1" ht="14.25" x14ac:dyDescent="0.45">
      <c r="F133" s="13" t="s">
        <v>785</v>
      </c>
      <c r="G133" s="13">
        <v>2.82</v>
      </c>
      <c r="H133" s="12">
        <v>-1.59</v>
      </c>
      <c r="I133" s="12">
        <v>0.2</v>
      </c>
      <c r="J133" s="12">
        <v>-0.17</v>
      </c>
      <c r="K133" s="12">
        <v>-0.48</v>
      </c>
      <c r="L133" s="12">
        <v>-7.0000000000000007E-2</v>
      </c>
    </row>
    <row r="134" spans="6:12" s="15" customFormat="1" ht="14.25" x14ac:dyDescent="0.45">
      <c r="F134" s="13" t="s">
        <v>786</v>
      </c>
      <c r="G134" s="13">
        <v>-0.08</v>
      </c>
      <c r="H134" s="12">
        <v>-0.49</v>
      </c>
      <c r="I134" s="12">
        <v>-0.84</v>
      </c>
      <c r="J134" s="12">
        <v>-0.2</v>
      </c>
      <c r="K134" s="12">
        <v>0.63</v>
      </c>
      <c r="L134" s="12">
        <v>0.69</v>
      </c>
    </row>
    <row r="135" spans="6:12" s="15" customFormat="1" ht="14.25" x14ac:dyDescent="0.45">
      <c r="F135" s="13" t="s">
        <v>787</v>
      </c>
      <c r="G135" s="13">
        <v>-0.43</v>
      </c>
      <c r="H135" s="12">
        <v>0.2</v>
      </c>
      <c r="I135" s="12">
        <v>0.01</v>
      </c>
      <c r="J135" s="12">
        <v>-0.28999999999999998</v>
      </c>
      <c r="K135" s="12">
        <v>2.1800000000000002</v>
      </c>
      <c r="L135" s="12">
        <v>-0.14000000000000001</v>
      </c>
    </row>
    <row r="136" spans="6:12" s="15" customFormat="1" ht="14.25" x14ac:dyDescent="0.45">
      <c r="F136" s="13" t="s">
        <v>788</v>
      </c>
      <c r="G136" s="13">
        <v>3.07</v>
      </c>
      <c r="H136" s="12">
        <v>-1.51</v>
      </c>
      <c r="I136" s="12">
        <v>0.15</v>
      </c>
      <c r="J136" s="12">
        <v>-0.06</v>
      </c>
      <c r="K136" s="12">
        <v>-0.08</v>
      </c>
      <c r="L136" s="12">
        <v>-1.26</v>
      </c>
    </row>
    <row r="137" spans="6:12" s="15" customFormat="1" ht="14.25" x14ac:dyDescent="0.45">
      <c r="F137" s="13" t="s">
        <v>789</v>
      </c>
      <c r="G137" s="13">
        <v>3.83</v>
      </c>
      <c r="H137" s="12">
        <v>-0.56000000000000005</v>
      </c>
      <c r="I137" s="12">
        <v>-1.5</v>
      </c>
      <c r="J137" s="12">
        <v>-0.04</v>
      </c>
      <c r="K137" s="12">
        <v>0.84</v>
      </c>
      <c r="L137" s="12">
        <v>0.59</v>
      </c>
    </row>
    <row r="138" spans="6:12" s="15" customFormat="1" ht="14.25" x14ac:dyDescent="0.45">
      <c r="F138" s="13" t="s">
        <v>790</v>
      </c>
      <c r="G138" s="13">
        <v>0.23</v>
      </c>
      <c r="H138" s="12">
        <v>1.25</v>
      </c>
      <c r="I138" s="12">
        <v>-0.11</v>
      </c>
      <c r="J138" s="12">
        <v>-0.09</v>
      </c>
      <c r="K138" s="12">
        <v>-0.95</v>
      </c>
      <c r="L138" s="12">
        <v>-0.52</v>
      </c>
    </row>
    <row r="139" spans="6:12" s="15" customFormat="1" ht="14.25" x14ac:dyDescent="0.45">
      <c r="F139" s="13" t="s">
        <v>791</v>
      </c>
      <c r="G139" s="13">
        <v>0.89</v>
      </c>
      <c r="H139" s="12">
        <v>1.24</v>
      </c>
      <c r="I139" s="12">
        <v>-0.91</v>
      </c>
      <c r="J139" s="12">
        <v>-0.4</v>
      </c>
      <c r="K139" s="12">
        <v>-0.28000000000000003</v>
      </c>
      <c r="L139" s="12">
        <v>0.41</v>
      </c>
    </row>
    <row r="140" spans="6:12" s="15" customFormat="1" ht="14.25" x14ac:dyDescent="0.45">
      <c r="F140" s="13" t="s">
        <v>792</v>
      </c>
      <c r="G140" s="13">
        <v>1.68</v>
      </c>
      <c r="H140" s="12">
        <v>1.5</v>
      </c>
      <c r="I140" s="12">
        <v>-0.46</v>
      </c>
      <c r="J140" s="12">
        <v>-0.25</v>
      </c>
      <c r="K140" s="12">
        <v>-0.27</v>
      </c>
      <c r="L140" s="12">
        <v>-0.4</v>
      </c>
    </row>
    <row r="141" spans="6:12" s="15" customFormat="1" ht="14.25" x14ac:dyDescent="0.45">
      <c r="F141" s="13" t="s">
        <v>793</v>
      </c>
      <c r="G141" s="13">
        <v>-0.14000000000000001</v>
      </c>
      <c r="H141" s="12">
        <v>0.62</v>
      </c>
      <c r="I141" s="12">
        <v>-1.06</v>
      </c>
      <c r="J141" s="12">
        <v>-0.2</v>
      </c>
      <c r="K141" s="12">
        <v>0.84</v>
      </c>
      <c r="L141" s="12">
        <v>-0.23</v>
      </c>
    </row>
    <row r="142" spans="6:12" s="15" customFormat="1" ht="14.25" x14ac:dyDescent="0.45">
      <c r="F142" s="13" t="s">
        <v>794</v>
      </c>
      <c r="G142" s="13">
        <v>5.99</v>
      </c>
      <c r="H142" s="12">
        <v>-0.68</v>
      </c>
      <c r="I142" s="12">
        <v>0.26</v>
      </c>
      <c r="J142" s="12">
        <v>0.19</v>
      </c>
      <c r="K142" s="12">
        <v>-0.09</v>
      </c>
      <c r="L142" s="12">
        <v>-1.65</v>
      </c>
    </row>
    <row r="143" spans="6:12" s="15" customFormat="1" ht="14.25" x14ac:dyDescent="0.45">
      <c r="F143" s="13" t="s">
        <v>795</v>
      </c>
      <c r="G143" s="13">
        <v>-1.45</v>
      </c>
      <c r="H143" s="12">
        <v>-1.04</v>
      </c>
      <c r="I143" s="12">
        <v>1.8</v>
      </c>
      <c r="J143" s="12">
        <v>-0.18</v>
      </c>
      <c r="K143" s="12">
        <v>1.07</v>
      </c>
      <c r="L143" s="12">
        <v>0.21</v>
      </c>
    </row>
  </sheetData>
  <mergeCells count="1">
    <mergeCell ref="H11:L11"/>
  </mergeCells>
  <pageMargins left="0.511811024" right="0.511811024" top="0.78740157499999996" bottom="0.78740157499999996" header="0.31496062000000002" footer="0.3149606200000000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FFE9D-CA8D-4538-8E14-6EF44AA061B4}">
  <sheetPr codeName="Planilha72">
    <tabColor theme="9" tint="0.59999389629810485"/>
  </sheetPr>
  <dimension ref="A1:AA147"/>
  <sheetViews>
    <sheetView showGridLines="0" zoomScale="85" zoomScaleNormal="85" workbookViewId="0">
      <selection activeCell="T15" sqref="T15"/>
    </sheetView>
  </sheetViews>
  <sheetFormatPr defaultColWidth="8.796875" defaultRowHeight="18" x14ac:dyDescent="0.55000000000000004"/>
  <cols>
    <col min="1" max="1" width="12.6640625" style="17" customWidth="1"/>
    <col min="2" max="2" width="61.796875" customWidth="1"/>
    <col min="3" max="3" width="9.6640625" customWidth="1"/>
    <col min="4" max="4" width="8.796875" customWidth="1"/>
    <col min="5" max="5" width="10" bestFit="1" customWidth="1"/>
    <col min="6" max="6" width="22.33203125" bestFit="1" customWidth="1"/>
    <col min="7" max="12" width="14.33203125" customWidth="1"/>
    <col min="14" max="14" width="12.33203125" style="15" bestFit="1" customWidth="1"/>
    <col min="15" max="17" width="8.796875" style="15"/>
    <col min="18" max="18" width="10.6640625" style="15" bestFit="1" customWidth="1"/>
    <col min="19" max="19" width="7.6640625" style="15" customWidth="1"/>
    <col min="20" max="27" width="8.796875" style="15"/>
  </cols>
  <sheetData>
    <row r="1" spans="1:24" x14ac:dyDescent="0.55000000000000004">
      <c r="A1" s="16" t="s">
        <v>965</v>
      </c>
      <c r="N1" s="14"/>
      <c r="O1" s="14"/>
      <c r="P1" s="14"/>
      <c r="Q1" s="14"/>
      <c r="R1" s="14"/>
      <c r="S1" s="14"/>
      <c r="T1" s="14"/>
      <c r="U1" s="14"/>
      <c r="V1" s="14"/>
      <c r="W1" s="14"/>
      <c r="X1" s="14"/>
    </row>
    <row r="2" spans="1:24" x14ac:dyDescent="0.55000000000000004">
      <c r="A2" s="17" t="s">
        <v>966</v>
      </c>
      <c r="N2" s="14"/>
      <c r="O2" s="14"/>
      <c r="P2" s="14"/>
      <c r="Q2" s="14"/>
      <c r="R2" s="14"/>
      <c r="S2" s="14"/>
      <c r="T2" s="14"/>
      <c r="U2" s="14"/>
      <c r="V2" s="14"/>
      <c r="W2" s="14"/>
      <c r="X2" s="14"/>
    </row>
    <row r="3" spans="1:24" x14ac:dyDescent="0.55000000000000004">
      <c r="P3" s="27"/>
    </row>
    <row r="4" spans="1:24" ht="15.75" x14ac:dyDescent="0.5">
      <c r="A4" s="2" t="s">
        <v>15</v>
      </c>
      <c r="B4" s="2" t="s">
        <v>16</v>
      </c>
      <c r="C4" s="2"/>
      <c r="P4" s="27"/>
    </row>
    <row r="5" spans="1:24" ht="15.75" x14ac:dyDescent="0.45">
      <c r="A5" s="23" t="s">
        <v>244</v>
      </c>
      <c r="B5" s="26" t="s">
        <v>967</v>
      </c>
      <c r="C5" s="26"/>
      <c r="P5" s="27"/>
    </row>
    <row r="6" spans="1:24" ht="15.75" x14ac:dyDescent="0.45">
      <c r="A6" s="23" t="s">
        <v>968</v>
      </c>
      <c r="B6" s="26" t="s">
        <v>969</v>
      </c>
      <c r="C6" s="26"/>
      <c r="P6" s="27"/>
    </row>
    <row r="7" spans="1:24" ht="31.5" x14ac:dyDescent="0.45">
      <c r="A7" s="23" t="s">
        <v>799</v>
      </c>
      <c r="B7" s="26" t="s">
        <v>802</v>
      </c>
      <c r="C7" s="26"/>
      <c r="P7" s="27"/>
    </row>
    <row r="8" spans="1:24" ht="47.25" x14ac:dyDescent="0.45">
      <c r="A8" s="23" t="s">
        <v>970</v>
      </c>
      <c r="B8" s="26" t="s">
        <v>971</v>
      </c>
      <c r="C8" s="26"/>
      <c r="P8" s="27"/>
    </row>
    <row r="9" spans="1:24" ht="15.75" x14ac:dyDescent="0.45">
      <c r="A9" s="23"/>
      <c r="B9" s="26"/>
      <c r="C9" s="26"/>
      <c r="P9" s="27"/>
      <c r="R9" s="60"/>
      <c r="S9" s="60"/>
    </row>
    <row r="10" spans="1:24" ht="15.75" x14ac:dyDescent="0.45">
      <c r="A10" s="23"/>
      <c r="B10" s="26"/>
      <c r="C10" s="26"/>
      <c r="P10" s="27"/>
      <c r="R10" s="60"/>
      <c r="S10" s="60"/>
    </row>
    <row r="11" spans="1:24" ht="15.75" x14ac:dyDescent="0.45">
      <c r="A11" s="23"/>
      <c r="B11" s="26"/>
      <c r="C11" s="26"/>
      <c r="D11" s="1" t="s">
        <v>17</v>
      </c>
      <c r="F11" s="13" t="s">
        <v>968</v>
      </c>
      <c r="G11" s="12"/>
      <c r="P11" s="27"/>
      <c r="R11" s="60"/>
      <c r="S11" s="60"/>
    </row>
    <row r="12" spans="1:24" ht="15.75" x14ac:dyDescent="0.45">
      <c r="A12" s="23"/>
      <c r="B12" s="26"/>
      <c r="C12" s="26"/>
      <c r="F12" s="13" t="s">
        <v>799</v>
      </c>
      <c r="G12" s="12">
        <v>2</v>
      </c>
      <c r="P12" s="27"/>
      <c r="R12" s="60"/>
      <c r="S12" s="60"/>
    </row>
    <row r="13" spans="1:24" x14ac:dyDescent="0.55000000000000004">
      <c r="F13" s="13" t="s">
        <v>970</v>
      </c>
      <c r="G13" s="12">
        <v>0</v>
      </c>
      <c r="P13" s="27"/>
      <c r="S13" s="53"/>
    </row>
    <row r="14" spans="1:24" ht="36.75" customHeight="1" x14ac:dyDescent="0.55000000000000004">
      <c r="N14" s="60" t="s">
        <v>249</v>
      </c>
      <c r="O14" s="124"/>
      <c r="P14" s="62"/>
      <c r="Q14" s="62"/>
      <c r="S14" s="53"/>
      <c r="T14" s="124" t="s">
        <v>801</v>
      </c>
    </row>
    <row r="15" spans="1:24" x14ac:dyDescent="0.55000000000000004">
      <c r="H15" s="182" t="s">
        <v>244</v>
      </c>
      <c r="I15" s="182"/>
      <c r="J15" s="182"/>
      <c r="K15" s="182"/>
      <c r="L15" s="182"/>
      <c r="N15" s="62" cm="1">
        <f t="array" ref="N15:R19">_xlfn.LAMBDA(_xlpm.a,_xlop.B,_xlop.dimension,_xlop.w,
_xlfn.LET(
_xlpm.useB, IF(OR(_xlfn.ISOMITTED(_xlpm.B),ISBLANK(_xlpm.B)), FALSE, TRUE),
_xlpm.dimension, IF(OR(_xlfn.ISOMITTED(_xlpm.dimension),ISBLANK(_xlpm.dimension)),2,IF(OR(_xlpm.dimension=1,_xlpm.dimension=2),_xlpm.dimension,0)),
_xlpm.w, IF(OR(_xlfn.ISOMITTED(_xlpm.w),ISBLANK(_xlpm.w)),0,_xlpm.w),
IF(_xlpm.useB, IF(_xlpm.w=0, _xlfn.COVARIANCE.S(_xlpm.a,_xlpm.B), _xlfn.COVARIANCE.P(_xlpm.a,_xlpm.B)),
_xlfn.SWITCH(_xlpm.dimension,
1,_xlfn.LAMBDA(_xlpm.p,MMULT(_xlpm.p,TRANSPOSE(_xlpm.p)) / (COLUMNS(_xlpm.p) - _xlfn.SWITCH(_xlpm.w, 0, 1, 1, 0)) )(_xlpm.a),
2,_xlfn.LAMBDA(_xlpm.p,MMULT(TRANSPOSE(_xlpm.p),_xlpm.p) / (ROWS(_xlpm.p) - _xlfn.SWITCH(_xlpm.w, 0, 1, 1, 0)) )(_xlpm.a),
"# Dimension must be either 1 (rows) or 2 (columns)"
))))($H$17:$L$147,$G$11,$G$12,$G$13)</f>
        <v>1.00085</v>
      </c>
      <c r="O15" s="62">
        <v>-6.2471538461538502E-2</v>
      </c>
      <c r="P15" s="62">
        <v>5.9980769230769219E-2</v>
      </c>
      <c r="Q15" s="62">
        <v>-0.32798538461538462</v>
      </c>
      <c r="R15" s="62">
        <v>0.27060999999999996</v>
      </c>
      <c r="S15" s="62"/>
      <c r="T15" s="62" cm="1">
        <f t="array" ref="T15:X19">COV($H$17:$L$147,$G$11,$G$12,$G$13)</f>
        <v>1.00085</v>
      </c>
      <c r="U15" s="62">
        <v>-6.2471538461538502E-2</v>
      </c>
      <c r="V15" s="62">
        <v>5.9980769230769219E-2</v>
      </c>
      <c r="W15" s="62">
        <v>-0.32798538461538462</v>
      </c>
      <c r="X15" s="62">
        <v>0.27060999999999996</v>
      </c>
    </row>
    <row r="16" spans="1:24" ht="29.25" x14ac:dyDescent="0.55000000000000004">
      <c r="F16" s="13" t="s">
        <v>658</v>
      </c>
      <c r="G16" s="123" t="s">
        <v>659</v>
      </c>
      <c r="H16" s="123" t="s">
        <v>660</v>
      </c>
      <c r="I16" s="123" t="s">
        <v>661</v>
      </c>
      <c r="J16" s="123" t="s">
        <v>662</v>
      </c>
      <c r="K16" s="123" t="s">
        <v>663</v>
      </c>
      <c r="L16" s="123" t="s">
        <v>664</v>
      </c>
      <c r="N16" s="62">
        <v>-6.2471538461538502E-2</v>
      </c>
      <c r="O16" s="62">
        <v>1.0001661538461544</v>
      </c>
      <c r="P16" s="62">
        <v>-3.7075384615384621E-2</v>
      </c>
      <c r="Q16" s="62">
        <v>-0.18011384615384615</v>
      </c>
      <c r="R16" s="62">
        <v>-1.0259230769230741E-2</v>
      </c>
      <c r="S16" s="62"/>
      <c r="T16" s="62">
        <v>-6.2471538461538502E-2</v>
      </c>
      <c r="U16" s="62">
        <v>1.0001661538461544</v>
      </c>
      <c r="V16" s="62">
        <v>-3.7075384615384621E-2</v>
      </c>
      <c r="W16" s="62">
        <v>-0.18011384615384615</v>
      </c>
      <c r="X16" s="62">
        <v>-1.0259230769230741E-2</v>
      </c>
    </row>
    <row r="17" spans="6:24" x14ac:dyDescent="0.55000000000000004">
      <c r="F17" s="13" t="s">
        <v>665</v>
      </c>
      <c r="G17" s="13">
        <v>-1.1299999999999999</v>
      </c>
      <c r="H17" s="12">
        <v>-0.36</v>
      </c>
      <c r="I17" s="12">
        <v>2.63</v>
      </c>
      <c r="J17" s="12">
        <v>-0.33</v>
      </c>
      <c r="K17" s="12">
        <v>-0.24</v>
      </c>
      <c r="L17" s="12">
        <v>0.09</v>
      </c>
      <c r="N17" s="62">
        <v>5.9980769230769219E-2</v>
      </c>
      <c r="O17" s="62">
        <v>-3.7075384615384621E-2</v>
      </c>
      <c r="P17" s="62">
        <v>1.0008453846153846</v>
      </c>
      <c r="Q17" s="62">
        <v>-4.8263846153846136E-2</v>
      </c>
      <c r="R17" s="62">
        <v>-3.5399230769230773E-2</v>
      </c>
      <c r="S17" s="62"/>
      <c r="T17" s="62">
        <v>5.9980769230769219E-2</v>
      </c>
      <c r="U17" s="62">
        <v>-3.7075384615384621E-2</v>
      </c>
      <c r="V17" s="62">
        <v>1.0008453846153846</v>
      </c>
      <c r="W17" s="62">
        <v>-4.8263846153846136E-2</v>
      </c>
      <c r="X17" s="62">
        <v>-3.5399230769230773E-2</v>
      </c>
    </row>
    <row r="18" spans="6:24" s="21" customFormat="1" ht="14.25" x14ac:dyDescent="0.45">
      <c r="F18" s="13" t="s">
        <v>666</v>
      </c>
      <c r="G18" s="13">
        <v>7.38</v>
      </c>
      <c r="H18" s="12">
        <v>-0.35</v>
      </c>
      <c r="I18" s="12">
        <v>-0.9</v>
      </c>
      <c r="J18" s="12">
        <v>-0.23</v>
      </c>
      <c r="K18" s="12">
        <v>-0.34</v>
      </c>
      <c r="L18" s="12">
        <v>-0.65</v>
      </c>
      <c r="M18"/>
      <c r="N18" s="62">
        <v>-0.32798538461538462</v>
      </c>
      <c r="O18" s="62">
        <v>-0.18011384615384615</v>
      </c>
      <c r="P18" s="62">
        <v>-4.8263846153846136E-2</v>
      </c>
      <c r="Q18" s="62">
        <v>0.99917461538461549</v>
      </c>
      <c r="R18" s="62">
        <v>-0.31952153846153852</v>
      </c>
      <c r="S18" s="62"/>
      <c r="T18" s="62">
        <v>-0.32798538461538462</v>
      </c>
      <c r="U18" s="62">
        <v>-0.18011384615384615</v>
      </c>
      <c r="V18" s="62">
        <v>-4.8263846153846136E-2</v>
      </c>
      <c r="W18" s="62">
        <v>0.99917461538461549</v>
      </c>
      <c r="X18" s="62">
        <v>-0.31952153846153852</v>
      </c>
    </row>
    <row r="19" spans="6:24" s="21" customFormat="1" ht="14.25" x14ac:dyDescent="0.45">
      <c r="F19" s="13" t="s">
        <v>667</v>
      </c>
      <c r="G19" s="13">
        <v>0.62</v>
      </c>
      <c r="H19" s="12">
        <v>1.43</v>
      </c>
      <c r="I19" s="12">
        <v>-0.19</v>
      </c>
      <c r="J19" s="12">
        <v>-0.13</v>
      </c>
      <c r="K19" s="12">
        <v>-0.31</v>
      </c>
      <c r="L19" s="12">
        <v>0.44</v>
      </c>
      <c r="M19"/>
      <c r="N19" s="62">
        <v>0.27060999999999996</v>
      </c>
      <c r="O19" s="62">
        <v>-1.0259230769230741E-2</v>
      </c>
      <c r="P19" s="62">
        <v>-3.5399230769230773E-2</v>
      </c>
      <c r="Q19" s="62">
        <v>-0.31952153846153852</v>
      </c>
      <c r="R19" s="62">
        <v>1.000891538461538</v>
      </c>
      <c r="S19" s="62"/>
      <c r="T19" s="62">
        <v>0.27060999999999996</v>
      </c>
      <c r="U19" s="62">
        <v>-1.0259230769230741E-2</v>
      </c>
      <c r="V19" s="62">
        <v>-3.5399230769230773E-2</v>
      </c>
      <c r="W19" s="62">
        <v>-0.31952153846153852</v>
      </c>
      <c r="X19" s="62">
        <v>1.000891538461538</v>
      </c>
    </row>
    <row r="20" spans="6:24" s="21" customFormat="1" ht="14.25" x14ac:dyDescent="0.45">
      <c r="F20" s="13" t="s">
        <v>668</v>
      </c>
      <c r="G20" s="13">
        <v>1</v>
      </c>
      <c r="H20" s="12">
        <v>1.36</v>
      </c>
      <c r="I20" s="12">
        <v>0.09</v>
      </c>
      <c r="J20" s="12">
        <v>-0.57999999999999996</v>
      </c>
      <c r="K20" s="12">
        <v>-0.32</v>
      </c>
      <c r="L20" s="12">
        <v>0.51</v>
      </c>
      <c r="M20"/>
      <c r="N20" s="62"/>
      <c r="O20" s="62"/>
      <c r="P20" s="62"/>
      <c r="Q20" s="62"/>
      <c r="R20" s="62"/>
      <c r="S20" s="62"/>
      <c r="T20" s="62"/>
      <c r="U20" s="62"/>
      <c r="V20" s="62"/>
      <c r="W20" s="62"/>
      <c r="X20" s="62"/>
    </row>
    <row r="21" spans="6:24" s="21" customFormat="1" ht="14.25" x14ac:dyDescent="0.45">
      <c r="F21" s="13" t="s">
        <v>669</v>
      </c>
      <c r="G21" s="13">
        <v>1.37</v>
      </c>
      <c r="H21" s="12">
        <v>-0.27</v>
      </c>
      <c r="I21" s="12">
        <v>-0.56999999999999995</v>
      </c>
      <c r="J21" s="12">
        <v>-0.1</v>
      </c>
      <c r="K21" s="12">
        <v>-0.12</v>
      </c>
      <c r="L21" s="12">
        <v>-0.93</v>
      </c>
      <c r="M21"/>
      <c r="N21" s="62"/>
      <c r="O21" s="62"/>
      <c r="P21" s="62"/>
      <c r="Q21" s="62"/>
      <c r="R21" s="62"/>
      <c r="S21" s="62"/>
      <c r="T21" s="62"/>
      <c r="U21" s="62"/>
      <c r="V21" s="62"/>
      <c r="W21" s="62"/>
      <c r="X21" s="62"/>
    </row>
    <row r="22" spans="6:24" s="21" customFormat="1" ht="14.25" x14ac:dyDescent="0.45">
      <c r="F22" s="13" t="s">
        <v>670</v>
      </c>
      <c r="G22" s="13">
        <v>0.22</v>
      </c>
      <c r="H22" s="12">
        <v>1.07</v>
      </c>
      <c r="I22" s="12">
        <v>0.15</v>
      </c>
      <c r="J22" s="12">
        <v>-0.22</v>
      </c>
      <c r="K22" s="12">
        <v>-0.14000000000000001</v>
      </c>
      <c r="L22" s="12">
        <v>-0.37</v>
      </c>
      <c r="M22"/>
      <c r="N22" s="62"/>
      <c r="O22" s="62"/>
      <c r="P22" s="62"/>
      <c r="Q22" s="62"/>
      <c r="R22" s="62"/>
      <c r="S22" s="62"/>
      <c r="T22" s="62"/>
      <c r="U22" s="62"/>
      <c r="V22" s="62"/>
      <c r="W22" s="62"/>
      <c r="X22" s="62"/>
    </row>
    <row r="23" spans="6:24" s="21" customFormat="1" ht="14.25" x14ac:dyDescent="0.45">
      <c r="F23" s="13" t="s">
        <v>671</v>
      </c>
      <c r="G23" s="13">
        <v>7.03</v>
      </c>
      <c r="H23" s="12">
        <v>-0.97</v>
      </c>
      <c r="I23" s="12">
        <v>0.85</v>
      </c>
      <c r="J23" s="12">
        <v>-0.34</v>
      </c>
      <c r="K23" s="12">
        <v>0.42</v>
      </c>
      <c r="L23" s="12">
        <v>-1.69</v>
      </c>
      <c r="M23"/>
      <c r="N23" s="62"/>
      <c r="O23" s="62"/>
      <c r="P23" s="62"/>
      <c r="Q23" s="62"/>
      <c r="R23" s="62"/>
      <c r="S23" s="62"/>
      <c r="T23" s="62"/>
      <c r="U23" s="62"/>
      <c r="V23" s="62"/>
      <c r="W23" s="62"/>
      <c r="X23" s="62"/>
    </row>
    <row r="24" spans="6:24" s="21" customFormat="1" ht="14.25" x14ac:dyDescent="0.45">
      <c r="F24" s="13" t="s">
        <v>672</v>
      </c>
      <c r="G24" s="13">
        <v>-0.23</v>
      </c>
      <c r="H24" s="12">
        <v>0.63</v>
      </c>
      <c r="I24" s="12">
        <v>-1.1100000000000001</v>
      </c>
      <c r="J24" s="12">
        <v>-0.01</v>
      </c>
      <c r="K24" s="12">
        <v>0.15</v>
      </c>
      <c r="L24" s="12">
        <v>-0.84</v>
      </c>
      <c r="M24"/>
      <c r="N24" s="62"/>
      <c r="O24" s="62"/>
      <c r="P24" s="62"/>
      <c r="Q24" s="62"/>
      <c r="R24" s="62"/>
      <c r="S24" s="62"/>
      <c r="T24" s="62"/>
      <c r="U24" s="62"/>
      <c r="V24" s="62"/>
      <c r="W24" s="62"/>
      <c r="X24" s="62"/>
    </row>
    <row r="25" spans="6:24" s="21" customFormat="1" ht="14.25" x14ac:dyDescent="0.45">
      <c r="F25" s="13" t="s">
        <v>673</v>
      </c>
      <c r="G25" s="13">
        <v>1.4</v>
      </c>
      <c r="H25" s="12">
        <v>-7.0000000000000007E-2</v>
      </c>
      <c r="I25" s="12">
        <v>0.53</v>
      </c>
      <c r="J25" s="12">
        <v>-0.21</v>
      </c>
      <c r="K25" s="12">
        <v>0.42</v>
      </c>
      <c r="L25" s="12">
        <v>-0.09</v>
      </c>
      <c r="M25"/>
      <c r="N25" s="62"/>
      <c r="O25" s="15"/>
      <c r="P25" s="27"/>
      <c r="Q25" s="15"/>
      <c r="R25" s="15"/>
      <c r="S25" s="53"/>
      <c r="T25" s="15"/>
      <c r="U25" s="15"/>
      <c r="V25" s="15"/>
      <c r="W25" s="15"/>
      <c r="X25" s="15"/>
    </row>
    <row r="26" spans="6:24" s="21" customFormat="1" ht="14.25" x14ac:dyDescent="0.45">
      <c r="F26" s="13" t="s">
        <v>674</v>
      </c>
      <c r="G26" s="13">
        <v>1.24</v>
      </c>
      <c r="H26" s="12">
        <v>1.31</v>
      </c>
      <c r="I26" s="12">
        <v>0.03</v>
      </c>
      <c r="J26" s="12">
        <v>-0.92</v>
      </c>
      <c r="K26" s="12">
        <v>-0.34</v>
      </c>
      <c r="L26" s="12">
        <v>1.1100000000000001</v>
      </c>
      <c r="M26"/>
      <c r="N26" s="27"/>
      <c r="O26" s="15"/>
      <c r="P26" s="27"/>
      <c r="Q26" s="15"/>
      <c r="R26" s="15"/>
      <c r="S26" s="53"/>
      <c r="T26" s="15"/>
      <c r="U26" s="15"/>
      <c r="V26" s="15"/>
      <c r="W26" s="15"/>
      <c r="X26" s="15"/>
    </row>
    <row r="27" spans="6:24" s="21" customFormat="1" ht="14.25" x14ac:dyDescent="0.45">
      <c r="F27" s="13" t="s">
        <v>675</v>
      </c>
      <c r="G27" s="13">
        <v>4</v>
      </c>
      <c r="H27" s="12">
        <v>-1.18</v>
      </c>
      <c r="I27" s="12">
        <v>0.11</v>
      </c>
      <c r="J27" s="12">
        <v>-0.26</v>
      </c>
      <c r="K27" s="12">
        <v>-0.77</v>
      </c>
      <c r="L27" s="12">
        <v>-1.01</v>
      </c>
      <c r="M27"/>
      <c r="N27" s="27"/>
      <c r="O27" s="15"/>
      <c r="P27" s="27"/>
      <c r="Q27" s="15"/>
      <c r="R27" s="15"/>
      <c r="S27" s="53"/>
      <c r="T27" s="15"/>
      <c r="U27" s="15"/>
      <c r="V27" s="15"/>
      <c r="W27" s="15"/>
      <c r="X27" s="15"/>
    </row>
    <row r="28" spans="6:24" s="21" customFormat="1" ht="14.25" x14ac:dyDescent="0.45">
      <c r="F28" s="13" t="s">
        <v>676</v>
      </c>
      <c r="G28" s="13">
        <v>4.26</v>
      </c>
      <c r="H28" s="12">
        <v>-0.52</v>
      </c>
      <c r="I28" s="12">
        <v>1.63</v>
      </c>
      <c r="J28" s="12">
        <v>-0.35</v>
      </c>
      <c r="K28" s="12">
        <v>-0.1</v>
      </c>
      <c r="L28" s="12">
        <v>0.32</v>
      </c>
      <c r="M28"/>
      <c r="N28" s="27"/>
      <c r="O28" s="15"/>
      <c r="P28" s="27"/>
      <c r="Q28" s="15"/>
      <c r="R28" s="15"/>
      <c r="S28" s="53"/>
      <c r="T28" s="15"/>
      <c r="U28" s="15"/>
      <c r="V28" s="15"/>
      <c r="W28" s="15"/>
      <c r="X28" s="15"/>
    </row>
    <row r="29" spans="6:24" s="21" customFormat="1" ht="14.25" x14ac:dyDescent="0.45">
      <c r="F29" s="13" t="s">
        <v>677</v>
      </c>
      <c r="G29" s="13">
        <v>0.8</v>
      </c>
      <c r="H29" s="12">
        <v>-0.46</v>
      </c>
      <c r="I29" s="12">
        <v>-0.6</v>
      </c>
      <c r="J29" s="12">
        <v>-0.46</v>
      </c>
      <c r="K29" s="12">
        <v>-0.26</v>
      </c>
      <c r="L29" s="12">
        <v>0.28999999999999998</v>
      </c>
      <c r="M29"/>
      <c r="N29" s="27"/>
      <c r="O29" s="15"/>
      <c r="P29" s="27"/>
      <c r="Q29" s="15"/>
      <c r="R29" s="15"/>
      <c r="S29" s="53"/>
      <c r="T29" s="15"/>
      <c r="U29" s="15"/>
      <c r="V29" s="15"/>
      <c r="W29" s="15"/>
      <c r="X29" s="15"/>
    </row>
    <row r="30" spans="6:24" s="21" customFormat="1" ht="14.25" x14ac:dyDescent="0.45">
      <c r="F30" s="13" t="s">
        <v>678</v>
      </c>
      <c r="G30" s="13">
        <v>3.39</v>
      </c>
      <c r="H30" s="12">
        <v>-0.1</v>
      </c>
      <c r="I30" s="12">
        <v>-0.38</v>
      </c>
      <c r="J30" s="12">
        <v>-0.22</v>
      </c>
      <c r="K30" s="12">
        <v>-0.5</v>
      </c>
      <c r="L30" s="12">
        <v>0.51</v>
      </c>
      <c r="M30"/>
      <c r="N30" s="27"/>
      <c r="O30" s="15"/>
      <c r="P30" s="27"/>
      <c r="Q30" s="15"/>
      <c r="R30" s="15"/>
      <c r="S30" s="53"/>
      <c r="T30" s="15"/>
      <c r="U30" s="15"/>
      <c r="V30" s="15"/>
      <c r="W30" s="15"/>
      <c r="X30" s="15"/>
    </row>
    <row r="31" spans="6:24" s="21" customFormat="1" ht="14.25" x14ac:dyDescent="0.45">
      <c r="F31" s="13" t="s">
        <v>679</v>
      </c>
      <c r="G31" s="13">
        <v>0.75</v>
      </c>
      <c r="H31" s="12">
        <v>0.11</v>
      </c>
      <c r="I31" s="12">
        <v>1.25</v>
      </c>
      <c r="J31" s="12">
        <v>-0.27</v>
      </c>
      <c r="K31" s="12">
        <v>-0.09</v>
      </c>
      <c r="L31" s="12">
        <v>0.34</v>
      </c>
      <c r="M31"/>
      <c r="N31" s="27"/>
      <c r="O31" s="15"/>
      <c r="P31" s="27"/>
      <c r="Q31" s="15"/>
      <c r="R31" s="15"/>
      <c r="S31" s="53"/>
      <c r="T31" s="15"/>
      <c r="U31" s="15"/>
      <c r="V31" s="15"/>
      <c r="W31" s="15"/>
      <c r="X31" s="15"/>
    </row>
    <row r="32" spans="6:24" s="21" customFormat="1" ht="14.25" x14ac:dyDescent="0.45">
      <c r="F32" s="13" t="s">
        <v>680</v>
      </c>
      <c r="G32" s="13">
        <v>0.38</v>
      </c>
      <c r="H32" s="12">
        <v>0.17</v>
      </c>
      <c r="I32" s="12">
        <v>-1.19</v>
      </c>
      <c r="J32" s="12">
        <v>-0.04</v>
      </c>
      <c r="K32" s="12">
        <v>0.08</v>
      </c>
      <c r="L32" s="12">
        <v>0.65</v>
      </c>
      <c r="M32"/>
      <c r="N32" s="27"/>
      <c r="O32" s="15"/>
      <c r="P32" s="27"/>
      <c r="Q32" s="15"/>
      <c r="R32" s="15"/>
      <c r="S32" s="53"/>
      <c r="T32" s="15"/>
      <c r="U32" s="15"/>
      <c r="V32" s="15"/>
      <c r="W32" s="15"/>
      <c r="X32" s="15"/>
    </row>
    <row r="33" spans="6:12" s="21" customFormat="1" ht="14.25" x14ac:dyDescent="0.45">
      <c r="F33" s="13" t="s">
        <v>681</v>
      </c>
      <c r="G33" s="13">
        <v>2.83</v>
      </c>
      <c r="H33" s="12">
        <v>1.03</v>
      </c>
      <c r="I33" s="12">
        <v>1.72</v>
      </c>
      <c r="J33" s="12">
        <v>-0.14000000000000001</v>
      </c>
      <c r="K33" s="12">
        <v>-0.67</v>
      </c>
      <c r="L33" s="12">
        <v>1.44</v>
      </c>
    </row>
    <row r="34" spans="6:12" s="21" customFormat="1" ht="14.25" x14ac:dyDescent="0.45">
      <c r="F34" s="13" t="s">
        <v>682</v>
      </c>
      <c r="G34" s="13">
        <v>4.43</v>
      </c>
      <c r="H34" s="12">
        <v>0.2</v>
      </c>
      <c r="I34" s="12">
        <v>-0.45</v>
      </c>
      <c r="J34" s="12">
        <v>-0.17</v>
      </c>
      <c r="K34" s="12">
        <v>-0.03</v>
      </c>
      <c r="L34" s="12">
        <v>7.0000000000000007E-2</v>
      </c>
    </row>
    <row r="35" spans="6:12" s="21" customFormat="1" ht="14.25" x14ac:dyDescent="0.45">
      <c r="F35" s="13" t="s">
        <v>683</v>
      </c>
      <c r="G35" s="13">
        <v>2.74</v>
      </c>
      <c r="H35" s="12">
        <v>-1.47</v>
      </c>
      <c r="I35" s="12">
        <v>-0.22</v>
      </c>
      <c r="J35" s="12">
        <v>-0.31</v>
      </c>
      <c r="K35" s="12">
        <v>-1.19</v>
      </c>
      <c r="L35" s="12">
        <v>0.44</v>
      </c>
    </row>
    <row r="36" spans="6:12" s="21" customFormat="1" ht="14.25" x14ac:dyDescent="0.45">
      <c r="F36" s="13" t="s">
        <v>684</v>
      </c>
      <c r="G36" s="13">
        <v>-1.29</v>
      </c>
      <c r="H36" s="12">
        <v>-2.2200000000000002</v>
      </c>
      <c r="I36" s="12">
        <v>-1.54</v>
      </c>
      <c r="J36" s="12">
        <v>-0.4</v>
      </c>
      <c r="K36" s="12">
        <v>-0.73</v>
      </c>
      <c r="L36" s="12">
        <v>1.87</v>
      </c>
    </row>
    <row r="37" spans="6:12" s="21" customFormat="1" ht="14.25" x14ac:dyDescent="0.45">
      <c r="F37" s="13" t="s">
        <v>685</v>
      </c>
      <c r="G37" s="13">
        <v>4.4800000000000004</v>
      </c>
      <c r="H37" s="12">
        <v>-0.45</v>
      </c>
      <c r="I37" s="12">
        <v>1.31</v>
      </c>
      <c r="J37" s="12">
        <v>0.11</v>
      </c>
      <c r="K37" s="12">
        <v>-0.4</v>
      </c>
      <c r="L37" s="12">
        <v>0.2</v>
      </c>
    </row>
    <row r="38" spans="6:12" s="21" customFormat="1" ht="14.25" x14ac:dyDescent="0.45">
      <c r="F38" s="13" t="s">
        <v>686</v>
      </c>
      <c r="G38" s="13">
        <v>1.07</v>
      </c>
      <c r="H38" s="12">
        <v>-1.04</v>
      </c>
      <c r="I38" s="12">
        <v>-0.26</v>
      </c>
      <c r="J38" s="12">
        <v>-0.15</v>
      </c>
      <c r="K38" s="12">
        <v>-0.15</v>
      </c>
      <c r="L38" s="12">
        <v>-0.92</v>
      </c>
    </row>
    <row r="39" spans="6:12" s="21" customFormat="1" ht="14.25" x14ac:dyDescent="0.45">
      <c r="F39" s="13" t="s">
        <v>687</v>
      </c>
      <c r="G39" s="13">
        <v>0.22</v>
      </c>
      <c r="H39" s="12">
        <v>1.29</v>
      </c>
      <c r="I39" s="12">
        <v>-0.25</v>
      </c>
      <c r="J39" s="12">
        <v>-0.15</v>
      </c>
      <c r="K39" s="12">
        <v>-0.24</v>
      </c>
      <c r="L39" s="12">
        <v>0.79</v>
      </c>
    </row>
    <row r="40" spans="6:12" s="21" customFormat="1" ht="14.25" x14ac:dyDescent="0.45">
      <c r="F40" s="13" t="s">
        <v>688</v>
      </c>
      <c r="G40" s="13">
        <v>0.21</v>
      </c>
      <c r="H40" s="12">
        <v>-1.55</v>
      </c>
      <c r="I40" s="12">
        <v>-0.41</v>
      </c>
      <c r="J40" s="12">
        <v>0.08</v>
      </c>
      <c r="K40" s="12">
        <v>-0.78</v>
      </c>
      <c r="L40" s="12">
        <v>-2.13</v>
      </c>
    </row>
    <row r="41" spans="6:12" s="21" customFormat="1" ht="14.25" x14ac:dyDescent="0.45">
      <c r="F41" s="13" t="s">
        <v>689</v>
      </c>
      <c r="G41" s="13">
        <v>-0.13</v>
      </c>
      <c r="H41" s="12">
        <v>0.56000000000000005</v>
      </c>
      <c r="I41" s="12">
        <v>-0.24</v>
      </c>
      <c r="J41" s="12">
        <v>0</v>
      </c>
      <c r="K41" s="12">
        <v>-0.13</v>
      </c>
      <c r="L41" s="12">
        <v>-0.3</v>
      </c>
    </row>
    <row r="42" spans="6:12" s="21" customFormat="1" ht="14.25" x14ac:dyDescent="0.45">
      <c r="F42" s="13" t="s">
        <v>690</v>
      </c>
      <c r="G42" s="13">
        <v>5.57</v>
      </c>
      <c r="H42" s="12">
        <v>0.24</v>
      </c>
      <c r="I42" s="12">
        <v>2.29</v>
      </c>
      <c r="J42" s="12">
        <v>-0.3</v>
      </c>
      <c r="K42" s="12">
        <v>-7.0000000000000007E-2</v>
      </c>
      <c r="L42" s="12">
        <v>0.06</v>
      </c>
    </row>
    <row r="43" spans="6:12" s="21" customFormat="1" ht="14.25" x14ac:dyDescent="0.45">
      <c r="F43" s="13" t="s">
        <v>691</v>
      </c>
      <c r="G43" s="13">
        <v>1.87</v>
      </c>
      <c r="H43" s="12">
        <v>-0.03</v>
      </c>
      <c r="I43" s="12">
        <v>-0.3</v>
      </c>
      <c r="J43" s="12">
        <v>0.02</v>
      </c>
      <c r="K43" s="12">
        <v>0.04</v>
      </c>
      <c r="L43" s="12">
        <v>-0.16</v>
      </c>
    </row>
    <row r="44" spans="6:12" s="21" customFormat="1" ht="14.25" x14ac:dyDescent="0.45">
      <c r="F44" s="13" t="s">
        <v>692</v>
      </c>
      <c r="G44" s="13">
        <v>-5.98</v>
      </c>
      <c r="H44" s="12">
        <v>-0.68</v>
      </c>
      <c r="I44" s="12">
        <v>7.0000000000000007E-2</v>
      </c>
      <c r="J44" s="12">
        <v>2.23</v>
      </c>
      <c r="K44" s="12">
        <v>-0.2</v>
      </c>
      <c r="L44" s="12">
        <v>-0.69</v>
      </c>
    </row>
    <row r="45" spans="6:12" s="21" customFormat="1" ht="14.25" x14ac:dyDescent="0.45">
      <c r="F45" s="13" t="s">
        <v>693</v>
      </c>
      <c r="G45" s="13">
        <v>1.1100000000000001</v>
      </c>
      <c r="H45" s="12">
        <v>0.37</v>
      </c>
      <c r="I45" s="12">
        <v>-0.87</v>
      </c>
      <c r="J45" s="12">
        <v>-0.01</v>
      </c>
      <c r="K45" s="12">
        <v>-0.22</v>
      </c>
      <c r="L45" s="12">
        <v>0.17</v>
      </c>
    </row>
    <row r="46" spans="6:12" s="21" customFormat="1" ht="14.25" x14ac:dyDescent="0.45">
      <c r="F46" s="13" t="s">
        <v>694</v>
      </c>
      <c r="G46" s="13">
        <v>3.56</v>
      </c>
      <c r="H46" s="12">
        <v>-0.76</v>
      </c>
      <c r="I46" s="12">
        <v>-0.57999999999999996</v>
      </c>
      <c r="J46" s="12">
        <v>-0.24</v>
      </c>
      <c r="K46" s="12">
        <v>-0.8</v>
      </c>
      <c r="L46" s="12">
        <v>-1.05</v>
      </c>
    </row>
    <row r="47" spans="6:12" s="21" customFormat="1" ht="14.25" x14ac:dyDescent="0.45">
      <c r="F47" s="13" t="s">
        <v>695</v>
      </c>
      <c r="G47" s="13">
        <v>3.37</v>
      </c>
      <c r="H47" s="12">
        <v>0.52</v>
      </c>
      <c r="I47" s="12">
        <v>-0.25</v>
      </c>
      <c r="J47" s="12">
        <v>-0.22</v>
      </c>
      <c r="K47" s="12">
        <v>-0.46</v>
      </c>
      <c r="L47" s="12">
        <v>0.56000000000000005</v>
      </c>
    </row>
    <row r="48" spans="6:12" s="21" customFormat="1" ht="14.25" x14ac:dyDescent="0.45">
      <c r="F48" s="13" t="s">
        <v>696</v>
      </c>
      <c r="G48" s="13">
        <v>1.86</v>
      </c>
      <c r="H48" s="12">
        <v>0.96</v>
      </c>
      <c r="I48" s="12">
        <v>-0.6</v>
      </c>
      <c r="J48" s="12">
        <v>9.56</v>
      </c>
      <c r="K48" s="12">
        <v>-0.56000000000000005</v>
      </c>
      <c r="L48" s="12">
        <v>0.03</v>
      </c>
    </row>
    <row r="49" spans="6:12" s="21" customFormat="1" ht="14.25" x14ac:dyDescent="0.45">
      <c r="F49" s="13" t="s">
        <v>697</v>
      </c>
      <c r="G49" s="13">
        <v>1.95</v>
      </c>
      <c r="H49" s="12">
        <v>0.82</v>
      </c>
      <c r="I49" s="12">
        <v>0.27</v>
      </c>
      <c r="J49" s="12">
        <v>-0.05</v>
      </c>
      <c r="K49" s="12">
        <v>-0.08</v>
      </c>
      <c r="L49" s="12">
        <v>0.56000000000000005</v>
      </c>
    </row>
    <row r="50" spans="6:12" s="21" customFormat="1" ht="14.25" x14ac:dyDescent="0.45">
      <c r="F50" s="13" t="s">
        <v>698</v>
      </c>
      <c r="G50" s="13">
        <v>2.41</v>
      </c>
      <c r="H50" s="12">
        <v>1.48</v>
      </c>
      <c r="I50" s="12">
        <v>-0.25</v>
      </c>
      <c r="J50" s="12">
        <v>-0.61</v>
      </c>
      <c r="K50" s="12">
        <v>-0.46</v>
      </c>
      <c r="L50" s="12">
        <v>1.24</v>
      </c>
    </row>
    <row r="51" spans="6:12" s="21" customFormat="1" ht="14.25" x14ac:dyDescent="0.45">
      <c r="F51" s="13" t="s">
        <v>699</v>
      </c>
      <c r="G51" s="13">
        <v>3.96</v>
      </c>
      <c r="H51" s="12">
        <v>0.1</v>
      </c>
      <c r="I51" s="12">
        <v>0.16</v>
      </c>
      <c r="J51" s="12">
        <v>-0.1</v>
      </c>
      <c r="K51" s="12">
        <v>-0.27</v>
      </c>
      <c r="L51" s="12">
        <v>-0.89</v>
      </c>
    </row>
    <row r="52" spans="6:12" s="21" customFormat="1" ht="14.25" x14ac:dyDescent="0.45">
      <c r="F52" s="13" t="s">
        <v>700</v>
      </c>
      <c r="G52" s="13">
        <v>-1.61</v>
      </c>
      <c r="H52" s="12">
        <v>-7.0000000000000007E-2</v>
      </c>
      <c r="I52" s="12">
        <v>0.03</v>
      </c>
      <c r="J52" s="12">
        <v>-0.32</v>
      </c>
      <c r="K52" s="12">
        <v>-0.55000000000000004</v>
      </c>
      <c r="L52" s="12">
        <v>-0.31</v>
      </c>
    </row>
    <row r="53" spans="6:12" s="21" customFormat="1" ht="14.25" x14ac:dyDescent="0.45">
      <c r="F53" s="13" t="s">
        <v>701</v>
      </c>
      <c r="G53" s="13">
        <v>1.86</v>
      </c>
      <c r="H53" s="12">
        <v>-0.37</v>
      </c>
      <c r="I53" s="12">
        <v>-0.69</v>
      </c>
      <c r="J53" s="12">
        <v>-0.15</v>
      </c>
      <c r="K53" s="12">
        <v>-0.59</v>
      </c>
      <c r="L53" s="12">
        <v>-7.0000000000000007E-2</v>
      </c>
    </row>
    <row r="54" spans="6:12" s="21" customFormat="1" ht="14.25" x14ac:dyDescent="0.45">
      <c r="F54" s="13" t="s">
        <v>702</v>
      </c>
      <c r="G54" s="13">
        <v>-8.85</v>
      </c>
      <c r="H54" s="12">
        <v>0.25</v>
      </c>
      <c r="I54" s="12">
        <v>-1.42</v>
      </c>
      <c r="J54" s="12">
        <v>-0.01</v>
      </c>
      <c r="K54" s="12">
        <v>-0.37</v>
      </c>
      <c r="L54" s="12">
        <v>1.61</v>
      </c>
    </row>
    <row r="55" spans="6:12" s="21" customFormat="1" ht="14.25" x14ac:dyDescent="0.45">
      <c r="F55" s="13" t="s">
        <v>703</v>
      </c>
      <c r="G55" s="13">
        <v>4.63</v>
      </c>
      <c r="H55" s="12">
        <v>0.82</v>
      </c>
      <c r="I55" s="12">
        <v>0.37</v>
      </c>
      <c r="J55" s="12">
        <v>0.5</v>
      </c>
      <c r="K55" s="12">
        <v>-0.18</v>
      </c>
      <c r="L55" s="12">
        <v>0.57999999999999996</v>
      </c>
    </row>
    <row r="56" spans="6:12" s="21" customFormat="1" ht="14.25" x14ac:dyDescent="0.45">
      <c r="F56" s="13" t="s">
        <v>704</v>
      </c>
      <c r="G56" s="13">
        <v>1.18</v>
      </c>
      <c r="H56" s="12">
        <v>-0.36</v>
      </c>
      <c r="I56" s="12">
        <v>-1.39</v>
      </c>
      <c r="J56" s="12">
        <v>-0.13</v>
      </c>
      <c r="K56" s="12">
        <v>-0.13</v>
      </c>
      <c r="L56" s="12">
        <v>0.72</v>
      </c>
    </row>
    <row r="57" spans="6:12" s="21" customFormat="1" ht="14.25" x14ac:dyDescent="0.45">
      <c r="F57" s="13" t="s">
        <v>705</v>
      </c>
      <c r="G57" s="13">
        <v>5.6</v>
      </c>
      <c r="H57" s="12">
        <v>-1.5</v>
      </c>
      <c r="I57" s="12">
        <v>1.3</v>
      </c>
      <c r="J57" s="12">
        <v>-0.15</v>
      </c>
      <c r="K57" s="12">
        <v>2.2999999999999998</v>
      </c>
      <c r="L57" s="12">
        <v>-1.2</v>
      </c>
    </row>
    <row r="58" spans="6:12" s="21" customFormat="1" ht="14.25" x14ac:dyDescent="0.45">
      <c r="F58" s="13" t="s">
        <v>706</v>
      </c>
      <c r="G58" s="13">
        <v>1.06</v>
      </c>
      <c r="H58" s="12">
        <v>1.34</v>
      </c>
      <c r="I58" s="12">
        <v>-7.0000000000000007E-2</v>
      </c>
      <c r="J58" s="12">
        <v>0.16</v>
      </c>
      <c r="K58" s="12">
        <v>-0.41</v>
      </c>
      <c r="L58" s="12">
        <v>1.1000000000000001</v>
      </c>
    </row>
    <row r="59" spans="6:12" s="21" customFormat="1" ht="14.25" x14ac:dyDescent="0.45">
      <c r="F59" s="13" t="s">
        <v>707</v>
      </c>
      <c r="G59" s="13">
        <v>1.37</v>
      </c>
      <c r="H59" s="12">
        <v>1.22</v>
      </c>
      <c r="I59" s="12">
        <v>-7.0000000000000007E-2</v>
      </c>
      <c r="J59" s="12">
        <v>-0.22</v>
      </c>
      <c r="K59" s="12">
        <v>-0.4</v>
      </c>
      <c r="L59" s="12">
        <v>1.1200000000000001</v>
      </c>
    </row>
    <row r="60" spans="6:12" s="21" customFormat="1" ht="14.25" x14ac:dyDescent="0.45">
      <c r="F60" s="13" t="s">
        <v>708</v>
      </c>
      <c r="G60" s="13">
        <v>1.39</v>
      </c>
      <c r="H60" s="12">
        <v>0.09</v>
      </c>
      <c r="I60" s="12">
        <v>-0.31</v>
      </c>
      <c r="J60" s="12">
        <v>0.48</v>
      </c>
      <c r="K60" s="12">
        <v>-0.15</v>
      </c>
      <c r="L60" s="12">
        <v>-0.9</v>
      </c>
    </row>
    <row r="61" spans="6:12" s="21" customFormat="1" ht="14.25" x14ac:dyDescent="0.45">
      <c r="F61" s="13" t="s">
        <v>709</v>
      </c>
      <c r="G61" s="13">
        <v>3</v>
      </c>
      <c r="H61" s="12">
        <v>-1.54</v>
      </c>
      <c r="I61" s="12">
        <v>-0.27</v>
      </c>
      <c r="J61" s="12">
        <v>-0.23</v>
      </c>
      <c r="K61" s="12">
        <v>0.7</v>
      </c>
      <c r="L61" s="12">
        <v>-1.37</v>
      </c>
    </row>
    <row r="62" spans="6:12" s="21" customFormat="1" ht="14.25" x14ac:dyDescent="0.45">
      <c r="F62" s="13" t="s">
        <v>710</v>
      </c>
      <c r="G62" s="13">
        <v>5.16</v>
      </c>
      <c r="H62" s="12">
        <v>-0.27</v>
      </c>
      <c r="I62" s="12">
        <v>0.31</v>
      </c>
      <c r="J62" s="12">
        <v>0.33</v>
      </c>
      <c r="K62" s="12">
        <v>0.28999999999999998</v>
      </c>
      <c r="L62" s="12">
        <v>-0.56999999999999995</v>
      </c>
    </row>
    <row r="63" spans="6:12" s="21" customFormat="1" ht="14.25" x14ac:dyDescent="0.45">
      <c r="F63" s="13" t="s">
        <v>711</v>
      </c>
      <c r="G63" s="13">
        <v>0.28000000000000003</v>
      </c>
      <c r="H63" s="12">
        <v>1.31</v>
      </c>
      <c r="I63" s="12">
        <v>-0.41</v>
      </c>
      <c r="J63" s="12">
        <v>-0.22</v>
      </c>
      <c r="K63" s="12">
        <v>-0.34</v>
      </c>
      <c r="L63" s="12">
        <v>0.67</v>
      </c>
    </row>
    <row r="64" spans="6:12" s="21" customFormat="1" ht="14.25" x14ac:dyDescent="0.45">
      <c r="F64" s="13" t="s">
        <v>712</v>
      </c>
      <c r="G64" s="13">
        <v>4.2</v>
      </c>
      <c r="H64" s="12">
        <v>-0.79</v>
      </c>
      <c r="I64" s="12">
        <v>0.21</v>
      </c>
      <c r="J64" s="12">
        <v>0.15</v>
      </c>
      <c r="K64" s="12">
        <v>0.71</v>
      </c>
      <c r="L64" s="12">
        <v>-1.25</v>
      </c>
    </row>
    <row r="65" spans="6:12" s="21" customFormat="1" ht="14.25" x14ac:dyDescent="0.45">
      <c r="F65" s="13" t="s">
        <v>713</v>
      </c>
      <c r="G65" s="13">
        <v>2.0299999999999998</v>
      </c>
      <c r="H65" s="12">
        <v>0.73</v>
      </c>
      <c r="I65" s="12">
        <v>-1.5</v>
      </c>
      <c r="J65" s="12">
        <v>-0.18</v>
      </c>
      <c r="K65" s="12">
        <v>-0.55000000000000004</v>
      </c>
      <c r="L65" s="12">
        <v>0.52</v>
      </c>
    </row>
    <row r="66" spans="6:12" s="21" customFormat="1" ht="14.25" x14ac:dyDescent="0.45">
      <c r="F66" s="13" t="s">
        <v>714</v>
      </c>
      <c r="G66" s="13">
        <v>2.2400000000000002</v>
      </c>
      <c r="H66" s="12">
        <v>-0.31</v>
      </c>
      <c r="I66" s="12">
        <v>-1.26</v>
      </c>
      <c r="J66" s="12">
        <v>-0.28000000000000003</v>
      </c>
      <c r="K66" s="12">
        <v>0.08</v>
      </c>
      <c r="L66" s="12">
        <v>-0.89</v>
      </c>
    </row>
    <row r="67" spans="6:12" s="21" customFormat="1" ht="14.25" x14ac:dyDescent="0.45">
      <c r="F67" s="13" t="s">
        <v>715</v>
      </c>
      <c r="G67" s="13">
        <v>2.65</v>
      </c>
      <c r="H67" s="12">
        <v>-1.42</v>
      </c>
      <c r="I67" s="12">
        <v>-0.63</v>
      </c>
      <c r="J67" s="12">
        <v>-0.37</v>
      </c>
      <c r="K67" s="12">
        <v>1.1299999999999999</v>
      </c>
      <c r="L67" s="12">
        <v>-0.26</v>
      </c>
    </row>
    <row r="68" spans="6:12" s="21" customFormat="1" ht="14.25" x14ac:dyDescent="0.45">
      <c r="F68" s="13" t="s">
        <v>716</v>
      </c>
      <c r="G68" s="13">
        <v>-2.9</v>
      </c>
      <c r="H68" s="12">
        <v>-1.08</v>
      </c>
      <c r="I68" s="12">
        <v>-1.02</v>
      </c>
      <c r="J68" s="12">
        <v>-0.35</v>
      </c>
      <c r="K68" s="12">
        <v>2.82</v>
      </c>
      <c r="L68" s="12">
        <v>-1.48</v>
      </c>
    </row>
    <row r="69" spans="6:12" s="21" customFormat="1" ht="14.25" x14ac:dyDescent="0.45">
      <c r="F69" s="13" t="s">
        <v>717</v>
      </c>
      <c r="G69" s="13">
        <v>0.98</v>
      </c>
      <c r="H69" s="12">
        <v>-0.7</v>
      </c>
      <c r="I69" s="12">
        <v>-0.3</v>
      </c>
      <c r="J69" s="12">
        <v>-0.04</v>
      </c>
      <c r="K69" s="12">
        <v>0.2</v>
      </c>
      <c r="L69" s="12">
        <v>-0.48</v>
      </c>
    </row>
    <row r="70" spans="6:12" s="21" customFormat="1" ht="14.25" x14ac:dyDescent="0.45">
      <c r="F70" s="13" t="s">
        <v>718</v>
      </c>
      <c r="G70" s="13">
        <v>-1.99</v>
      </c>
      <c r="H70" s="12">
        <v>1.32</v>
      </c>
      <c r="I70" s="12">
        <v>-0.72</v>
      </c>
      <c r="J70" s="12">
        <v>1.1200000000000001</v>
      </c>
      <c r="K70" s="12">
        <v>-0.08</v>
      </c>
      <c r="L70" s="12">
        <v>-0.94</v>
      </c>
    </row>
    <row r="71" spans="6:12" s="21" customFormat="1" ht="14.25" x14ac:dyDescent="0.45">
      <c r="F71" s="13" t="s">
        <v>719</v>
      </c>
      <c r="G71" s="13">
        <v>4.6399999999999997</v>
      </c>
      <c r="H71" s="12">
        <v>0.57999999999999996</v>
      </c>
      <c r="I71" s="12">
        <v>0.42</v>
      </c>
      <c r="J71" s="12">
        <v>1.48</v>
      </c>
      <c r="K71" s="12">
        <v>0.01</v>
      </c>
      <c r="L71" s="12">
        <v>0.54</v>
      </c>
    </row>
    <row r="72" spans="6:12" s="21" customFormat="1" ht="14.25" x14ac:dyDescent="0.45">
      <c r="F72" s="13" t="s">
        <v>720</v>
      </c>
      <c r="G72" s="13">
        <v>-0.5</v>
      </c>
      <c r="H72" s="12">
        <v>1.6</v>
      </c>
      <c r="I72" s="12">
        <v>-0.56999999999999995</v>
      </c>
      <c r="J72" s="12">
        <v>-0.59</v>
      </c>
      <c r="K72" s="12">
        <v>-0.05</v>
      </c>
      <c r="L72" s="12">
        <v>1.32</v>
      </c>
    </row>
    <row r="73" spans="6:12" s="21" customFormat="1" ht="14.25" x14ac:dyDescent="0.45">
      <c r="F73" s="13" t="s">
        <v>721</v>
      </c>
      <c r="G73" s="13">
        <v>3.13</v>
      </c>
      <c r="H73" s="12">
        <v>-0.85</v>
      </c>
      <c r="I73" s="12">
        <v>0.61</v>
      </c>
      <c r="J73" s="12">
        <v>-0.23</v>
      </c>
      <c r="K73" s="12">
        <v>0.8</v>
      </c>
      <c r="L73" s="12">
        <v>-0.73</v>
      </c>
    </row>
    <row r="74" spans="6:12" s="21" customFormat="1" ht="14.25" x14ac:dyDescent="0.45">
      <c r="F74" s="13" t="s">
        <v>722</v>
      </c>
      <c r="G74" s="13">
        <v>3.88</v>
      </c>
      <c r="H74" s="12">
        <v>-0.4</v>
      </c>
      <c r="I74" s="12">
        <v>1.1200000000000001</v>
      </c>
      <c r="J74" s="12">
        <v>-0.19</v>
      </c>
      <c r="K74" s="12">
        <v>-0.05</v>
      </c>
      <c r="L74" s="12">
        <v>-1.27</v>
      </c>
    </row>
    <row r="75" spans="6:12" s="21" customFormat="1" ht="14.25" x14ac:dyDescent="0.45">
      <c r="F75" s="13" t="s">
        <v>723</v>
      </c>
      <c r="G75" s="13">
        <v>3.97</v>
      </c>
      <c r="H75" s="12">
        <v>1.65</v>
      </c>
      <c r="I75" s="12">
        <v>2.36</v>
      </c>
      <c r="J75" s="12">
        <v>-1.55</v>
      </c>
      <c r="K75" s="12">
        <v>-0.43</v>
      </c>
      <c r="L75" s="12">
        <v>-0.74</v>
      </c>
    </row>
    <row r="76" spans="6:12" s="21" customFormat="1" ht="14.25" x14ac:dyDescent="0.45">
      <c r="F76" s="13" t="s">
        <v>724</v>
      </c>
      <c r="G76" s="13">
        <v>1.52</v>
      </c>
      <c r="H76" s="12">
        <v>1.22</v>
      </c>
      <c r="I76" s="12">
        <v>-0.42</v>
      </c>
      <c r="J76" s="12">
        <v>0.06</v>
      </c>
      <c r="K76" s="12">
        <v>-0.45</v>
      </c>
      <c r="L76" s="12">
        <v>1.03</v>
      </c>
    </row>
    <row r="77" spans="6:12" s="21" customFormat="1" ht="14.25" x14ac:dyDescent="0.45">
      <c r="F77" s="13" t="s">
        <v>725</v>
      </c>
      <c r="G77" s="13">
        <v>0.55000000000000004</v>
      </c>
      <c r="H77" s="12">
        <v>1.0900000000000001</v>
      </c>
      <c r="I77" s="12">
        <v>-0.82</v>
      </c>
      <c r="J77" s="12">
        <v>-0.25</v>
      </c>
      <c r="K77" s="12">
        <v>-0.49</v>
      </c>
      <c r="L77" s="12">
        <v>0.39</v>
      </c>
    </row>
    <row r="78" spans="6:12" s="21" customFormat="1" ht="14.25" x14ac:dyDescent="0.45">
      <c r="F78" s="13" t="s">
        <v>726</v>
      </c>
      <c r="G78" s="13">
        <v>0.24</v>
      </c>
      <c r="H78" s="12">
        <v>-0.18</v>
      </c>
      <c r="I78" s="12">
        <v>-0.17</v>
      </c>
      <c r="J78" s="12">
        <v>-0.02</v>
      </c>
      <c r="K78" s="12">
        <v>0.11</v>
      </c>
      <c r="L78" s="12">
        <v>-0.49</v>
      </c>
    </row>
    <row r="79" spans="6:12" s="21" customFormat="1" ht="14.25" x14ac:dyDescent="0.45">
      <c r="F79" s="13" t="s">
        <v>727</v>
      </c>
      <c r="G79" s="13">
        <v>0.49</v>
      </c>
      <c r="H79" s="12">
        <v>-0.33</v>
      </c>
      <c r="I79" s="12">
        <v>-0.76</v>
      </c>
      <c r="J79" s="12">
        <v>-0.23</v>
      </c>
      <c r="K79" s="12">
        <v>-0.46</v>
      </c>
      <c r="L79" s="12">
        <v>-0.23</v>
      </c>
    </row>
    <row r="80" spans="6:12" s="21" customFormat="1" ht="14.25" x14ac:dyDescent="0.45">
      <c r="F80" s="13" t="s">
        <v>728</v>
      </c>
      <c r="G80" s="13">
        <v>1.84</v>
      </c>
      <c r="H80" s="12">
        <v>1.07</v>
      </c>
      <c r="I80" s="12">
        <v>0.82</v>
      </c>
      <c r="J80" s="12">
        <v>-0.34</v>
      </c>
      <c r="K80" s="12">
        <v>-0.53</v>
      </c>
      <c r="L80" s="12">
        <v>0.13</v>
      </c>
    </row>
    <row r="81" spans="6:12" s="21" customFormat="1" ht="14.25" x14ac:dyDescent="0.45">
      <c r="F81" s="13" t="s">
        <v>729</v>
      </c>
      <c r="G81" s="13">
        <v>4.34</v>
      </c>
      <c r="H81" s="12">
        <v>-0.31</v>
      </c>
      <c r="I81" s="12">
        <v>0.67</v>
      </c>
      <c r="J81" s="12">
        <v>-0.06</v>
      </c>
      <c r="K81" s="12">
        <v>-0.11</v>
      </c>
      <c r="L81" s="12">
        <v>-0.37</v>
      </c>
    </row>
    <row r="82" spans="6:12" s="21" customFormat="1" ht="14.25" x14ac:dyDescent="0.45">
      <c r="F82" s="13" t="s">
        <v>730</v>
      </c>
      <c r="G82" s="13">
        <v>2.34</v>
      </c>
      <c r="H82" s="12">
        <v>-1.1399999999999999</v>
      </c>
      <c r="I82" s="12">
        <v>1.01</v>
      </c>
      <c r="J82" s="12">
        <v>-0.09</v>
      </c>
      <c r="K82" s="12">
        <v>-0.39</v>
      </c>
      <c r="L82" s="12">
        <v>7.0000000000000007E-2</v>
      </c>
    </row>
    <row r="83" spans="6:12" s="21" customFormat="1" ht="14.25" x14ac:dyDescent="0.45">
      <c r="F83" s="13" t="s">
        <v>731</v>
      </c>
      <c r="G83" s="13">
        <v>2.82</v>
      </c>
      <c r="H83" s="12">
        <v>0.64</v>
      </c>
      <c r="I83" s="12">
        <v>-0.28999999999999998</v>
      </c>
      <c r="J83" s="12">
        <v>-0.11</v>
      </c>
      <c r="K83" s="12">
        <v>-0.09</v>
      </c>
      <c r="L83" s="12">
        <v>0.44</v>
      </c>
    </row>
    <row r="84" spans="6:12" s="21" customFormat="1" ht="14.25" x14ac:dyDescent="0.45">
      <c r="F84" s="13" t="s">
        <v>732</v>
      </c>
      <c r="G84" s="13">
        <v>-6.79</v>
      </c>
      <c r="H84" s="12">
        <v>0.09</v>
      </c>
      <c r="I84" s="12">
        <v>-0.77</v>
      </c>
      <c r="J84" s="12">
        <v>0.01</v>
      </c>
      <c r="K84" s="12">
        <v>-0.05</v>
      </c>
      <c r="L84" s="12">
        <v>-0.08</v>
      </c>
    </row>
    <row r="85" spans="6:12" s="21" customFormat="1" ht="14.25" x14ac:dyDescent="0.45">
      <c r="F85" s="13" t="s">
        <v>733</v>
      </c>
      <c r="G85" s="13">
        <v>-1.61</v>
      </c>
      <c r="H85" s="12">
        <v>-1.19</v>
      </c>
      <c r="I85" s="12">
        <v>1.06</v>
      </c>
      <c r="J85" s="12">
        <v>7.0000000000000007E-2</v>
      </c>
      <c r="K85" s="12">
        <v>0.35</v>
      </c>
      <c r="L85" s="12">
        <v>3.87</v>
      </c>
    </row>
    <row r="86" spans="6:12" s="21" customFormat="1" ht="14.25" x14ac:dyDescent="0.45">
      <c r="F86" s="13" t="s">
        <v>734</v>
      </c>
      <c r="G86" s="13">
        <v>4.8899999999999997</v>
      </c>
      <c r="H86" s="12">
        <v>0.69</v>
      </c>
      <c r="I86" s="12">
        <v>-0.9</v>
      </c>
      <c r="J86" s="12">
        <v>-0.13</v>
      </c>
      <c r="K86" s="12">
        <v>-0.17</v>
      </c>
      <c r="L86" s="12">
        <v>0.06</v>
      </c>
    </row>
    <row r="87" spans="6:12" s="21" customFormat="1" ht="14.25" x14ac:dyDescent="0.45">
      <c r="F87" s="13" t="s">
        <v>735</v>
      </c>
      <c r="G87" s="13">
        <v>0.33</v>
      </c>
      <c r="H87" s="12">
        <v>1.92</v>
      </c>
      <c r="I87" s="12">
        <v>-0.9</v>
      </c>
      <c r="J87" s="12">
        <v>-1.94</v>
      </c>
      <c r="K87" s="12">
        <v>-0.28000000000000003</v>
      </c>
      <c r="L87" s="12">
        <v>0.12</v>
      </c>
    </row>
    <row r="88" spans="6:12" s="21" customFormat="1" ht="14.25" x14ac:dyDescent="0.45">
      <c r="F88" s="13" t="s">
        <v>736</v>
      </c>
      <c r="G88" s="13">
        <v>2.1</v>
      </c>
      <c r="H88" s="12">
        <v>-1.76</v>
      </c>
      <c r="I88" s="12">
        <v>-0.34</v>
      </c>
      <c r="J88" s="12">
        <v>-0.08</v>
      </c>
      <c r="K88" s="12">
        <v>0.43</v>
      </c>
      <c r="L88" s="12">
        <v>-0.36</v>
      </c>
    </row>
    <row r="89" spans="6:12" s="21" customFormat="1" ht="14.25" x14ac:dyDescent="0.45">
      <c r="F89" s="13" t="s">
        <v>737</v>
      </c>
      <c r="G89" s="13">
        <v>1.65</v>
      </c>
      <c r="H89" s="12">
        <v>-1.98</v>
      </c>
      <c r="I89" s="12">
        <v>-1.53</v>
      </c>
      <c r="J89" s="12">
        <v>-0.28000000000000003</v>
      </c>
      <c r="K89" s="12">
        <v>1.1100000000000001</v>
      </c>
      <c r="L89" s="12">
        <v>-0.41</v>
      </c>
    </row>
    <row r="90" spans="6:12" s="21" customFormat="1" ht="14.25" x14ac:dyDescent="0.45">
      <c r="F90" s="13" t="s">
        <v>738</v>
      </c>
      <c r="G90" s="13">
        <v>2.93</v>
      </c>
      <c r="H90" s="12">
        <v>0.33</v>
      </c>
      <c r="I90" s="12">
        <v>-0.45</v>
      </c>
      <c r="J90" s="12">
        <v>-0.16</v>
      </c>
      <c r="K90" s="12">
        <v>-0.48</v>
      </c>
      <c r="L90" s="12">
        <v>-0.78</v>
      </c>
    </row>
    <row r="91" spans="6:12" s="21" customFormat="1" ht="14.25" x14ac:dyDescent="0.45">
      <c r="F91" s="13" t="s">
        <v>739</v>
      </c>
      <c r="G91" s="13">
        <v>1.66</v>
      </c>
      <c r="H91" s="12">
        <v>-1.4</v>
      </c>
      <c r="I91" s="12">
        <v>-0.39</v>
      </c>
      <c r="J91" s="12">
        <v>-0.13</v>
      </c>
      <c r="K91" s="12">
        <v>-0.9</v>
      </c>
      <c r="L91" s="12">
        <v>-0.11</v>
      </c>
    </row>
    <row r="92" spans="6:12" s="21" customFormat="1" ht="14.25" x14ac:dyDescent="0.45">
      <c r="F92" s="13" t="s">
        <v>740</v>
      </c>
      <c r="G92" s="13">
        <v>1.1599999999999999</v>
      </c>
      <c r="H92" s="12">
        <v>1</v>
      </c>
      <c r="I92" s="12">
        <v>-0.28999999999999998</v>
      </c>
      <c r="J92" s="12">
        <v>2.23</v>
      </c>
      <c r="K92" s="12">
        <v>-0.3</v>
      </c>
      <c r="L92" s="12">
        <v>0.13</v>
      </c>
    </row>
    <row r="93" spans="6:12" s="21" customFormat="1" ht="14.25" x14ac:dyDescent="0.45">
      <c r="F93" s="13" t="s">
        <v>741</v>
      </c>
      <c r="G93" s="13">
        <v>3.07</v>
      </c>
      <c r="H93" s="12">
        <v>-1.01</v>
      </c>
      <c r="I93" s="12">
        <v>2.34</v>
      </c>
      <c r="J93" s="12">
        <v>-1.52</v>
      </c>
      <c r="K93" s="12">
        <v>-0.18</v>
      </c>
      <c r="L93" s="12">
        <v>-0.59</v>
      </c>
    </row>
    <row r="94" spans="6:12" s="21" customFormat="1" ht="14.25" x14ac:dyDescent="0.45">
      <c r="F94" s="13" t="s">
        <v>742</v>
      </c>
      <c r="G94" s="13">
        <v>2.98</v>
      </c>
      <c r="H94" s="12">
        <v>0.32</v>
      </c>
      <c r="I94" s="12">
        <v>-0.6</v>
      </c>
      <c r="J94" s="12">
        <v>-0.08</v>
      </c>
      <c r="K94" s="12">
        <v>-0.53</v>
      </c>
      <c r="L94" s="12">
        <v>-0.18</v>
      </c>
    </row>
    <row r="95" spans="6:12" s="21" customFormat="1" ht="14.25" x14ac:dyDescent="0.45">
      <c r="F95" s="13" t="s">
        <v>743</v>
      </c>
      <c r="G95" s="13">
        <v>-1.1399999999999999</v>
      </c>
      <c r="H95" s="12">
        <v>0.22</v>
      </c>
      <c r="I95" s="12">
        <v>-0.45</v>
      </c>
      <c r="J95" s="12">
        <v>-0.18</v>
      </c>
      <c r="K95" s="12">
        <v>0.06</v>
      </c>
      <c r="L95" s="12">
        <v>-0.84</v>
      </c>
    </row>
    <row r="96" spans="6:12" s="21" customFormat="1" ht="14.25" x14ac:dyDescent="0.45">
      <c r="F96" s="13" t="s">
        <v>744</v>
      </c>
      <c r="G96" s="13">
        <v>5.47</v>
      </c>
      <c r="H96" s="12">
        <v>-0.34</v>
      </c>
      <c r="I96" s="12">
        <v>0.15</v>
      </c>
      <c r="J96" s="12">
        <v>0</v>
      </c>
      <c r="K96" s="12">
        <v>0.28000000000000003</v>
      </c>
      <c r="L96" s="12">
        <v>-0.37</v>
      </c>
    </row>
    <row r="97" spans="6:12" s="21" customFormat="1" ht="14.25" x14ac:dyDescent="0.45">
      <c r="F97" s="13" t="s">
        <v>745</v>
      </c>
      <c r="G97" s="13">
        <v>3.37</v>
      </c>
      <c r="H97" s="12">
        <v>-0.36</v>
      </c>
      <c r="I97" s="12">
        <v>1.83</v>
      </c>
      <c r="J97" s="12">
        <v>1.27</v>
      </c>
      <c r="K97" s="12">
        <v>0.74</v>
      </c>
      <c r="L97" s="12">
        <v>-0.71</v>
      </c>
    </row>
    <row r="98" spans="6:12" s="21" customFormat="1" ht="14.25" x14ac:dyDescent="0.45">
      <c r="F98" s="13" t="s">
        <v>746</v>
      </c>
      <c r="G98" s="13">
        <v>4.08</v>
      </c>
      <c r="H98" s="12">
        <v>0.16</v>
      </c>
      <c r="I98" s="12">
        <v>0.89</v>
      </c>
      <c r="J98" s="12">
        <v>0.32</v>
      </c>
      <c r="K98" s="12">
        <v>-0.53</v>
      </c>
      <c r="L98" s="12">
        <v>0.23</v>
      </c>
    </row>
    <row r="99" spans="6:12" s="21" customFormat="1" ht="14.25" x14ac:dyDescent="0.45">
      <c r="F99" s="13" t="s">
        <v>747</v>
      </c>
      <c r="G99" s="13">
        <v>1.04</v>
      </c>
      <c r="H99" s="12">
        <v>-0.53</v>
      </c>
      <c r="I99" s="12">
        <v>0.92</v>
      </c>
      <c r="J99" s="12">
        <v>-0.28000000000000003</v>
      </c>
      <c r="K99" s="12">
        <v>-0.56999999999999995</v>
      </c>
      <c r="L99" s="12">
        <v>0.5</v>
      </c>
    </row>
    <row r="100" spans="6:12" s="21" customFormat="1" ht="14.25" x14ac:dyDescent="0.45">
      <c r="F100" s="13" t="s">
        <v>748</v>
      </c>
      <c r="G100" s="13">
        <v>-0.65</v>
      </c>
      <c r="H100" s="12">
        <v>-1.8</v>
      </c>
      <c r="I100" s="12">
        <v>2.64</v>
      </c>
      <c r="J100" s="12">
        <v>0.96</v>
      </c>
      <c r="K100" s="12">
        <v>-0.09</v>
      </c>
      <c r="L100" s="12">
        <v>0.88</v>
      </c>
    </row>
    <row r="101" spans="6:12" s="21" customFormat="1" ht="14.25" x14ac:dyDescent="0.45">
      <c r="F101" s="13" t="s">
        <v>749</v>
      </c>
      <c r="G101" s="13">
        <v>-2.97</v>
      </c>
      <c r="H101" s="12">
        <v>-0.17</v>
      </c>
      <c r="I101" s="12">
        <v>-1.48</v>
      </c>
      <c r="J101" s="12">
        <v>-0.54</v>
      </c>
      <c r="K101" s="12">
        <v>0.08</v>
      </c>
      <c r="L101" s="12">
        <v>1.59</v>
      </c>
    </row>
    <row r="102" spans="6:12" s="21" customFormat="1" ht="14.25" x14ac:dyDescent="0.45">
      <c r="F102" s="13" t="s">
        <v>750</v>
      </c>
      <c r="G102" s="13">
        <v>5.04</v>
      </c>
      <c r="H102" s="12">
        <v>-1.3</v>
      </c>
      <c r="I102" s="12">
        <v>3.93</v>
      </c>
      <c r="J102" s="12">
        <v>-0.35</v>
      </c>
      <c r="K102" s="12">
        <v>0.42</v>
      </c>
      <c r="L102" s="12">
        <v>-0.8</v>
      </c>
    </row>
    <row r="103" spans="6:12" s="21" customFormat="1" ht="14.25" x14ac:dyDescent="0.45">
      <c r="F103" s="13" t="s">
        <v>751</v>
      </c>
      <c r="G103" s="13">
        <v>1.08</v>
      </c>
      <c r="H103" s="12">
        <v>1.38</v>
      </c>
      <c r="I103" s="12">
        <v>-0.42</v>
      </c>
      <c r="J103" s="12">
        <v>-0.03</v>
      </c>
      <c r="K103" s="12">
        <v>-0.12</v>
      </c>
      <c r="L103" s="12">
        <v>1.35</v>
      </c>
    </row>
    <row r="104" spans="6:12" s="21" customFormat="1" ht="14.25" x14ac:dyDescent="0.45">
      <c r="F104" s="13" t="s">
        <v>752</v>
      </c>
      <c r="G104" s="13">
        <v>-5.05</v>
      </c>
      <c r="H104" s="12">
        <v>-0.85</v>
      </c>
      <c r="I104" s="12">
        <v>-0.94</v>
      </c>
      <c r="J104" s="12">
        <v>-0.02</v>
      </c>
      <c r="K104" s="12">
        <v>0.38</v>
      </c>
      <c r="L104" s="12">
        <v>-0.12</v>
      </c>
    </row>
    <row r="105" spans="6:12" s="21" customFormat="1" ht="14.25" x14ac:dyDescent="0.45">
      <c r="F105" s="13" t="s">
        <v>753</v>
      </c>
      <c r="G105" s="13">
        <v>1.96</v>
      </c>
      <c r="H105" s="12">
        <v>-1.71</v>
      </c>
      <c r="I105" s="12">
        <v>0.68</v>
      </c>
      <c r="J105" s="12">
        <v>0.13</v>
      </c>
      <c r="K105" s="12">
        <v>-1.06</v>
      </c>
      <c r="L105" s="12">
        <v>0.14000000000000001</v>
      </c>
    </row>
    <row r="106" spans="6:12" s="21" customFormat="1" ht="14.25" x14ac:dyDescent="0.45">
      <c r="F106" s="13" t="s">
        <v>754</v>
      </c>
      <c r="G106" s="13">
        <v>-0.38</v>
      </c>
      <c r="H106" s="12">
        <v>-0.85</v>
      </c>
      <c r="I106" s="12">
        <v>0.18</v>
      </c>
      <c r="J106" s="12">
        <v>-0.33</v>
      </c>
      <c r="K106" s="12">
        <v>1.49</v>
      </c>
      <c r="L106" s="12">
        <v>-1.75</v>
      </c>
    </row>
    <row r="107" spans="6:12" s="21" customFormat="1" ht="14.25" x14ac:dyDescent="0.45">
      <c r="F107" s="13" t="s">
        <v>755</v>
      </c>
      <c r="G107" s="13">
        <v>3.18</v>
      </c>
      <c r="H107" s="12">
        <v>-0.1</v>
      </c>
      <c r="I107" s="12">
        <v>1.21</v>
      </c>
      <c r="J107" s="12">
        <v>0.02</v>
      </c>
      <c r="K107" s="12">
        <v>-0.46</v>
      </c>
      <c r="L107" s="12">
        <v>-0.39</v>
      </c>
    </row>
    <row r="108" spans="6:12" x14ac:dyDescent="0.55000000000000004">
      <c r="F108" s="13" t="s">
        <v>756</v>
      </c>
      <c r="G108" s="13">
        <v>0.47</v>
      </c>
      <c r="H108" s="12">
        <v>1.68</v>
      </c>
      <c r="I108" s="12">
        <v>0.53</v>
      </c>
      <c r="J108" s="12">
        <v>-0.1</v>
      </c>
      <c r="K108" s="12">
        <v>-0.2</v>
      </c>
      <c r="L108" s="12">
        <v>1.34</v>
      </c>
    </row>
    <row r="109" spans="6:12" x14ac:dyDescent="0.55000000000000004">
      <c r="F109" s="13" t="s">
        <v>757</v>
      </c>
      <c r="G109" s="13">
        <v>-4.5199999999999996</v>
      </c>
      <c r="H109" s="12">
        <v>0.59</v>
      </c>
      <c r="I109" s="12">
        <v>-0.52</v>
      </c>
      <c r="J109" s="12">
        <v>0.03</v>
      </c>
      <c r="K109" s="12">
        <v>-0.57999999999999996</v>
      </c>
      <c r="L109" s="12">
        <v>1.36</v>
      </c>
    </row>
    <row r="110" spans="6:12" x14ac:dyDescent="0.55000000000000004">
      <c r="F110" s="13" t="s">
        <v>758</v>
      </c>
      <c r="G110" s="13">
        <v>-1.04</v>
      </c>
      <c r="H110" s="12">
        <v>-1.06</v>
      </c>
      <c r="I110" s="12">
        <v>-1.1200000000000001</v>
      </c>
      <c r="J110" s="12">
        <v>-0.33</v>
      </c>
      <c r="K110" s="12">
        <v>1.34</v>
      </c>
      <c r="L110" s="12">
        <v>-0.78</v>
      </c>
    </row>
    <row r="111" spans="6:12" x14ac:dyDescent="0.55000000000000004">
      <c r="F111" s="13" t="s">
        <v>759</v>
      </c>
      <c r="G111" s="13">
        <v>1.32</v>
      </c>
      <c r="H111" s="12">
        <v>0.55000000000000004</v>
      </c>
      <c r="I111" s="12">
        <v>1.94</v>
      </c>
      <c r="J111" s="12">
        <v>0.44</v>
      </c>
      <c r="K111" s="12">
        <v>-0.67</v>
      </c>
      <c r="L111" s="12">
        <v>-0.75</v>
      </c>
    </row>
    <row r="112" spans="6:12" s="15" customFormat="1" ht="14.25" x14ac:dyDescent="0.45">
      <c r="F112" s="13" t="s">
        <v>760</v>
      </c>
      <c r="G112" s="13">
        <v>-1.29</v>
      </c>
      <c r="H112" s="12">
        <v>-0.13</v>
      </c>
      <c r="I112" s="12">
        <v>-0.28999999999999998</v>
      </c>
      <c r="J112" s="12">
        <v>-0.25</v>
      </c>
      <c r="K112" s="12">
        <v>-0.1</v>
      </c>
      <c r="L112" s="12">
        <v>-0.77</v>
      </c>
    </row>
    <row r="113" spans="6:12" s="15" customFormat="1" ht="14.25" x14ac:dyDescent="0.45">
      <c r="F113" s="13" t="s">
        <v>761</v>
      </c>
      <c r="G113" s="13">
        <v>0.51</v>
      </c>
      <c r="H113" s="12">
        <v>-0.01</v>
      </c>
      <c r="I113" s="12">
        <v>-0.48</v>
      </c>
      <c r="J113" s="12">
        <v>-0.03</v>
      </c>
      <c r="K113" s="12">
        <v>-0.21</v>
      </c>
      <c r="L113" s="12">
        <v>-0.51</v>
      </c>
    </row>
    <row r="114" spans="6:12" s="15" customFormat="1" ht="14.25" x14ac:dyDescent="0.45">
      <c r="F114" s="13" t="s">
        <v>762</v>
      </c>
      <c r="G114" s="13">
        <v>4.5999999999999996</v>
      </c>
      <c r="H114" s="12">
        <v>-0.52</v>
      </c>
      <c r="I114" s="12">
        <v>0.18</v>
      </c>
      <c r="J114" s="12">
        <v>-0.21</v>
      </c>
      <c r="K114" s="12">
        <v>-0.15</v>
      </c>
      <c r="L114" s="12">
        <v>-0.64</v>
      </c>
    </row>
    <row r="115" spans="6:12" s="15" customFormat="1" ht="14.25" x14ac:dyDescent="0.45">
      <c r="F115" s="13" t="s">
        <v>763</v>
      </c>
      <c r="G115" s="13">
        <v>4.55</v>
      </c>
      <c r="H115" s="12">
        <v>0.54</v>
      </c>
      <c r="I115" s="12">
        <v>-0.61</v>
      </c>
      <c r="J115" s="12">
        <v>-0.17</v>
      </c>
      <c r="K115" s="12">
        <v>-0.19</v>
      </c>
      <c r="L115" s="12">
        <v>0.27</v>
      </c>
    </row>
    <row r="116" spans="6:12" s="15" customFormat="1" ht="14.25" x14ac:dyDescent="0.45">
      <c r="F116" s="13" t="s">
        <v>764</v>
      </c>
      <c r="G116" s="13">
        <v>2.38</v>
      </c>
      <c r="H116" s="12">
        <v>0.83</v>
      </c>
      <c r="I116" s="12">
        <v>-0.71</v>
      </c>
      <c r="J116" s="12">
        <v>-7.0000000000000007E-2</v>
      </c>
      <c r="K116" s="12">
        <v>-0.54</v>
      </c>
      <c r="L116" s="12">
        <v>0.08</v>
      </c>
    </row>
    <row r="117" spans="6:12" s="15" customFormat="1" ht="14.25" x14ac:dyDescent="0.45">
      <c r="F117" s="13" t="s">
        <v>765</v>
      </c>
      <c r="G117" s="13">
        <v>-1.02</v>
      </c>
      <c r="H117" s="12">
        <v>1.53</v>
      </c>
      <c r="I117" s="12">
        <v>2.21</v>
      </c>
      <c r="J117" s="12">
        <v>-0.56000000000000005</v>
      </c>
      <c r="K117" s="12">
        <v>-0.72</v>
      </c>
      <c r="L117" s="12">
        <v>0.35</v>
      </c>
    </row>
    <row r="118" spans="6:12" s="15" customFormat="1" ht="14.25" x14ac:dyDescent="0.45">
      <c r="F118" s="13" t="s">
        <v>766</v>
      </c>
      <c r="G118" s="13">
        <v>4.78</v>
      </c>
      <c r="H118" s="12">
        <v>0.39</v>
      </c>
      <c r="I118" s="12">
        <v>-0.22</v>
      </c>
      <c r="J118" s="12">
        <v>-0.12</v>
      </c>
      <c r="K118" s="12">
        <v>0.1</v>
      </c>
      <c r="L118" s="12">
        <v>0.16</v>
      </c>
    </row>
    <row r="119" spans="6:12" s="15" customFormat="1" ht="14.25" x14ac:dyDescent="0.45">
      <c r="F119" s="13" t="s">
        <v>767</v>
      </c>
      <c r="G119" s="13">
        <v>1.41</v>
      </c>
      <c r="H119" s="12">
        <v>0.33</v>
      </c>
      <c r="I119" s="12">
        <v>-0.2</v>
      </c>
      <c r="J119" s="12">
        <v>-0.22</v>
      </c>
      <c r="K119" s="12">
        <v>0.22</v>
      </c>
      <c r="L119" s="12">
        <v>0.32</v>
      </c>
    </row>
    <row r="120" spans="6:12" s="15" customFormat="1" ht="14.25" x14ac:dyDescent="0.45">
      <c r="F120" s="13" t="s">
        <v>768</v>
      </c>
      <c r="G120" s="13">
        <v>6.61</v>
      </c>
      <c r="H120" s="12">
        <v>-1.49</v>
      </c>
      <c r="I120" s="12">
        <v>0.28999999999999998</v>
      </c>
      <c r="J120" s="12">
        <v>-0.05</v>
      </c>
      <c r="K120" s="12">
        <v>0.01</v>
      </c>
      <c r="L120" s="12">
        <v>-0.1</v>
      </c>
    </row>
    <row r="121" spans="6:12" s="15" customFormat="1" ht="14.25" x14ac:dyDescent="0.45">
      <c r="F121" s="13" t="s">
        <v>769</v>
      </c>
      <c r="G121" s="13">
        <v>-1.33</v>
      </c>
      <c r="H121" s="12">
        <v>0.82</v>
      </c>
      <c r="I121" s="12">
        <v>0.5</v>
      </c>
      <c r="J121" s="12">
        <v>-0.35</v>
      </c>
      <c r="K121" s="12">
        <v>-0.98</v>
      </c>
      <c r="L121" s="12">
        <v>1.24</v>
      </c>
    </row>
    <row r="122" spans="6:12" s="15" customFormat="1" ht="14.25" x14ac:dyDescent="0.45">
      <c r="F122" s="13" t="s">
        <v>770</v>
      </c>
      <c r="G122" s="13">
        <v>2.42</v>
      </c>
      <c r="H122" s="12">
        <v>-1.07</v>
      </c>
      <c r="I122" s="12">
        <v>1</v>
      </c>
      <c r="J122" s="12">
        <v>0</v>
      </c>
      <c r="K122" s="12">
        <v>-0.28000000000000003</v>
      </c>
      <c r="L122" s="12">
        <v>-0.46</v>
      </c>
    </row>
    <row r="123" spans="6:12" s="15" customFormat="1" ht="14.25" x14ac:dyDescent="0.45">
      <c r="F123" s="13" t="s">
        <v>771</v>
      </c>
      <c r="G123" s="13">
        <v>4.8099999999999996</v>
      </c>
      <c r="H123" s="12">
        <v>0.02</v>
      </c>
      <c r="I123" s="12">
        <v>0.05</v>
      </c>
      <c r="J123" s="12">
        <v>0.39</v>
      </c>
      <c r="K123" s="12">
        <v>-0.26</v>
      </c>
      <c r="L123" s="12">
        <v>0.04</v>
      </c>
    </row>
    <row r="124" spans="6:12" s="15" customFormat="1" ht="14.25" x14ac:dyDescent="0.45">
      <c r="F124" s="13" t="s">
        <v>772</v>
      </c>
      <c r="G124" s="13">
        <v>4.38</v>
      </c>
      <c r="H124" s="12">
        <v>0.57999999999999996</v>
      </c>
      <c r="I124" s="12">
        <v>0.79</v>
      </c>
      <c r="J124" s="12">
        <v>0.88</v>
      </c>
      <c r="K124" s="12">
        <v>-0.27</v>
      </c>
      <c r="L124" s="12">
        <v>0.84</v>
      </c>
    </row>
    <row r="125" spans="6:12" s="15" customFormat="1" ht="14.25" x14ac:dyDescent="0.45">
      <c r="F125" s="13" t="s">
        <v>773</v>
      </c>
      <c r="G125" s="13">
        <v>3.31</v>
      </c>
      <c r="H125" s="12">
        <v>-1.76</v>
      </c>
      <c r="I125" s="12">
        <v>-1.45</v>
      </c>
      <c r="J125" s="12">
        <v>0.39</v>
      </c>
      <c r="K125" s="12">
        <v>2.11</v>
      </c>
      <c r="L125" s="12">
        <v>-1.34</v>
      </c>
    </row>
    <row r="126" spans="6:12" s="15" customFormat="1" ht="14.25" x14ac:dyDescent="0.45">
      <c r="F126" s="13" t="s">
        <v>774</v>
      </c>
      <c r="G126" s="13">
        <v>-0.41</v>
      </c>
      <c r="H126" s="12">
        <v>1.53</v>
      </c>
      <c r="I126" s="12">
        <v>0.02</v>
      </c>
      <c r="J126" s="12">
        <v>2.31</v>
      </c>
      <c r="K126" s="12">
        <v>-0.5</v>
      </c>
      <c r="L126" s="12">
        <v>-1.02</v>
      </c>
    </row>
    <row r="127" spans="6:12" s="15" customFormat="1" ht="14.25" x14ac:dyDescent="0.45">
      <c r="F127" s="13" t="s">
        <v>775</v>
      </c>
      <c r="G127" s="13">
        <v>2.1800000000000002</v>
      </c>
      <c r="H127" s="12">
        <v>0.7</v>
      </c>
      <c r="I127" s="12">
        <v>-0.14000000000000001</v>
      </c>
      <c r="J127" s="12">
        <v>-0.19</v>
      </c>
      <c r="K127" s="12">
        <v>-0.11</v>
      </c>
      <c r="L127" s="12">
        <v>0.55000000000000004</v>
      </c>
    </row>
    <row r="128" spans="6:12" s="15" customFormat="1" ht="14.25" x14ac:dyDescent="0.45">
      <c r="F128" s="13" t="s">
        <v>776</v>
      </c>
      <c r="G128" s="13">
        <v>2.4900000000000002</v>
      </c>
      <c r="H128" s="12">
        <v>0.9</v>
      </c>
      <c r="I128" s="12">
        <v>-0.49</v>
      </c>
      <c r="J128" s="12">
        <v>-0.1</v>
      </c>
      <c r="K128" s="12">
        <v>-0.3</v>
      </c>
      <c r="L128" s="12">
        <v>0.33</v>
      </c>
    </row>
    <row r="129" spans="6:12" s="15" customFormat="1" ht="14.25" x14ac:dyDescent="0.45">
      <c r="F129" s="13" t="s">
        <v>777</v>
      </c>
      <c r="G129" s="13">
        <v>-1.18</v>
      </c>
      <c r="H129" s="12">
        <v>-0.06</v>
      </c>
      <c r="I129" s="12">
        <v>-0.88</v>
      </c>
      <c r="J129" s="12">
        <v>-0.28000000000000003</v>
      </c>
      <c r="K129" s="12">
        <v>0.15</v>
      </c>
      <c r="L129" s="12">
        <v>0.82</v>
      </c>
    </row>
    <row r="130" spans="6:12" s="15" customFormat="1" ht="14.25" x14ac:dyDescent="0.45">
      <c r="F130" s="13" t="s">
        <v>778</v>
      </c>
      <c r="G130" s="13">
        <v>1.35</v>
      </c>
      <c r="H130" s="12">
        <v>1</v>
      </c>
      <c r="I130" s="12">
        <v>-0.49</v>
      </c>
      <c r="J130" s="12">
        <v>-0.3</v>
      </c>
      <c r="K130" s="12">
        <v>-0.47</v>
      </c>
      <c r="L130" s="12">
        <v>0.41</v>
      </c>
    </row>
    <row r="131" spans="6:12" s="15" customFormat="1" ht="14.25" x14ac:dyDescent="0.45">
      <c r="F131" s="13" t="s">
        <v>779</v>
      </c>
      <c r="G131" s="13">
        <v>1.66</v>
      </c>
      <c r="H131" s="12">
        <v>-0.37</v>
      </c>
      <c r="I131" s="12">
        <v>0.33</v>
      </c>
      <c r="J131" s="12">
        <v>-0.32</v>
      </c>
      <c r="K131" s="12">
        <v>0.04</v>
      </c>
      <c r="L131" s="12">
        <v>-1.1599999999999999</v>
      </c>
    </row>
    <row r="132" spans="6:12" s="15" customFormat="1" ht="14.25" x14ac:dyDescent="0.45">
      <c r="F132" s="13" t="s">
        <v>780</v>
      </c>
      <c r="G132" s="13">
        <v>-4.8600000000000003</v>
      </c>
      <c r="H132" s="12">
        <v>-1.65</v>
      </c>
      <c r="I132" s="12">
        <v>-2.0299999999999998</v>
      </c>
      <c r="J132" s="12">
        <v>-0.14000000000000001</v>
      </c>
      <c r="K132" s="12">
        <v>8.73</v>
      </c>
      <c r="L132" s="12">
        <v>-2.12</v>
      </c>
    </row>
    <row r="133" spans="6:12" s="15" customFormat="1" ht="14.25" x14ac:dyDescent="0.45">
      <c r="F133" s="13" t="s">
        <v>781</v>
      </c>
      <c r="G133" s="13">
        <v>0.18</v>
      </c>
      <c r="H133" s="12">
        <v>1.4</v>
      </c>
      <c r="I133" s="12">
        <v>0.06</v>
      </c>
      <c r="J133" s="12">
        <v>-0.1</v>
      </c>
      <c r="K133" s="12">
        <v>-0.27</v>
      </c>
      <c r="L133" s="12">
        <v>1.58</v>
      </c>
    </row>
    <row r="134" spans="6:12" s="15" customFormat="1" ht="14.25" x14ac:dyDescent="0.45">
      <c r="F134" s="13" t="s">
        <v>782</v>
      </c>
      <c r="G134" s="13">
        <v>0.22</v>
      </c>
      <c r="H134" s="12">
        <v>1.68</v>
      </c>
      <c r="I134" s="12">
        <v>-0.28999999999999998</v>
      </c>
      <c r="J134" s="12">
        <v>0.11</v>
      </c>
      <c r="K134" s="12">
        <v>-0.53</v>
      </c>
      <c r="L134" s="12">
        <v>-0.75</v>
      </c>
    </row>
    <row r="135" spans="6:12" s="15" customFormat="1" ht="14.25" x14ac:dyDescent="0.45">
      <c r="F135" s="13" t="s">
        <v>783</v>
      </c>
      <c r="G135" s="13">
        <v>2.0699999999999998</v>
      </c>
      <c r="H135" s="12">
        <v>0.03</v>
      </c>
      <c r="I135" s="12">
        <v>-0.09</v>
      </c>
      <c r="J135" s="12">
        <v>-0.32</v>
      </c>
      <c r="K135" s="12">
        <v>-0.47</v>
      </c>
      <c r="L135" s="12">
        <v>-0.04</v>
      </c>
    </row>
    <row r="136" spans="6:12" s="15" customFormat="1" ht="14.25" x14ac:dyDescent="0.45">
      <c r="F136" s="13" t="s">
        <v>784</v>
      </c>
      <c r="G136" s="13">
        <v>16.41</v>
      </c>
      <c r="H136" s="12">
        <v>-1.19</v>
      </c>
      <c r="I136" s="12">
        <v>0.11</v>
      </c>
      <c r="J136" s="12">
        <v>-0.05</v>
      </c>
      <c r="K136" s="12">
        <v>-0.43</v>
      </c>
      <c r="L136" s="12">
        <v>5.17</v>
      </c>
    </row>
    <row r="137" spans="6:12" s="15" customFormat="1" ht="14.25" x14ac:dyDescent="0.45">
      <c r="F137" s="13" t="s">
        <v>785</v>
      </c>
      <c r="G137" s="13">
        <v>2.82</v>
      </c>
      <c r="H137" s="12">
        <v>-1.59</v>
      </c>
      <c r="I137" s="12">
        <v>0.2</v>
      </c>
      <c r="J137" s="12">
        <v>-0.17</v>
      </c>
      <c r="K137" s="12">
        <v>-0.48</v>
      </c>
      <c r="L137" s="12">
        <v>-7.0000000000000007E-2</v>
      </c>
    </row>
    <row r="138" spans="6:12" s="15" customFormat="1" ht="14.25" x14ac:dyDescent="0.45">
      <c r="F138" s="13" t="s">
        <v>786</v>
      </c>
      <c r="G138" s="13">
        <v>-0.08</v>
      </c>
      <c r="H138" s="12">
        <v>-0.49</v>
      </c>
      <c r="I138" s="12">
        <v>-0.84</v>
      </c>
      <c r="J138" s="12">
        <v>-0.2</v>
      </c>
      <c r="K138" s="12">
        <v>0.63</v>
      </c>
      <c r="L138" s="12">
        <v>0.69</v>
      </c>
    </row>
    <row r="139" spans="6:12" s="15" customFormat="1" ht="14.25" x14ac:dyDescent="0.45">
      <c r="F139" s="13" t="s">
        <v>787</v>
      </c>
      <c r="G139" s="13">
        <v>-0.43</v>
      </c>
      <c r="H139" s="12">
        <v>0.2</v>
      </c>
      <c r="I139" s="12">
        <v>0.01</v>
      </c>
      <c r="J139" s="12">
        <v>-0.28999999999999998</v>
      </c>
      <c r="K139" s="12">
        <v>2.1800000000000002</v>
      </c>
      <c r="L139" s="12">
        <v>-0.14000000000000001</v>
      </c>
    </row>
    <row r="140" spans="6:12" s="15" customFormat="1" ht="14.25" x14ac:dyDescent="0.45">
      <c r="F140" s="13" t="s">
        <v>788</v>
      </c>
      <c r="G140" s="13">
        <v>3.07</v>
      </c>
      <c r="H140" s="12">
        <v>-1.51</v>
      </c>
      <c r="I140" s="12">
        <v>0.15</v>
      </c>
      <c r="J140" s="12">
        <v>-0.06</v>
      </c>
      <c r="K140" s="12">
        <v>-0.08</v>
      </c>
      <c r="L140" s="12">
        <v>-1.26</v>
      </c>
    </row>
    <row r="141" spans="6:12" s="15" customFormat="1" ht="14.25" x14ac:dyDescent="0.45">
      <c r="F141" s="13" t="s">
        <v>789</v>
      </c>
      <c r="G141" s="13">
        <v>3.83</v>
      </c>
      <c r="H141" s="12">
        <v>-0.56000000000000005</v>
      </c>
      <c r="I141" s="12">
        <v>-1.5</v>
      </c>
      <c r="J141" s="12">
        <v>-0.04</v>
      </c>
      <c r="K141" s="12">
        <v>0.84</v>
      </c>
      <c r="L141" s="12">
        <v>0.59</v>
      </c>
    </row>
    <row r="142" spans="6:12" s="15" customFormat="1" ht="14.25" x14ac:dyDescent="0.45">
      <c r="F142" s="13" t="s">
        <v>790</v>
      </c>
      <c r="G142" s="13">
        <v>0.23</v>
      </c>
      <c r="H142" s="12">
        <v>1.25</v>
      </c>
      <c r="I142" s="12">
        <v>-0.11</v>
      </c>
      <c r="J142" s="12">
        <v>-0.09</v>
      </c>
      <c r="K142" s="12">
        <v>-0.95</v>
      </c>
      <c r="L142" s="12">
        <v>-0.52</v>
      </c>
    </row>
    <row r="143" spans="6:12" s="15" customFormat="1" ht="14.25" x14ac:dyDescent="0.45">
      <c r="F143" s="13" t="s">
        <v>791</v>
      </c>
      <c r="G143" s="13">
        <v>0.89</v>
      </c>
      <c r="H143" s="12">
        <v>1.24</v>
      </c>
      <c r="I143" s="12">
        <v>-0.91</v>
      </c>
      <c r="J143" s="12">
        <v>-0.4</v>
      </c>
      <c r="K143" s="12">
        <v>-0.28000000000000003</v>
      </c>
      <c r="L143" s="12">
        <v>0.41</v>
      </c>
    </row>
    <row r="144" spans="6:12" s="15" customFormat="1" ht="14.25" x14ac:dyDescent="0.45">
      <c r="F144" s="13" t="s">
        <v>792</v>
      </c>
      <c r="G144" s="13">
        <v>1.68</v>
      </c>
      <c r="H144" s="12">
        <v>1.5</v>
      </c>
      <c r="I144" s="12">
        <v>-0.46</v>
      </c>
      <c r="J144" s="12">
        <v>-0.25</v>
      </c>
      <c r="K144" s="12">
        <v>-0.27</v>
      </c>
      <c r="L144" s="12">
        <v>-0.4</v>
      </c>
    </row>
    <row r="145" spans="6:12" s="15" customFormat="1" ht="14.25" x14ac:dyDescent="0.45">
      <c r="F145" s="13" t="s">
        <v>793</v>
      </c>
      <c r="G145" s="13">
        <v>-0.14000000000000001</v>
      </c>
      <c r="H145" s="12">
        <v>0.62</v>
      </c>
      <c r="I145" s="12">
        <v>-1.06</v>
      </c>
      <c r="J145" s="12">
        <v>-0.2</v>
      </c>
      <c r="K145" s="12">
        <v>0.84</v>
      </c>
      <c r="L145" s="12">
        <v>-0.23</v>
      </c>
    </row>
    <row r="146" spans="6:12" s="15" customFormat="1" ht="14.25" x14ac:dyDescent="0.45">
      <c r="F146" s="13" t="s">
        <v>794</v>
      </c>
      <c r="G146" s="13">
        <v>5.99</v>
      </c>
      <c r="H146" s="12">
        <v>-0.68</v>
      </c>
      <c r="I146" s="12">
        <v>0.26</v>
      </c>
      <c r="J146" s="12">
        <v>0.19</v>
      </c>
      <c r="K146" s="12">
        <v>-0.09</v>
      </c>
      <c r="L146" s="12">
        <v>-1.65</v>
      </c>
    </row>
    <row r="147" spans="6:12" s="15" customFormat="1" ht="14.25" x14ac:dyDescent="0.45">
      <c r="F147" s="13" t="s">
        <v>795</v>
      </c>
      <c r="G147" s="13">
        <v>-1.45</v>
      </c>
      <c r="H147" s="12">
        <v>-1.04</v>
      </c>
      <c r="I147" s="12">
        <v>1.8</v>
      </c>
      <c r="J147" s="12">
        <v>-0.18</v>
      </c>
      <c r="K147" s="12">
        <v>1.07</v>
      </c>
      <c r="L147" s="12">
        <v>0.21</v>
      </c>
    </row>
  </sheetData>
  <mergeCells count="1">
    <mergeCell ref="H15:L15"/>
  </mergeCells>
  <pageMargins left="0.511811024" right="0.511811024" top="0.78740157499999996" bottom="0.78740157499999996" header="0.31496062000000002" footer="0.3149606200000000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E08D2-4F10-497F-9AC1-9753F2394BB7}">
  <sheetPr codeName="Planilha73">
    <tabColor theme="9" tint="0.59999389629810485"/>
  </sheetPr>
  <dimension ref="A1:V160"/>
  <sheetViews>
    <sheetView showGridLines="0" zoomScale="85" zoomScaleNormal="85" workbookViewId="0">
      <selection activeCell="A4" sqref="A4"/>
    </sheetView>
  </sheetViews>
  <sheetFormatPr defaultColWidth="8.796875" defaultRowHeight="18" x14ac:dyDescent="0.55000000000000004"/>
  <cols>
    <col min="1" max="1" width="25.33203125" style="17" customWidth="1"/>
    <col min="2" max="2" width="86.1328125" customWidth="1"/>
    <col min="3" max="3" width="9.6640625" customWidth="1"/>
    <col min="4" max="4" width="8.796875" customWidth="1"/>
    <col min="5" max="5" width="10" bestFit="1" customWidth="1"/>
    <col min="6" max="6" width="29.6640625" bestFit="1" customWidth="1"/>
    <col min="7" max="7" width="17.796875" customWidth="1"/>
    <col min="8" max="11" width="14.33203125" customWidth="1"/>
    <col min="12" max="12" width="15.33203125" customWidth="1"/>
    <col min="14" max="14" width="12.6640625" style="15" bestFit="1" customWidth="1"/>
    <col min="15" max="15" width="8.796875" style="15"/>
    <col min="16" max="16" width="12.6640625" style="15" bestFit="1" customWidth="1"/>
    <col min="17" max="17" width="8.796875" style="15"/>
    <col min="18" max="18" width="10.6640625" style="15" bestFit="1" customWidth="1"/>
    <col min="19" max="19" width="27.6640625" style="15" bestFit="1" customWidth="1"/>
    <col min="20" max="22" width="8.796875" style="15"/>
  </cols>
  <sheetData>
    <row r="1" spans="1:2" x14ac:dyDescent="0.55000000000000004">
      <c r="A1" s="16" t="s">
        <v>811</v>
      </c>
    </row>
    <row r="2" spans="1:2" x14ac:dyDescent="0.55000000000000004">
      <c r="A2" s="17" t="s">
        <v>824</v>
      </c>
    </row>
    <row r="3" spans="1:2" ht="14.25" x14ac:dyDescent="0.45">
      <c r="A3" s="118"/>
    </row>
    <row r="4" spans="1:2" x14ac:dyDescent="0.55000000000000004">
      <c r="A4" s="17" t="s">
        <v>1055</v>
      </c>
    </row>
    <row r="6" spans="1:2" ht="15.75" x14ac:dyDescent="0.5">
      <c r="A6" s="2" t="s">
        <v>15</v>
      </c>
      <c r="B6" s="2" t="s">
        <v>16</v>
      </c>
    </row>
    <row r="7" spans="1:2" ht="15.75" x14ac:dyDescent="0.45">
      <c r="A7" s="23" t="s">
        <v>22</v>
      </c>
      <c r="B7" s="26" t="s">
        <v>825</v>
      </c>
    </row>
    <row r="8" spans="1:2" ht="31.5" x14ac:dyDescent="0.45">
      <c r="A8" s="23" t="s">
        <v>819</v>
      </c>
      <c r="B8" s="26" t="s">
        <v>826</v>
      </c>
    </row>
    <row r="9" spans="1:2" ht="15.75" x14ac:dyDescent="0.45">
      <c r="A9" s="23" t="s">
        <v>820</v>
      </c>
      <c r="B9" s="26" t="s">
        <v>821</v>
      </c>
    </row>
    <row r="10" spans="1:2" ht="15.75" x14ac:dyDescent="0.45">
      <c r="A10" s="23" t="s">
        <v>807</v>
      </c>
      <c r="B10" s="26" t="s">
        <v>809</v>
      </c>
    </row>
    <row r="11" spans="1:2" ht="15.75" x14ac:dyDescent="0.45">
      <c r="A11" s="23" t="s">
        <v>808</v>
      </c>
      <c r="B11" s="26" t="s">
        <v>810</v>
      </c>
    </row>
    <row r="12" spans="1:2" ht="15.75" x14ac:dyDescent="0.45">
      <c r="A12" s="23" t="s">
        <v>586</v>
      </c>
      <c r="B12" s="26" t="s">
        <v>619</v>
      </c>
    </row>
    <row r="13" spans="1:2" ht="15.75" x14ac:dyDescent="0.45">
      <c r="A13" s="23" t="s">
        <v>587</v>
      </c>
      <c r="B13" s="26" t="s">
        <v>620</v>
      </c>
    </row>
    <row r="14" spans="1:2" ht="31.5" x14ac:dyDescent="0.45">
      <c r="A14" s="23" t="s">
        <v>588</v>
      </c>
      <c r="B14" s="26" t="s">
        <v>621</v>
      </c>
    </row>
    <row r="15" spans="1:2" ht="15.75" x14ac:dyDescent="0.45">
      <c r="A15" s="23"/>
      <c r="B15" s="26"/>
    </row>
    <row r="16" spans="1:2" ht="15.75" x14ac:dyDescent="0.5">
      <c r="A16" s="2" t="s">
        <v>315</v>
      </c>
    </row>
    <row r="17" spans="1:16" ht="15.75" x14ac:dyDescent="0.45">
      <c r="A17" s="23" t="s">
        <v>580</v>
      </c>
      <c r="P17" s="27"/>
    </row>
    <row r="18" spans="1:16" ht="15.75" x14ac:dyDescent="0.45">
      <c r="A18" s="23"/>
      <c r="B18" s="26"/>
      <c r="C18" s="26"/>
      <c r="P18" s="27"/>
    </row>
    <row r="19" spans="1:16" ht="15.75" x14ac:dyDescent="0.45">
      <c r="A19" s="23"/>
      <c r="B19" s="26"/>
      <c r="C19" s="26"/>
      <c r="D19" s="1" t="s">
        <v>17</v>
      </c>
      <c r="F19" s="13" t="s">
        <v>823</v>
      </c>
      <c r="G19" s="12">
        <v>0</v>
      </c>
      <c r="P19" s="27"/>
    </row>
    <row r="20" spans="1:16" ht="15.75" x14ac:dyDescent="0.45">
      <c r="A20" s="23"/>
      <c r="B20" s="26"/>
      <c r="C20" s="26"/>
      <c r="F20" s="13" t="s">
        <v>822</v>
      </c>
      <c r="G20" s="12"/>
      <c r="P20" s="27"/>
    </row>
    <row r="21" spans="1:16" ht="15.75" x14ac:dyDescent="0.45">
      <c r="A21" s="23"/>
      <c r="B21" s="26"/>
      <c r="C21" s="26"/>
      <c r="F21" s="13" t="s">
        <v>805</v>
      </c>
      <c r="G21" s="12"/>
      <c r="P21" s="27"/>
    </row>
    <row r="22" spans="1:16" ht="15.75" x14ac:dyDescent="0.45">
      <c r="A22" s="23"/>
      <c r="B22" s="26"/>
      <c r="C22" s="26"/>
      <c r="F22" s="13" t="s">
        <v>806</v>
      </c>
      <c r="G22" s="12"/>
      <c r="P22" s="27"/>
    </row>
    <row r="23" spans="1:16" ht="15.75" x14ac:dyDescent="0.45">
      <c r="A23" s="23"/>
      <c r="B23" s="26"/>
      <c r="C23" s="26"/>
      <c r="F23" s="13" t="s">
        <v>576</v>
      </c>
      <c r="G23" s="12"/>
      <c r="P23" s="27"/>
    </row>
    <row r="24" spans="1:16" ht="15.75" x14ac:dyDescent="0.45">
      <c r="A24" s="23"/>
      <c r="B24" s="26"/>
      <c r="C24" s="26"/>
      <c r="F24" s="13" t="s">
        <v>577</v>
      </c>
      <c r="G24" s="12"/>
      <c r="P24" s="27"/>
    </row>
    <row r="25" spans="1:16" ht="15.75" x14ac:dyDescent="0.45">
      <c r="A25" s="23"/>
      <c r="B25" s="26"/>
      <c r="C25" s="26"/>
      <c r="F25" s="13" t="s">
        <v>578</v>
      </c>
      <c r="G25" s="12"/>
      <c r="P25" s="27"/>
    </row>
    <row r="26" spans="1:16" ht="15.75" x14ac:dyDescent="0.45">
      <c r="A26" s="23"/>
      <c r="B26" s="26"/>
      <c r="C26" s="26"/>
      <c r="P26" s="27"/>
    </row>
    <row r="27" spans="1:16" ht="15.75" x14ac:dyDescent="0.45">
      <c r="A27" s="23"/>
      <c r="B27" s="26"/>
      <c r="C27" s="26"/>
      <c r="P27" s="27"/>
    </row>
    <row r="28" spans="1:16" x14ac:dyDescent="0.55000000000000004">
      <c r="H28" s="182" t="s">
        <v>22</v>
      </c>
      <c r="I28" s="182"/>
      <c r="J28" s="182"/>
      <c r="K28" s="182"/>
      <c r="L28" s="182"/>
      <c r="P28" s="27"/>
    </row>
    <row r="29" spans="1:16" ht="36.75" customHeight="1" x14ac:dyDescent="0.55000000000000004">
      <c r="F29" s="13" t="s">
        <v>658</v>
      </c>
      <c r="G29" s="123" t="s">
        <v>659</v>
      </c>
      <c r="H29" s="123" t="s">
        <v>660</v>
      </c>
      <c r="I29" s="123" t="s">
        <v>661</v>
      </c>
      <c r="J29" s="123" t="s">
        <v>662</v>
      </c>
      <c r="K29" s="123" t="s">
        <v>663</v>
      </c>
      <c r="L29" s="123" t="s">
        <v>664</v>
      </c>
      <c r="N29" s="60" t="s">
        <v>249</v>
      </c>
      <c r="O29" s="124"/>
      <c r="P29" s="124" t="s">
        <v>801</v>
      </c>
    </row>
    <row r="30" spans="1:16" x14ac:dyDescent="0.55000000000000004">
      <c r="F30" s="13" t="s">
        <v>665</v>
      </c>
      <c r="G30" s="13">
        <v>-1.1299999999999999</v>
      </c>
      <c r="H30" s="12">
        <v>-0.36</v>
      </c>
      <c r="I30" s="12">
        <v>2.63</v>
      </c>
      <c r="J30" s="12">
        <v>-0.33</v>
      </c>
      <c r="K30" s="12">
        <v>-0.24</v>
      </c>
      <c r="L30" s="12">
        <v>0.09</v>
      </c>
      <c r="N30" s="62" t="b" cm="1">
        <f t="array" ref="N30">_xlfn.LAMBDA(_xlpm.matrix,_xlop.returnTest,_xlop.maxInflationVarFactor,_xlop.mineigenvalueCondition,_xlop.maxConditionIndex,_xlop.eigenMin,_xlop.eigenMax,_xlop.eigenStep,
_xlfn.LET(
_xlpm.returnTest,IF(OR(_xlfn.ISOMITTED(_xlpm.returnTest),ISBLANK(_xlpm.returnTest)), 0, _xlpm.returnTest),
_xlpm.maxInflationVarFactor,IF(OR(_xlfn.ISOMITTED(_xlpm.maxInflationVarFactor),ISBLANK(_xlpm.maxInflationVarFactor)), 5, _xlpm.maxInflationVarFactor),
_xlpm.mineigenvalueCondition,IF(OR(_xlfn.ISOMITTED(_xlpm.mineigenvalueCondition),ISBLANK(_xlpm.mineigenvalueCondition)), 0.01, _xlpm.mineigenvalueCondition),
_xlpm.maxConditionIndex,IF(OR(_xlfn.ISOMITTED(_xlpm.maxConditionIndex),ISBLANK(_xlpm.maxConditionIndex)), 50, _xlpm.maxConditionIndex),
_xlpm.inflationFactors, VARINFLATIONFACTOR(INDEX(_xlpm.matrix,,1),_xlfn.DROP(_xlpm.matrix,0,1),TRUE),
_xlpm.corrcoef_matrix, CORRCOEF(_xlpm.matrix),
_xlpm.eigenvals_list, EIGENVALUES(_xlpm.corrcoef_matrix,_xlpm.eigenMin,_xlpm.eigenMax,_xlpm.eigenStep),
_xlpm.min_eigenval, MIN(_xlpm.eigenvals_list),
_xlpm.max_eigenval, MAX(_xlpm.eigenvals_list),
_xlpm.conditionIndex, SQRT(_xlpm.max_eigenval / _xlpm.min_eigenval),
_xlfn.SWITCH(_xlpm.returnTest, 0, MAX(_xlpm.inflationFactors) &gt;= _xlpm.maxInflationVarFactor, 1, _xlpm.min_eigenval &lt;= _xlpm.mineigenvalueCondition, 2, _xlpm.conditionIndex &gt;= _xlpm.maxConditionIndex, "# ReturnTest must be 0/omitted (Inflation Var Factor), 1 (Eigenvalue Condition) or 2 (Condition Index)")
))($H$30:$L$160,G19,G20,G21,G22,G23,G24,G25)</f>
        <v>0</v>
      </c>
      <c r="O30" s="62"/>
      <c r="P30" s="62" t="b" cm="1">
        <f t="array" ref="P30">ISMULTICOLLINEAR($H$30:$L$160,G19,G20,G21,G22,G23,G24,G25)</f>
        <v>0</v>
      </c>
    </row>
    <row r="31" spans="1:16" x14ac:dyDescent="0.55000000000000004">
      <c r="F31" s="13" t="s">
        <v>666</v>
      </c>
      <c r="G31" s="13">
        <v>7.38</v>
      </c>
      <c r="H31" s="12">
        <v>-0.35</v>
      </c>
      <c r="I31" s="12">
        <v>-0.9</v>
      </c>
      <c r="J31" s="12">
        <v>-0.23</v>
      </c>
      <c r="K31" s="12">
        <v>-0.34</v>
      </c>
      <c r="L31" s="12">
        <v>-0.65</v>
      </c>
      <c r="N31" s="62"/>
      <c r="O31" s="62"/>
      <c r="P31" s="62"/>
    </row>
    <row r="32" spans="1:16" x14ac:dyDescent="0.55000000000000004">
      <c r="F32" s="13" t="s">
        <v>667</v>
      </c>
      <c r="G32" s="13">
        <v>0.62</v>
      </c>
      <c r="H32" s="12">
        <v>1.43</v>
      </c>
      <c r="I32" s="12">
        <v>-0.19</v>
      </c>
      <c r="J32" s="12">
        <v>-0.13</v>
      </c>
      <c r="K32" s="12">
        <v>-0.31</v>
      </c>
      <c r="L32" s="12">
        <v>0.44</v>
      </c>
      <c r="N32" s="62"/>
      <c r="O32" s="62"/>
      <c r="P32" s="62"/>
    </row>
    <row r="33" spans="6:12" s="21" customFormat="1" ht="14.25" x14ac:dyDescent="0.45">
      <c r="F33" s="13" t="s">
        <v>668</v>
      </c>
      <c r="G33" s="13">
        <v>1</v>
      </c>
      <c r="H33" s="12">
        <v>1.36</v>
      </c>
      <c r="I33" s="12">
        <v>0.09</v>
      </c>
      <c r="J33" s="12">
        <v>-0.57999999999999996</v>
      </c>
      <c r="K33" s="12">
        <v>-0.32</v>
      </c>
      <c r="L33" s="12">
        <v>0.51</v>
      </c>
    </row>
    <row r="34" spans="6:12" s="21" customFormat="1" ht="14.25" x14ac:dyDescent="0.45">
      <c r="F34" s="13" t="s">
        <v>669</v>
      </c>
      <c r="G34" s="13">
        <v>1.37</v>
      </c>
      <c r="H34" s="12">
        <v>-0.27</v>
      </c>
      <c r="I34" s="12">
        <v>-0.56999999999999995</v>
      </c>
      <c r="J34" s="12">
        <v>-0.1</v>
      </c>
      <c r="K34" s="12">
        <v>-0.12</v>
      </c>
      <c r="L34" s="12">
        <v>-0.93</v>
      </c>
    </row>
    <row r="35" spans="6:12" s="21" customFormat="1" ht="14.25" x14ac:dyDescent="0.45">
      <c r="F35" s="13" t="s">
        <v>670</v>
      </c>
      <c r="G35" s="13">
        <v>0.22</v>
      </c>
      <c r="H35" s="12">
        <v>1.07</v>
      </c>
      <c r="I35" s="12">
        <v>0.15</v>
      </c>
      <c r="J35" s="12">
        <v>-0.22</v>
      </c>
      <c r="K35" s="12">
        <v>-0.14000000000000001</v>
      </c>
      <c r="L35" s="12">
        <v>-0.37</v>
      </c>
    </row>
    <row r="36" spans="6:12" s="21" customFormat="1" ht="14.25" x14ac:dyDescent="0.45">
      <c r="F36" s="13" t="s">
        <v>671</v>
      </c>
      <c r="G36" s="13">
        <v>7.03</v>
      </c>
      <c r="H36" s="12">
        <v>-0.97</v>
      </c>
      <c r="I36" s="12">
        <v>0.85</v>
      </c>
      <c r="J36" s="12">
        <v>-0.34</v>
      </c>
      <c r="K36" s="12">
        <v>0.42</v>
      </c>
      <c r="L36" s="12">
        <v>-1.69</v>
      </c>
    </row>
    <row r="37" spans="6:12" s="21" customFormat="1" ht="14.25" x14ac:dyDescent="0.45">
      <c r="F37" s="13" t="s">
        <v>672</v>
      </c>
      <c r="G37" s="13">
        <v>-0.23</v>
      </c>
      <c r="H37" s="12">
        <v>0.63</v>
      </c>
      <c r="I37" s="12">
        <v>-1.1100000000000001</v>
      </c>
      <c r="J37" s="12">
        <v>-0.01</v>
      </c>
      <c r="K37" s="12">
        <v>0.15</v>
      </c>
      <c r="L37" s="12">
        <v>-0.84</v>
      </c>
    </row>
    <row r="38" spans="6:12" s="21" customFormat="1" ht="14.25" x14ac:dyDescent="0.45">
      <c r="F38" s="13" t="s">
        <v>673</v>
      </c>
      <c r="G38" s="13">
        <v>1.4</v>
      </c>
      <c r="H38" s="12">
        <v>-7.0000000000000007E-2</v>
      </c>
      <c r="I38" s="12">
        <v>0.53</v>
      </c>
      <c r="J38" s="12">
        <v>-0.21</v>
      </c>
      <c r="K38" s="12">
        <v>0.42</v>
      </c>
      <c r="L38" s="12">
        <v>-0.09</v>
      </c>
    </row>
    <row r="39" spans="6:12" s="21" customFormat="1" ht="14.25" x14ac:dyDescent="0.45">
      <c r="F39" s="13" t="s">
        <v>674</v>
      </c>
      <c r="G39" s="13">
        <v>1.24</v>
      </c>
      <c r="H39" s="12">
        <v>1.31</v>
      </c>
      <c r="I39" s="12">
        <v>0.03</v>
      </c>
      <c r="J39" s="12">
        <v>-0.92</v>
      </c>
      <c r="K39" s="12">
        <v>-0.34</v>
      </c>
      <c r="L39" s="12">
        <v>1.1100000000000001</v>
      </c>
    </row>
    <row r="40" spans="6:12" s="21" customFormat="1" ht="14.25" x14ac:dyDescent="0.45">
      <c r="F40" s="13" t="s">
        <v>675</v>
      </c>
      <c r="G40" s="13">
        <v>4</v>
      </c>
      <c r="H40" s="12">
        <v>-1.18</v>
      </c>
      <c r="I40" s="12">
        <v>0.11</v>
      </c>
      <c r="J40" s="12">
        <v>-0.26</v>
      </c>
      <c r="K40" s="12">
        <v>-0.77</v>
      </c>
      <c r="L40" s="12">
        <v>-1.01</v>
      </c>
    </row>
    <row r="41" spans="6:12" s="21" customFormat="1" ht="14.25" x14ac:dyDescent="0.45">
      <c r="F41" s="13" t="s">
        <v>676</v>
      </c>
      <c r="G41" s="13">
        <v>4.26</v>
      </c>
      <c r="H41" s="12">
        <v>-0.52</v>
      </c>
      <c r="I41" s="12">
        <v>1.63</v>
      </c>
      <c r="J41" s="12">
        <v>-0.35</v>
      </c>
      <c r="K41" s="12">
        <v>-0.1</v>
      </c>
      <c r="L41" s="12">
        <v>0.32</v>
      </c>
    </row>
    <row r="42" spans="6:12" s="21" customFormat="1" ht="14.25" x14ac:dyDescent="0.45">
      <c r="F42" s="13" t="s">
        <v>677</v>
      </c>
      <c r="G42" s="13">
        <v>0.8</v>
      </c>
      <c r="H42" s="12">
        <v>-0.46</v>
      </c>
      <c r="I42" s="12">
        <v>-0.6</v>
      </c>
      <c r="J42" s="12">
        <v>-0.46</v>
      </c>
      <c r="K42" s="12">
        <v>-0.26</v>
      </c>
      <c r="L42" s="12">
        <v>0.28999999999999998</v>
      </c>
    </row>
    <row r="43" spans="6:12" s="21" customFormat="1" ht="14.25" x14ac:dyDescent="0.45">
      <c r="F43" s="13" t="s">
        <v>678</v>
      </c>
      <c r="G43" s="13">
        <v>3.39</v>
      </c>
      <c r="H43" s="12">
        <v>-0.1</v>
      </c>
      <c r="I43" s="12">
        <v>-0.38</v>
      </c>
      <c r="J43" s="12">
        <v>-0.22</v>
      </c>
      <c r="K43" s="12">
        <v>-0.5</v>
      </c>
      <c r="L43" s="12">
        <v>0.51</v>
      </c>
    </row>
    <row r="44" spans="6:12" s="21" customFormat="1" ht="14.25" x14ac:dyDescent="0.45">
      <c r="F44" s="13" t="s">
        <v>679</v>
      </c>
      <c r="G44" s="13">
        <v>0.75</v>
      </c>
      <c r="H44" s="12">
        <v>0.11</v>
      </c>
      <c r="I44" s="12">
        <v>1.25</v>
      </c>
      <c r="J44" s="12">
        <v>-0.27</v>
      </c>
      <c r="K44" s="12">
        <v>-0.09</v>
      </c>
      <c r="L44" s="12">
        <v>0.34</v>
      </c>
    </row>
    <row r="45" spans="6:12" s="21" customFormat="1" ht="14.25" x14ac:dyDescent="0.45">
      <c r="F45" s="13" t="s">
        <v>680</v>
      </c>
      <c r="G45" s="13">
        <v>0.38</v>
      </c>
      <c r="H45" s="12">
        <v>0.17</v>
      </c>
      <c r="I45" s="12">
        <v>-1.19</v>
      </c>
      <c r="J45" s="12">
        <v>-0.04</v>
      </c>
      <c r="K45" s="12">
        <v>0.08</v>
      </c>
      <c r="L45" s="12">
        <v>0.65</v>
      </c>
    </row>
    <row r="46" spans="6:12" s="21" customFormat="1" ht="14.25" x14ac:dyDescent="0.45">
      <c r="F46" s="13" t="s">
        <v>681</v>
      </c>
      <c r="G46" s="13">
        <v>2.83</v>
      </c>
      <c r="H46" s="12">
        <v>1.03</v>
      </c>
      <c r="I46" s="12">
        <v>1.72</v>
      </c>
      <c r="J46" s="12">
        <v>-0.14000000000000001</v>
      </c>
      <c r="K46" s="12">
        <v>-0.67</v>
      </c>
      <c r="L46" s="12">
        <v>1.44</v>
      </c>
    </row>
    <row r="47" spans="6:12" s="21" customFormat="1" ht="14.25" x14ac:dyDescent="0.45">
      <c r="F47" s="13" t="s">
        <v>682</v>
      </c>
      <c r="G47" s="13">
        <v>4.43</v>
      </c>
      <c r="H47" s="12">
        <v>0.2</v>
      </c>
      <c r="I47" s="12">
        <v>-0.45</v>
      </c>
      <c r="J47" s="12">
        <v>-0.17</v>
      </c>
      <c r="K47" s="12">
        <v>-0.03</v>
      </c>
      <c r="L47" s="12">
        <v>7.0000000000000007E-2</v>
      </c>
    </row>
    <row r="48" spans="6:12" s="21" customFormat="1" ht="14.25" x14ac:dyDescent="0.45">
      <c r="F48" s="13" t="s">
        <v>683</v>
      </c>
      <c r="G48" s="13">
        <v>2.74</v>
      </c>
      <c r="H48" s="12">
        <v>-1.47</v>
      </c>
      <c r="I48" s="12">
        <v>-0.22</v>
      </c>
      <c r="J48" s="12">
        <v>-0.31</v>
      </c>
      <c r="K48" s="12">
        <v>-1.19</v>
      </c>
      <c r="L48" s="12">
        <v>0.44</v>
      </c>
    </row>
    <row r="49" spans="6:12" s="21" customFormat="1" ht="14.25" x14ac:dyDescent="0.45">
      <c r="F49" s="13" t="s">
        <v>684</v>
      </c>
      <c r="G49" s="13">
        <v>-1.29</v>
      </c>
      <c r="H49" s="12">
        <v>-2.2200000000000002</v>
      </c>
      <c r="I49" s="12">
        <v>-1.54</v>
      </c>
      <c r="J49" s="12">
        <v>-0.4</v>
      </c>
      <c r="K49" s="12">
        <v>-0.73</v>
      </c>
      <c r="L49" s="12">
        <v>1.87</v>
      </c>
    </row>
    <row r="50" spans="6:12" s="21" customFormat="1" ht="14.25" x14ac:dyDescent="0.45">
      <c r="F50" s="13" t="s">
        <v>685</v>
      </c>
      <c r="G50" s="13">
        <v>4.4800000000000004</v>
      </c>
      <c r="H50" s="12">
        <v>-0.45</v>
      </c>
      <c r="I50" s="12">
        <v>1.31</v>
      </c>
      <c r="J50" s="12">
        <v>0.11</v>
      </c>
      <c r="K50" s="12">
        <v>-0.4</v>
      </c>
      <c r="L50" s="12">
        <v>0.2</v>
      </c>
    </row>
    <row r="51" spans="6:12" s="21" customFormat="1" ht="14.25" x14ac:dyDescent="0.45">
      <c r="F51" s="13" t="s">
        <v>686</v>
      </c>
      <c r="G51" s="13">
        <v>1.07</v>
      </c>
      <c r="H51" s="12">
        <v>-1.04</v>
      </c>
      <c r="I51" s="12">
        <v>-0.26</v>
      </c>
      <c r="J51" s="12">
        <v>-0.15</v>
      </c>
      <c r="K51" s="12">
        <v>-0.15</v>
      </c>
      <c r="L51" s="12">
        <v>-0.92</v>
      </c>
    </row>
    <row r="52" spans="6:12" s="21" customFormat="1" ht="14.25" x14ac:dyDescent="0.45">
      <c r="F52" s="13" t="s">
        <v>687</v>
      </c>
      <c r="G52" s="13">
        <v>0.22</v>
      </c>
      <c r="H52" s="12">
        <v>1.29</v>
      </c>
      <c r="I52" s="12">
        <v>-0.25</v>
      </c>
      <c r="J52" s="12">
        <v>-0.15</v>
      </c>
      <c r="K52" s="12">
        <v>-0.24</v>
      </c>
      <c r="L52" s="12">
        <v>0.79</v>
      </c>
    </row>
    <row r="53" spans="6:12" s="21" customFormat="1" ht="14.25" x14ac:dyDescent="0.45">
      <c r="F53" s="13" t="s">
        <v>688</v>
      </c>
      <c r="G53" s="13">
        <v>0.21</v>
      </c>
      <c r="H53" s="12">
        <v>-1.55</v>
      </c>
      <c r="I53" s="12">
        <v>-0.41</v>
      </c>
      <c r="J53" s="12">
        <v>0.08</v>
      </c>
      <c r="K53" s="12">
        <v>-0.78</v>
      </c>
      <c r="L53" s="12">
        <v>-2.13</v>
      </c>
    </row>
    <row r="54" spans="6:12" s="21" customFormat="1" ht="14.25" x14ac:dyDescent="0.45">
      <c r="F54" s="13" t="s">
        <v>689</v>
      </c>
      <c r="G54" s="13">
        <v>-0.13</v>
      </c>
      <c r="H54" s="12">
        <v>0.56000000000000005</v>
      </c>
      <c r="I54" s="12">
        <v>-0.24</v>
      </c>
      <c r="J54" s="12">
        <v>0</v>
      </c>
      <c r="K54" s="12">
        <v>-0.13</v>
      </c>
      <c r="L54" s="12">
        <v>-0.3</v>
      </c>
    </row>
    <row r="55" spans="6:12" s="21" customFormat="1" ht="14.25" x14ac:dyDescent="0.45">
      <c r="F55" s="13" t="s">
        <v>690</v>
      </c>
      <c r="G55" s="13">
        <v>5.57</v>
      </c>
      <c r="H55" s="12">
        <v>0.24</v>
      </c>
      <c r="I55" s="12">
        <v>2.29</v>
      </c>
      <c r="J55" s="12">
        <v>-0.3</v>
      </c>
      <c r="K55" s="12">
        <v>-7.0000000000000007E-2</v>
      </c>
      <c r="L55" s="12">
        <v>0.06</v>
      </c>
    </row>
    <row r="56" spans="6:12" s="21" customFormat="1" ht="14.25" x14ac:dyDescent="0.45">
      <c r="F56" s="13" t="s">
        <v>691</v>
      </c>
      <c r="G56" s="13">
        <v>1.87</v>
      </c>
      <c r="H56" s="12">
        <v>-0.03</v>
      </c>
      <c r="I56" s="12">
        <v>-0.3</v>
      </c>
      <c r="J56" s="12">
        <v>0.02</v>
      </c>
      <c r="K56" s="12">
        <v>0.04</v>
      </c>
      <c r="L56" s="12">
        <v>-0.16</v>
      </c>
    </row>
    <row r="57" spans="6:12" s="21" customFormat="1" ht="14.25" x14ac:dyDescent="0.45">
      <c r="F57" s="13" t="s">
        <v>692</v>
      </c>
      <c r="G57" s="13">
        <v>-5.98</v>
      </c>
      <c r="H57" s="12">
        <v>-0.68</v>
      </c>
      <c r="I57" s="12">
        <v>7.0000000000000007E-2</v>
      </c>
      <c r="J57" s="12">
        <v>2.23</v>
      </c>
      <c r="K57" s="12">
        <v>-0.2</v>
      </c>
      <c r="L57" s="12">
        <v>-0.69</v>
      </c>
    </row>
    <row r="58" spans="6:12" s="21" customFormat="1" ht="14.25" x14ac:dyDescent="0.45">
      <c r="F58" s="13" t="s">
        <v>693</v>
      </c>
      <c r="G58" s="13">
        <v>1.1100000000000001</v>
      </c>
      <c r="H58" s="12">
        <v>0.37</v>
      </c>
      <c r="I58" s="12">
        <v>-0.87</v>
      </c>
      <c r="J58" s="12">
        <v>-0.01</v>
      </c>
      <c r="K58" s="12">
        <v>-0.22</v>
      </c>
      <c r="L58" s="12">
        <v>0.17</v>
      </c>
    </row>
    <row r="59" spans="6:12" s="21" customFormat="1" ht="14.25" x14ac:dyDescent="0.45">
      <c r="F59" s="13" t="s">
        <v>694</v>
      </c>
      <c r="G59" s="13">
        <v>3.56</v>
      </c>
      <c r="H59" s="12">
        <v>-0.76</v>
      </c>
      <c r="I59" s="12">
        <v>-0.57999999999999996</v>
      </c>
      <c r="J59" s="12">
        <v>-0.24</v>
      </c>
      <c r="K59" s="12">
        <v>-0.8</v>
      </c>
      <c r="L59" s="12">
        <v>-1.05</v>
      </c>
    </row>
    <row r="60" spans="6:12" s="21" customFormat="1" ht="14.25" x14ac:dyDescent="0.45">
      <c r="F60" s="13" t="s">
        <v>695</v>
      </c>
      <c r="G60" s="13">
        <v>3.37</v>
      </c>
      <c r="H60" s="12">
        <v>0.52</v>
      </c>
      <c r="I60" s="12">
        <v>-0.25</v>
      </c>
      <c r="J60" s="12">
        <v>-0.22</v>
      </c>
      <c r="K60" s="12">
        <v>-0.46</v>
      </c>
      <c r="L60" s="12">
        <v>0.56000000000000005</v>
      </c>
    </row>
    <row r="61" spans="6:12" s="21" customFormat="1" ht="14.25" x14ac:dyDescent="0.45">
      <c r="F61" s="13" t="s">
        <v>696</v>
      </c>
      <c r="G61" s="13">
        <v>1.86</v>
      </c>
      <c r="H61" s="12">
        <v>0.96</v>
      </c>
      <c r="I61" s="12">
        <v>-0.6</v>
      </c>
      <c r="J61" s="12">
        <v>9.56</v>
      </c>
      <c r="K61" s="12">
        <v>-0.56000000000000005</v>
      </c>
      <c r="L61" s="12">
        <v>0.03</v>
      </c>
    </row>
    <row r="62" spans="6:12" s="21" customFormat="1" ht="14.25" x14ac:dyDescent="0.45">
      <c r="F62" s="13" t="s">
        <v>697</v>
      </c>
      <c r="G62" s="13">
        <v>1.95</v>
      </c>
      <c r="H62" s="12">
        <v>0.82</v>
      </c>
      <c r="I62" s="12">
        <v>0.27</v>
      </c>
      <c r="J62" s="12">
        <v>-0.05</v>
      </c>
      <c r="K62" s="12">
        <v>-0.08</v>
      </c>
      <c r="L62" s="12">
        <v>0.56000000000000005</v>
      </c>
    </row>
    <row r="63" spans="6:12" s="21" customFormat="1" ht="14.25" x14ac:dyDescent="0.45">
      <c r="F63" s="13" t="s">
        <v>698</v>
      </c>
      <c r="G63" s="13">
        <v>2.41</v>
      </c>
      <c r="H63" s="12">
        <v>1.48</v>
      </c>
      <c r="I63" s="12">
        <v>-0.25</v>
      </c>
      <c r="J63" s="12">
        <v>-0.61</v>
      </c>
      <c r="K63" s="12">
        <v>-0.46</v>
      </c>
      <c r="L63" s="12">
        <v>1.24</v>
      </c>
    </row>
    <row r="64" spans="6:12" s="21" customFormat="1" ht="14.25" x14ac:dyDescent="0.45">
      <c r="F64" s="13" t="s">
        <v>699</v>
      </c>
      <c r="G64" s="13">
        <v>3.96</v>
      </c>
      <c r="H64" s="12">
        <v>0.1</v>
      </c>
      <c r="I64" s="12">
        <v>0.16</v>
      </c>
      <c r="J64" s="12">
        <v>-0.1</v>
      </c>
      <c r="K64" s="12">
        <v>-0.27</v>
      </c>
      <c r="L64" s="12">
        <v>-0.89</v>
      </c>
    </row>
    <row r="65" spans="6:12" s="21" customFormat="1" ht="14.25" x14ac:dyDescent="0.45">
      <c r="F65" s="13" t="s">
        <v>700</v>
      </c>
      <c r="G65" s="13">
        <v>-1.61</v>
      </c>
      <c r="H65" s="12">
        <v>-7.0000000000000007E-2</v>
      </c>
      <c r="I65" s="12">
        <v>0.03</v>
      </c>
      <c r="J65" s="12">
        <v>-0.32</v>
      </c>
      <c r="K65" s="12">
        <v>-0.55000000000000004</v>
      </c>
      <c r="L65" s="12">
        <v>-0.31</v>
      </c>
    </row>
    <row r="66" spans="6:12" s="21" customFormat="1" ht="14.25" x14ac:dyDescent="0.45">
      <c r="F66" s="13" t="s">
        <v>701</v>
      </c>
      <c r="G66" s="13">
        <v>1.86</v>
      </c>
      <c r="H66" s="12">
        <v>-0.37</v>
      </c>
      <c r="I66" s="12">
        <v>-0.69</v>
      </c>
      <c r="J66" s="12">
        <v>-0.15</v>
      </c>
      <c r="K66" s="12">
        <v>-0.59</v>
      </c>
      <c r="L66" s="12">
        <v>-7.0000000000000007E-2</v>
      </c>
    </row>
    <row r="67" spans="6:12" s="21" customFormat="1" ht="14.25" x14ac:dyDescent="0.45">
      <c r="F67" s="13" t="s">
        <v>702</v>
      </c>
      <c r="G67" s="13">
        <v>-8.85</v>
      </c>
      <c r="H67" s="12">
        <v>0.25</v>
      </c>
      <c r="I67" s="12">
        <v>-1.42</v>
      </c>
      <c r="J67" s="12">
        <v>-0.01</v>
      </c>
      <c r="K67" s="12">
        <v>-0.37</v>
      </c>
      <c r="L67" s="12">
        <v>1.61</v>
      </c>
    </row>
    <row r="68" spans="6:12" s="21" customFormat="1" ht="14.25" x14ac:dyDescent="0.45">
      <c r="F68" s="13" t="s">
        <v>703</v>
      </c>
      <c r="G68" s="13">
        <v>4.63</v>
      </c>
      <c r="H68" s="12">
        <v>0.82</v>
      </c>
      <c r="I68" s="12">
        <v>0.37</v>
      </c>
      <c r="J68" s="12">
        <v>0.5</v>
      </c>
      <c r="K68" s="12">
        <v>-0.18</v>
      </c>
      <c r="L68" s="12">
        <v>0.57999999999999996</v>
      </c>
    </row>
    <row r="69" spans="6:12" s="21" customFormat="1" ht="14.25" x14ac:dyDescent="0.45">
      <c r="F69" s="13" t="s">
        <v>704</v>
      </c>
      <c r="G69" s="13">
        <v>1.18</v>
      </c>
      <c r="H69" s="12">
        <v>-0.36</v>
      </c>
      <c r="I69" s="12">
        <v>-1.39</v>
      </c>
      <c r="J69" s="12">
        <v>-0.13</v>
      </c>
      <c r="K69" s="12">
        <v>-0.13</v>
      </c>
      <c r="L69" s="12">
        <v>0.72</v>
      </c>
    </row>
    <row r="70" spans="6:12" s="21" customFormat="1" ht="14.25" x14ac:dyDescent="0.45">
      <c r="F70" s="13" t="s">
        <v>705</v>
      </c>
      <c r="G70" s="13">
        <v>5.6</v>
      </c>
      <c r="H70" s="12">
        <v>-1.5</v>
      </c>
      <c r="I70" s="12">
        <v>1.3</v>
      </c>
      <c r="J70" s="12">
        <v>-0.15</v>
      </c>
      <c r="K70" s="12">
        <v>2.2999999999999998</v>
      </c>
      <c r="L70" s="12">
        <v>-1.2</v>
      </c>
    </row>
    <row r="71" spans="6:12" s="21" customFormat="1" ht="14.25" x14ac:dyDescent="0.45">
      <c r="F71" s="13" t="s">
        <v>706</v>
      </c>
      <c r="G71" s="13">
        <v>1.06</v>
      </c>
      <c r="H71" s="12">
        <v>1.34</v>
      </c>
      <c r="I71" s="12">
        <v>-7.0000000000000007E-2</v>
      </c>
      <c r="J71" s="12">
        <v>0.16</v>
      </c>
      <c r="K71" s="12">
        <v>-0.41</v>
      </c>
      <c r="L71" s="12">
        <v>1.1000000000000001</v>
      </c>
    </row>
    <row r="72" spans="6:12" s="21" customFormat="1" ht="14.25" x14ac:dyDescent="0.45">
      <c r="F72" s="13" t="s">
        <v>707</v>
      </c>
      <c r="G72" s="13">
        <v>1.37</v>
      </c>
      <c r="H72" s="12">
        <v>1.22</v>
      </c>
      <c r="I72" s="12">
        <v>-7.0000000000000007E-2</v>
      </c>
      <c r="J72" s="12">
        <v>-0.22</v>
      </c>
      <c r="K72" s="12">
        <v>-0.4</v>
      </c>
      <c r="L72" s="12">
        <v>1.1200000000000001</v>
      </c>
    </row>
    <row r="73" spans="6:12" s="21" customFormat="1" ht="14.25" x14ac:dyDescent="0.45">
      <c r="F73" s="13" t="s">
        <v>708</v>
      </c>
      <c r="G73" s="13">
        <v>1.39</v>
      </c>
      <c r="H73" s="12">
        <v>0.09</v>
      </c>
      <c r="I73" s="12">
        <v>-0.31</v>
      </c>
      <c r="J73" s="12">
        <v>0.48</v>
      </c>
      <c r="K73" s="12">
        <v>-0.15</v>
      </c>
      <c r="L73" s="12">
        <v>-0.9</v>
      </c>
    </row>
    <row r="74" spans="6:12" s="21" customFormat="1" ht="14.25" x14ac:dyDescent="0.45">
      <c r="F74" s="13" t="s">
        <v>709</v>
      </c>
      <c r="G74" s="13">
        <v>3</v>
      </c>
      <c r="H74" s="12">
        <v>-1.54</v>
      </c>
      <c r="I74" s="12">
        <v>-0.27</v>
      </c>
      <c r="J74" s="12">
        <v>-0.23</v>
      </c>
      <c r="K74" s="12">
        <v>0.7</v>
      </c>
      <c r="L74" s="12">
        <v>-1.37</v>
      </c>
    </row>
    <row r="75" spans="6:12" s="21" customFormat="1" ht="14.25" x14ac:dyDescent="0.45">
      <c r="F75" s="13" t="s">
        <v>710</v>
      </c>
      <c r="G75" s="13">
        <v>5.16</v>
      </c>
      <c r="H75" s="12">
        <v>-0.27</v>
      </c>
      <c r="I75" s="12">
        <v>0.31</v>
      </c>
      <c r="J75" s="12">
        <v>0.33</v>
      </c>
      <c r="K75" s="12">
        <v>0.28999999999999998</v>
      </c>
      <c r="L75" s="12">
        <v>-0.56999999999999995</v>
      </c>
    </row>
    <row r="76" spans="6:12" s="21" customFormat="1" ht="14.25" x14ac:dyDescent="0.45">
      <c r="F76" s="13" t="s">
        <v>711</v>
      </c>
      <c r="G76" s="13">
        <v>0.28000000000000003</v>
      </c>
      <c r="H76" s="12">
        <v>1.31</v>
      </c>
      <c r="I76" s="12">
        <v>-0.41</v>
      </c>
      <c r="J76" s="12">
        <v>-0.22</v>
      </c>
      <c r="K76" s="12">
        <v>-0.34</v>
      </c>
      <c r="L76" s="12">
        <v>0.67</v>
      </c>
    </row>
    <row r="77" spans="6:12" s="21" customFormat="1" ht="14.25" x14ac:dyDescent="0.45">
      <c r="F77" s="13" t="s">
        <v>712</v>
      </c>
      <c r="G77" s="13">
        <v>4.2</v>
      </c>
      <c r="H77" s="12">
        <v>-0.79</v>
      </c>
      <c r="I77" s="12">
        <v>0.21</v>
      </c>
      <c r="J77" s="12">
        <v>0.15</v>
      </c>
      <c r="K77" s="12">
        <v>0.71</v>
      </c>
      <c r="L77" s="12">
        <v>-1.25</v>
      </c>
    </row>
    <row r="78" spans="6:12" s="21" customFormat="1" ht="14.25" x14ac:dyDescent="0.45">
      <c r="F78" s="13" t="s">
        <v>713</v>
      </c>
      <c r="G78" s="13">
        <v>2.0299999999999998</v>
      </c>
      <c r="H78" s="12">
        <v>0.73</v>
      </c>
      <c r="I78" s="12">
        <v>-1.5</v>
      </c>
      <c r="J78" s="12">
        <v>-0.18</v>
      </c>
      <c r="K78" s="12">
        <v>-0.55000000000000004</v>
      </c>
      <c r="L78" s="12">
        <v>0.52</v>
      </c>
    </row>
    <row r="79" spans="6:12" s="21" customFormat="1" ht="14.25" x14ac:dyDescent="0.45">
      <c r="F79" s="13" t="s">
        <v>714</v>
      </c>
      <c r="G79" s="13">
        <v>2.2400000000000002</v>
      </c>
      <c r="H79" s="12">
        <v>-0.31</v>
      </c>
      <c r="I79" s="12">
        <v>-1.26</v>
      </c>
      <c r="J79" s="12">
        <v>-0.28000000000000003</v>
      </c>
      <c r="K79" s="12">
        <v>0.08</v>
      </c>
      <c r="L79" s="12">
        <v>-0.89</v>
      </c>
    </row>
    <row r="80" spans="6:12" s="21" customFormat="1" ht="14.25" x14ac:dyDescent="0.45">
      <c r="F80" s="13" t="s">
        <v>715</v>
      </c>
      <c r="G80" s="13">
        <v>2.65</v>
      </c>
      <c r="H80" s="12">
        <v>-1.42</v>
      </c>
      <c r="I80" s="12">
        <v>-0.63</v>
      </c>
      <c r="J80" s="12">
        <v>-0.37</v>
      </c>
      <c r="K80" s="12">
        <v>1.1299999999999999</v>
      </c>
      <c r="L80" s="12">
        <v>-0.26</v>
      </c>
    </row>
    <row r="81" spans="6:12" s="21" customFormat="1" ht="14.25" x14ac:dyDescent="0.45">
      <c r="F81" s="13" t="s">
        <v>716</v>
      </c>
      <c r="G81" s="13">
        <v>-2.9</v>
      </c>
      <c r="H81" s="12">
        <v>-1.08</v>
      </c>
      <c r="I81" s="12">
        <v>-1.02</v>
      </c>
      <c r="J81" s="12">
        <v>-0.35</v>
      </c>
      <c r="K81" s="12">
        <v>2.82</v>
      </c>
      <c r="L81" s="12">
        <v>-1.48</v>
      </c>
    </row>
    <row r="82" spans="6:12" s="21" customFormat="1" ht="14.25" x14ac:dyDescent="0.45">
      <c r="F82" s="13" t="s">
        <v>717</v>
      </c>
      <c r="G82" s="13">
        <v>0.98</v>
      </c>
      <c r="H82" s="12">
        <v>-0.7</v>
      </c>
      <c r="I82" s="12">
        <v>-0.3</v>
      </c>
      <c r="J82" s="12">
        <v>-0.04</v>
      </c>
      <c r="K82" s="12">
        <v>0.2</v>
      </c>
      <c r="L82" s="12">
        <v>-0.48</v>
      </c>
    </row>
    <row r="83" spans="6:12" s="21" customFormat="1" ht="14.25" x14ac:dyDescent="0.45">
      <c r="F83" s="13" t="s">
        <v>718</v>
      </c>
      <c r="G83" s="13">
        <v>-1.99</v>
      </c>
      <c r="H83" s="12">
        <v>1.32</v>
      </c>
      <c r="I83" s="12">
        <v>-0.72</v>
      </c>
      <c r="J83" s="12">
        <v>1.1200000000000001</v>
      </c>
      <c r="K83" s="12">
        <v>-0.08</v>
      </c>
      <c r="L83" s="12">
        <v>-0.94</v>
      </c>
    </row>
    <row r="84" spans="6:12" s="21" customFormat="1" ht="14.25" x14ac:dyDescent="0.45">
      <c r="F84" s="13" t="s">
        <v>719</v>
      </c>
      <c r="G84" s="13">
        <v>4.6399999999999997</v>
      </c>
      <c r="H84" s="12">
        <v>0.57999999999999996</v>
      </c>
      <c r="I84" s="12">
        <v>0.42</v>
      </c>
      <c r="J84" s="12">
        <v>1.48</v>
      </c>
      <c r="K84" s="12">
        <v>0.01</v>
      </c>
      <c r="L84" s="12">
        <v>0.54</v>
      </c>
    </row>
    <row r="85" spans="6:12" s="21" customFormat="1" ht="14.25" x14ac:dyDescent="0.45">
      <c r="F85" s="13" t="s">
        <v>720</v>
      </c>
      <c r="G85" s="13">
        <v>-0.5</v>
      </c>
      <c r="H85" s="12">
        <v>1.6</v>
      </c>
      <c r="I85" s="12">
        <v>-0.56999999999999995</v>
      </c>
      <c r="J85" s="12">
        <v>-0.59</v>
      </c>
      <c r="K85" s="12">
        <v>-0.05</v>
      </c>
      <c r="L85" s="12">
        <v>1.32</v>
      </c>
    </row>
    <row r="86" spans="6:12" s="21" customFormat="1" ht="14.25" x14ac:dyDescent="0.45">
      <c r="F86" s="13" t="s">
        <v>721</v>
      </c>
      <c r="G86" s="13">
        <v>3.13</v>
      </c>
      <c r="H86" s="12">
        <v>-0.85</v>
      </c>
      <c r="I86" s="12">
        <v>0.61</v>
      </c>
      <c r="J86" s="12">
        <v>-0.23</v>
      </c>
      <c r="K86" s="12">
        <v>0.8</v>
      </c>
      <c r="L86" s="12">
        <v>-0.73</v>
      </c>
    </row>
    <row r="87" spans="6:12" s="21" customFormat="1" ht="14.25" x14ac:dyDescent="0.45">
      <c r="F87" s="13" t="s">
        <v>722</v>
      </c>
      <c r="G87" s="13">
        <v>3.88</v>
      </c>
      <c r="H87" s="12">
        <v>-0.4</v>
      </c>
      <c r="I87" s="12">
        <v>1.1200000000000001</v>
      </c>
      <c r="J87" s="12">
        <v>-0.19</v>
      </c>
      <c r="K87" s="12">
        <v>-0.05</v>
      </c>
      <c r="L87" s="12">
        <v>-1.27</v>
      </c>
    </row>
    <row r="88" spans="6:12" s="21" customFormat="1" ht="14.25" x14ac:dyDescent="0.45">
      <c r="F88" s="13" t="s">
        <v>723</v>
      </c>
      <c r="G88" s="13">
        <v>3.97</v>
      </c>
      <c r="H88" s="12">
        <v>1.65</v>
      </c>
      <c r="I88" s="12">
        <v>2.36</v>
      </c>
      <c r="J88" s="12">
        <v>-1.55</v>
      </c>
      <c r="K88" s="12">
        <v>-0.43</v>
      </c>
      <c r="L88" s="12">
        <v>-0.74</v>
      </c>
    </row>
    <row r="89" spans="6:12" s="21" customFormat="1" ht="14.25" x14ac:dyDescent="0.45">
      <c r="F89" s="13" t="s">
        <v>724</v>
      </c>
      <c r="G89" s="13">
        <v>1.52</v>
      </c>
      <c r="H89" s="12">
        <v>1.22</v>
      </c>
      <c r="I89" s="12">
        <v>-0.42</v>
      </c>
      <c r="J89" s="12">
        <v>0.06</v>
      </c>
      <c r="K89" s="12">
        <v>-0.45</v>
      </c>
      <c r="L89" s="12">
        <v>1.03</v>
      </c>
    </row>
    <row r="90" spans="6:12" s="21" customFormat="1" ht="14.25" x14ac:dyDescent="0.45">
      <c r="F90" s="13" t="s">
        <v>725</v>
      </c>
      <c r="G90" s="13">
        <v>0.55000000000000004</v>
      </c>
      <c r="H90" s="12">
        <v>1.0900000000000001</v>
      </c>
      <c r="I90" s="12">
        <v>-0.82</v>
      </c>
      <c r="J90" s="12">
        <v>-0.25</v>
      </c>
      <c r="K90" s="12">
        <v>-0.49</v>
      </c>
      <c r="L90" s="12">
        <v>0.39</v>
      </c>
    </row>
    <row r="91" spans="6:12" s="21" customFormat="1" ht="14.25" x14ac:dyDescent="0.45">
      <c r="F91" s="13" t="s">
        <v>726</v>
      </c>
      <c r="G91" s="13">
        <v>0.24</v>
      </c>
      <c r="H91" s="12">
        <v>-0.18</v>
      </c>
      <c r="I91" s="12">
        <v>-0.17</v>
      </c>
      <c r="J91" s="12">
        <v>-0.02</v>
      </c>
      <c r="K91" s="12">
        <v>0.11</v>
      </c>
      <c r="L91" s="12">
        <v>-0.49</v>
      </c>
    </row>
    <row r="92" spans="6:12" s="21" customFormat="1" ht="14.25" x14ac:dyDescent="0.45">
      <c r="F92" s="13" t="s">
        <v>727</v>
      </c>
      <c r="G92" s="13">
        <v>0.49</v>
      </c>
      <c r="H92" s="12">
        <v>-0.33</v>
      </c>
      <c r="I92" s="12">
        <v>-0.76</v>
      </c>
      <c r="J92" s="12">
        <v>-0.23</v>
      </c>
      <c r="K92" s="12">
        <v>-0.46</v>
      </c>
      <c r="L92" s="12">
        <v>-0.23</v>
      </c>
    </row>
    <row r="93" spans="6:12" s="21" customFormat="1" ht="14.25" x14ac:dyDescent="0.45">
      <c r="F93" s="13" t="s">
        <v>728</v>
      </c>
      <c r="G93" s="13">
        <v>1.84</v>
      </c>
      <c r="H93" s="12">
        <v>1.07</v>
      </c>
      <c r="I93" s="12">
        <v>0.82</v>
      </c>
      <c r="J93" s="12">
        <v>-0.34</v>
      </c>
      <c r="K93" s="12">
        <v>-0.53</v>
      </c>
      <c r="L93" s="12">
        <v>0.13</v>
      </c>
    </row>
    <row r="94" spans="6:12" s="21" customFormat="1" ht="14.25" x14ac:dyDescent="0.45">
      <c r="F94" s="13" t="s">
        <v>729</v>
      </c>
      <c r="G94" s="13">
        <v>4.34</v>
      </c>
      <c r="H94" s="12">
        <v>-0.31</v>
      </c>
      <c r="I94" s="12">
        <v>0.67</v>
      </c>
      <c r="J94" s="12">
        <v>-0.06</v>
      </c>
      <c r="K94" s="12">
        <v>-0.11</v>
      </c>
      <c r="L94" s="12">
        <v>-0.37</v>
      </c>
    </row>
    <row r="95" spans="6:12" s="21" customFormat="1" ht="14.25" x14ac:dyDescent="0.45">
      <c r="F95" s="13" t="s">
        <v>730</v>
      </c>
      <c r="G95" s="13">
        <v>2.34</v>
      </c>
      <c r="H95" s="12">
        <v>-1.1399999999999999</v>
      </c>
      <c r="I95" s="12">
        <v>1.01</v>
      </c>
      <c r="J95" s="12">
        <v>-0.09</v>
      </c>
      <c r="K95" s="12">
        <v>-0.39</v>
      </c>
      <c r="L95" s="12">
        <v>7.0000000000000007E-2</v>
      </c>
    </row>
    <row r="96" spans="6:12" s="21" customFormat="1" ht="14.25" x14ac:dyDescent="0.45">
      <c r="F96" s="13" t="s">
        <v>731</v>
      </c>
      <c r="G96" s="13">
        <v>2.82</v>
      </c>
      <c r="H96" s="12">
        <v>0.64</v>
      </c>
      <c r="I96" s="12">
        <v>-0.28999999999999998</v>
      </c>
      <c r="J96" s="12">
        <v>-0.11</v>
      </c>
      <c r="K96" s="12">
        <v>-0.09</v>
      </c>
      <c r="L96" s="12">
        <v>0.44</v>
      </c>
    </row>
    <row r="97" spans="6:12" s="21" customFormat="1" ht="14.25" x14ac:dyDescent="0.45">
      <c r="F97" s="13" t="s">
        <v>732</v>
      </c>
      <c r="G97" s="13">
        <v>-6.79</v>
      </c>
      <c r="H97" s="12">
        <v>0.09</v>
      </c>
      <c r="I97" s="12">
        <v>-0.77</v>
      </c>
      <c r="J97" s="12">
        <v>0.01</v>
      </c>
      <c r="K97" s="12">
        <v>-0.05</v>
      </c>
      <c r="L97" s="12">
        <v>-0.08</v>
      </c>
    </row>
    <row r="98" spans="6:12" s="21" customFormat="1" ht="14.25" x14ac:dyDescent="0.45">
      <c r="F98" s="13" t="s">
        <v>733</v>
      </c>
      <c r="G98" s="13">
        <v>-1.61</v>
      </c>
      <c r="H98" s="12">
        <v>-1.19</v>
      </c>
      <c r="I98" s="12">
        <v>1.06</v>
      </c>
      <c r="J98" s="12">
        <v>7.0000000000000007E-2</v>
      </c>
      <c r="K98" s="12">
        <v>0.35</v>
      </c>
      <c r="L98" s="12">
        <v>3.87</v>
      </c>
    </row>
    <row r="99" spans="6:12" s="21" customFormat="1" ht="14.25" x14ac:dyDescent="0.45">
      <c r="F99" s="13" t="s">
        <v>734</v>
      </c>
      <c r="G99" s="13">
        <v>4.8899999999999997</v>
      </c>
      <c r="H99" s="12">
        <v>0.69</v>
      </c>
      <c r="I99" s="12">
        <v>-0.9</v>
      </c>
      <c r="J99" s="12">
        <v>-0.13</v>
      </c>
      <c r="K99" s="12">
        <v>-0.17</v>
      </c>
      <c r="L99" s="12">
        <v>0.06</v>
      </c>
    </row>
    <row r="100" spans="6:12" s="21" customFormat="1" ht="14.25" x14ac:dyDescent="0.45">
      <c r="F100" s="13" t="s">
        <v>735</v>
      </c>
      <c r="G100" s="13">
        <v>0.33</v>
      </c>
      <c r="H100" s="12">
        <v>1.92</v>
      </c>
      <c r="I100" s="12">
        <v>-0.9</v>
      </c>
      <c r="J100" s="12">
        <v>-1.94</v>
      </c>
      <c r="K100" s="12">
        <v>-0.28000000000000003</v>
      </c>
      <c r="L100" s="12">
        <v>0.12</v>
      </c>
    </row>
    <row r="101" spans="6:12" s="21" customFormat="1" ht="14.25" x14ac:dyDescent="0.45">
      <c r="F101" s="13" t="s">
        <v>736</v>
      </c>
      <c r="G101" s="13">
        <v>2.1</v>
      </c>
      <c r="H101" s="12">
        <v>-1.76</v>
      </c>
      <c r="I101" s="12">
        <v>-0.34</v>
      </c>
      <c r="J101" s="12">
        <v>-0.08</v>
      </c>
      <c r="K101" s="12">
        <v>0.43</v>
      </c>
      <c r="L101" s="12">
        <v>-0.36</v>
      </c>
    </row>
    <row r="102" spans="6:12" s="21" customFormat="1" ht="14.25" x14ac:dyDescent="0.45">
      <c r="F102" s="13" t="s">
        <v>737</v>
      </c>
      <c r="G102" s="13">
        <v>1.65</v>
      </c>
      <c r="H102" s="12">
        <v>-1.98</v>
      </c>
      <c r="I102" s="12">
        <v>-1.53</v>
      </c>
      <c r="J102" s="12">
        <v>-0.28000000000000003</v>
      </c>
      <c r="K102" s="12">
        <v>1.1100000000000001</v>
      </c>
      <c r="L102" s="12">
        <v>-0.41</v>
      </c>
    </row>
    <row r="103" spans="6:12" s="21" customFormat="1" ht="14.25" x14ac:dyDescent="0.45">
      <c r="F103" s="13" t="s">
        <v>738</v>
      </c>
      <c r="G103" s="13">
        <v>2.93</v>
      </c>
      <c r="H103" s="12">
        <v>0.33</v>
      </c>
      <c r="I103" s="12">
        <v>-0.45</v>
      </c>
      <c r="J103" s="12">
        <v>-0.16</v>
      </c>
      <c r="K103" s="12">
        <v>-0.48</v>
      </c>
      <c r="L103" s="12">
        <v>-0.78</v>
      </c>
    </row>
    <row r="104" spans="6:12" s="21" customFormat="1" ht="14.25" x14ac:dyDescent="0.45">
      <c r="F104" s="13" t="s">
        <v>739</v>
      </c>
      <c r="G104" s="13">
        <v>1.66</v>
      </c>
      <c r="H104" s="12">
        <v>-1.4</v>
      </c>
      <c r="I104" s="12">
        <v>-0.39</v>
      </c>
      <c r="J104" s="12">
        <v>-0.13</v>
      </c>
      <c r="K104" s="12">
        <v>-0.9</v>
      </c>
      <c r="L104" s="12">
        <v>-0.11</v>
      </c>
    </row>
    <row r="105" spans="6:12" s="21" customFormat="1" ht="14.25" x14ac:dyDescent="0.45">
      <c r="F105" s="13" t="s">
        <v>740</v>
      </c>
      <c r="G105" s="13">
        <v>1.1599999999999999</v>
      </c>
      <c r="H105" s="12">
        <v>1</v>
      </c>
      <c r="I105" s="12">
        <v>-0.28999999999999998</v>
      </c>
      <c r="J105" s="12">
        <v>2.23</v>
      </c>
      <c r="K105" s="12">
        <v>-0.3</v>
      </c>
      <c r="L105" s="12">
        <v>0.13</v>
      </c>
    </row>
    <row r="106" spans="6:12" s="21" customFormat="1" ht="14.25" x14ac:dyDescent="0.45">
      <c r="F106" s="13" t="s">
        <v>741</v>
      </c>
      <c r="G106" s="13">
        <v>3.07</v>
      </c>
      <c r="H106" s="12">
        <v>-1.01</v>
      </c>
      <c r="I106" s="12">
        <v>2.34</v>
      </c>
      <c r="J106" s="12">
        <v>-1.52</v>
      </c>
      <c r="K106" s="12">
        <v>-0.18</v>
      </c>
      <c r="L106" s="12">
        <v>-0.59</v>
      </c>
    </row>
    <row r="107" spans="6:12" s="21" customFormat="1" ht="14.25" x14ac:dyDescent="0.45">
      <c r="F107" s="13" t="s">
        <v>742</v>
      </c>
      <c r="G107" s="13">
        <v>2.98</v>
      </c>
      <c r="H107" s="12">
        <v>0.32</v>
      </c>
      <c r="I107" s="12">
        <v>-0.6</v>
      </c>
      <c r="J107" s="12">
        <v>-0.08</v>
      </c>
      <c r="K107" s="12">
        <v>-0.53</v>
      </c>
      <c r="L107" s="12">
        <v>-0.18</v>
      </c>
    </row>
    <row r="108" spans="6:12" s="21" customFormat="1" ht="14.25" x14ac:dyDescent="0.45">
      <c r="F108" s="13" t="s">
        <v>743</v>
      </c>
      <c r="G108" s="13">
        <v>-1.1399999999999999</v>
      </c>
      <c r="H108" s="12">
        <v>0.22</v>
      </c>
      <c r="I108" s="12">
        <v>-0.45</v>
      </c>
      <c r="J108" s="12">
        <v>-0.18</v>
      </c>
      <c r="K108" s="12">
        <v>0.06</v>
      </c>
      <c r="L108" s="12">
        <v>-0.84</v>
      </c>
    </row>
    <row r="109" spans="6:12" s="21" customFormat="1" ht="14.25" x14ac:dyDescent="0.45">
      <c r="F109" s="13" t="s">
        <v>744</v>
      </c>
      <c r="G109" s="13">
        <v>5.47</v>
      </c>
      <c r="H109" s="12">
        <v>-0.34</v>
      </c>
      <c r="I109" s="12">
        <v>0.15</v>
      </c>
      <c r="J109" s="12">
        <v>0</v>
      </c>
      <c r="K109" s="12">
        <v>0.28000000000000003</v>
      </c>
      <c r="L109" s="12">
        <v>-0.37</v>
      </c>
    </row>
    <row r="110" spans="6:12" s="21" customFormat="1" ht="14.25" x14ac:dyDescent="0.45">
      <c r="F110" s="13" t="s">
        <v>745</v>
      </c>
      <c r="G110" s="13">
        <v>3.37</v>
      </c>
      <c r="H110" s="12">
        <v>-0.36</v>
      </c>
      <c r="I110" s="12">
        <v>1.83</v>
      </c>
      <c r="J110" s="12">
        <v>1.27</v>
      </c>
      <c r="K110" s="12">
        <v>0.74</v>
      </c>
      <c r="L110" s="12">
        <v>-0.71</v>
      </c>
    </row>
    <row r="111" spans="6:12" s="21" customFormat="1" ht="14.25" x14ac:dyDescent="0.45">
      <c r="F111" s="13" t="s">
        <v>746</v>
      </c>
      <c r="G111" s="13">
        <v>4.08</v>
      </c>
      <c r="H111" s="12">
        <v>0.16</v>
      </c>
      <c r="I111" s="12">
        <v>0.89</v>
      </c>
      <c r="J111" s="12">
        <v>0.32</v>
      </c>
      <c r="K111" s="12">
        <v>-0.53</v>
      </c>
      <c r="L111" s="12">
        <v>0.23</v>
      </c>
    </row>
    <row r="112" spans="6:12" s="21" customFormat="1" ht="14.25" x14ac:dyDescent="0.45">
      <c r="F112" s="13" t="s">
        <v>747</v>
      </c>
      <c r="G112" s="13">
        <v>1.04</v>
      </c>
      <c r="H112" s="12">
        <v>-0.53</v>
      </c>
      <c r="I112" s="12">
        <v>0.92</v>
      </c>
      <c r="J112" s="12">
        <v>-0.28000000000000003</v>
      </c>
      <c r="K112" s="12">
        <v>-0.56999999999999995</v>
      </c>
      <c r="L112" s="12">
        <v>0.5</v>
      </c>
    </row>
    <row r="113" spans="6:12" s="21" customFormat="1" ht="14.25" x14ac:dyDescent="0.45">
      <c r="F113" s="13" t="s">
        <v>748</v>
      </c>
      <c r="G113" s="13">
        <v>-0.65</v>
      </c>
      <c r="H113" s="12">
        <v>-1.8</v>
      </c>
      <c r="I113" s="12">
        <v>2.64</v>
      </c>
      <c r="J113" s="12">
        <v>0.96</v>
      </c>
      <c r="K113" s="12">
        <v>-0.09</v>
      </c>
      <c r="L113" s="12">
        <v>0.88</v>
      </c>
    </row>
    <row r="114" spans="6:12" s="21" customFormat="1" ht="14.25" x14ac:dyDescent="0.45">
      <c r="F114" s="13" t="s">
        <v>749</v>
      </c>
      <c r="G114" s="13">
        <v>-2.97</v>
      </c>
      <c r="H114" s="12">
        <v>-0.17</v>
      </c>
      <c r="I114" s="12">
        <v>-1.48</v>
      </c>
      <c r="J114" s="12">
        <v>-0.54</v>
      </c>
      <c r="K114" s="12">
        <v>0.08</v>
      </c>
      <c r="L114" s="12">
        <v>1.59</v>
      </c>
    </row>
    <row r="115" spans="6:12" s="21" customFormat="1" ht="14.25" x14ac:dyDescent="0.45">
      <c r="F115" s="13" t="s">
        <v>750</v>
      </c>
      <c r="G115" s="13">
        <v>5.04</v>
      </c>
      <c r="H115" s="12">
        <v>-1.3</v>
      </c>
      <c r="I115" s="12">
        <v>3.93</v>
      </c>
      <c r="J115" s="12">
        <v>-0.35</v>
      </c>
      <c r="K115" s="12">
        <v>0.42</v>
      </c>
      <c r="L115" s="12">
        <v>-0.8</v>
      </c>
    </row>
    <row r="116" spans="6:12" s="21" customFormat="1" ht="14.25" x14ac:dyDescent="0.45">
      <c r="F116" s="13" t="s">
        <v>751</v>
      </c>
      <c r="G116" s="13">
        <v>1.08</v>
      </c>
      <c r="H116" s="12">
        <v>1.38</v>
      </c>
      <c r="I116" s="12">
        <v>-0.42</v>
      </c>
      <c r="J116" s="12">
        <v>-0.03</v>
      </c>
      <c r="K116" s="12">
        <v>-0.12</v>
      </c>
      <c r="L116" s="12">
        <v>1.35</v>
      </c>
    </row>
    <row r="117" spans="6:12" s="21" customFormat="1" ht="14.25" x14ac:dyDescent="0.45">
      <c r="F117" s="13" t="s">
        <v>752</v>
      </c>
      <c r="G117" s="13">
        <v>-5.05</v>
      </c>
      <c r="H117" s="12">
        <v>-0.85</v>
      </c>
      <c r="I117" s="12">
        <v>-0.94</v>
      </c>
      <c r="J117" s="12">
        <v>-0.02</v>
      </c>
      <c r="K117" s="12">
        <v>0.38</v>
      </c>
      <c r="L117" s="12">
        <v>-0.12</v>
      </c>
    </row>
    <row r="118" spans="6:12" s="21" customFormat="1" ht="14.25" x14ac:dyDescent="0.45">
      <c r="F118" s="13" t="s">
        <v>753</v>
      </c>
      <c r="G118" s="13">
        <v>1.96</v>
      </c>
      <c r="H118" s="12">
        <v>-1.71</v>
      </c>
      <c r="I118" s="12">
        <v>0.68</v>
      </c>
      <c r="J118" s="12">
        <v>0.13</v>
      </c>
      <c r="K118" s="12">
        <v>-1.06</v>
      </c>
      <c r="L118" s="12">
        <v>0.14000000000000001</v>
      </c>
    </row>
    <row r="119" spans="6:12" s="21" customFormat="1" ht="14.25" x14ac:dyDescent="0.45">
      <c r="F119" s="13" t="s">
        <v>754</v>
      </c>
      <c r="G119" s="13">
        <v>-0.38</v>
      </c>
      <c r="H119" s="12">
        <v>-0.85</v>
      </c>
      <c r="I119" s="12">
        <v>0.18</v>
      </c>
      <c r="J119" s="12">
        <v>-0.33</v>
      </c>
      <c r="K119" s="12">
        <v>1.49</v>
      </c>
      <c r="L119" s="12">
        <v>-1.75</v>
      </c>
    </row>
    <row r="120" spans="6:12" s="21" customFormat="1" ht="14.25" x14ac:dyDescent="0.45">
      <c r="F120" s="13" t="s">
        <v>755</v>
      </c>
      <c r="G120" s="13">
        <v>3.18</v>
      </c>
      <c r="H120" s="12">
        <v>-0.1</v>
      </c>
      <c r="I120" s="12">
        <v>1.21</v>
      </c>
      <c r="J120" s="12">
        <v>0.02</v>
      </c>
      <c r="K120" s="12">
        <v>-0.46</v>
      </c>
      <c r="L120" s="12">
        <v>-0.39</v>
      </c>
    </row>
    <row r="121" spans="6:12" s="21" customFormat="1" ht="14.25" x14ac:dyDescent="0.45">
      <c r="F121" s="13" t="s">
        <v>756</v>
      </c>
      <c r="G121" s="13">
        <v>0.47</v>
      </c>
      <c r="H121" s="12">
        <v>1.68</v>
      </c>
      <c r="I121" s="12">
        <v>0.53</v>
      </c>
      <c r="J121" s="12">
        <v>-0.1</v>
      </c>
      <c r="K121" s="12">
        <v>-0.2</v>
      </c>
      <c r="L121" s="12">
        <v>1.34</v>
      </c>
    </row>
    <row r="122" spans="6:12" s="21" customFormat="1" ht="14.25" x14ac:dyDescent="0.45">
      <c r="F122" s="13" t="s">
        <v>757</v>
      </c>
      <c r="G122" s="13">
        <v>-4.5199999999999996</v>
      </c>
      <c r="H122" s="12">
        <v>0.59</v>
      </c>
      <c r="I122" s="12">
        <v>-0.52</v>
      </c>
      <c r="J122" s="12">
        <v>0.03</v>
      </c>
      <c r="K122" s="12">
        <v>-0.57999999999999996</v>
      </c>
      <c r="L122" s="12">
        <v>1.36</v>
      </c>
    </row>
    <row r="123" spans="6:12" x14ac:dyDescent="0.55000000000000004">
      <c r="F123" s="13" t="s">
        <v>758</v>
      </c>
      <c r="G123" s="13">
        <v>-1.04</v>
      </c>
      <c r="H123" s="12">
        <v>-1.06</v>
      </c>
      <c r="I123" s="12">
        <v>-1.1200000000000001</v>
      </c>
      <c r="J123" s="12">
        <v>-0.33</v>
      </c>
      <c r="K123" s="12">
        <v>1.34</v>
      </c>
      <c r="L123" s="12">
        <v>-0.78</v>
      </c>
    </row>
    <row r="124" spans="6:12" x14ac:dyDescent="0.55000000000000004">
      <c r="F124" s="13" t="s">
        <v>759</v>
      </c>
      <c r="G124" s="13">
        <v>1.32</v>
      </c>
      <c r="H124" s="12">
        <v>0.55000000000000004</v>
      </c>
      <c r="I124" s="12">
        <v>1.94</v>
      </c>
      <c r="J124" s="12">
        <v>0.44</v>
      </c>
      <c r="K124" s="12">
        <v>-0.67</v>
      </c>
      <c r="L124" s="12">
        <v>-0.75</v>
      </c>
    </row>
    <row r="125" spans="6:12" x14ac:dyDescent="0.55000000000000004">
      <c r="F125" s="13" t="s">
        <v>760</v>
      </c>
      <c r="G125" s="13">
        <v>-1.29</v>
      </c>
      <c r="H125" s="12">
        <v>-0.13</v>
      </c>
      <c r="I125" s="12">
        <v>-0.28999999999999998</v>
      </c>
      <c r="J125" s="12">
        <v>-0.25</v>
      </c>
      <c r="K125" s="12">
        <v>-0.1</v>
      </c>
      <c r="L125" s="12">
        <v>-0.77</v>
      </c>
    </row>
    <row r="126" spans="6:12" x14ac:dyDescent="0.55000000000000004">
      <c r="F126" s="13" t="s">
        <v>761</v>
      </c>
      <c r="G126" s="13">
        <v>0.51</v>
      </c>
      <c r="H126" s="12">
        <v>-0.01</v>
      </c>
      <c r="I126" s="12">
        <v>-0.48</v>
      </c>
      <c r="J126" s="12">
        <v>-0.03</v>
      </c>
      <c r="K126" s="12">
        <v>-0.21</v>
      </c>
      <c r="L126" s="12">
        <v>-0.51</v>
      </c>
    </row>
    <row r="127" spans="6:12" s="15" customFormat="1" ht="14.25" x14ac:dyDescent="0.45">
      <c r="F127" s="13" t="s">
        <v>762</v>
      </c>
      <c r="G127" s="13">
        <v>4.5999999999999996</v>
      </c>
      <c r="H127" s="12">
        <v>-0.52</v>
      </c>
      <c r="I127" s="12">
        <v>0.18</v>
      </c>
      <c r="J127" s="12">
        <v>-0.21</v>
      </c>
      <c r="K127" s="12">
        <v>-0.15</v>
      </c>
      <c r="L127" s="12">
        <v>-0.64</v>
      </c>
    </row>
    <row r="128" spans="6:12" s="15" customFormat="1" ht="14.25" x14ac:dyDescent="0.45">
      <c r="F128" s="13" t="s">
        <v>763</v>
      </c>
      <c r="G128" s="13">
        <v>4.55</v>
      </c>
      <c r="H128" s="12">
        <v>0.54</v>
      </c>
      <c r="I128" s="12">
        <v>-0.61</v>
      </c>
      <c r="J128" s="12">
        <v>-0.17</v>
      </c>
      <c r="K128" s="12">
        <v>-0.19</v>
      </c>
      <c r="L128" s="12">
        <v>0.27</v>
      </c>
    </row>
    <row r="129" spans="6:12" s="15" customFormat="1" ht="14.25" x14ac:dyDescent="0.45">
      <c r="F129" s="13" t="s">
        <v>764</v>
      </c>
      <c r="G129" s="13">
        <v>2.38</v>
      </c>
      <c r="H129" s="12">
        <v>0.83</v>
      </c>
      <c r="I129" s="12">
        <v>-0.71</v>
      </c>
      <c r="J129" s="12">
        <v>-7.0000000000000007E-2</v>
      </c>
      <c r="K129" s="12">
        <v>-0.54</v>
      </c>
      <c r="L129" s="12">
        <v>0.08</v>
      </c>
    </row>
    <row r="130" spans="6:12" s="15" customFormat="1" ht="14.25" x14ac:dyDescent="0.45">
      <c r="F130" s="13" t="s">
        <v>765</v>
      </c>
      <c r="G130" s="13">
        <v>-1.02</v>
      </c>
      <c r="H130" s="12">
        <v>1.53</v>
      </c>
      <c r="I130" s="12">
        <v>2.21</v>
      </c>
      <c r="J130" s="12">
        <v>-0.56000000000000005</v>
      </c>
      <c r="K130" s="12">
        <v>-0.72</v>
      </c>
      <c r="L130" s="12">
        <v>0.35</v>
      </c>
    </row>
    <row r="131" spans="6:12" s="15" customFormat="1" ht="14.25" x14ac:dyDescent="0.45">
      <c r="F131" s="13" t="s">
        <v>766</v>
      </c>
      <c r="G131" s="13">
        <v>4.78</v>
      </c>
      <c r="H131" s="12">
        <v>0.39</v>
      </c>
      <c r="I131" s="12">
        <v>-0.22</v>
      </c>
      <c r="J131" s="12">
        <v>-0.12</v>
      </c>
      <c r="K131" s="12">
        <v>0.1</v>
      </c>
      <c r="L131" s="12">
        <v>0.16</v>
      </c>
    </row>
    <row r="132" spans="6:12" s="15" customFormat="1" ht="14.25" x14ac:dyDescent="0.45">
      <c r="F132" s="13" t="s">
        <v>767</v>
      </c>
      <c r="G132" s="13">
        <v>1.41</v>
      </c>
      <c r="H132" s="12">
        <v>0.33</v>
      </c>
      <c r="I132" s="12">
        <v>-0.2</v>
      </c>
      <c r="J132" s="12">
        <v>-0.22</v>
      </c>
      <c r="K132" s="12">
        <v>0.22</v>
      </c>
      <c r="L132" s="12">
        <v>0.32</v>
      </c>
    </row>
    <row r="133" spans="6:12" s="15" customFormat="1" ht="14.25" x14ac:dyDescent="0.45">
      <c r="F133" s="13" t="s">
        <v>768</v>
      </c>
      <c r="G133" s="13">
        <v>6.61</v>
      </c>
      <c r="H133" s="12">
        <v>-1.49</v>
      </c>
      <c r="I133" s="12">
        <v>0.28999999999999998</v>
      </c>
      <c r="J133" s="12">
        <v>-0.05</v>
      </c>
      <c r="K133" s="12">
        <v>0.01</v>
      </c>
      <c r="L133" s="12">
        <v>-0.1</v>
      </c>
    </row>
    <row r="134" spans="6:12" s="15" customFormat="1" ht="14.25" x14ac:dyDescent="0.45">
      <c r="F134" s="13" t="s">
        <v>769</v>
      </c>
      <c r="G134" s="13">
        <v>-1.33</v>
      </c>
      <c r="H134" s="12">
        <v>0.82</v>
      </c>
      <c r="I134" s="12">
        <v>0.5</v>
      </c>
      <c r="J134" s="12">
        <v>-0.35</v>
      </c>
      <c r="K134" s="12">
        <v>-0.98</v>
      </c>
      <c r="L134" s="12">
        <v>1.24</v>
      </c>
    </row>
    <row r="135" spans="6:12" s="15" customFormat="1" ht="14.25" x14ac:dyDescent="0.45">
      <c r="F135" s="13" t="s">
        <v>770</v>
      </c>
      <c r="G135" s="13">
        <v>2.42</v>
      </c>
      <c r="H135" s="12">
        <v>-1.07</v>
      </c>
      <c r="I135" s="12">
        <v>1</v>
      </c>
      <c r="J135" s="12">
        <v>0</v>
      </c>
      <c r="K135" s="12">
        <v>-0.28000000000000003</v>
      </c>
      <c r="L135" s="12">
        <v>-0.46</v>
      </c>
    </row>
    <row r="136" spans="6:12" s="15" customFormat="1" ht="14.25" x14ac:dyDescent="0.45">
      <c r="F136" s="13" t="s">
        <v>771</v>
      </c>
      <c r="G136" s="13">
        <v>4.8099999999999996</v>
      </c>
      <c r="H136" s="12">
        <v>0.02</v>
      </c>
      <c r="I136" s="12">
        <v>0.05</v>
      </c>
      <c r="J136" s="12">
        <v>0.39</v>
      </c>
      <c r="K136" s="12">
        <v>-0.26</v>
      </c>
      <c r="L136" s="12">
        <v>0.04</v>
      </c>
    </row>
    <row r="137" spans="6:12" s="15" customFormat="1" ht="14.25" x14ac:dyDescent="0.45">
      <c r="F137" s="13" t="s">
        <v>772</v>
      </c>
      <c r="G137" s="13">
        <v>4.38</v>
      </c>
      <c r="H137" s="12">
        <v>0.57999999999999996</v>
      </c>
      <c r="I137" s="12">
        <v>0.79</v>
      </c>
      <c r="J137" s="12">
        <v>0.88</v>
      </c>
      <c r="K137" s="12">
        <v>-0.27</v>
      </c>
      <c r="L137" s="12">
        <v>0.84</v>
      </c>
    </row>
    <row r="138" spans="6:12" s="15" customFormat="1" ht="14.25" x14ac:dyDescent="0.45">
      <c r="F138" s="13" t="s">
        <v>773</v>
      </c>
      <c r="G138" s="13">
        <v>3.31</v>
      </c>
      <c r="H138" s="12">
        <v>-1.76</v>
      </c>
      <c r="I138" s="12">
        <v>-1.45</v>
      </c>
      <c r="J138" s="12">
        <v>0.39</v>
      </c>
      <c r="K138" s="12">
        <v>2.11</v>
      </c>
      <c r="L138" s="12">
        <v>-1.34</v>
      </c>
    </row>
    <row r="139" spans="6:12" s="15" customFormat="1" ht="14.25" x14ac:dyDescent="0.45">
      <c r="F139" s="13" t="s">
        <v>774</v>
      </c>
      <c r="G139" s="13">
        <v>-0.41</v>
      </c>
      <c r="H139" s="12">
        <v>1.53</v>
      </c>
      <c r="I139" s="12">
        <v>0.02</v>
      </c>
      <c r="J139" s="12">
        <v>2.31</v>
      </c>
      <c r="K139" s="12">
        <v>-0.5</v>
      </c>
      <c r="L139" s="12">
        <v>-1.02</v>
      </c>
    </row>
    <row r="140" spans="6:12" s="15" customFormat="1" ht="14.25" x14ac:dyDescent="0.45">
      <c r="F140" s="13" t="s">
        <v>775</v>
      </c>
      <c r="G140" s="13">
        <v>2.1800000000000002</v>
      </c>
      <c r="H140" s="12">
        <v>0.7</v>
      </c>
      <c r="I140" s="12">
        <v>-0.14000000000000001</v>
      </c>
      <c r="J140" s="12">
        <v>-0.19</v>
      </c>
      <c r="K140" s="12">
        <v>-0.11</v>
      </c>
      <c r="L140" s="12">
        <v>0.55000000000000004</v>
      </c>
    </row>
    <row r="141" spans="6:12" s="15" customFormat="1" ht="14.25" x14ac:dyDescent="0.45">
      <c r="F141" s="13" t="s">
        <v>776</v>
      </c>
      <c r="G141" s="13">
        <v>2.4900000000000002</v>
      </c>
      <c r="H141" s="12">
        <v>0.9</v>
      </c>
      <c r="I141" s="12">
        <v>-0.49</v>
      </c>
      <c r="J141" s="12">
        <v>-0.1</v>
      </c>
      <c r="K141" s="12">
        <v>-0.3</v>
      </c>
      <c r="L141" s="12">
        <v>0.33</v>
      </c>
    </row>
    <row r="142" spans="6:12" s="15" customFormat="1" ht="14.25" x14ac:dyDescent="0.45">
      <c r="F142" s="13" t="s">
        <v>777</v>
      </c>
      <c r="G142" s="13">
        <v>-1.18</v>
      </c>
      <c r="H142" s="12">
        <v>-0.06</v>
      </c>
      <c r="I142" s="12">
        <v>-0.88</v>
      </c>
      <c r="J142" s="12">
        <v>-0.28000000000000003</v>
      </c>
      <c r="K142" s="12">
        <v>0.15</v>
      </c>
      <c r="L142" s="12">
        <v>0.82</v>
      </c>
    </row>
    <row r="143" spans="6:12" s="15" customFormat="1" ht="14.25" x14ac:dyDescent="0.45">
      <c r="F143" s="13" t="s">
        <v>778</v>
      </c>
      <c r="G143" s="13">
        <v>1.35</v>
      </c>
      <c r="H143" s="12">
        <v>1</v>
      </c>
      <c r="I143" s="12">
        <v>-0.49</v>
      </c>
      <c r="J143" s="12">
        <v>-0.3</v>
      </c>
      <c r="K143" s="12">
        <v>-0.47</v>
      </c>
      <c r="L143" s="12">
        <v>0.41</v>
      </c>
    </row>
    <row r="144" spans="6:12" s="15" customFormat="1" ht="14.25" x14ac:dyDescent="0.45">
      <c r="F144" s="13" t="s">
        <v>779</v>
      </c>
      <c r="G144" s="13">
        <v>1.66</v>
      </c>
      <c r="H144" s="12">
        <v>-0.37</v>
      </c>
      <c r="I144" s="12">
        <v>0.33</v>
      </c>
      <c r="J144" s="12">
        <v>-0.32</v>
      </c>
      <c r="K144" s="12">
        <v>0.04</v>
      </c>
      <c r="L144" s="12">
        <v>-1.1599999999999999</v>
      </c>
    </row>
    <row r="145" spans="6:12" s="15" customFormat="1" ht="14.25" x14ac:dyDescent="0.45">
      <c r="F145" s="13" t="s">
        <v>780</v>
      </c>
      <c r="G145" s="13">
        <v>-4.8600000000000003</v>
      </c>
      <c r="H145" s="12">
        <v>-1.65</v>
      </c>
      <c r="I145" s="12">
        <v>-2.0299999999999998</v>
      </c>
      <c r="J145" s="12">
        <v>-0.14000000000000001</v>
      </c>
      <c r="K145" s="12">
        <v>8.73</v>
      </c>
      <c r="L145" s="12">
        <v>-2.12</v>
      </c>
    </row>
    <row r="146" spans="6:12" s="15" customFormat="1" ht="14.25" x14ac:dyDescent="0.45">
      <c r="F146" s="13" t="s">
        <v>781</v>
      </c>
      <c r="G146" s="13">
        <v>0.18</v>
      </c>
      <c r="H146" s="12">
        <v>1.4</v>
      </c>
      <c r="I146" s="12">
        <v>0.06</v>
      </c>
      <c r="J146" s="12">
        <v>-0.1</v>
      </c>
      <c r="K146" s="12">
        <v>-0.27</v>
      </c>
      <c r="L146" s="12">
        <v>1.58</v>
      </c>
    </row>
    <row r="147" spans="6:12" s="15" customFormat="1" ht="14.25" x14ac:dyDescent="0.45">
      <c r="F147" s="13" t="s">
        <v>782</v>
      </c>
      <c r="G147" s="13">
        <v>0.22</v>
      </c>
      <c r="H147" s="12">
        <v>1.68</v>
      </c>
      <c r="I147" s="12">
        <v>-0.28999999999999998</v>
      </c>
      <c r="J147" s="12">
        <v>0.11</v>
      </c>
      <c r="K147" s="12">
        <v>-0.53</v>
      </c>
      <c r="L147" s="12">
        <v>-0.75</v>
      </c>
    </row>
    <row r="148" spans="6:12" s="15" customFormat="1" ht="14.25" x14ac:dyDescent="0.45">
      <c r="F148" s="13" t="s">
        <v>783</v>
      </c>
      <c r="G148" s="13">
        <v>2.0699999999999998</v>
      </c>
      <c r="H148" s="12">
        <v>0.03</v>
      </c>
      <c r="I148" s="12">
        <v>-0.09</v>
      </c>
      <c r="J148" s="12">
        <v>-0.32</v>
      </c>
      <c r="K148" s="12">
        <v>-0.47</v>
      </c>
      <c r="L148" s="12">
        <v>-0.04</v>
      </c>
    </row>
    <row r="149" spans="6:12" s="15" customFormat="1" ht="14.25" x14ac:dyDescent="0.45">
      <c r="F149" s="13" t="s">
        <v>784</v>
      </c>
      <c r="G149" s="13">
        <v>16.41</v>
      </c>
      <c r="H149" s="12">
        <v>-1.19</v>
      </c>
      <c r="I149" s="12">
        <v>0.11</v>
      </c>
      <c r="J149" s="12">
        <v>-0.05</v>
      </c>
      <c r="K149" s="12">
        <v>-0.43</v>
      </c>
      <c r="L149" s="12">
        <v>5.17</v>
      </c>
    </row>
    <row r="150" spans="6:12" s="15" customFormat="1" ht="14.25" x14ac:dyDescent="0.45">
      <c r="F150" s="13" t="s">
        <v>785</v>
      </c>
      <c r="G150" s="13">
        <v>2.82</v>
      </c>
      <c r="H150" s="12">
        <v>-1.59</v>
      </c>
      <c r="I150" s="12">
        <v>0.2</v>
      </c>
      <c r="J150" s="12">
        <v>-0.17</v>
      </c>
      <c r="K150" s="12">
        <v>-0.48</v>
      </c>
      <c r="L150" s="12">
        <v>-7.0000000000000007E-2</v>
      </c>
    </row>
    <row r="151" spans="6:12" s="15" customFormat="1" ht="14.25" x14ac:dyDescent="0.45">
      <c r="F151" s="13" t="s">
        <v>786</v>
      </c>
      <c r="G151" s="13">
        <v>-0.08</v>
      </c>
      <c r="H151" s="12">
        <v>-0.49</v>
      </c>
      <c r="I151" s="12">
        <v>-0.84</v>
      </c>
      <c r="J151" s="12">
        <v>-0.2</v>
      </c>
      <c r="K151" s="12">
        <v>0.63</v>
      </c>
      <c r="L151" s="12">
        <v>0.69</v>
      </c>
    </row>
    <row r="152" spans="6:12" s="15" customFormat="1" ht="14.25" x14ac:dyDescent="0.45">
      <c r="F152" s="13" t="s">
        <v>787</v>
      </c>
      <c r="G152" s="13">
        <v>-0.43</v>
      </c>
      <c r="H152" s="12">
        <v>0.2</v>
      </c>
      <c r="I152" s="12">
        <v>0.01</v>
      </c>
      <c r="J152" s="12">
        <v>-0.28999999999999998</v>
      </c>
      <c r="K152" s="12">
        <v>2.1800000000000002</v>
      </c>
      <c r="L152" s="12">
        <v>-0.14000000000000001</v>
      </c>
    </row>
    <row r="153" spans="6:12" s="15" customFormat="1" ht="14.25" x14ac:dyDescent="0.45">
      <c r="F153" s="13" t="s">
        <v>788</v>
      </c>
      <c r="G153" s="13">
        <v>3.07</v>
      </c>
      <c r="H153" s="12">
        <v>-1.51</v>
      </c>
      <c r="I153" s="12">
        <v>0.15</v>
      </c>
      <c r="J153" s="12">
        <v>-0.06</v>
      </c>
      <c r="K153" s="12">
        <v>-0.08</v>
      </c>
      <c r="L153" s="12">
        <v>-1.26</v>
      </c>
    </row>
    <row r="154" spans="6:12" s="15" customFormat="1" ht="14.25" x14ac:dyDescent="0.45">
      <c r="F154" s="13" t="s">
        <v>789</v>
      </c>
      <c r="G154" s="13">
        <v>3.83</v>
      </c>
      <c r="H154" s="12">
        <v>-0.56000000000000005</v>
      </c>
      <c r="I154" s="12">
        <v>-1.5</v>
      </c>
      <c r="J154" s="12">
        <v>-0.04</v>
      </c>
      <c r="K154" s="12">
        <v>0.84</v>
      </c>
      <c r="L154" s="12">
        <v>0.59</v>
      </c>
    </row>
    <row r="155" spans="6:12" s="15" customFormat="1" ht="14.25" x14ac:dyDescent="0.45">
      <c r="F155" s="13" t="s">
        <v>790</v>
      </c>
      <c r="G155" s="13">
        <v>0.23</v>
      </c>
      <c r="H155" s="12">
        <v>1.25</v>
      </c>
      <c r="I155" s="12">
        <v>-0.11</v>
      </c>
      <c r="J155" s="12">
        <v>-0.09</v>
      </c>
      <c r="K155" s="12">
        <v>-0.95</v>
      </c>
      <c r="L155" s="12">
        <v>-0.52</v>
      </c>
    </row>
    <row r="156" spans="6:12" s="15" customFormat="1" ht="14.25" x14ac:dyDescent="0.45">
      <c r="F156" s="13" t="s">
        <v>791</v>
      </c>
      <c r="G156" s="13">
        <v>0.89</v>
      </c>
      <c r="H156" s="12">
        <v>1.24</v>
      </c>
      <c r="I156" s="12">
        <v>-0.91</v>
      </c>
      <c r="J156" s="12">
        <v>-0.4</v>
      </c>
      <c r="K156" s="12">
        <v>-0.28000000000000003</v>
      </c>
      <c r="L156" s="12">
        <v>0.41</v>
      </c>
    </row>
    <row r="157" spans="6:12" s="15" customFormat="1" ht="14.25" x14ac:dyDescent="0.45">
      <c r="F157" s="13" t="s">
        <v>792</v>
      </c>
      <c r="G157" s="13">
        <v>1.68</v>
      </c>
      <c r="H157" s="12">
        <v>1.5</v>
      </c>
      <c r="I157" s="12">
        <v>-0.46</v>
      </c>
      <c r="J157" s="12">
        <v>-0.25</v>
      </c>
      <c r="K157" s="12">
        <v>-0.27</v>
      </c>
      <c r="L157" s="12">
        <v>-0.4</v>
      </c>
    </row>
    <row r="158" spans="6:12" s="15" customFormat="1" ht="14.25" x14ac:dyDescent="0.45">
      <c r="F158" s="13" t="s">
        <v>793</v>
      </c>
      <c r="G158" s="13">
        <v>-0.14000000000000001</v>
      </c>
      <c r="H158" s="12">
        <v>0.62</v>
      </c>
      <c r="I158" s="12">
        <v>-1.06</v>
      </c>
      <c r="J158" s="12">
        <v>-0.2</v>
      </c>
      <c r="K158" s="12">
        <v>0.84</v>
      </c>
      <c r="L158" s="12">
        <v>-0.23</v>
      </c>
    </row>
    <row r="159" spans="6:12" s="15" customFormat="1" ht="14.25" x14ac:dyDescent="0.45">
      <c r="F159" s="13" t="s">
        <v>794</v>
      </c>
      <c r="G159" s="13">
        <v>5.99</v>
      </c>
      <c r="H159" s="12">
        <v>-0.68</v>
      </c>
      <c r="I159" s="12">
        <v>0.26</v>
      </c>
      <c r="J159" s="12">
        <v>0.19</v>
      </c>
      <c r="K159" s="12">
        <v>-0.09</v>
      </c>
      <c r="L159" s="12">
        <v>-1.65</v>
      </c>
    </row>
    <row r="160" spans="6:12" s="15" customFormat="1" ht="14.25" x14ac:dyDescent="0.45">
      <c r="F160" s="13" t="s">
        <v>795</v>
      </c>
      <c r="G160" s="13">
        <v>-1.45</v>
      </c>
      <c r="H160" s="12">
        <v>-1.04</v>
      </c>
      <c r="I160" s="12">
        <v>1.8</v>
      </c>
      <c r="J160" s="12">
        <v>-0.18</v>
      </c>
      <c r="K160" s="12">
        <v>1.07</v>
      </c>
      <c r="L160" s="12">
        <v>0.21</v>
      </c>
    </row>
  </sheetData>
  <mergeCells count="1">
    <mergeCell ref="H28:L28"/>
  </mergeCells>
  <pageMargins left="0.511811024" right="0.511811024" top="0.78740157499999996" bottom="0.78740157499999996" header="0.31496062000000002" footer="0.3149606200000000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0E99D-3BAE-4FB5-99D7-057CDED8173C}">
  <sheetPr codeName="Planilha74">
    <tabColor theme="9" tint="0.59999389629810485"/>
  </sheetPr>
  <dimension ref="A1:P147"/>
  <sheetViews>
    <sheetView showGridLines="0" zoomScale="85" zoomScaleNormal="85" workbookViewId="0">
      <selection activeCell="A4" sqref="A4"/>
    </sheetView>
  </sheetViews>
  <sheetFormatPr defaultColWidth="8.796875" defaultRowHeight="18" x14ac:dyDescent="0.55000000000000004"/>
  <cols>
    <col min="1" max="1" width="25.33203125" style="17" customWidth="1"/>
    <col min="2" max="2" width="86.1328125" customWidth="1"/>
    <col min="3" max="3" width="9.6640625" customWidth="1"/>
    <col min="4" max="4" width="8.796875" customWidth="1"/>
    <col min="5" max="5" width="10" bestFit="1" customWidth="1"/>
    <col min="6" max="6" width="22.33203125" bestFit="1" customWidth="1"/>
    <col min="7" max="12" width="14.33203125" customWidth="1"/>
    <col min="14" max="14" width="12.6640625" style="15" bestFit="1" customWidth="1"/>
    <col min="15" max="15" width="8.796875" style="15"/>
    <col min="16" max="16" width="12.6640625" style="15" bestFit="1" customWidth="1"/>
  </cols>
  <sheetData>
    <row r="1" spans="1:16" x14ac:dyDescent="0.55000000000000004">
      <c r="A1" s="16" t="s">
        <v>813</v>
      </c>
      <c r="N1" s="14"/>
      <c r="O1" s="14"/>
      <c r="P1" s="14"/>
    </row>
    <row r="2" spans="1:16" x14ac:dyDescent="0.55000000000000004">
      <c r="A2" s="17" t="s">
        <v>814</v>
      </c>
      <c r="N2" s="14"/>
      <c r="O2" s="14"/>
      <c r="P2" s="14"/>
    </row>
    <row r="3" spans="1:16" ht="14.25" x14ac:dyDescent="0.45">
      <c r="A3" s="118"/>
      <c r="N3" s="14"/>
      <c r="O3" s="14"/>
      <c r="P3" s="14"/>
    </row>
    <row r="4" spans="1:16" x14ac:dyDescent="0.55000000000000004">
      <c r="A4" s="17" t="s">
        <v>1056</v>
      </c>
      <c r="N4" s="14"/>
      <c r="O4" s="14"/>
      <c r="P4" s="14"/>
    </row>
    <row r="5" spans="1:16" x14ac:dyDescent="0.55000000000000004">
      <c r="P5" s="27"/>
    </row>
    <row r="6" spans="1:16" ht="15.75" x14ac:dyDescent="0.5">
      <c r="A6" s="2" t="s">
        <v>15</v>
      </c>
      <c r="B6" s="2" t="s">
        <v>16</v>
      </c>
      <c r="C6" s="2"/>
      <c r="P6" s="27"/>
    </row>
    <row r="7" spans="1:16" ht="15.75" x14ac:dyDescent="0.45">
      <c r="A7" s="23" t="s">
        <v>2</v>
      </c>
      <c r="B7" s="26" t="s">
        <v>816</v>
      </c>
      <c r="C7" s="26"/>
      <c r="P7" s="27"/>
    </row>
    <row r="8" spans="1:16" ht="15.75" x14ac:dyDescent="0.45">
      <c r="A8" s="23" t="s">
        <v>812</v>
      </c>
      <c r="B8" s="26" t="s">
        <v>817</v>
      </c>
      <c r="C8" s="26"/>
      <c r="P8" s="27"/>
    </row>
    <row r="9" spans="1:16" ht="47.25" x14ac:dyDescent="0.45">
      <c r="A9" s="23" t="s">
        <v>815</v>
      </c>
      <c r="B9" s="26" t="s">
        <v>818</v>
      </c>
      <c r="C9" s="26"/>
      <c r="P9" s="27"/>
    </row>
    <row r="10" spans="1:16" ht="15.75" x14ac:dyDescent="0.45">
      <c r="A10" s="23"/>
      <c r="B10" s="26"/>
      <c r="C10" s="26"/>
      <c r="P10" s="27"/>
    </row>
    <row r="11" spans="1:16" ht="15.75" x14ac:dyDescent="0.45">
      <c r="A11" s="23"/>
      <c r="B11" s="26"/>
      <c r="C11" s="26"/>
      <c r="D11" s="1" t="s">
        <v>17</v>
      </c>
      <c r="P11" s="27"/>
    </row>
    <row r="12" spans="1:16" x14ac:dyDescent="0.55000000000000004">
      <c r="P12" s="27"/>
    </row>
    <row r="13" spans="1:16" x14ac:dyDescent="0.55000000000000004">
      <c r="F13" s="122" t="s">
        <v>815</v>
      </c>
      <c r="G13" s="12" t="b">
        <v>1</v>
      </c>
    </row>
    <row r="15" spans="1:16" x14ac:dyDescent="0.55000000000000004">
      <c r="H15" s="122" t="s">
        <v>2</v>
      </c>
      <c r="I15" s="183" t="s">
        <v>812</v>
      </c>
      <c r="J15" s="184"/>
      <c r="K15" s="184"/>
      <c r="L15" s="185"/>
    </row>
    <row r="16" spans="1:16" ht="29.25" x14ac:dyDescent="0.55000000000000004">
      <c r="F16" s="13" t="s">
        <v>658</v>
      </c>
      <c r="G16" s="123" t="s">
        <v>659</v>
      </c>
      <c r="H16" s="123" t="s">
        <v>660</v>
      </c>
      <c r="I16" s="123" t="s">
        <v>661</v>
      </c>
      <c r="J16" s="123" t="s">
        <v>662</v>
      </c>
      <c r="K16" s="123" t="s">
        <v>663</v>
      </c>
      <c r="L16" s="123" t="s">
        <v>664</v>
      </c>
      <c r="N16" s="60" t="s">
        <v>249</v>
      </c>
      <c r="O16" s="124"/>
      <c r="P16" s="124" t="s">
        <v>801</v>
      </c>
    </row>
    <row r="17" spans="6:16" s="21" customFormat="1" ht="14.25" x14ac:dyDescent="0.45">
      <c r="F17" s="13" t="s">
        <v>665</v>
      </c>
      <c r="G17" s="125">
        <v>-1.130692303500922</v>
      </c>
      <c r="H17" s="92">
        <v>8.3317629624381695</v>
      </c>
      <c r="I17" s="92">
        <v>45.991100581056671</v>
      </c>
      <c r="J17" s="92">
        <v>0.80732873436107266</v>
      </c>
      <c r="K17" s="92">
        <v>1.95176821052894</v>
      </c>
      <c r="L17" s="92">
        <v>16.946099283836638</v>
      </c>
      <c r="M17"/>
      <c r="N17" s="58" cm="1">
        <f t="array" ref="N17:N21">_xlfn.LAMBDA(_xlpm.y,_xlpm.x,_xlop.returnAllFactors,
_xlfn.LET(
_xlpm.returnAllFactors,IF(_xlfn.ISOMITTED(_xlpm.returnAllFactors), FALSE, _xlpm.returnAllFactors),
IF(_xlpm.returnAllFactors,
_xlfn.LET(
_xlpm.x, _xlfn.HSTACK(_xlpm.y,_xlpm.x),
_xlfn.MAP( _xlfn.SEQUENCE(COLUMNS(_xlpm.x),1),  _xlfn.LAMBDA(_xlpm.iVar, 1/(1 - OLS_R2(INDEX(_xlpm.x,,_xlpm.iVar), ADDCONST(SLICE(_xlpm.x,,,_xlpm.iVar,_xlpm.iVar,,TRUE) ) )) ))
),
1/(1 - OLS_R2(_xlpm.y,ADDCONST(_xlpm.x)))
)))(H17:H147,I17:L147,$G$13)</f>
        <v>1.1808508969429405</v>
      </c>
      <c r="O17" s="62"/>
      <c r="P17" s="58" cm="1">
        <f t="array" ref="P17:P21">VARINFLATIONFACTOR(H17:H147,I17:L147,$G$13)</f>
        <v>1.1808508969429405</v>
      </c>
    </row>
    <row r="18" spans="6:16" s="21" customFormat="1" ht="14.25" x14ac:dyDescent="0.45">
      <c r="F18" s="13" t="s">
        <v>666</v>
      </c>
      <c r="G18" s="125">
        <v>7.3833616362299495</v>
      </c>
      <c r="H18" s="92">
        <v>8.3477065795975189</v>
      </c>
      <c r="I18" s="92">
        <v>17.447586027454765</v>
      </c>
      <c r="J18" s="92">
        <v>1.8582675938650235</v>
      </c>
      <c r="K18" s="92">
        <v>1.44344660770702</v>
      </c>
      <c r="L18" s="92">
        <v>12.472089489974685</v>
      </c>
      <c r="M18"/>
      <c r="N18" s="58">
        <v>1.056596245033852</v>
      </c>
      <c r="O18" s="62"/>
      <c r="P18" s="58">
        <v>1.056596245033852</v>
      </c>
    </row>
    <row r="19" spans="6:16" s="21" customFormat="1" ht="14.25" x14ac:dyDescent="0.45">
      <c r="F19" s="13" t="s">
        <v>667</v>
      </c>
      <c r="G19" s="125">
        <v>0.62389234244066927</v>
      </c>
      <c r="H19" s="92">
        <v>10.957014675840254</v>
      </c>
      <c r="I19" s="92">
        <v>23.196888379048282</v>
      </c>
      <c r="J19" s="92">
        <v>2.8998909370170098</v>
      </c>
      <c r="K19" s="92">
        <v>1.61076787290379</v>
      </c>
      <c r="L19" s="92">
        <v>19.008490894565419</v>
      </c>
      <c r="M19"/>
      <c r="N19" s="58">
        <v>1.0104831288718428</v>
      </c>
      <c r="O19" s="62"/>
      <c r="P19" s="58">
        <v>1.0104831288718428</v>
      </c>
    </row>
    <row r="20" spans="6:16" s="21" customFormat="1" ht="14.25" x14ac:dyDescent="0.45">
      <c r="F20" s="13" t="s">
        <v>668</v>
      </c>
      <c r="G20" s="125">
        <v>1.0012034526005777</v>
      </c>
      <c r="H20" s="92">
        <v>10.848915352334949</v>
      </c>
      <c r="I20" s="92">
        <v>25.471244087409055</v>
      </c>
      <c r="J20" s="92">
        <v>-1.8199783496316957</v>
      </c>
      <c r="K20" s="92">
        <v>1.5308955342270201</v>
      </c>
      <c r="L20" s="92">
        <v>19.448198590214162</v>
      </c>
      <c r="M20"/>
      <c r="N20" s="58">
        <v>1.2624085220516434</v>
      </c>
      <c r="O20" s="15"/>
      <c r="P20" s="58">
        <v>1.2624085220516434</v>
      </c>
    </row>
    <row r="21" spans="6:16" s="21" customFormat="1" ht="14.25" x14ac:dyDescent="0.45">
      <c r="F21" s="13" t="s">
        <v>669</v>
      </c>
      <c r="G21" s="125">
        <v>1.3666844080116363</v>
      </c>
      <c r="H21" s="92">
        <v>8.4637590196766475</v>
      </c>
      <c r="I21" s="92">
        <v>20.140424333688376</v>
      </c>
      <c r="J21" s="92">
        <v>3.1300554596540202</v>
      </c>
      <c r="K21" s="92">
        <v>2.6105718279921599</v>
      </c>
      <c r="L21" s="92">
        <v>10.827242565590529</v>
      </c>
      <c r="M21"/>
      <c r="N21" s="58">
        <v>1.1612247205880348</v>
      </c>
      <c r="O21" s="15"/>
      <c r="P21" s="58">
        <v>1.1612247205880348</v>
      </c>
    </row>
    <row r="22" spans="6:16" s="21" customFormat="1" ht="14.25" x14ac:dyDescent="0.45">
      <c r="F22" s="13" t="s">
        <v>670</v>
      </c>
      <c r="G22" s="125">
        <v>0.21942188438870858</v>
      </c>
      <c r="H22" s="92">
        <v>10.427254180265212</v>
      </c>
      <c r="I22" s="92">
        <v>25.922025510354374</v>
      </c>
      <c r="J22" s="92">
        <v>1.9485981949491118</v>
      </c>
      <c r="K22" s="92">
        <v>2.4912352736805499</v>
      </c>
      <c r="L22" s="92">
        <v>14.197867263675729</v>
      </c>
      <c r="M22"/>
      <c r="N22" s="27"/>
      <c r="O22" s="15"/>
      <c r="P22" s="27"/>
    </row>
    <row r="23" spans="6:16" s="21" customFormat="1" ht="14.25" x14ac:dyDescent="0.45">
      <c r="F23" s="13" t="s">
        <v>671</v>
      </c>
      <c r="G23" s="125">
        <v>7.0315838361049998</v>
      </c>
      <c r="H23" s="92">
        <v>7.4374127026386816</v>
      </c>
      <c r="I23" s="92">
        <v>31.570304551936758</v>
      </c>
      <c r="J23" s="92">
        <v>0.63061026484687088</v>
      </c>
      <c r="K23" s="92">
        <v>5.5919963993063302</v>
      </c>
      <c r="L23" s="92">
        <v>6.2710871649623092</v>
      </c>
      <c r="M23"/>
      <c r="N23" s="27"/>
      <c r="O23" s="15"/>
      <c r="P23" s="27"/>
    </row>
    <row r="24" spans="6:16" s="21" customFormat="1" ht="14.25" x14ac:dyDescent="0.45">
      <c r="F24" s="13" t="s">
        <v>672</v>
      </c>
      <c r="G24" s="125">
        <v>-0.22979319230935857</v>
      </c>
      <c r="H24" s="92">
        <v>9.7838699675287035</v>
      </c>
      <c r="I24" s="92">
        <v>15.691415818775198</v>
      </c>
      <c r="J24" s="92">
        <v>4.1345747744288728</v>
      </c>
      <c r="K24" s="92">
        <v>4.1002896451846302</v>
      </c>
      <c r="L24" s="92">
        <v>11.326017469763871</v>
      </c>
      <c r="M24"/>
      <c r="N24" s="62"/>
      <c r="O24" s="15"/>
      <c r="P24" s="27"/>
    </row>
    <row r="25" spans="6:16" s="21" customFormat="1" ht="14.25" x14ac:dyDescent="0.45">
      <c r="F25" s="13" t="s">
        <v>673</v>
      </c>
      <c r="G25" s="125">
        <v>1.400047930957669</v>
      </c>
      <c r="H25" s="92">
        <v>8.7530674023375052</v>
      </c>
      <c r="I25" s="92">
        <v>28.979012775129075</v>
      </c>
      <c r="J25" s="92">
        <v>2.0185332511820615</v>
      </c>
      <c r="K25" s="92">
        <v>5.5981559503985299</v>
      </c>
      <c r="L25" s="92">
        <v>15.851406234250865</v>
      </c>
      <c r="M25"/>
      <c r="N25" s="27"/>
      <c r="O25" s="15"/>
      <c r="P25" s="27"/>
    </row>
    <row r="26" spans="6:16" s="21" customFormat="1" ht="14.25" x14ac:dyDescent="0.45">
      <c r="F26" s="13" t="s">
        <v>674</v>
      </c>
      <c r="G26" s="125">
        <v>1.2388150243184839</v>
      </c>
      <c r="H26" s="92">
        <v>10.7702324085133</v>
      </c>
      <c r="I26" s="92">
        <v>24.952305034425422</v>
      </c>
      <c r="J26" s="92">
        <v>-5.4334669000579696</v>
      </c>
      <c r="K26" s="92">
        <v>1.43681956996435</v>
      </c>
      <c r="L26" s="92">
        <v>23.034447682323915</v>
      </c>
      <c r="M26"/>
      <c r="N26" s="27"/>
      <c r="O26" s="15"/>
      <c r="P26" s="27"/>
    </row>
    <row r="27" spans="6:16" s="21" customFormat="1" ht="14.25" x14ac:dyDescent="0.45">
      <c r="F27" s="13" t="s">
        <v>675</v>
      </c>
      <c r="G27" s="125">
        <v>4.0032068565521399</v>
      </c>
      <c r="H27" s="92">
        <v>7.1235353578888523</v>
      </c>
      <c r="I27" s="92">
        <v>25.629800579221261</v>
      </c>
      <c r="J27" s="92">
        <v>1.516310768816759</v>
      </c>
      <c r="K27" s="92">
        <v>-0.91568157286491503</v>
      </c>
      <c r="L27" s="92">
        <v>10.342063239947461</v>
      </c>
      <c r="M27"/>
      <c r="N27" s="27"/>
      <c r="O27" s="15"/>
      <c r="P27" s="27"/>
    </row>
    <row r="28" spans="6:16" s="21" customFormat="1" ht="14.25" x14ac:dyDescent="0.45">
      <c r="F28" s="13" t="s">
        <v>676</v>
      </c>
      <c r="G28" s="125">
        <v>4.2623995958524432</v>
      </c>
      <c r="H28" s="92">
        <v>8.0844039675358701</v>
      </c>
      <c r="I28" s="92">
        <v>37.954922924779304</v>
      </c>
      <c r="J28" s="92">
        <v>0.51500322915473185</v>
      </c>
      <c r="K28" s="92">
        <v>2.7258210430730401</v>
      </c>
      <c r="L28" s="92">
        <v>18.2953222325532</v>
      </c>
      <c r="M28"/>
      <c r="N28" s="27"/>
      <c r="O28" s="15"/>
      <c r="P28" s="27"/>
    </row>
    <row r="29" spans="6:16" s="21" customFormat="1" ht="14.25" x14ac:dyDescent="0.45">
      <c r="F29" s="13" t="s">
        <v>677</v>
      </c>
      <c r="G29" s="125">
        <v>0.79655136012202377</v>
      </c>
      <c r="H29" s="92">
        <v>8.1743056641758969</v>
      </c>
      <c r="I29" s="92">
        <v>19.875010901565037</v>
      </c>
      <c r="J29" s="92">
        <v>-0.58052618176611648</v>
      </c>
      <c r="K29" s="92">
        <v>1.8395450496903201</v>
      </c>
      <c r="L29" s="92">
        <v>18.143092003336612</v>
      </c>
      <c r="M29"/>
      <c r="N29" s="27"/>
      <c r="O29" s="15"/>
      <c r="P29" s="27"/>
    </row>
    <row r="30" spans="6:16" s="21" customFormat="1" ht="14.25" x14ac:dyDescent="0.45">
      <c r="F30" s="13" t="s">
        <v>678</v>
      </c>
      <c r="G30" s="125">
        <v>3.3913712288242266</v>
      </c>
      <c r="H30" s="92">
        <v>8.7114737242214328</v>
      </c>
      <c r="I30" s="92">
        <v>21.610629329706153</v>
      </c>
      <c r="J30" s="92">
        <v>1.9351663380671342</v>
      </c>
      <c r="K30" s="92">
        <v>0.56278215406130305</v>
      </c>
      <c r="L30" s="92">
        <v>19.478840404244668</v>
      </c>
      <c r="M30"/>
      <c r="N30" s="27"/>
      <c r="O30" s="15"/>
      <c r="P30" s="27"/>
    </row>
    <row r="31" spans="6:16" s="21" customFormat="1" ht="14.25" x14ac:dyDescent="0.45">
      <c r="F31" s="13" t="s">
        <v>679</v>
      </c>
      <c r="G31" s="125">
        <v>0.75049841276894824</v>
      </c>
      <c r="H31" s="92">
        <v>9.0215501470408288</v>
      </c>
      <c r="I31" s="92">
        <v>34.858062190929274</v>
      </c>
      <c r="J31" s="92">
        <v>1.4226890659568103</v>
      </c>
      <c r="K31" s="92">
        <v>2.7728644286333002</v>
      </c>
      <c r="L31" s="92">
        <v>18.428650147943198</v>
      </c>
      <c r="M31"/>
      <c r="N31" s="27"/>
      <c r="O31" s="15"/>
      <c r="P31" s="27"/>
    </row>
    <row r="32" spans="6:16" s="21" customFormat="1" ht="14.25" x14ac:dyDescent="0.45">
      <c r="F32" s="13" t="s">
        <v>680</v>
      </c>
      <c r="G32" s="125">
        <v>0.3793442364183619</v>
      </c>
      <c r="H32" s="92">
        <v>9.1051169856529199</v>
      </c>
      <c r="I32" s="92">
        <v>15.112968477164261</v>
      </c>
      <c r="J32" s="92">
        <v>3.7599591814640414</v>
      </c>
      <c r="K32" s="92">
        <v>3.73297621216894</v>
      </c>
      <c r="L32" s="92">
        <v>20.28256559035372</v>
      </c>
      <c r="M32"/>
      <c r="N32" s="27"/>
      <c r="O32" s="15"/>
      <c r="P32" s="27"/>
    </row>
    <row r="33" spans="6:12" s="21" customFormat="1" ht="14.25" x14ac:dyDescent="0.45">
      <c r="F33" s="13" t="s">
        <v>681</v>
      </c>
      <c r="G33" s="125">
        <v>2.8327800545587394</v>
      </c>
      <c r="H33" s="92">
        <v>10.361808478717753</v>
      </c>
      <c r="I33" s="92">
        <v>38.677753499120882</v>
      </c>
      <c r="J33" s="92">
        <v>2.7711414839079391</v>
      </c>
      <c r="K33" s="92">
        <v>-0.39052206916549198</v>
      </c>
      <c r="L33" s="92">
        <v>25.040396219495513</v>
      </c>
    </row>
    <row r="34" spans="6:12" s="21" customFormat="1" ht="14.25" x14ac:dyDescent="0.45">
      <c r="F34" s="13" t="s">
        <v>682</v>
      </c>
      <c r="G34" s="125">
        <v>4.4267934434363525</v>
      </c>
      <c r="H34" s="92">
        <v>9.1514106711990966</v>
      </c>
      <c r="I34" s="92">
        <v>21.107107865135706</v>
      </c>
      <c r="J34" s="92">
        <v>2.3977952322011151</v>
      </c>
      <c r="K34" s="92">
        <v>3.1037294479677402</v>
      </c>
      <c r="L34" s="92">
        <v>16.790175520623514</v>
      </c>
    </row>
    <row r="35" spans="6:12" s="21" customFormat="1" ht="14.25" x14ac:dyDescent="0.45">
      <c r="F35" s="13" t="s">
        <v>683</v>
      </c>
      <c r="G35" s="125">
        <v>2.735458618203495</v>
      </c>
      <c r="H35" s="92">
        <v>6.7008502278650433</v>
      </c>
      <c r="I35" s="92">
        <v>22.952682676962148</v>
      </c>
      <c r="J35" s="92">
        <v>1.0191491600171751</v>
      </c>
      <c r="K35" s="92">
        <v>-3.2333893398332099</v>
      </c>
      <c r="L35" s="92">
        <v>19.018606443363776</v>
      </c>
    </row>
    <row r="36" spans="6:12" s="21" customFormat="1" ht="14.25" x14ac:dyDescent="0.45">
      <c r="F36" s="13" t="s">
        <v>684</v>
      </c>
      <c r="G36" s="125">
        <v>-1.2948027490113532</v>
      </c>
      <c r="H36" s="92">
        <v>5.6048900489781666</v>
      </c>
      <c r="I36" s="92">
        <v>12.262999829979131</v>
      </c>
      <c r="J36" s="92">
        <v>3.4689386876232624E-2</v>
      </c>
      <c r="K36" s="92">
        <v>-0.68677217079722896</v>
      </c>
      <c r="L36" s="92">
        <v>27.638668275850385</v>
      </c>
    </row>
    <row r="37" spans="6:12" s="21" customFormat="1" ht="14.25" x14ac:dyDescent="0.45">
      <c r="F37" s="13" t="s">
        <v>685</v>
      </c>
      <c r="G37" s="125">
        <v>4.4825965826443763</v>
      </c>
      <c r="H37" s="92">
        <v>8.1934907693883847</v>
      </c>
      <c r="I37" s="92">
        <v>35.295866192374689</v>
      </c>
      <c r="J37" s="92">
        <v>5.3133236183368817</v>
      </c>
      <c r="K37" s="92">
        <v>1.10750930553813</v>
      </c>
      <c r="L37" s="92">
        <v>17.613312569900241</v>
      </c>
    </row>
    <row r="38" spans="6:12" s="21" customFormat="1" ht="14.25" x14ac:dyDescent="0.45">
      <c r="F38" s="13" t="s">
        <v>686</v>
      </c>
      <c r="G38" s="125">
        <v>1.0746495852159512</v>
      </c>
      <c r="H38" s="92">
        <v>7.3359557697403082</v>
      </c>
      <c r="I38" s="92">
        <v>22.594231470815942</v>
      </c>
      <c r="J38" s="92">
        <v>2.6271436623722102</v>
      </c>
      <c r="K38" s="92">
        <v>2.4528021406273299</v>
      </c>
      <c r="L38" s="92">
        <v>10.860842680223767</v>
      </c>
    </row>
    <row r="39" spans="6:12" s="21" customFormat="1" ht="14.25" x14ac:dyDescent="0.45">
      <c r="F39" s="13" t="s">
        <v>687</v>
      </c>
      <c r="G39" s="125">
        <v>0.21866543865272092</v>
      </c>
      <c r="H39" s="92">
        <v>10.743181678479573</v>
      </c>
      <c r="I39" s="92">
        <v>22.703893174899019</v>
      </c>
      <c r="J39" s="92">
        <v>2.596582043209533</v>
      </c>
      <c r="K39" s="92">
        <v>1.94926902411596</v>
      </c>
      <c r="L39" s="92">
        <v>21.166485378132002</v>
      </c>
    </row>
    <row r="40" spans="6:12" s="21" customFormat="1" ht="14.25" x14ac:dyDescent="0.45">
      <c r="F40" s="13" t="s">
        <v>688</v>
      </c>
      <c r="G40" s="125">
        <v>0.20985760281516264</v>
      </c>
      <c r="H40" s="92">
        <v>6.587756441326535</v>
      </c>
      <c r="I40" s="92">
        <v>21.413432974705671</v>
      </c>
      <c r="J40" s="92">
        <v>5.0078779279517827</v>
      </c>
      <c r="K40" s="92">
        <v>-0.97193917541935304</v>
      </c>
      <c r="L40" s="92">
        <v>3.5875125782785329</v>
      </c>
    </row>
    <row r="41" spans="6:12" s="21" customFormat="1" ht="14.25" x14ac:dyDescent="0.45">
      <c r="F41" s="13" t="s">
        <v>689</v>
      </c>
      <c r="G41" s="125">
        <v>-0.13396853448601576</v>
      </c>
      <c r="H41" s="92">
        <v>9.6756325597481911</v>
      </c>
      <c r="I41" s="92">
        <v>22.774725737974602</v>
      </c>
      <c r="J41" s="92">
        <v>4.2251513596971737</v>
      </c>
      <c r="K41" s="92">
        <v>2.5575447570332299</v>
      </c>
      <c r="L41" s="92">
        <v>14.591043283441319</v>
      </c>
    </row>
    <row r="42" spans="6:12" s="21" customFormat="1" ht="14.25" x14ac:dyDescent="0.45">
      <c r="F42" s="13" t="s">
        <v>690</v>
      </c>
      <c r="G42" s="125">
        <v>5.5718408282506573</v>
      </c>
      <c r="H42" s="92">
        <v>9.2080053616861353</v>
      </c>
      <c r="I42" s="92">
        <v>43.251105743824318</v>
      </c>
      <c r="J42" s="92">
        <v>1.0911486480388148</v>
      </c>
      <c r="K42" s="92">
        <v>2.8992357992594102</v>
      </c>
      <c r="L42" s="92">
        <v>16.770510950474964</v>
      </c>
    </row>
    <row r="43" spans="6:12" s="21" customFormat="1" ht="14.25" x14ac:dyDescent="0.45">
      <c r="F43" s="13" t="s">
        <v>691</v>
      </c>
      <c r="G43" s="125">
        <v>1.8686560396996725</v>
      </c>
      <c r="H43" s="92">
        <v>8.812383744212763</v>
      </c>
      <c r="I43" s="92">
        <v>22.286444544874794</v>
      </c>
      <c r="J43" s="92">
        <v>4.4230577158766389</v>
      </c>
      <c r="K43" s="92">
        <v>3.5254927361895199</v>
      </c>
      <c r="L43" s="92">
        <v>15.43288641397281</v>
      </c>
    </row>
    <row r="44" spans="6:12" s="21" customFormat="1" ht="14.25" x14ac:dyDescent="0.45">
      <c r="F44" s="13" t="s">
        <v>692</v>
      </c>
      <c r="G44" s="125">
        <v>-5.9847891394518911</v>
      </c>
      <c r="H44" s="92">
        <v>7.8546534689074505</v>
      </c>
      <c r="I44" s="92">
        <v>25.276865713172686</v>
      </c>
      <c r="J44" s="92">
        <v>27.439287741005362</v>
      </c>
      <c r="K44" s="92">
        <v>2.2060730578152201</v>
      </c>
      <c r="L44" s="92">
        <v>12.229395069285992</v>
      </c>
    </row>
    <row r="45" spans="6:12" s="21" customFormat="1" ht="14.25" x14ac:dyDescent="0.45">
      <c r="F45" s="13" t="s">
        <v>693</v>
      </c>
      <c r="G45" s="125">
        <v>1.110597648228179</v>
      </c>
      <c r="H45" s="92">
        <v>9.4019630737534623</v>
      </c>
      <c r="I45" s="92">
        <v>17.664283705833604</v>
      </c>
      <c r="J45" s="92">
        <v>4.0534370106133908</v>
      </c>
      <c r="K45" s="92">
        <v>2.0962025659294898</v>
      </c>
      <c r="L45" s="92">
        <v>17.39080537780335</v>
      </c>
    </row>
    <row r="46" spans="6:12" s="21" customFormat="1" ht="14.25" x14ac:dyDescent="0.45">
      <c r="F46" s="13" t="s">
        <v>694</v>
      </c>
      <c r="G46" s="125">
        <v>3.5577351623977904</v>
      </c>
      <c r="H46" s="92">
        <v>7.7467548096095085</v>
      </c>
      <c r="I46" s="92">
        <v>20.05864445829199</v>
      </c>
      <c r="J46" s="92">
        <v>1.7231203698408821</v>
      </c>
      <c r="K46" s="92">
        <v>-1.1068634399420201</v>
      </c>
      <c r="L46" s="92">
        <v>10.113219592982636</v>
      </c>
    </row>
    <row r="47" spans="6:12" s="21" customFormat="1" ht="14.25" x14ac:dyDescent="0.45">
      <c r="F47" s="13" t="s">
        <v>695</v>
      </c>
      <c r="G47" s="125">
        <v>3.3733596818280347</v>
      </c>
      <c r="H47" s="92">
        <v>9.6167440407765401</v>
      </c>
      <c r="I47" s="92">
        <v>22.667272622711206</v>
      </c>
      <c r="J47" s="92">
        <v>1.9259298823146431</v>
      </c>
      <c r="K47" s="92">
        <v>0.77182034649808295</v>
      </c>
      <c r="L47" s="92">
        <v>19.729682971460527</v>
      </c>
    </row>
    <row r="48" spans="6:12" s="21" customFormat="1" ht="14.25" x14ac:dyDescent="0.45">
      <c r="F48" s="13" t="s">
        <v>696</v>
      </c>
      <c r="G48" s="125">
        <v>1.860235753047192</v>
      </c>
      <c r="H48" s="92">
        <v>10.264293686635927</v>
      </c>
      <c r="I48" s="92">
        <v>19.898627372045368</v>
      </c>
      <c r="J48" s="92">
        <v>103.9337645312846</v>
      </c>
      <c r="K48" s="92">
        <v>0.25037099675845598</v>
      </c>
      <c r="L48" s="92">
        <v>16.561310230716863</v>
      </c>
    </row>
    <row r="49" spans="6:12" s="21" customFormat="1" ht="14.25" x14ac:dyDescent="0.45">
      <c r="F49" s="13" t="s">
        <v>697</v>
      </c>
      <c r="G49" s="125">
        <v>1.9537617690710931</v>
      </c>
      <c r="H49" s="92">
        <v>10.061168150321755</v>
      </c>
      <c r="I49" s="92">
        <v>26.918792318498824</v>
      </c>
      <c r="J49" s="92">
        <v>3.7230091499565554</v>
      </c>
      <c r="K49" s="92">
        <v>2.8478759591804699</v>
      </c>
      <c r="L49" s="92">
        <v>19.737737507192971</v>
      </c>
    </row>
    <row r="50" spans="6:12" s="21" customFormat="1" ht="14.25" x14ac:dyDescent="0.45">
      <c r="F50" s="13" t="s">
        <v>698</v>
      </c>
      <c r="G50" s="125">
        <v>2.4090782448895993</v>
      </c>
      <c r="H50" s="92">
        <v>11.028393394440657</v>
      </c>
      <c r="I50" s="92">
        <v>22.709977210586029</v>
      </c>
      <c r="J50" s="92">
        <v>-2.1420098784646324</v>
      </c>
      <c r="K50" s="92">
        <v>0.758131572511619</v>
      </c>
      <c r="L50" s="92">
        <v>23.847191165915699</v>
      </c>
    </row>
    <row r="51" spans="6:12" s="21" customFormat="1" ht="14.25" x14ac:dyDescent="0.45">
      <c r="F51" s="13" t="s">
        <v>699</v>
      </c>
      <c r="G51" s="125">
        <v>3.9585705787357597</v>
      </c>
      <c r="H51" s="92">
        <v>8.9935056829196114</v>
      </c>
      <c r="I51" s="92">
        <v>26.003487021991184</v>
      </c>
      <c r="J51" s="92">
        <v>3.1756900432540922</v>
      </c>
      <c r="K51" s="92">
        <v>1.8106037704296101</v>
      </c>
      <c r="L51" s="92">
        <v>11.068797270630528</v>
      </c>
    </row>
    <row r="52" spans="6:12" s="21" customFormat="1" ht="14.25" x14ac:dyDescent="0.45">
      <c r="F52" s="13" t="s">
        <v>700</v>
      </c>
      <c r="G52" s="125">
        <v>-1.6123686733861859</v>
      </c>
      <c r="H52" s="92">
        <v>8.7476595293522212</v>
      </c>
      <c r="I52" s="92">
        <v>24.954870433389136</v>
      </c>
      <c r="J52" s="92">
        <v>0.88294168376304649</v>
      </c>
      <c r="K52" s="92">
        <v>0.26601251546613602</v>
      </c>
      <c r="L52" s="92">
        <v>14.50466286032669</v>
      </c>
    </row>
    <row r="53" spans="6:12" s="21" customFormat="1" ht="14.25" x14ac:dyDescent="0.45">
      <c r="F53" s="13" t="s">
        <v>701</v>
      </c>
      <c r="G53" s="125">
        <v>1.8618646731901549</v>
      </c>
      <c r="H53" s="92">
        <v>8.3108230390160855</v>
      </c>
      <c r="I53" s="92">
        <v>19.105461198461736</v>
      </c>
      <c r="J53" s="92">
        <v>2.6820250014123674</v>
      </c>
      <c r="K53" s="92">
        <v>7.5324135002432693E-2</v>
      </c>
      <c r="L53" s="92">
        <v>15.95828534887783</v>
      </c>
    </row>
    <row r="54" spans="6:12" s="21" customFormat="1" ht="14.25" x14ac:dyDescent="0.45">
      <c r="F54" s="13" t="s">
        <v>702</v>
      </c>
      <c r="G54" s="125">
        <v>-8.8499754290392474</v>
      </c>
      <c r="H54" s="92">
        <v>9.2246569796103373</v>
      </c>
      <c r="I54" s="92">
        <v>13.207157836685852</v>
      </c>
      <c r="J54" s="92">
        <v>4.1017171079317025</v>
      </c>
      <c r="K54" s="92">
        <v>1.2386986020510899</v>
      </c>
      <c r="L54" s="92">
        <v>26.049015193686799</v>
      </c>
    </row>
    <row r="55" spans="6:12" s="21" customFormat="1" ht="14.25" x14ac:dyDescent="0.45">
      <c r="F55" s="13" t="s">
        <v>703</v>
      </c>
      <c r="G55" s="125">
        <v>4.6313358051261986</v>
      </c>
      <c r="H55" s="92">
        <v>10.0506441468504</v>
      </c>
      <c r="I55" s="92">
        <v>27.692024160025969</v>
      </c>
      <c r="J55" s="92">
        <v>9.4138254591246611</v>
      </c>
      <c r="K55" s="92">
        <v>2.2772593124351799</v>
      </c>
      <c r="L55" s="92">
        <v>19.856552913845416</v>
      </c>
    </row>
    <row r="56" spans="6:12" s="21" customFormat="1" ht="14.25" x14ac:dyDescent="0.45">
      <c r="F56" s="13" t="s">
        <v>704</v>
      </c>
      <c r="G56" s="125">
        <v>1.1807209710516702</v>
      </c>
      <c r="H56" s="92">
        <v>8.3202526121703411</v>
      </c>
      <c r="I56" s="92">
        <v>13.471658084169015</v>
      </c>
      <c r="J56" s="92">
        <v>2.861860595918376</v>
      </c>
      <c r="K56" s="92">
        <v>2.5980162031107499</v>
      </c>
      <c r="L56" s="92">
        <v>20.719239875341117</v>
      </c>
    </row>
    <row r="57" spans="6:12" s="21" customFormat="1" ht="14.25" x14ac:dyDescent="0.45">
      <c r="F57" s="13" t="s">
        <v>705</v>
      </c>
      <c r="G57" s="125">
        <v>5.604510971172644</v>
      </c>
      <c r="H57" s="92">
        <v>6.6483675382931082</v>
      </c>
      <c r="I57" s="92">
        <v>35.263983921217537</v>
      </c>
      <c r="J57" s="92">
        <v>2.6234595518816342</v>
      </c>
      <c r="K57" s="92">
        <v>15.840322039584001</v>
      </c>
      <c r="L57" s="92">
        <v>9.1930468482590921</v>
      </c>
    </row>
    <row r="58" spans="6:12" s="21" customFormat="1" ht="14.25" x14ac:dyDescent="0.45">
      <c r="F58" s="13" t="s">
        <v>706</v>
      </c>
      <c r="G58" s="125">
        <v>1.0577896122744903</v>
      </c>
      <c r="H58" s="92">
        <v>10.82039564002009</v>
      </c>
      <c r="I58" s="92">
        <v>24.177322536124645</v>
      </c>
      <c r="J58" s="92">
        <v>5.8553431564109601</v>
      </c>
      <c r="K58" s="92">
        <v>1.0240939296342899</v>
      </c>
      <c r="L58" s="92">
        <v>22.99630855185487</v>
      </c>
    </row>
    <row r="59" spans="6:12" s="21" customFormat="1" ht="14.25" x14ac:dyDescent="0.45">
      <c r="F59" s="13" t="s">
        <v>707</v>
      </c>
      <c r="G59" s="125">
        <v>1.3663440124695541</v>
      </c>
      <c r="H59" s="92">
        <v>10.636602540636188</v>
      </c>
      <c r="I59" s="92">
        <v>24.156823492357695</v>
      </c>
      <c r="J59" s="92">
        <v>1.8795201761351319</v>
      </c>
      <c r="K59" s="92">
        <v>1.1082549228829199</v>
      </c>
      <c r="L59" s="92">
        <v>23.095648775532752</v>
      </c>
    </row>
    <row r="60" spans="6:12" s="21" customFormat="1" ht="14.25" x14ac:dyDescent="0.45">
      <c r="F60" s="13" t="s">
        <v>708</v>
      </c>
      <c r="G60" s="125">
        <v>1.3946677500438227</v>
      </c>
      <c r="H60" s="92">
        <v>8.9817605478191869</v>
      </c>
      <c r="I60" s="92">
        <v>22.226999320112238</v>
      </c>
      <c r="J60" s="92">
        <v>9.204073990931315</v>
      </c>
      <c r="K60" s="92">
        <v>2.4645675615118701</v>
      </c>
      <c r="L60" s="92">
        <v>10.993396734232661</v>
      </c>
    </row>
    <row r="61" spans="6:12" s="21" customFormat="1" ht="14.25" x14ac:dyDescent="0.45">
      <c r="F61" s="13" t="s">
        <v>709</v>
      </c>
      <c r="G61" s="125">
        <v>3.0027796014175863</v>
      </c>
      <c r="H61" s="92">
        <v>6.5967602439445532</v>
      </c>
      <c r="I61" s="92">
        <v>22.523989705525302</v>
      </c>
      <c r="J61" s="92">
        <v>1.7669643260675951</v>
      </c>
      <c r="K61" s="92">
        <v>7.1156762563118896</v>
      </c>
      <c r="L61" s="92">
        <v>8.1866152335998787</v>
      </c>
    </row>
    <row r="62" spans="6:12" s="21" customFormat="1" ht="14.25" x14ac:dyDescent="0.45">
      <c r="F62" s="13" t="s">
        <v>710</v>
      </c>
      <c r="G62" s="125">
        <v>5.1563718785625525</v>
      </c>
      <c r="H62" s="92">
        <v>8.4601545362627899</v>
      </c>
      <c r="I62" s="92">
        <v>27.215792350881411</v>
      </c>
      <c r="J62" s="92">
        <v>7.67353213360908</v>
      </c>
      <c r="K62" s="92">
        <v>4.8528982169673096</v>
      </c>
      <c r="L62" s="92">
        <v>12.996050972341887</v>
      </c>
    </row>
    <row r="63" spans="6:12" s="21" customFormat="1" ht="14.25" x14ac:dyDescent="0.45">
      <c r="F63" s="13" t="s">
        <v>711</v>
      </c>
      <c r="G63" s="125">
        <v>0.28085653927914223</v>
      </c>
      <c r="H63" s="92">
        <v>10.775000720066906</v>
      </c>
      <c r="I63" s="92">
        <v>21.388846204027196</v>
      </c>
      <c r="J63" s="92">
        <v>1.8702125264933103</v>
      </c>
      <c r="K63" s="92">
        <v>1.4456670146976001</v>
      </c>
      <c r="L63" s="92">
        <v>20.426958147895796</v>
      </c>
    </row>
    <row r="64" spans="6:12" s="21" customFormat="1" ht="14.25" x14ac:dyDescent="0.45">
      <c r="F64" s="13" t="s">
        <v>712</v>
      </c>
      <c r="G64" s="125">
        <v>4.2004366723861182</v>
      </c>
      <c r="H64" s="92">
        <v>7.6972630712791208</v>
      </c>
      <c r="I64" s="92">
        <v>26.437141799739639</v>
      </c>
      <c r="J64" s="92">
        <v>5.7922080738837751</v>
      </c>
      <c r="K64" s="92">
        <v>7.1759228470885699</v>
      </c>
      <c r="L64" s="92">
        <v>8.8807433915440956</v>
      </c>
    </row>
    <row r="65" spans="6:12" s="21" customFormat="1" ht="14.25" x14ac:dyDescent="0.45">
      <c r="F65" s="13" t="s">
        <v>713</v>
      </c>
      <c r="G65" s="125">
        <v>2.0282917025959506</v>
      </c>
      <c r="H65" s="92">
        <v>9.9195727390850479</v>
      </c>
      <c r="I65" s="92">
        <v>12.542605020197515</v>
      </c>
      <c r="J65" s="92">
        <v>2.3824494672110417</v>
      </c>
      <c r="K65" s="92">
        <v>0.252978044454509</v>
      </c>
      <c r="L65" s="92">
        <v>19.491021727180645</v>
      </c>
    </row>
    <row r="66" spans="6:12" s="21" customFormat="1" ht="14.25" x14ac:dyDescent="0.45">
      <c r="F66" s="13" t="s">
        <v>714</v>
      </c>
      <c r="G66" s="125">
        <v>2.2370973066006883</v>
      </c>
      <c r="H66" s="92">
        <v>8.4057905411772857</v>
      </c>
      <c r="I66" s="92">
        <v>14.515404014933239</v>
      </c>
      <c r="J66" s="92">
        <v>1.260272952231329</v>
      </c>
      <c r="K66" s="92">
        <v>3.6999839800860101</v>
      </c>
      <c r="L66" s="92">
        <v>11.074606114727887</v>
      </c>
    </row>
    <row r="67" spans="6:12" s="21" customFormat="1" ht="14.25" x14ac:dyDescent="0.45">
      <c r="F67" s="13" t="s">
        <v>715</v>
      </c>
      <c r="G67" s="125">
        <v>2.6487142130909831</v>
      </c>
      <c r="H67" s="92">
        <v>6.7783292913532156</v>
      </c>
      <c r="I67" s="92">
        <v>19.590010333013566</v>
      </c>
      <c r="J67" s="92">
        <v>0.36107350085696677</v>
      </c>
      <c r="K67" s="92">
        <v>9.4707793731353505</v>
      </c>
      <c r="L67" s="92">
        <v>14.810907893375743</v>
      </c>
    </row>
    <row r="68" spans="6:12" s="21" customFormat="1" ht="14.25" x14ac:dyDescent="0.45">
      <c r="F68" s="13" t="s">
        <v>716</v>
      </c>
      <c r="G68" s="125">
        <v>-2.9032134491156967</v>
      </c>
      <c r="H68" s="92">
        <v>7.269165223946751</v>
      </c>
      <c r="I68" s="92">
        <v>16.471440734311241</v>
      </c>
      <c r="J68" s="92">
        <v>0.52329853216116073</v>
      </c>
      <c r="K68" s="92">
        <v>18.703782567250599</v>
      </c>
      <c r="L68" s="92">
        <v>7.5345208342285837</v>
      </c>
    </row>
    <row r="69" spans="6:12" s="21" customFormat="1" ht="14.25" x14ac:dyDescent="0.45">
      <c r="F69" s="13" t="s">
        <v>717</v>
      </c>
      <c r="G69" s="125">
        <v>0.98233029464758204</v>
      </c>
      <c r="H69" s="92">
        <v>7.8263540460509571</v>
      </c>
      <c r="I69" s="92">
        <v>22.291454116369309</v>
      </c>
      <c r="J69" s="92">
        <v>3.8058587238858141</v>
      </c>
      <c r="K69" s="92">
        <v>4.3658715981927196</v>
      </c>
      <c r="L69" s="92">
        <v>13.486063339514399</v>
      </c>
    </row>
    <row r="70" spans="6:12" s="21" customFormat="1" ht="14.25" x14ac:dyDescent="0.45">
      <c r="F70" s="13" t="s">
        <v>718</v>
      </c>
      <c r="G70" s="125">
        <v>-1.9913599933686328</v>
      </c>
      <c r="H70" s="92">
        <v>10.790213542556909</v>
      </c>
      <c r="I70" s="92">
        <v>18.869280195025333</v>
      </c>
      <c r="J70" s="92">
        <v>15.941351547140004</v>
      </c>
      <c r="K70" s="92">
        <v>2.8649279875437998</v>
      </c>
      <c r="L70" s="92">
        <v>10.780132736430005</v>
      </c>
    </row>
    <row r="71" spans="6:12" s="21" customFormat="1" ht="14.25" x14ac:dyDescent="0.45">
      <c r="F71" s="13" t="s">
        <v>719</v>
      </c>
      <c r="G71" s="125">
        <v>4.638293797871043</v>
      </c>
      <c r="H71" s="92">
        <v>9.7056575955953974</v>
      </c>
      <c r="I71" s="92">
        <v>28.155086451311355</v>
      </c>
      <c r="J71" s="92">
        <v>19.606140631230033</v>
      </c>
      <c r="K71" s="92">
        <v>3.3385863538201002</v>
      </c>
      <c r="L71" s="92">
        <v>19.645183078168767</v>
      </c>
    </row>
    <row r="72" spans="6:12" s="21" customFormat="1" ht="14.25" x14ac:dyDescent="0.45">
      <c r="F72" s="13" t="s">
        <v>720</v>
      </c>
      <c r="G72" s="125">
        <v>-0.50494274188341137</v>
      </c>
      <c r="H72" s="92">
        <v>11.197785919003669</v>
      </c>
      <c r="I72" s="92">
        <v>20.128410214183948</v>
      </c>
      <c r="J72" s="92">
        <v>-1.988217449723767</v>
      </c>
      <c r="K72" s="92">
        <v>3.0139717915605599</v>
      </c>
      <c r="L72" s="92">
        <v>24.343315778617491</v>
      </c>
    </row>
    <row r="73" spans="6:12" s="21" customFormat="1" ht="14.25" x14ac:dyDescent="0.45">
      <c r="F73" s="13" t="s">
        <v>721</v>
      </c>
      <c r="G73" s="125">
        <v>3.1285322635574033</v>
      </c>
      <c r="H73" s="92">
        <v>7.6038296733304112</v>
      </c>
      <c r="I73" s="92">
        <v>29.667717698908596</v>
      </c>
      <c r="J73" s="92">
        <v>1.7640952432671251</v>
      </c>
      <c r="K73" s="92">
        <v>7.6596947427925297</v>
      </c>
      <c r="L73" s="92">
        <v>12.028500051287493</v>
      </c>
    </row>
    <row r="74" spans="6:12" s="21" customFormat="1" ht="14.25" x14ac:dyDescent="0.45">
      <c r="F74" s="13" t="s">
        <v>722</v>
      </c>
      <c r="G74" s="125">
        <v>3.8751656867344053</v>
      </c>
      <c r="H74" s="92">
        <v>8.2671527462113463</v>
      </c>
      <c r="I74" s="92">
        <v>33.765520734179837</v>
      </c>
      <c r="J74" s="92">
        <v>2.2331806317416687</v>
      </c>
      <c r="K74" s="92">
        <v>3.0305866496949099</v>
      </c>
      <c r="L74" s="92">
        <v>8.7525988071916441</v>
      </c>
    </row>
    <row r="75" spans="6:12" s="21" customFormat="1" ht="14.25" x14ac:dyDescent="0.45">
      <c r="F75" s="13" t="s">
        <v>723</v>
      </c>
      <c r="G75" s="125">
        <v>3.9663852513336337</v>
      </c>
      <c r="H75" s="92">
        <v>11.272397017411611</v>
      </c>
      <c r="I75" s="92">
        <v>43.821051910351997</v>
      </c>
      <c r="J75" s="92">
        <v>-11.997268092181598</v>
      </c>
      <c r="K75" s="92">
        <v>0.93904448105434102</v>
      </c>
      <c r="L75" s="92">
        <v>11.951395982429693</v>
      </c>
    </row>
    <row r="76" spans="6:12" s="21" customFormat="1" ht="14.25" x14ac:dyDescent="0.45">
      <c r="F76" s="13" t="s">
        <v>724</v>
      </c>
      <c r="G76" s="125">
        <v>1.523015056830971</v>
      </c>
      <c r="H76" s="92">
        <v>10.638729328042485</v>
      </c>
      <c r="I76" s="92">
        <v>21.356907968792456</v>
      </c>
      <c r="J76" s="92">
        <v>4.8263000948915149</v>
      </c>
      <c r="K76" s="92">
        <v>0.841596533622194</v>
      </c>
      <c r="L76" s="92">
        <v>22.588809180514012</v>
      </c>
    </row>
    <row r="77" spans="6:12" s="21" customFormat="1" ht="14.25" x14ac:dyDescent="0.45">
      <c r="F77" s="13" t="s">
        <v>725</v>
      </c>
      <c r="G77" s="125">
        <v>0.5496768875704845</v>
      </c>
      <c r="H77" s="92">
        <v>10.452064258858876</v>
      </c>
      <c r="I77" s="92">
        <v>18.083684453724466</v>
      </c>
      <c r="J77" s="92">
        <v>1.5568177479044294</v>
      </c>
      <c r="K77" s="92">
        <v>0.61124694376529098</v>
      </c>
      <c r="L77" s="92">
        <v>18.720523068344296</v>
      </c>
    </row>
    <row r="78" spans="6:12" s="21" customFormat="1" ht="14.25" x14ac:dyDescent="0.45">
      <c r="F78" s="13" t="s">
        <v>726</v>
      </c>
      <c r="G78" s="125">
        <v>0.24149631022029894</v>
      </c>
      <c r="H78" s="92">
        <v>8.5856434626927722</v>
      </c>
      <c r="I78" s="92">
        <v>23.336567781471302</v>
      </c>
      <c r="J78" s="92">
        <v>4.043095647482585</v>
      </c>
      <c r="K78" s="92">
        <v>3.9096462287039802</v>
      </c>
      <c r="L78" s="92">
        <v>13.472982481988771</v>
      </c>
    </row>
    <row r="79" spans="6:12" s="21" customFormat="1" ht="14.25" x14ac:dyDescent="0.45">
      <c r="F79" s="13" t="s">
        <v>727</v>
      </c>
      <c r="G79" s="125">
        <v>0.48510130372987703</v>
      </c>
      <c r="H79" s="92">
        <v>8.3691988827556596</v>
      </c>
      <c r="I79" s="92">
        <v>18.56567109691612</v>
      </c>
      <c r="J79" s="92">
        <v>1.8549196445825367</v>
      </c>
      <c r="K79" s="92">
        <v>0.76151404726551297</v>
      </c>
      <c r="L79" s="92">
        <v>15.031359472364898</v>
      </c>
    </row>
    <row r="80" spans="6:12" s="21" customFormat="1" ht="14.25" x14ac:dyDescent="0.45">
      <c r="F80" s="13" t="s">
        <v>728</v>
      </c>
      <c r="G80" s="125">
        <v>1.837150505227541</v>
      </c>
      <c r="H80" s="92">
        <v>10.416997895518708</v>
      </c>
      <c r="I80" s="92">
        <v>31.348040236161843</v>
      </c>
      <c r="J80" s="92">
        <v>0.64160735803356672</v>
      </c>
      <c r="K80" s="92">
        <v>0.38294613224405999</v>
      </c>
      <c r="L80" s="92">
        <v>17.159387879324449</v>
      </c>
    </row>
    <row r="81" spans="6:12" s="21" customFormat="1" ht="14.25" x14ac:dyDescent="0.45">
      <c r="F81" s="13" t="s">
        <v>729</v>
      </c>
      <c r="G81" s="125">
        <v>4.3363717137604283</v>
      </c>
      <c r="H81" s="92">
        <v>8.3938755918487082</v>
      </c>
      <c r="I81" s="92">
        <v>30.150477089701681</v>
      </c>
      <c r="J81" s="92">
        <v>3.5967290183024456</v>
      </c>
      <c r="K81" s="92">
        <v>2.6759920263989199</v>
      </c>
      <c r="L81" s="92">
        <v>14.152774122868985</v>
      </c>
    </row>
    <row r="82" spans="6:12" s="21" customFormat="1" ht="14.25" x14ac:dyDescent="0.45">
      <c r="F82" s="13" t="s">
        <v>730</v>
      </c>
      <c r="G82" s="125">
        <v>2.3366844744131043</v>
      </c>
      <c r="H82" s="92">
        <v>7.1763616864411865</v>
      </c>
      <c r="I82" s="92">
        <v>32.928803082625926</v>
      </c>
      <c r="J82" s="92">
        <v>3.2983045120343455</v>
      </c>
      <c r="K82" s="92">
        <v>1.13362257718798</v>
      </c>
      <c r="L82" s="92">
        <v>16.808639514719623</v>
      </c>
    </row>
    <row r="83" spans="6:12" s="21" customFormat="1" ht="14.25" x14ac:dyDescent="0.45">
      <c r="F83" s="13" t="s">
        <v>731</v>
      </c>
      <c r="G83" s="125">
        <v>2.8215723090064984</v>
      </c>
      <c r="H83" s="92">
        <v>9.7902225439948367</v>
      </c>
      <c r="I83" s="92">
        <v>22.38464595605673</v>
      </c>
      <c r="J83" s="92">
        <v>3.1060281639430714</v>
      </c>
      <c r="K83" s="92">
        <v>2.8114092007562199</v>
      </c>
      <c r="L83" s="92">
        <v>19.063271593844178</v>
      </c>
    </row>
    <row r="84" spans="6:12" s="21" customFormat="1" ht="14.25" x14ac:dyDescent="0.45">
      <c r="F84" s="13" t="s">
        <v>732</v>
      </c>
      <c r="G84" s="125">
        <v>-6.7923784878392297</v>
      </c>
      <c r="H84" s="92">
        <v>8.9902924331574017</v>
      </c>
      <c r="I84" s="92">
        <v>18.47307086588366</v>
      </c>
      <c r="J84" s="92">
        <v>4.2762107827412832</v>
      </c>
      <c r="K84" s="92">
        <v>3.0053894939038002</v>
      </c>
      <c r="L84" s="92">
        <v>15.885884027476948</v>
      </c>
    </row>
    <row r="85" spans="6:12" s="21" customFormat="1" ht="14.25" x14ac:dyDescent="0.45">
      <c r="F85" s="13" t="s">
        <v>733</v>
      </c>
      <c r="G85" s="125">
        <v>-1.605522388932485</v>
      </c>
      <c r="H85" s="92">
        <v>7.108149015098955</v>
      </c>
      <c r="I85" s="92">
        <v>33.264157755736875</v>
      </c>
      <c r="J85" s="92">
        <v>4.9518366085418197</v>
      </c>
      <c r="K85" s="92">
        <v>5.1870835919799303</v>
      </c>
      <c r="L85" s="92">
        <v>39.606167698004391</v>
      </c>
    </row>
    <row r="86" spans="6:12" s="21" customFormat="1" ht="14.25" x14ac:dyDescent="0.45">
      <c r="F86" s="13" t="s">
        <v>734</v>
      </c>
      <c r="G86" s="125">
        <v>4.8891885431561377</v>
      </c>
      <c r="H86" s="92">
        <v>9.8614239812349993</v>
      </c>
      <c r="I86" s="92">
        <v>17.464305965669872</v>
      </c>
      <c r="J86" s="92">
        <v>2.8813035205769921</v>
      </c>
      <c r="K86" s="92">
        <v>2.3345093798802399</v>
      </c>
      <c r="L86" s="92">
        <v>16.780732240282621</v>
      </c>
    </row>
    <row r="87" spans="6:12" s="21" customFormat="1" ht="14.25" x14ac:dyDescent="0.45">
      <c r="F87" s="13" t="s">
        <v>735</v>
      </c>
      <c r="G87" s="125">
        <v>0.32561634733323785</v>
      </c>
      <c r="H87" s="92">
        <v>11.66696980543</v>
      </c>
      <c r="I87" s="92">
        <v>17.426776632707529</v>
      </c>
      <c r="J87" s="92">
        <v>-16.061942320789569</v>
      </c>
      <c r="K87" s="92">
        <v>1.7433207565384301</v>
      </c>
      <c r="L87" s="92">
        <v>17.095220983779669</v>
      </c>
    </row>
    <row r="88" spans="6:12" s="21" customFormat="1" ht="14.25" x14ac:dyDescent="0.45">
      <c r="F88" s="13" t="s">
        <v>736</v>
      </c>
      <c r="G88" s="125">
        <v>2.1025696792488162</v>
      </c>
      <c r="H88" s="92">
        <v>6.2681513793599581</v>
      </c>
      <c r="I88" s="92">
        <v>21.949703969058717</v>
      </c>
      <c r="J88" s="92">
        <v>3.3604237758712054</v>
      </c>
      <c r="K88" s="92">
        <v>5.6105144149236601</v>
      </c>
      <c r="L88" s="92">
        <v>14.251091450538341</v>
      </c>
    </row>
    <row r="89" spans="6:12" s="21" customFormat="1" ht="14.25" x14ac:dyDescent="0.45">
      <c r="F89" s="13" t="s">
        <v>737</v>
      </c>
      <c r="G89" s="125">
        <v>1.6495623307085054</v>
      </c>
      <c r="H89" s="92">
        <v>5.9434789016793896</v>
      </c>
      <c r="I89" s="92">
        <v>12.307976926805487</v>
      </c>
      <c r="J89" s="92">
        <v>1.2837685891300461</v>
      </c>
      <c r="K89" s="92">
        <v>9.3708360560567208</v>
      </c>
      <c r="L89" s="92">
        <v>13.906709118136462</v>
      </c>
    </row>
    <row r="90" spans="6:12" s="21" customFormat="1" ht="14.25" x14ac:dyDescent="0.45">
      <c r="F90" s="13" t="s">
        <v>738</v>
      </c>
      <c r="G90" s="125">
        <v>2.9277981951006211</v>
      </c>
      <c r="H90" s="92">
        <v>9.3393890449105772</v>
      </c>
      <c r="I90" s="92">
        <v>21.042507745445878</v>
      </c>
      <c r="J90" s="92">
        <v>2.4956175230341771</v>
      </c>
      <c r="K90" s="92">
        <v>0.66289186576437598</v>
      </c>
      <c r="L90" s="92">
        <v>11.694845535961184</v>
      </c>
    </row>
    <row r="91" spans="6:12" s="21" customFormat="1" ht="14.25" x14ac:dyDescent="0.45">
      <c r="F91" s="13" t="s">
        <v>739</v>
      </c>
      <c r="G91" s="125">
        <v>1.6588904999184706</v>
      </c>
      <c r="H91" s="92">
        <v>6.796602673575892</v>
      </c>
      <c r="I91" s="92">
        <v>21.585792770593773</v>
      </c>
      <c r="J91" s="92">
        <v>2.857845696392336</v>
      </c>
      <c r="K91" s="92">
        <v>-1.6582669484636801</v>
      </c>
      <c r="L91" s="92">
        <v>15.743760228862531</v>
      </c>
    </row>
    <row r="92" spans="6:12" s="21" customFormat="1" ht="14.25" x14ac:dyDescent="0.45">
      <c r="F92" s="13" t="s">
        <v>740</v>
      </c>
      <c r="G92" s="125">
        <v>1.1578432690636049</v>
      </c>
      <c r="H92" s="92">
        <v>10.32342153007947</v>
      </c>
      <c r="I92" s="92">
        <v>22.343224430710233</v>
      </c>
      <c r="J92" s="92">
        <v>27.452882374804339</v>
      </c>
      <c r="K92" s="92">
        <v>1.64206001768947</v>
      </c>
      <c r="L92" s="92">
        <v>17.174716605979327</v>
      </c>
    </row>
    <row r="93" spans="6:12" s="21" customFormat="1" ht="14.25" x14ac:dyDescent="0.45">
      <c r="F93" s="13" t="s">
        <v>741</v>
      </c>
      <c r="G93" s="125">
        <v>3.0670048642490428</v>
      </c>
      <c r="H93" s="92">
        <v>7.3783065511226313</v>
      </c>
      <c r="I93" s="92">
        <v>43.626284635673755</v>
      </c>
      <c r="J93" s="92">
        <v>-11.624799307984905</v>
      </c>
      <c r="K93" s="92">
        <v>2.3000926211793802</v>
      </c>
      <c r="L93" s="92">
        <v>12.84587537356694</v>
      </c>
    </row>
    <row r="94" spans="6:12" s="21" customFormat="1" ht="14.25" x14ac:dyDescent="0.45">
      <c r="F94" s="13" t="s">
        <v>742</v>
      </c>
      <c r="G94" s="125">
        <v>2.9815562603672845</v>
      </c>
      <c r="H94" s="92">
        <v>9.3244137637104494</v>
      </c>
      <c r="I94" s="92">
        <v>19.834773762057363</v>
      </c>
      <c r="J94" s="92">
        <v>3.3619613696565671</v>
      </c>
      <c r="K94" s="92">
        <v>0.40565519030951103</v>
      </c>
      <c r="L94" s="92">
        <v>15.321051395914894</v>
      </c>
    </row>
    <row r="95" spans="6:12" s="21" customFormat="1" ht="14.25" x14ac:dyDescent="0.45">
      <c r="F95" s="13" t="s">
        <v>743</v>
      </c>
      <c r="G95" s="125">
        <v>-1.1393644482392915</v>
      </c>
      <c r="H95" s="92">
        <v>9.1784898654616178</v>
      </c>
      <c r="I95" s="92">
        <v>21.087739537678075</v>
      </c>
      <c r="J95" s="92">
        <v>2.3133934138024013</v>
      </c>
      <c r="K95" s="92">
        <v>3.6359614212704998</v>
      </c>
      <c r="L95" s="92">
        <v>11.358333012457402</v>
      </c>
    </row>
    <row r="96" spans="6:12" s="21" customFormat="1" ht="14.25" x14ac:dyDescent="0.45">
      <c r="F96" s="13" t="s">
        <v>744</v>
      </c>
      <c r="G96" s="125">
        <v>5.4673252345609029</v>
      </c>
      <c r="H96" s="92">
        <v>8.350841853907264</v>
      </c>
      <c r="I96" s="92">
        <v>25.952172453874599</v>
      </c>
      <c r="J96" s="92">
        <v>4.1910102153208841</v>
      </c>
      <c r="K96" s="92">
        <v>4.8377835142872101</v>
      </c>
      <c r="L96" s="92">
        <v>14.15363028289843</v>
      </c>
    </row>
    <row r="97" spans="6:12" s="21" customFormat="1" ht="14.25" x14ac:dyDescent="0.45">
      <c r="F97" s="13" t="s">
        <v>745</v>
      </c>
      <c r="G97" s="125">
        <v>3.3670897968129907</v>
      </c>
      <c r="H97" s="92">
        <v>8.3272395115001832</v>
      </c>
      <c r="I97" s="92">
        <v>39.538590914865516</v>
      </c>
      <c r="J97" s="92">
        <v>17.456541335970243</v>
      </c>
      <c r="K97" s="92">
        <v>7.30481597480148</v>
      </c>
      <c r="L97" s="92">
        <v>12.113672735494188</v>
      </c>
    </row>
    <row r="98" spans="6:12" s="21" customFormat="1" ht="14.25" x14ac:dyDescent="0.45">
      <c r="F98" s="13" t="s">
        <v>746</v>
      </c>
      <c r="G98" s="125">
        <v>4.0779928727057353</v>
      </c>
      <c r="H98" s="92">
        <v>9.0877270483374808</v>
      </c>
      <c r="I98" s="92">
        <v>31.9404948325184</v>
      </c>
      <c r="J98" s="92">
        <v>7.545323084412364</v>
      </c>
      <c r="K98" s="92">
        <v>0.361563704540798</v>
      </c>
      <c r="L98" s="92">
        <v>17.797905218126324</v>
      </c>
    </row>
    <row r="99" spans="6:12" s="21" customFormat="1" ht="14.25" x14ac:dyDescent="0.45">
      <c r="F99" s="13" t="s">
        <v>747</v>
      </c>
      <c r="G99" s="125">
        <v>1.0363955728459331</v>
      </c>
      <c r="H99" s="92">
        <v>8.0778198319199195</v>
      </c>
      <c r="I99" s="92">
        <v>32.191683244003926</v>
      </c>
      <c r="J99" s="92">
        <v>1.3364718030674474</v>
      </c>
      <c r="K99" s="92">
        <v>0.19606552057642501</v>
      </c>
      <c r="L99" s="92">
        <v>19.368729205938308</v>
      </c>
    </row>
    <row r="100" spans="6:12" s="21" customFormat="1" ht="14.25" x14ac:dyDescent="0.45">
      <c r="F100" s="13" t="s">
        <v>748</v>
      </c>
      <c r="G100" s="125">
        <v>-0.64712113483126643</v>
      </c>
      <c r="H100" s="92">
        <v>6.2212236218667076</v>
      </c>
      <c r="I100" s="92">
        <v>46.121184359667829</v>
      </c>
      <c r="J100" s="92">
        <v>14.261358413943709</v>
      </c>
      <c r="K100" s="92">
        <v>2.7811063118294199</v>
      </c>
      <c r="L100" s="92">
        <v>21.671534283266087</v>
      </c>
    </row>
    <row r="101" spans="6:12" s="21" customFormat="1" ht="14.25" x14ac:dyDescent="0.45">
      <c r="F101" s="13" t="s">
        <v>749</v>
      </c>
      <c r="G101" s="125">
        <v>-2.9681168453756044</v>
      </c>
      <c r="H101" s="92">
        <v>8.6116719211771198</v>
      </c>
      <c r="I101" s="92">
        <v>12.745083221663716</v>
      </c>
      <c r="J101" s="92">
        <v>-1.427063909003399</v>
      </c>
      <c r="K101" s="92">
        <v>3.7223941442268802</v>
      </c>
      <c r="L101" s="92">
        <v>25.912794210150476</v>
      </c>
    </row>
    <row r="102" spans="6:12" s="21" customFormat="1" ht="14.25" x14ac:dyDescent="0.45">
      <c r="F102" s="13" t="s">
        <v>750</v>
      </c>
      <c r="G102" s="125">
        <v>5.0433722155644318</v>
      </c>
      <c r="H102" s="92">
        <v>6.9456786577202392</v>
      </c>
      <c r="I102" s="92">
        <v>56.562259987049146</v>
      </c>
      <c r="J102" s="92">
        <v>0.60556918458699793</v>
      </c>
      <c r="K102" s="92">
        <v>5.5686854778492503</v>
      </c>
      <c r="L102" s="92">
        <v>11.564498829816513</v>
      </c>
    </row>
    <row r="103" spans="6:12" s="21" customFormat="1" ht="14.25" x14ac:dyDescent="0.45">
      <c r="F103" s="13" t="s">
        <v>751</v>
      </c>
      <c r="G103" s="125">
        <v>1.0836095970728366</v>
      </c>
      <c r="H103" s="92">
        <v>10.878887074361646</v>
      </c>
      <c r="I103" s="92">
        <v>21.282522490055502</v>
      </c>
      <c r="J103" s="92">
        <v>3.9346348932788442</v>
      </c>
      <c r="K103" s="92">
        <v>2.63369910249593</v>
      </c>
      <c r="L103" s="92">
        <v>24.50635423519001</v>
      </c>
    </row>
    <row r="104" spans="6:12" s="21" customFormat="1" ht="14.25" x14ac:dyDescent="0.45">
      <c r="F104" s="13" t="s">
        <v>752</v>
      </c>
      <c r="G104" s="125">
        <v>-5.0536891381014613</v>
      </c>
      <c r="H104" s="92">
        <v>7.6111259857293572</v>
      </c>
      <c r="I104" s="92">
        <v>17.134941188385248</v>
      </c>
      <c r="J104" s="92">
        <v>4.017278196540266</v>
      </c>
      <c r="K104" s="92">
        <v>5.3762899084412998</v>
      </c>
      <c r="L104" s="92">
        <v>15.644998722010831</v>
      </c>
    </row>
    <row r="105" spans="6:12" s="21" customFormat="1" ht="14.25" x14ac:dyDescent="0.45">
      <c r="F105" s="13" t="s">
        <v>753</v>
      </c>
      <c r="G105" s="125">
        <v>1.9604439071519835</v>
      </c>
      <c r="H105" s="92">
        <v>6.3498854858653129</v>
      </c>
      <c r="I105" s="92">
        <v>30.244143468804978</v>
      </c>
      <c r="J105" s="92">
        <v>5.5542509022381763</v>
      </c>
      <c r="K105" s="92">
        <v>-2.4897926507085102</v>
      </c>
      <c r="L105" s="92">
        <v>17.237046802151088</v>
      </c>
    </row>
    <row r="106" spans="6:12" s="21" customFormat="1" ht="14.25" x14ac:dyDescent="0.45">
      <c r="F106" s="13" t="s">
        <v>754</v>
      </c>
      <c r="G106" s="125">
        <v>-0.37972244679122014</v>
      </c>
      <c r="H106" s="92">
        <v>7.6146958810330663</v>
      </c>
      <c r="I106" s="92">
        <v>26.206547693028437</v>
      </c>
      <c r="J106" s="92">
        <v>0.73620510704256881</v>
      </c>
      <c r="K106" s="92">
        <v>11.396794968716801</v>
      </c>
      <c r="L106" s="92">
        <v>5.8880838853203281</v>
      </c>
    </row>
    <row r="107" spans="6:12" x14ac:dyDescent="0.55000000000000004">
      <c r="F107" s="13" t="s">
        <v>755</v>
      </c>
      <c r="G107" s="125">
        <v>3.1751839609034818</v>
      </c>
      <c r="H107" s="92">
        <v>8.7142346182261488</v>
      </c>
      <c r="I107" s="92">
        <v>34.542564192668323</v>
      </c>
      <c r="J107" s="92">
        <v>4.3795254341103718</v>
      </c>
      <c r="K107" s="92">
        <v>0.76643957345968805</v>
      </c>
      <c r="L107" s="92">
        <v>14.035817770434333</v>
      </c>
    </row>
    <row r="108" spans="6:12" x14ac:dyDescent="0.55000000000000004">
      <c r="F108" s="13" t="s">
        <v>756</v>
      </c>
      <c r="G108" s="125">
        <v>0.47416515657732816</v>
      </c>
      <c r="H108" s="92">
        <v>11.311231047138333</v>
      </c>
      <c r="I108" s="92">
        <v>28.993565037077108</v>
      </c>
      <c r="J108" s="92">
        <v>3.1573469874829745</v>
      </c>
      <c r="K108" s="92">
        <v>2.1677300330540499</v>
      </c>
      <c r="L108" s="92">
        <v>24.418937498591294</v>
      </c>
    </row>
    <row r="109" spans="6:12" x14ac:dyDescent="0.55000000000000004">
      <c r="F109" s="13" t="s">
        <v>757</v>
      </c>
      <c r="G109" s="125">
        <v>-4.5244211003259096</v>
      </c>
      <c r="H109" s="92">
        <v>9.7123986111977647</v>
      </c>
      <c r="I109" s="92">
        <v>20.502171057907869</v>
      </c>
      <c r="J109" s="92">
        <v>4.4801492089095856</v>
      </c>
      <c r="K109" s="92">
        <v>0.13379505745318199</v>
      </c>
      <c r="L109" s="92">
        <v>24.570107971540452</v>
      </c>
    </row>
    <row r="110" spans="6:12" x14ac:dyDescent="0.55000000000000004">
      <c r="F110" s="13" t="s">
        <v>758</v>
      </c>
      <c r="G110" s="125">
        <v>-1.039798675233726</v>
      </c>
      <c r="H110" s="92">
        <v>7.3013540375195793</v>
      </c>
      <c r="I110" s="92">
        <v>15.610770058497888</v>
      </c>
      <c r="J110" s="92">
        <v>0.79720537886686393</v>
      </c>
      <c r="K110" s="92">
        <v>10.5783618004555</v>
      </c>
      <c r="L110" s="92">
        <v>11.736839291578521</v>
      </c>
    </row>
    <row r="111" spans="6:12" s="15" customFormat="1" ht="14.25" x14ac:dyDescent="0.45">
      <c r="F111" s="13" t="s">
        <v>759</v>
      </c>
      <c r="G111" s="125">
        <v>1.3189183391726544</v>
      </c>
      <c r="H111" s="92">
        <v>9.6545500336687038</v>
      </c>
      <c r="I111" s="92">
        <v>40.414948623369781</v>
      </c>
      <c r="J111" s="92">
        <v>8.8192448081609811</v>
      </c>
      <c r="K111" s="92">
        <v>-0.355083821021212</v>
      </c>
      <c r="L111" s="92">
        <v>11.91168369241087</v>
      </c>
    </row>
    <row r="112" spans="6:12" s="15" customFormat="1" ht="14.25" x14ac:dyDescent="0.45">
      <c r="F112" s="13" t="s">
        <v>760</v>
      </c>
      <c r="G112" s="125">
        <v>-1.2867359851773301</v>
      </c>
      <c r="H112" s="92">
        <v>8.6665912726118979</v>
      </c>
      <c r="I112" s="92">
        <v>22.408820599261077</v>
      </c>
      <c r="J112" s="92">
        <v>1.5630716425918214</v>
      </c>
      <c r="K112" s="92">
        <v>2.7570972756279</v>
      </c>
      <c r="L112" s="92">
        <v>11.774344484340626</v>
      </c>
    </row>
    <row r="113" spans="6:12" s="15" customFormat="1" ht="14.25" x14ac:dyDescent="0.45">
      <c r="F113" s="13" t="s">
        <v>761</v>
      </c>
      <c r="G113" s="125">
        <v>0.51249373517565289</v>
      </c>
      <c r="H113" s="92">
        <v>8.8452351136745904</v>
      </c>
      <c r="I113" s="92">
        <v>20.853433017198107</v>
      </c>
      <c r="J113" s="92">
        <v>3.9197658584069859</v>
      </c>
      <c r="K113" s="92">
        <v>2.13715342569978</v>
      </c>
      <c r="L113" s="92">
        <v>13.304889969090958</v>
      </c>
    </row>
    <row r="114" spans="6:12" s="15" customFormat="1" ht="14.25" x14ac:dyDescent="0.45">
      <c r="F114" s="13" t="s">
        <v>762</v>
      </c>
      <c r="G114" s="125">
        <v>4.6040070815897423</v>
      </c>
      <c r="H114" s="92">
        <v>8.0870538602196529</v>
      </c>
      <c r="I114" s="92">
        <v>26.189694083608522</v>
      </c>
      <c r="J114" s="92">
        <v>2.0396578931775307</v>
      </c>
      <c r="K114" s="92">
        <v>2.4802785871650901</v>
      </c>
      <c r="L114" s="92">
        <v>12.52636698280698</v>
      </c>
    </row>
    <row r="115" spans="6:12" s="15" customFormat="1" ht="14.25" x14ac:dyDescent="0.45">
      <c r="F115" s="13" t="s">
        <v>763</v>
      </c>
      <c r="G115" s="125">
        <v>4.5515908674294252</v>
      </c>
      <c r="H115" s="92">
        <v>9.6465598275328492</v>
      </c>
      <c r="I115" s="92">
        <v>19.749945142319618</v>
      </c>
      <c r="J115" s="92">
        <v>2.4165145047203835</v>
      </c>
      <c r="K115" s="92">
        <v>2.2274788093829998</v>
      </c>
      <c r="L115" s="92">
        <v>18.001930290968634</v>
      </c>
    </row>
    <row r="116" spans="6:12" s="15" customFormat="1" ht="14.25" x14ac:dyDescent="0.45">
      <c r="F116" s="13" t="s">
        <v>764</v>
      </c>
      <c r="G116" s="125">
        <v>2.3793838431460017</v>
      </c>
      <c r="H116" s="92">
        <v>10.067414058153489</v>
      </c>
      <c r="I116" s="92">
        <v>18.998705618167921</v>
      </c>
      <c r="J116" s="92">
        <v>3.4637723693829088</v>
      </c>
      <c r="K116" s="92">
        <v>0.33817841004612498</v>
      </c>
      <c r="L116" s="92">
        <v>16.881193274217733</v>
      </c>
    </row>
    <row r="117" spans="6:12" s="15" customFormat="1" ht="14.25" x14ac:dyDescent="0.45">
      <c r="F117" s="13" t="s">
        <v>765</v>
      </c>
      <c r="G117" s="125">
        <v>-1.018243324854069</v>
      </c>
      <c r="H117" s="92">
        <v>11.096016124244549</v>
      </c>
      <c r="I117" s="92">
        <v>42.580300617338793</v>
      </c>
      <c r="J117" s="92">
        <v>-1.5995658189634256</v>
      </c>
      <c r="K117" s="92">
        <v>-0.66664112486110205</v>
      </c>
      <c r="L117" s="92">
        <v>18.519631508075669</v>
      </c>
    </row>
    <row r="118" spans="6:12" s="15" customFormat="1" ht="14.25" x14ac:dyDescent="0.45">
      <c r="F118" s="13" t="s">
        <v>766</v>
      </c>
      <c r="G118" s="125">
        <v>4.7767992135503903</v>
      </c>
      <c r="H118" s="92">
        <v>9.4254428270154804</v>
      </c>
      <c r="I118" s="92">
        <v>22.930342161639068</v>
      </c>
      <c r="J118" s="92">
        <v>2.9452643370863196</v>
      </c>
      <c r="K118" s="92">
        <v>3.8278543259942799</v>
      </c>
      <c r="L118" s="92">
        <v>17.333189784669457</v>
      </c>
    </row>
    <row r="119" spans="6:12" s="15" customFormat="1" ht="14.25" x14ac:dyDescent="0.45">
      <c r="F119" s="13" t="s">
        <v>767</v>
      </c>
      <c r="G119" s="125">
        <v>1.4107312820710121</v>
      </c>
      <c r="H119" s="92">
        <v>9.3388051282427185</v>
      </c>
      <c r="I119" s="92">
        <v>23.106316352873932</v>
      </c>
      <c r="J119" s="92">
        <v>1.8810053857692368</v>
      </c>
      <c r="K119" s="92">
        <v>4.4703666076017496</v>
      </c>
      <c r="L119" s="92">
        <v>18.302965757078169</v>
      </c>
    </row>
    <row r="120" spans="6:12" s="15" customFormat="1" ht="14.25" x14ac:dyDescent="0.45">
      <c r="F120" s="13" t="s">
        <v>768</v>
      </c>
      <c r="G120" s="125">
        <v>6.6120391270248149</v>
      </c>
      <c r="H120" s="92">
        <v>6.6634994029767212</v>
      </c>
      <c r="I120" s="92">
        <v>27.054702444915741</v>
      </c>
      <c r="J120" s="92">
        <v>3.7130225361804539</v>
      </c>
      <c r="K120" s="92">
        <v>3.3478765503763999</v>
      </c>
      <c r="L120" s="92">
        <v>15.80100775573348</v>
      </c>
    </row>
    <row r="121" spans="6:12" s="15" customFormat="1" ht="14.25" x14ac:dyDescent="0.45">
      <c r="F121" s="13" t="s">
        <v>769</v>
      </c>
      <c r="G121" s="125">
        <v>-1.3332563775994117</v>
      </c>
      <c r="H121" s="92">
        <v>10.057879494317602</v>
      </c>
      <c r="I121" s="92">
        <v>28.77596270864386</v>
      </c>
      <c r="J121" s="92">
        <v>0.57538013588878967</v>
      </c>
      <c r="K121" s="92">
        <v>-2.0933333333333302</v>
      </c>
      <c r="L121" s="92">
        <v>23.848684712406012</v>
      </c>
    </row>
    <row r="122" spans="6:12" s="15" customFormat="1" ht="14.25" x14ac:dyDescent="0.45">
      <c r="F122" s="13" t="s">
        <v>770</v>
      </c>
      <c r="G122" s="125">
        <v>2.4159365405914031</v>
      </c>
      <c r="H122" s="92">
        <v>7.2900138574394582</v>
      </c>
      <c r="I122" s="92">
        <v>32.781232939759164</v>
      </c>
      <c r="J122" s="92">
        <v>4.1705600500108257</v>
      </c>
      <c r="K122" s="92">
        <v>1.7585651759565899</v>
      </c>
      <c r="L122" s="92">
        <v>13.632496773777541</v>
      </c>
    </row>
    <row r="123" spans="6:12" s="15" customFormat="1" ht="14.25" x14ac:dyDescent="0.45">
      <c r="F123" s="13" t="s">
        <v>771</v>
      </c>
      <c r="G123" s="125">
        <v>4.8133487794971472</v>
      </c>
      <c r="H123" s="92">
        <v>8.8890879837068137</v>
      </c>
      <c r="I123" s="92">
        <v>25.104050595112348</v>
      </c>
      <c r="J123" s="92">
        <v>8.2927787831704425</v>
      </c>
      <c r="K123" s="92">
        <v>1.8492298451108999</v>
      </c>
      <c r="L123" s="92">
        <v>16.645616317653928</v>
      </c>
    </row>
    <row r="124" spans="6:12" s="15" customFormat="1" ht="14.25" x14ac:dyDescent="0.45">
      <c r="F124" s="13" t="s">
        <v>772</v>
      </c>
      <c r="G124" s="125">
        <v>4.3815569297974974</v>
      </c>
      <c r="H124" s="92">
        <v>9.7044770004289802</v>
      </c>
      <c r="I124" s="92">
        <v>31.140055969994485</v>
      </c>
      <c r="J124" s="92">
        <v>13.396771922303008</v>
      </c>
      <c r="K124" s="92">
        <v>1.80611159983627</v>
      </c>
      <c r="L124" s="92">
        <v>21.424978588433959</v>
      </c>
    </row>
    <row r="125" spans="6:12" s="15" customFormat="1" ht="14.25" x14ac:dyDescent="0.45">
      <c r="F125" s="13" t="s">
        <v>773</v>
      </c>
      <c r="G125" s="125">
        <v>3.3057518046324361</v>
      </c>
      <c r="H125" s="92">
        <v>6.2803793299455251</v>
      </c>
      <c r="I125" s="92">
        <v>13.002797262902321</v>
      </c>
      <c r="J125" s="92">
        <v>8.3083418603436883</v>
      </c>
      <c r="K125" s="92">
        <v>14.803058568175899</v>
      </c>
      <c r="L125" s="92">
        <v>8.3740735702438709</v>
      </c>
    </row>
    <row r="126" spans="6:12" s="15" customFormat="1" ht="14.25" x14ac:dyDescent="0.45">
      <c r="F126" s="13" t="s">
        <v>774</v>
      </c>
      <c r="G126" s="125">
        <v>-0.41279466794151176</v>
      </c>
      <c r="H126" s="92">
        <v>11.100266232033125</v>
      </c>
      <c r="I126" s="92">
        <v>24.859107464876114</v>
      </c>
      <c r="J126" s="92">
        <v>28.346207688294463</v>
      </c>
      <c r="K126" s="92">
        <v>0.56526056878035802</v>
      </c>
      <c r="L126" s="92">
        <v>10.252898283322599</v>
      </c>
    </row>
    <row r="127" spans="6:12" s="15" customFormat="1" ht="14.25" x14ac:dyDescent="0.45">
      <c r="F127" s="13" t="s">
        <v>775</v>
      </c>
      <c r="G127" s="125">
        <v>2.1800397903293742</v>
      </c>
      <c r="H127" s="92">
        <v>9.8733554839991626</v>
      </c>
      <c r="I127" s="92">
        <v>23.55923752213241</v>
      </c>
      <c r="J127" s="92">
        <v>2.2008887429179511</v>
      </c>
      <c r="K127" s="92">
        <v>2.6645613342544299</v>
      </c>
      <c r="L127" s="92">
        <v>19.674370826573949</v>
      </c>
    </row>
    <row r="128" spans="6:12" s="15" customFormat="1" ht="14.25" x14ac:dyDescent="0.45">
      <c r="F128" s="13" t="s">
        <v>776</v>
      </c>
      <c r="G128" s="125">
        <v>2.4899049057257088</v>
      </c>
      <c r="H128" s="92">
        <v>10.170300115031356</v>
      </c>
      <c r="I128" s="92">
        <v>20.719715726496833</v>
      </c>
      <c r="J128" s="92">
        <v>3.1563997700713053</v>
      </c>
      <c r="K128" s="92">
        <v>1.6305226075433801</v>
      </c>
      <c r="L128" s="92">
        <v>18.402491325576122</v>
      </c>
    </row>
    <row r="129" spans="6:12" s="15" customFormat="1" ht="14.25" x14ac:dyDescent="0.45">
      <c r="F129" s="13" t="s">
        <v>777</v>
      </c>
      <c r="G129" s="125">
        <v>-1.1791433326092857</v>
      </c>
      <c r="H129" s="92">
        <v>8.7599869185256143</v>
      </c>
      <c r="I129" s="92">
        <v>17.589013570440777</v>
      </c>
      <c r="J129" s="92">
        <v>1.3159038504245759</v>
      </c>
      <c r="K129" s="92">
        <v>4.1243507248623903</v>
      </c>
      <c r="L129" s="92">
        <v>21.2957368984524</v>
      </c>
    </row>
    <row r="130" spans="6:12" s="15" customFormat="1" ht="14.25" x14ac:dyDescent="0.45">
      <c r="F130" s="13" t="s">
        <v>778</v>
      </c>
      <c r="G130" s="125">
        <v>1.3458621708921896</v>
      </c>
      <c r="H130" s="92">
        <v>10.321847858716747</v>
      </c>
      <c r="I130" s="92">
        <v>20.772559151394791</v>
      </c>
      <c r="J130" s="92">
        <v>1.0630380479022146</v>
      </c>
      <c r="K130" s="92">
        <v>0.69953624171701501</v>
      </c>
      <c r="L130" s="92">
        <v>18.873898191797373</v>
      </c>
    </row>
    <row r="131" spans="6:12" s="15" customFormat="1" ht="14.25" x14ac:dyDescent="0.45">
      <c r="F131" s="13" t="s">
        <v>779</v>
      </c>
      <c r="G131" s="125">
        <v>1.6595281877087302</v>
      </c>
      <c r="H131" s="92">
        <v>8.3139912588893043</v>
      </c>
      <c r="I131" s="92">
        <v>27.388461993908962</v>
      </c>
      <c r="J131" s="92">
        <v>0.90250879648914184</v>
      </c>
      <c r="K131" s="92">
        <v>3.5283935823180901</v>
      </c>
      <c r="L131" s="92">
        <v>9.4364367423839326</v>
      </c>
    </row>
    <row r="132" spans="6:12" s="15" customFormat="1" ht="14.25" x14ac:dyDescent="0.45">
      <c r="F132" s="13" t="s">
        <v>780</v>
      </c>
      <c r="G132" s="125">
        <v>-4.8581834870656877</v>
      </c>
      <c r="H132" s="92">
        <v>6.4359376091898435</v>
      </c>
      <c r="I132" s="92">
        <v>8.2513496552837875</v>
      </c>
      <c r="J132" s="92">
        <v>2.704888590845409</v>
      </c>
      <c r="K132" s="92">
        <v>50.994051500297097</v>
      </c>
      <c r="L132" s="92">
        <v>3.637864266027055</v>
      </c>
    </row>
    <row r="133" spans="6:12" s="15" customFormat="1" ht="14.25" x14ac:dyDescent="0.45">
      <c r="F133" s="13" t="s">
        <v>781</v>
      </c>
      <c r="G133" s="125">
        <v>0.17566964826308151</v>
      </c>
      <c r="H133" s="92">
        <v>10.907588782428745</v>
      </c>
      <c r="I133" s="92">
        <v>25.234815390881021</v>
      </c>
      <c r="J133" s="92">
        <v>3.1713714599729244</v>
      </c>
      <c r="K133" s="92">
        <v>1.7841509740383199</v>
      </c>
      <c r="L133" s="92">
        <v>25.853501643503606</v>
      </c>
    </row>
    <row r="134" spans="6:12" s="15" customFormat="1" ht="14.25" x14ac:dyDescent="0.45">
      <c r="F134" s="13" t="s">
        <v>782</v>
      </c>
      <c r="G134" s="125">
        <v>0.21669051227578962</v>
      </c>
      <c r="H134" s="92">
        <v>11.324402014068157</v>
      </c>
      <c r="I134" s="92">
        <v>22.337326216382188</v>
      </c>
      <c r="J134" s="92">
        <v>5.3071032094536283</v>
      </c>
      <c r="K134" s="92">
        <v>0.36291600452038397</v>
      </c>
      <c r="L134" s="92">
        <v>11.904032184810411</v>
      </c>
    </row>
    <row r="135" spans="6:12" s="15" customFormat="1" ht="14.25" x14ac:dyDescent="0.45">
      <c r="F135" s="13" t="s">
        <v>783</v>
      </c>
      <c r="G135" s="125">
        <v>2.0650042492150931</v>
      </c>
      <c r="H135" s="92">
        <v>8.8950096563807541</v>
      </c>
      <c r="I135" s="92">
        <v>23.950048030056607</v>
      </c>
      <c r="J135" s="92">
        <v>0.88614570125185654</v>
      </c>
      <c r="K135" s="92">
        <v>0.70672860131430504</v>
      </c>
      <c r="L135" s="92">
        <v>16.134140709963106</v>
      </c>
    </row>
    <row r="136" spans="6:12" s="15" customFormat="1" ht="14.25" x14ac:dyDescent="0.45">
      <c r="F136" s="13" t="s">
        <v>784</v>
      </c>
      <c r="G136" s="125">
        <v>16.414734600971244</v>
      </c>
      <c r="H136" s="92">
        <v>7.1149549524268343</v>
      </c>
      <c r="I136" s="92">
        <v>25.621746379164062</v>
      </c>
      <c r="J136" s="92">
        <v>3.6958919047482883</v>
      </c>
      <c r="K136" s="92">
        <v>0.95881273970320102</v>
      </c>
      <c r="L136" s="92">
        <v>47.41543156536698</v>
      </c>
    </row>
    <row r="137" spans="6:12" s="15" customFormat="1" ht="14.25" x14ac:dyDescent="0.45">
      <c r="F137" s="13" t="s">
        <v>785</v>
      </c>
      <c r="G137" s="125">
        <v>2.8197272907545425</v>
      </c>
      <c r="H137" s="92">
        <v>6.522052739394355</v>
      </c>
      <c r="I137" s="92">
        <v>26.346767031075185</v>
      </c>
      <c r="J137" s="92">
        <v>2.4281659278971484</v>
      </c>
      <c r="K137" s="92">
        <v>0.68589759089553903</v>
      </c>
      <c r="L137" s="92">
        <v>15.988586211623874</v>
      </c>
    </row>
    <row r="138" spans="6:12" s="15" customFormat="1" ht="14.25" x14ac:dyDescent="0.45">
      <c r="F138" s="13" t="s">
        <v>786</v>
      </c>
      <c r="G138" s="125">
        <v>-7.5971717089089452E-2</v>
      </c>
      <c r="H138" s="92">
        <v>8.1428746794286369</v>
      </c>
      <c r="I138" s="92">
        <v>17.909174755149547</v>
      </c>
      <c r="J138" s="92">
        <v>2.0882542002003412</v>
      </c>
      <c r="K138" s="92">
        <v>6.7200753286380399</v>
      </c>
      <c r="L138" s="92">
        <v>20.519653915411304</v>
      </c>
    </row>
    <row r="139" spans="6:12" s="15" customFormat="1" ht="14.25" x14ac:dyDescent="0.45">
      <c r="F139" s="13" t="s">
        <v>787</v>
      </c>
      <c r="G139" s="125">
        <v>-0.42599032079370147</v>
      </c>
      <c r="H139" s="92">
        <v>9.1543617664137749</v>
      </c>
      <c r="I139" s="92">
        <v>24.799368613790243</v>
      </c>
      <c r="J139" s="92">
        <v>1.21692798675783</v>
      </c>
      <c r="K139" s="92">
        <v>15.1768215720023</v>
      </c>
      <c r="L139" s="92">
        <v>15.527292808817981</v>
      </c>
    </row>
    <row r="140" spans="6:12" s="15" customFormat="1" ht="14.25" x14ac:dyDescent="0.45">
      <c r="F140" s="13" t="s">
        <v>788</v>
      </c>
      <c r="G140" s="125">
        <v>3.0724017280639373</v>
      </c>
      <c r="H140" s="92">
        <v>6.6469779439063723</v>
      </c>
      <c r="I140" s="92">
        <v>25.960183039348273</v>
      </c>
      <c r="J140" s="92">
        <v>3.6002307260262247</v>
      </c>
      <c r="K140" s="92">
        <v>2.8690942502055399</v>
      </c>
      <c r="L140" s="92">
        <v>8.8202238177469727</v>
      </c>
    </row>
    <row r="141" spans="6:12" s="15" customFormat="1" ht="14.25" x14ac:dyDescent="0.45">
      <c r="F141" s="13" t="s">
        <v>789</v>
      </c>
      <c r="G141" s="125">
        <v>3.8279019566488444</v>
      </c>
      <c r="H141" s="92">
        <v>8.0381302186656036</v>
      </c>
      <c r="I141" s="92">
        <v>12.595444431137604</v>
      </c>
      <c r="J141" s="92">
        <v>3.7930546545482722</v>
      </c>
      <c r="K141" s="92">
        <v>7.8867174561112998</v>
      </c>
      <c r="L141" s="92">
        <v>19.915920337425693</v>
      </c>
    </row>
    <row r="142" spans="6:12" s="15" customFormat="1" ht="14.25" x14ac:dyDescent="0.45">
      <c r="F142" s="13" t="s">
        <v>790</v>
      </c>
      <c r="G142" s="125">
        <v>0.2252750188528978</v>
      </c>
      <c r="H142" s="92">
        <v>10.688287239697086</v>
      </c>
      <c r="I142" s="92">
        <v>23.832820026704908</v>
      </c>
      <c r="J142" s="92">
        <v>3.2738262078447384</v>
      </c>
      <c r="K142" s="92">
        <v>-1.93108114782171</v>
      </c>
      <c r="L142" s="92">
        <v>13.278418951235258</v>
      </c>
    </row>
    <row r="143" spans="6:12" s="15" customFormat="1" ht="14.25" x14ac:dyDescent="0.45">
      <c r="F143" s="13" t="s">
        <v>791</v>
      </c>
      <c r="G143" s="125">
        <v>0.89478865343706104</v>
      </c>
      <c r="H143" s="92">
        <v>10.669960187759107</v>
      </c>
      <c r="I143" s="92">
        <v>17.318406768297606</v>
      </c>
      <c r="J143" s="92">
        <v>7.9059381437199872E-2</v>
      </c>
      <c r="K143" s="92">
        <v>1.73810460086511</v>
      </c>
      <c r="L143" s="92">
        <v>18.838223809143535</v>
      </c>
    </row>
    <row r="144" spans="6:12" s="15" customFormat="1" ht="14.25" x14ac:dyDescent="0.45">
      <c r="F144" s="13" t="s">
        <v>792</v>
      </c>
      <c r="G144" s="125">
        <v>1.6781254000449479</v>
      </c>
      <c r="H144" s="92">
        <v>11.050833992459903</v>
      </c>
      <c r="I144" s="92">
        <v>21.014288749626399</v>
      </c>
      <c r="J144" s="92">
        <v>1.6405883090114384</v>
      </c>
      <c r="K144" s="92">
        <v>1.81221007526015</v>
      </c>
      <c r="L144" s="92">
        <v>13.973892684190425</v>
      </c>
    </row>
    <row r="145" spans="6:12" s="15" customFormat="1" ht="14.25" x14ac:dyDescent="0.45">
      <c r="F145" s="13" t="s">
        <v>793</v>
      </c>
      <c r="G145" s="125">
        <v>-0.13788920412437733</v>
      </c>
      <c r="H145" s="92">
        <v>9.757187565003548</v>
      </c>
      <c r="I145" s="92">
        <v>16.161091696115193</v>
      </c>
      <c r="J145" s="92">
        <v>2.1218865963703837</v>
      </c>
      <c r="K145" s="92">
        <v>7.8819887087962197</v>
      </c>
      <c r="L145" s="92">
        <v>15.00295762303374</v>
      </c>
    </row>
    <row r="146" spans="6:12" s="15" customFormat="1" ht="14.25" x14ac:dyDescent="0.45">
      <c r="F146" s="13" t="s">
        <v>794</v>
      </c>
      <c r="G146" s="125">
        <v>5.9948660101926521</v>
      </c>
      <c r="H146" s="92">
        <v>7.8503361563054517</v>
      </c>
      <c r="I146" s="92">
        <v>26.843839381132245</v>
      </c>
      <c r="J146" s="92">
        <v>6.1545217569701132</v>
      </c>
      <c r="K146" s="92">
        <v>2.7958236745224401</v>
      </c>
      <c r="L146" s="92">
        <v>6.4606347025217028</v>
      </c>
    </row>
    <row r="147" spans="6:12" s="15" customFormat="1" ht="14.25" x14ac:dyDescent="0.45">
      <c r="F147" s="13" t="s">
        <v>795</v>
      </c>
      <c r="G147" s="125">
        <v>-1.4502641310958779</v>
      </c>
      <c r="H147" s="92">
        <v>7.324088224825152</v>
      </c>
      <c r="I147" s="92">
        <v>39.26190468265829</v>
      </c>
      <c r="J147" s="92">
        <v>2.3508074828533605</v>
      </c>
      <c r="K147" s="92">
        <v>9.1503164431629909</v>
      </c>
      <c r="L147" s="92">
        <v>17.684199315025179</v>
      </c>
    </row>
  </sheetData>
  <mergeCells count="1">
    <mergeCell ref="I15:L15"/>
  </mergeCells>
  <pageMargins left="0.511811024" right="0.511811024" top="0.78740157499999996" bottom="0.78740157499999996" header="0.31496062000000002" footer="0.3149606200000000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A2248-181C-450B-BE08-F722B777E7C0}">
  <sheetPr codeName="Planilha75">
    <tabColor theme="9" tint="0.59999389629810485"/>
  </sheetPr>
  <dimension ref="A1:S49"/>
  <sheetViews>
    <sheetView showGridLines="0" zoomScale="75" zoomScaleNormal="100" workbookViewId="0">
      <selection activeCell="L7" sqref="L7"/>
    </sheetView>
  </sheetViews>
  <sheetFormatPr defaultColWidth="8.796875" defaultRowHeight="18" x14ac:dyDescent="0.55000000000000004"/>
  <cols>
    <col min="1" max="1" width="18.6640625" style="17" customWidth="1"/>
    <col min="2" max="2" width="60.6640625" customWidth="1"/>
    <col min="3" max="3" width="9.6640625" customWidth="1"/>
    <col min="4" max="4" width="8.796875" customWidth="1"/>
    <col min="5" max="5" width="10" bestFit="1" customWidth="1"/>
    <col min="11" max="11" width="19.1328125" style="15" customWidth="1"/>
    <col min="12" max="12" width="23.33203125" style="15" customWidth="1"/>
    <col min="13" max="13" width="18" style="15" customWidth="1"/>
    <col min="14" max="14" width="16.6640625" style="15" customWidth="1"/>
    <col min="15" max="15" width="16.33203125" style="15" customWidth="1"/>
    <col min="16" max="16" width="28.33203125" style="15" customWidth="1"/>
    <col min="17" max="17" width="26.1328125" style="15" customWidth="1"/>
    <col min="18" max="18" width="16.33203125" style="15" customWidth="1"/>
    <col min="19" max="19" width="33.6640625" style="15" customWidth="1"/>
  </cols>
  <sheetData>
    <row r="1" spans="1:19" x14ac:dyDescent="0.55000000000000004">
      <c r="A1" s="16" t="s">
        <v>897</v>
      </c>
      <c r="K1" s="14"/>
      <c r="L1" s="14"/>
      <c r="M1" s="14"/>
      <c r="N1" s="14"/>
      <c r="O1" s="14"/>
      <c r="P1" s="14"/>
      <c r="Q1" s="14"/>
      <c r="R1" s="14"/>
      <c r="S1" s="14"/>
    </row>
    <row r="2" spans="1:19" ht="41" customHeight="1" x14ac:dyDescent="0.45">
      <c r="A2" s="172" t="s">
        <v>1329</v>
      </c>
      <c r="B2" s="172"/>
      <c r="C2" s="172"/>
      <c r="D2" s="172"/>
      <c r="E2" s="172"/>
      <c r="F2" s="172"/>
      <c r="G2" s="172"/>
      <c r="H2" s="172"/>
      <c r="I2" s="172"/>
      <c r="K2" s="14"/>
      <c r="L2" s="14"/>
      <c r="M2" s="14"/>
      <c r="N2" s="14"/>
      <c r="O2" s="14"/>
      <c r="P2" s="14"/>
      <c r="Q2" s="14"/>
      <c r="R2" s="14"/>
      <c r="S2" s="14"/>
    </row>
    <row r="3" spans="1:19" ht="58.5" customHeight="1" x14ac:dyDescent="0.45">
      <c r="A3" s="172" t="s">
        <v>906</v>
      </c>
      <c r="B3" s="172"/>
      <c r="C3" s="172"/>
      <c r="D3" s="172"/>
      <c r="E3" s="172"/>
      <c r="F3" s="172"/>
      <c r="G3" s="172"/>
      <c r="H3" s="172"/>
      <c r="I3" s="172"/>
      <c r="J3" s="172"/>
    </row>
    <row r="4" spans="1:19" ht="15" customHeight="1" x14ac:dyDescent="0.45">
      <c r="A4" s="126"/>
      <c r="B4" s="126"/>
      <c r="C4" s="126"/>
      <c r="D4" s="126"/>
      <c r="E4" s="126"/>
      <c r="F4" s="126"/>
      <c r="G4" s="126"/>
      <c r="H4" s="126"/>
      <c r="I4" s="126"/>
      <c r="J4" s="126"/>
    </row>
    <row r="5" spans="1:19" x14ac:dyDescent="0.55000000000000004">
      <c r="A5" s="17" t="s">
        <v>1057</v>
      </c>
    </row>
    <row r="6" spans="1:19" x14ac:dyDescent="0.55000000000000004">
      <c r="A6" s="17" t="s">
        <v>833</v>
      </c>
    </row>
    <row r="7" spans="1:19" x14ac:dyDescent="0.55000000000000004">
      <c r="A7" s="17" t="s">
        <v>832</v>
      </c>
    </row>
    <row r="8" spans="1:19" x14ac:dyDescent="0.55000000000000004">
      <c r="A8" s="17" t="s">
        <v>1328</v>
      </c>
    </row>
    <row r="10" spans="1:19" ht="15.75" x14ac:dyDescent="0.5">
      <c r="A10" s="2" t="s">
        <v>15</v>
      </c>
      <c r="B10" s="2" t="s">
        <v>16</v>
      </c>
      <c r="C10" s="2"/>
    </row>
    <row r="11" spans="1:19" ht="15.75" x14ac:dyDescent="0.45">
      <c r="A11" s="23" t="s">
        <v>22</v>
      </c>
      <c r="B11" s="26" t="s">
        <v>836</v>
      </c>
      <c r="C11" s="26"/>
    </row>
    <row r="12" spans="1:19" ht="21" customHeight="1" x14ac:dyDescent="0.45">
      <c r="A12" s="23" t="s">
        <v>901</v>
      </c>
      <c r="B12" s="26" t="s">
        <v>905</v>
      </c>
      <c r="C12" s="26"/>
    </row>
    <row r="13" spans="1:19" ht="37.049999999999997" customHeight="1" x14ac:dyDescent="0.45">
      <c r="A13" s="163" t="s">
        <v>1330</v>
      </c>
      <c r="B13" s="164" t="s">
        <v>1331</v>
      </c>
      <c r="C13" s="26"/>
    </row>
    <row r="14" spans="1:19" ht="21" customHeight="1" x14ac:dyDescent="0.45">
      <c r="A14" s="23"/>
      <c r="B14" s="26"/>
      <c r="C14" s="26"/>
    </row>
    <row r="18" spans="4:19" x14ac:dyDescent="0.55000000000000004">
      <c r="K18" s="62"/>
      <c r="L18" s="62"/>
      <c r="M18" s="62"/>
      <c r="N18" s="62"/>
      <c r="O18" s="62"/>
      <c r="P18" s="62"/>
      <c r="Q18" s="62"/>
      <c r="R18" s="62"/>
      <c r="S18" s="62"/>
    </row>
    <row r="19" spans="4:19" x14ac:dyDescent="0.55000000000000004">
      <c r="D19" s="1" t="s">
        <v>17</v>
      </c>
      <c r="E19" s="13" t="s">
        <v>22</v>
      </c>
      <c r="F19" s="12">
        <v>1</v>
      </c>
      <c r="G19" s="12">
        <v>2</v>
      </c>
      <c r="H19" s="12">
        <v>3</v>
      </c>
      <c r="I19" s="12">
        <v>4</v>
      </c>
      <c r="K19" s="86" cm="1">
        <f t="array" ref="K19:S23">_xlfn.LAMBDA(_xlpm.matrix,_xlop.returnObject,_xlop.full, _xlfn.LET(_xlpm.returnObject, IF(OR(_xlfn.ISOMITTED(_xlpm.returnObject), ISBLANK(_xlpm.returnObject)), "QR", _xlpm.returnObject), _xlpm.full, IF(OR(_xlfn.ISOMITTED(_xlpm.full), ISBLANK(_xlpm.full)), TRUE, _xlpm.full), _xlpm.n, DIM(_xlpm.matrix, 1), _xlpm.m, DIM(_xlpm.matrix, 2), _xlpm.Q, EYE(_xlpm.n), _xlpm.R, _xlpm.matrix, _xlpm.II, EYE(_xlpm.n), _xlpm.matrixHelper, _xlfn.REDUCE(_xlfn.HSTACK(_xlpm.Q, _xlpm.R), _xlfn.SEQUENCE(_xlpm.n - 1), _xlfn.LAMBDA(_xlpm.accum,_xlpm.j, _xlfn.LET(_xlpm.QQ, SLICE(_xlpm.accum, , , 1, _xlpm.n), _xlpm.RR, SLICE(_xlpm.accum, , , _xlpm.n + 1, ), _xlpm.x, SLICE(_xlpm.RR, _xlpm.j, _xlpm.n, _xlpm.j, _xlpm.j), _xlpm.v, -SIGN(INDEX(_xlpm.x, 1, 1)) * MNORM(_xlpm.x, 2) * EYE(_xlpm.n - _xlpm.j + 1, 1) - _xlpm.x, _xlpm.QR, IF(MNORM(_xlpm.v, 2) &lt;= 0, _xlpm.accum, _xlfn.LET(_xlpm.vv, _xlpm.v / MNORM(_xlpm.v, 2), _xlpm.P, _xlpm.II, _xlpm.PP, SLICE(_xlpm.P, _xlpm.j, _xlpm.n, _xlpm.j, _xlpm.n, SLICE(_xlpm.P, _xlpm.j, _xlpm.n, _xlpm.j, _xlpm.n) - 2 * MMULT(_xlpm.vv, TRANSPOSE(_xlpm.vv))), _xlpm.RRR, MMULT(_xlpm.PP, _xlpm.RR), _xlpm.QQQ, MMULT(_xlpm.QQ, _xlpm.PP), _xlfn.HSTACK(_xlpm.QQQ, _xlpm.RRR))), _xlpm.QR))), _xlpm.final, _xlfn.LET(_xlpm.Q, _xlfn.TAKE(_xlpm.matrixHelper, , _xlpm.n), _xlpm.R, _xlfn.MAKEARRAY(ROWS(_xlpm.matrix), COLUMNS(_xlpm.matrix), _xlfn.LAMBDA(_xlpm.r,_xlpm.c, IF(AND(_xlpm.r &gt; 1, _xlpm.r &gt; _xlpm.c), 0, SUM(INDEX(_xlpm.matrix, , _xlpm.c) * INDEX(_xlpm.Q, , _xlpm.r))))), _xlpm.adjustedQ, MMULT(_xlpm.Q, DIAG(SIGN(DIAG(_xlpm.Q)))), _xlpm.adjustedR, MMULT(DIAG(SIGN(DIAG(_xlpm.Q))), _xlpm.R), _xlfn.SWITCH(_xlpm.returnObject, "QR", _xlfn.HSTACK(_xlpm.adjustedQ, _xlpm.adjustedR), "Q", _xlpm.adjustedQ, "R", _xlpm.adjustedR)), _xlpm.result, IF(_xlpm.full, _xlpm.final, _xlfn.SWITCH(_xlpm.returnObject, "QR", _xlfn.HSTACK(_xlfn.TAKE(_xlpm.final, _xlpm.n, MIN(_xlpm.n, _xlpm.m)), _xlfn.TAKE(_xlpm.final, MIN(_xlpm.n, _xlpm.m), MIN(_xlpm.n, _xlpm.m))), "Q", _xlfn.TAKE(_xlpm.final, _xlpm.n, MIN(_xlpm.n, _xlpm.m)), "R", _xlfn.TAKE(_xlpm.final, MIN(_xlpm.n, _xlpm.m), MIN(_xlpm.n, _xlpm.m)))), _xlpm.result))($F$19:$I$23, $F$25, $F$26)</f>
        <v>0.13736056394868901</v>
      </c>
      <c r="L19" s="86">
        <v>0.3050083481953661</v>
      </c>
      <c r="M19" s="86">
        <v>-0.51146985908401044</v>
      </c>
      <c r="N19" s="86">
        <v>0.47592075627295605</v>
      </c>
      <c r="O19" s="86">
        <v>-0.63245553203367022</v>
      </c>
      <c r="P19" s="86">
        <v>7.2801098892805198</v>
      </c>
      <c r="Q19" s="86">
        <v>6.4559465055883853</v>
      </c>
      <c r="R19" s="86">
        <v>6.3185859416396966</v>
      </c>
      <c r="S19" s="86">
        <v>6.593307069537075</v>
      </c>
    </row>
    <row r="20" spans="4:19" x14ac:dyDescent="0.55000000000000004">
      <c r="F20" s="12">
        <v>5</v>
      </c>
      <c r="G20" s="12">
        <v>5</v>
      </c>
      <c r="H20" s="12">
        <v>6</v>
      </c>
      <c r="I20" s="12">
        <v>7</v>
      </c>
      <c r="K20" s="86">
        <v>0.68680281974344526</v>
      </c>
      <c r="L20" s="86">
        <v>0.15508899060781287</v>
      </c>
      <c r="M20" s="86">
        <v>-0.49051262233305953</v>
      </c>
      <c r="N20" s="86">
        <v>-0.40453264283201029</v>
      </c>
      <c r="O20" s="86">
        <v>0.31622776601683339</v>
      </c>
      <c r="P20" s="86">
        <v>0</v>
      </c>
      <c r="Q20" s="86">
        <v>3.6497609123038641</v>
      </c>
      <c r="R20" s="86">
        <v>2.7967714639608943</v>
      </c>
      <c r="S20" s="86">
        <v>4.5027503606468366</v>
      </c>
    </row>
    <row r="21" spans="4:19" x14ac:dyDescent="0.55000000000000004">
      <c r="F21" s="12">
        <v>1</v>
      </c>
      <c r="G21" s="12">
        <v>4</v>
      </c>
      <c r="H21" s="12">
        <v>2</v>
      </c>
      <c r="I21" s="12">
        <v>3</v>
      </c>
      <c r="K21" s="86">
        <v>0.13736056394868904</v>
      </c>
      <c r="L21" s="86">
        <v>0.85298944834297075</v>
      </c>
      <c r="M21" s="86">
        <v>0.50127444661057508</v>
      </c>
      <c r="N21" s="86">
        <v>-4.7592075627295088E-2</v>
      </c>
      <c r="O21" s="86">
        <v>-3.4694469519536142E-16</v>
      </c>
      <c r="P21" s="86">
        <v>0</v>
      </c>
      <c r="Q21" s="86">
        <v>0</v>
      </c>
      <c r="R21" s="86">
        <v>-2.5007081150120771</v>
      </c>
      <c r="S21" s="86">
        <v>-3.4975928901924287</v>
      </c>
    </row>
    <row r="22" spans="4:19" x14ac:dyDescent="0.55000000000000004">
      <c r="F22" s="12">
        <v>5</v>
      </c>
      <c r="G22" s="12">
        <v>3</v>
      </c>
      <c r="H22" s="12">
        <v>2</v>
      </c>
      <c r="I22" s="12">
        <v>1</v>
      </c>
      <c r="K22" s="86">
        <v>0.68680281974344526</v>
      </c>
      <c r="L22" s="86">
        <v>-0.39289210953979259</v>
      </c>
      <c r="M22" s="86">
        <v>0.49617674037385656</v>
      </c>
      <c r="N22" s="86">
        <v>0.1665722646955361</v>
      </c>
      <c r="O22" s="86">
        <v>-0.31622776601683655</v>
      </c>
      <c r="P22" s="86">
        <v>0</v>
      </c>
      <c r="Q22" s="86">
        <v>0</v>
      </c>
      <c r="R22" s="86">
        <v>0</v>
      </c>
      <c r="S22" s="86">
        <v>-0.14277622688188596</v>
      </c>
    </row>
    <row r="23" spans="4:19" s="21" customFormat="1" ht="14.25" x14ac:dyDescent="0.45">
      <c r="D23"/>
      <c r="E23"/>
      <c r="F23" s="12">
        <v>1</v>
      </c>
      <c r="G23" s="12">
        <v>1</v>
      </c>
      <c r="H23" s="12">
        <v>1</v>
      </c>
      <c r="I23" s="12">
        <v>1</v>
      </c>
      <c r="J23"/>
      <c r="K23" s="86">
        <v>0.13736056394868904</v>
      </c>
      <c r="L23" s="86">
        <v>3.1017798121562613E-2</v>
      </c>
      <c r="M23" s="86">
        <v>-1.812517773055182E-2</v>
      </c>
      <c r="N23" s="86">
        <v>0.76147321003671098</v>
      </c>
      <c r="O23" s="86">
        <v>0.63245553203368432</v>
      </c>
      <c r="P23" s="86">
        <v>0</v>
      </c>
      <c r="Q23" s="86">
        <v>0</v>
      </c>
      <c r="R23" s="86">
        <v>0</v>
      </c>
      <c r="S23" s="86">
        <v>0</v>
      </c>
    </row>
    <row r="24" spans="4:19" s="21" customFormat="1" ht="14.25" x14ac:dyDescent="0.45">
      <c r="D24"/>
      <c r="E24"/>
      <c r="F24"/>
      <c r="G24"/>
      <c r="H24"/>
      <c r="I24"/>
      <c r="J24"/>
      <c r="K24" s="86"/>
      <c r="L24" s="86"/>
      <c r="M24" s="86"/>
      <c r="N24" s="86"/>
      <c r="O24" s="86"/>
      <c r="P24" s="86"/>
      <c r="Q24" s="86"/>
      <c r="R24" s="86"/>
      <c r="S24" s="86"/>
    </row>
    <row r="25" spans="4:19" s="21" customFormat="1" ht="14.25" x14ac:dyDescent="0.45">
      <c r="D25"/>
      <c r="E25" s="13" t="s">
        <v>901</v>
      </c>
      <c r="F25" s="12" t="s">
        <v>837</v>
      </c>
      <c r="G25"/>
      <c r="H25"/>
      <c r="I25"/>
      <c r="J25"/>
      <c r="K25" s="86"/>
      <c r="L25" s="86"/>
      <c r="M25" s="86"/>
      <c r="N25" s="86"/>
      <c r="O25" s="86"/>
      <c r="P25" s="86"/>
      <c r="Q25" s="86"/>
      <c r="R25" s="86"/>
      <c r="S25" s="86"/>
    </row>
    <row r="26" spans="4:19" s="21" customFormat="1" ht="14.25" x14ac:dyDescent="0.45">
      <c r="D26"/>
      <c r="E26" s="13" t="s">
        <v>1330</v>
      </c>
      <c r="F26" s="12" t="b">
        <v>1</v>
      </c>
      <c r="G26"/>
      <c r="H26"/>
      <c r="I26"/>
      <c r="J26"/>
      <c r="K26" s="86"/>
      <c r="L26" s="86"/>
      <c r="M26" s="86"/>
      <c r="N26" s="86"/>
      <c r="O26" s="86"/>
      <c r="P26" s="86"/>
      <c r="Q26" s="86"/>
      <c r="R26" s="86"/>
      <c r="S26" s="86"/>
    </row>
    <row r="27" spans="4:19" s="21" customFormat="1" ht="14.25" x14ac:dyDescent="0.45">
      <c r="D27"/>
      <c r="E27"/>
      <c r="F27"/>
      <c r="G27"/>
      <c r="H27"/>
      <c r="I27"/>
      <c r="J27"/>
      <c r="K27" s="86"/>
      <c r="L27" s="86"/>
      <c r="M27" s="86"/>
      <c r="N27" s="86"/>
      <c r="O27" s="86"/>
      <c r="P27" s="86"/>
      <c r="Q27" s="86"/>
      <c r="R27" s="86"/>
      <c r="S27" s="86"/>
    </row>
    <row r="28" spans="4:19" s="21" customFormat="1" ht="14.25" x14ac:dyDescent="0.45">
      <c r="D28"/>
      <c r="E28"/>
      <c r="F28"/>
      <c r="G28"/>
      <c r="H28"/>
      <c r="I28"/>
      <c r="J28"/>
      <c r="K28" s="86"/>
      <c r="L28" s="86"/>
      <c r="M28" s="86"/>
      <c r="N28" s="86"/>
      <c r="O28" s="86"/>
      <c r="P28" s="86"/>
      <c r="Q28" s="86"/>
      <c r="R28" s="86"/>
      <c r="S28" s="86"/>
    </row>
    <row r="29" spans="4:19" s="21" customFormat="1" ht="14.25" x14ac:dyDescent="0.45">
      <c r="D29"/>
      <c r="E29"/>
      <c r="F29"/>
      <c r="G29"/>
      <c r="H29"/>
      <c r="I29"/>
      <c r="J29"/>
      <c r="K29" s="86"/>
      <c r="L29" s="86"/>
      <c r="M29" s="86"/>
      <c r="N29" s="86"/>
      <c r="O29" s="86"/>
      <c r="P29" s="86"/>
      <c r="Q29" s="86"/>
      <c r="R29" s="86"/>
      <c r="S29" s="86"/>
    </row>
    <row r="30" spans="4:19" s="21" customFormat="1" ht="14.25" x14ac:dyDescent="0.45">
      <c r="D30" s="1" t="s">
        <v>17</v>
      </c>
      <c r="E30" s="13" t="s">
        <v>22</v>
      </c>
      <c r="F30" s="12">
        <v>1</v>
      </c>
      <c r="G30" s="12">
        <v>2</v>
      </c>
      <c r="H30" s="12">
        <v>3</v>
      </c>
      <c r="I30" s="12">
        <v>4</v>
      </c>
      <c r="J30"/>
      <c r="K30" s="86" cm="1">
        <f t="array" ref="K30:S34">FACTORIZE_QR($F$30:$I$34, $F$36,$F$37)</f>
        <v>0.13736056394868901</v>
      </c>
      <c r="L30" s="86">
        <v>0.3050083481953661</v>
      </c>
      <c r="M30" s="86">
        <v>-0.51146985908401044</v>
      </c>
      <c r="N30" s="86">
        <v>0.47592075627295605</v>
      </c>
      <c r="O30" s="86">
        <v>-0.63245553203367022</v>
      </c>
      <c r="P30" s="86">
        <v>7.2801098892805198</v>
      </c>
      <c r="Q30" s="86">
        <v>6.4559465055883853</v>
      </c>
      <c r="R30" s="86">
        <v>6.3185859416396966</v>
      </c>
      <c r="S30" s="86">
        <v>6.593307069537075</v>
      </c>
    </row>
    <row r="31" spans="4:19" s="21" customFormat="1" ht="14.25" x14ac:dyDescent="0.45">
      <c r="D31"/>
      <c r="E31"/>
      <c r="F31" s="12">
        <v>5</v>
      </c>
      <c r="G31" s="12">
        <v>5</v>
      </c>
      <c r="H31" s="12">
        <v>6</v>
      </c>
      <c r="I31" s="12">
        <v>7</v>
      </c>
      <c r="J31"/>
      <c r="K31" s="86">
        <v>0.68680281974344526</v>
      </c>
      <c r="L31" s="86">
        <v>0.15508899060781287</v>
      </c>
      <c r="M31" s="86">
        <v>-0.49051262233305953</v>
      </c>
      <c r="N31" s="86">
        <v>-0.40453264283201029</v>
      </c>
      <c r="O31" s="86">
        <v>0.31622776601683339</v>
      </c>
      <c r="P31" s="86">
        <v>0</v>
      </c>
      <c r="Q31" s="86">
        <v>3.6497609123038641</v>
      </c>
      <c r="R31" s="86">
        <v>2.7967714639608943</v>
      </c>
      <c r="S31" s="86">
        <v>4.5027503606468366</v>
      </c>
    </row>
    <row r="32" spans="4:19" s="21" customFormat="1" ht="14.25" x14ac:dyDescent="0.45">
      <c r="D32"/>
      <c r="E32"/>
      <c r="F32" s="12">
        <v>1</v>
      </c>
      <c r="G32" s="12">
        <v>4</v>
      </c>
      <c r="H32" s="12">
        <v>2</v>
      </c>
      <c r="I32" s="12">
        <v>3</v>
      </c>
      <c r="J32"/>
      <c r="K32" s="86">
        <v>0.13736056394868904</v>
      </c>
      <c r="L32" s="86">
        <v>0.85298944834297075</v>
      </c>
      <c r="M32" s="86">
        <v>0.50127444661057508</v>
      </c>
      <c r="N32" s="86">
        <v>-4.7592075627295088E-2</v>
      </c>
      <c r="O32" s="86">
        <v>-3.4694469519536142E-16</v>
      </c>
      <c r="P32" s="86">
        <v>0</v>
      </c>
      <c r="Q32" s="86">
        <v>0</v>
      </c>
      <c r="R32" s="86">
        <v>-2.5007081150120771</v>
      </c>
      <c r="S32" s="86">
        <v>-3.4975928901924287</v>
      </c>
    </row>
    <row r="33" spans="4:19" s="21" customFormat="1" ht="14.25" x14ac:dyDescent="0.45">
      <c r="D33"/>
      <c r="E33"/>
      <c r="F33" s="12">
        <v>5</v>
      </c>
      <c r="G33" s="12">
        <v>3</v>
      </c>
      <c r="H33" s="12">
        <v>2</v>
      </c>
      <c r="I33" s="12">
        <v>1</v>
      </c>
      <c r="J33"/>
      <c r="K33" s="86">
        <v>0.68680281974344526</v>
      </c>
      <c r="L33" s="86">
        <v>-0.39289210953979259</v>
      </c>
      <c r="M33" s="86">
        <v>0.49617674037385656</v>
      </c>
      <c r="N33" s="86">
        <v>0.1665722646955361</v>
      </c>
      <c r="O33" s="86">
        <v>-0.31622776601683655</v>
      </c>
      <c r="P33" s="86">
        <v>0</v>
      </c>
      <c r="Q33" s="86">
        <v>0</v>
      </c>
      <c r="R33" s="86">
        <v>0</v>
      </c>
      <c r="S33" s="86">
        <v>-0.14277622688188596</v>
      </c>
    </row>
    <row r="34" spans="4:19" s="21" customFormat="1" ht="14.25" x14ac:dyDescent="0.45">
      <c r="D34"/>
      <c r="E34"/>
      <c r="F34" s="12">
        <v>1</v>
      </c>
      <c r="G34" s="12">
        <v>1</v>
      </c>
      <c r="H34" s="12">
        <v>1</v>
      </c>
      <c r="I34" s="12">
        <v>1</v>
      </c>
      <c r="J34"/>
      <c r="K34" s="86">
        <v>0.13736056394868904</v>
      </c>
      <c r="L34" s="86">
        <v>3.1017798121562613E-2</v>
      </c>
      <c r="M34" s="86">
        <v>-1.812517773055182E-2</v>
      </c>
      <c r="N34" s="86">
        <v>0.76147321003671098</v>
      </c>
      <c r="O34" s="86">
        <v>0.63245553203368432</v>
      </c>
      <c r="P34" s="86">
        <v>0</v>
      </c>
      <c r="Q34" s="86">
        <v>0</v>
      </c>
      <c r="R34" s="86">
        <v>0</v>
      </c>
      <c r="S34" s="86">
        <v>0</v>
      </c>
    </row>
    <row r="35" spans="4:19" s="21" customFormat="1" ht="14.25" x14ac:dyDescent="0.45">
      <c r="D35"/>
      <c r="E35"/>
      <c r="F35"/>
      <c r="G35"/>
      <c r="H35"/>
      <c r="I35"/>
      <c r="J35"/>
      <c r="K35" s="62"/>
      <c r="L35" s="62"/>
      <c r="M35" s="62"/>
      <c r="N35" s="62"/>
      <c r="O35" s="62"/>
      <c r="P35" s="62"/>
      <c r="Q35" s="62"/>
      <c r="R35" s="62"/>
      <c r="S35" s="62"/>
    </row>
    <row r="36" spans="4:19" s="21" customFormat="1" ht="14.25" x14ac:dyDescent="0.45">
      <c r="D36"/>
      <c r="E36" s="13" t="s">
        <v>901</v>
      </c>
      <c r="F36" s="12" t="s">
        <v>837</v>
      </c>
      <c r="G36"/>
      <c r="H36"/>
      <c r="I36"/>
      <c r="J36"/>
      <c r="K36" s="62"/>
      <c r="L36" s="62"/>
      <c r="M36" s="62"/>
      <c r="N36" s="62"/>
      <c r="O36" s="62"/>
      <c r="P36" s="62"/>
      <c r="Q36" s="62"/>
      <c r="R36" s="62"/>
      <c r="S36" s="62"/>
    </row>
    <row r="37" spans="4:19" x14ac:dyDescent="0.55000000000000004">
      <c r="E37" s="13" t="s">
        <v>1330</v>
      </c>
      <c r="F37" s="12" t="b">
        <v>1</v>
      </c>
      <c r="K37" s="62"/>
      <c r="L37" s="62"/>
      <c r="M37" s="62"/>
      <c r="N37" s="62"/>
      <c r="O37" s="62"/>
      <c r="P37" s="62"/>
      <c r="Q37" s="62"/>
      <c r="R37" s="62"/>
      <c r="S37" s="62"/>
    </row>
    <row r="38" spans="4:19" x14ac:dyDescent="0.55000000000000004">
      <c r="K38" s="62"/>
      <c r="L38" s="62"/>
      <c r="M38" s="62"/>
      <c r="N38" s="62"/>
      <c r="O38" s="62"/>
      <c r="P38" s="62"/>
      <c r="Q38" s="62"/>
      <c r="R38" s="62"/>
      <c r="S38" s="62"/>
    </row>
    <row r="39" spans="4:19" x14ac:dyDescent="0.55000000000000004">
      <c r="K39" s="62"/>
      <c r="L39" s="62"/>
      <c r="M39" s="62"/>
      <c r="N39" s="62"/>
      <c r="O39" s="62"/>
      <c r="P39" s="62"/>
      <c r="Q39" s="62"/>
      <c r="R39" s="62"/>
      <c r="S39" s="62"/>
    </row>
    <row r="40" spans="4:19" x14ac:dyDescent="0.55000000000000004">
      <c r="K40" s="62"/>
      <c r="L40" s="62"/>
      <c r="M40" s="62"/>
      <c r="N40" s="62"/>
      <c r="O40" s="62"/>
      <c r="P40" s="62"/>
      <c r="Q40" s="62"/>
      <c r="R40" s="62"/>
      <c r="S40" s="62"/>
    </row>
    <row r="41" spans="4:19" x14ac:dyDescent="0.55000000000000004">
      <c r="K41" s="62"/>
      <c r="L41" s="62"/>
      <c r="M41" s="62"/>
      <c r="N41" s="62"/>
      <c r="O41" s="62"/>
      <c r="P41" s="62"/>
      <c r="Q41" s="62"/>
      <c r="R41" s="62"/>
      <c r="S41" s="62"/>
    </row>
    <row r="42" spans="4:19" x14ac:dyDescent="0.55000000000000004">
      <c r="K42" s="62"/>
      <c r="L42" s="62"/>
      <c r="M42" s="62"/>
      <c r="N42" s="62"/>
      <c r="O42" s="62"/>
      <c r="P42" s="62"/>
      <c r="Q42" s="62"/>
      <c r="R42" s="62"/>
      <c r="S42" s="62"/>
    </row>
    <row r="43" spans="4:19" x14ac:dyDescent="0.55000000000000004">
      <c r="K43" s="62"/>
      <c r="L43" s="62"/>
      <c r="M43" s="62"/>
      <c r="N43" s="62"/>
      <c r="O43" s="62"/>
      <c r="P43" s="62"/>
      <c r="Q43" s="62"/>
      <c r="R43" s="62"/>
      <c r="S43" s="62"/>
    </row>
    <row r="44" spans="4:19" x14ac:dyDescent="0.55000000000000004">
      <c r="K44" s="62"/>
      <c r="L44" s="62"/>
      <c r="M44" s="62"/>
      <c r="N44" s="62"/>
      <c r="O44" s="62"/>
      <c r="P44" s="62"/>
      <c r="Q44" s="62"/>
      <c r="R44" s="62"/>
      <c r="S44" s="62"/>
    </row>
    <row r="45" spans="4:19" x14ac:dyDescent="0.55000000000000004">
      <c r="K45" s="62"/>
      <c r="L45" s="62"/>
      <c r="M45" s="62"/>
      <c r="N45" s="62"/>
      <c r="O45" s="62"/>
      <c r="P45" s="62"/>
      <c r="Q45" s="62"/>
      <c r="R45" s="62"/>
      <c r="S45" s="62"/>
    </row>
    <row r="46" spans="4:19" x14ac:dyDescent="0.55000000000000004">
      <c r="K46" s="62"/>
      <c r="L46" s="62"/>
      <c r="M46" s="62"/>
      <c r="N46" s="62"/>
      <c r="O46" s="62"/>
      <c r="P46" s="62"/>
      <c r="Q46" s="62"/>
      <c r="R46" s="62"/>
      <c r="S46" s="62"/>
    </row>
    <row r="47" spans="4:19" x14ac:dyDescent="0.55000000000000004">
      <c r="K47" s="62"/>
      <c r="L47" s="62"/>
      <c r="M47" s="62"/>
      <c r="N47" s="62"/>
      <c r="O47" s="62"/>
      <c r="P47" s="62"/>
      <c r="Q47" s="62"/>
      <c r="R47" s="62"/>
      <c r="S47" s="62"/>
    </row>
    <row r="48" spans="4:19" x14ac:dyDescent="0.55000000000000004">
      <c r="K48" s="162"/>
      <c r="L48" s="162"/>
      <c r="M48" s="162"/>
      <c r="N48" s="162"/>
      <c r="O48" s="162"/>
      <c r="P48" s="162"/>
      <c r="Q48" s="162"/>
      <c r="R48" s="162"/>
      <c r="S48" s="162"/>
    </row>
    <row r="49" spans="12:12" x14ac:dyDescent="0.55000000000000004">
      <c r="L49" s="162"/>
    </row>
  </sheetData>
  <mergeCells count="2">
    <mergeCell ref="A2:I2"/>
    <mergeCell ref="A3:J3"/>
  </mergeCells>
  <pageMargins left="0.511811024" right="0.511811024" top="0.78740157499999996" bottom="0.78740157499999996" header="0.31496062000000002" footer="0.31496062000000002"/>
  <pageSetup paperSize="9" orientation="portrait" horizontalDpi="0" verticalDpi="0"/>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2A0A-D111-4F93-B297-BF78F766D251}">
  <sheetPr codeName="Planilha76">
    <tabColor theme="9" tint="0.59999389629810485"/>
  </sheetPr>
  <dimension ref="A1:U29"/>
  <sheetViews>
    <sheetView showGridLines="0" zoomScaleNormal="100" workbookViewId="0">
      <selection activeCell="I9" sqref="I9"/>
    </sheetView>
  </sheetViews>
  <sheetFormatPr defaultColWidth="8.796875" defaultRowHeight="18" x14ac:dyDescent="0.55000000000000004"/>
  <cols>
    <col min="1" max="1" width="18.6640625" style="17" customWidth="1"/>
    <col min="2" max="2" width="60.6640625" customWidth="1"/>
    <col min="3" max="3" width="9.6640625" customWidth="1"/>
    <col min="4" max="4" width="8.796875" customWidth="1"/>
    <col min="5" max="5" width="14.33203125" customWidth="1"/>
    <col min="11" max="11" width="9.1328125" style="15" customWidth="1"/>
    <col min="12" max="21" width="10.33203125" style="15" customWidth="1"/>
  </cols>
  <sheetData>
    <row r="1" spans="1:21" x14ac:dyDescent="0.55000000000000004">
      <c r="A1" s="16" t="s">
        <v>898</v>
      </c>
      <c r="K1" s="14"/>
      <c r="L1" s="14"/>
      <c r="M1" s="14"/>
      <c r="N1" s="14"/>
      <c r="O1" s="14"/>
      <c r="P1" s="14"/>
      <c r="Q1" s="14"/>
      <c r="R1" s="14"/>
      <c r="S1" s="14"/>
      <c r="T1" s="14"/>
      <c r="U1" s="14"/>
    </row>
    <row r="2" spans="1:21" ht="21.75" customHeight="1" x14ac:dyDescent="0.45">
      <c r="A2" s="172" t="s">
        <v>903</v>
      </c>
      <c r="B2" s="172"/>
      <c r="C2" s="172"/>
      <c r="D2" s="172"/>
      <c r="E2" s="172"/>
      <c r="F2" s="172"/>
      <c r="G2" s="172"/>
      <c r="H2" s="172"/>
      <c r="I2" s="172"/>
      <c r="K2" s="14"/>
      <c r="L2" s="14"/>
      <c r="M2" s="14"/>
      <c r="N2" s="14"/>
      <c r="O2" s="14"/>
      <c r="P2" s="14"/>
      <c r="Q2" s="14"/>
      <c r="R2" s="14"/>
      <c r="S2" s="14"/>
      <c r="T2" s="14"/>
      <c r="U2" s="14"/>
    </row>
    <row r="3" spans="1:21" ht="15" customHeight="1" x14ac:dyDescent="0.45">
      <c r="A3" s="126"/>
      <c r="B3" s="126"/>
      <c r="C3" s="126"/>
      <c r="D3" s="126"/>
      <c r="E3" s="126"/>
      <c r="F3" s="126"/>
      <c r="G3" s="126"/>
      <c r="H3" s="126"/>
      <c r="I3" s="126"/>
    </row>
    <row r="4" spans="1:21" x14ac:dyDescent="0.55000000000000004">
      <c r="A4" s="17" t="s">
        <v>1057</v>
      </c>
    </row>
    <row r="5" spans="1:21" x14ac:dyDescent="0.55000000000000004">
      <c r="A5" s="17" t="s">
        <v>899</v>
      </c>
    </row>
    <row r="7" spans="1:21" ht="15.75" x14ac:dyDescent="0.5">
      <c r="A7" s="2" t="s">
        <v>15</v>
      </c>
      <c r="B7" s="2" t="s">
        <v>16</v>
      </c>
      <c r="C7" s="2"/>
    </row>
    <row r="8" spans="1:21" ht="15.75" x14ac:dyDescent="0.45">
      <c r="A8" s="23" t="s">
        <v>22</v>
      </c>
      <c r="B8" s="26" t="s">
        <v>900</v>
      </c>
      <c r="C8" s="26"/>
    </row>
    <row r="9" spans="1:21" ht="31.5" x14ac:dyDescent="0.45">
      <c r="A9" s="23" t="s">
        <v>901</v>
      </c>
      <c r="B9" s="26" t="s">
        <v>902</v>
      </c>
      <c r="C9" s="26"/>
    </row>
    <row r="10" spans="1:21" ht="15.75" x14ac:dyDescent="0.45">
      <c r="A10" s="23" t="s">
        <v>829</v>
      </c>
      <c r="B10" s="26" t="s">
        <v>831</v>
      </c>
      <c r="C10" s="26"/>
    </row>
    <row r="11" spans="1:21" ht="15.75" x14ac:dyDescent="0.45">
      <c r="A11" s="23" t="s">
        <v>830</v>
      </c>
      <c r="B11" s="26" t="s">
        <v>831</v>
      </c>
      <c r="C11" s="26"/>
    </row>
    <row r="17" spans="4:21" x14ac:dyDescent="0.55000000000000004">
      <c r="D17" s="1" t="s">
        <v>17</v>
      </c>
      <c r="E17" s="13" t="s">
        <v>22</v>
      </c>
      <c r="F17" s="12">
        <v>0.98</v>
      </c>
      <c r="G17" s="12">
        <v>-0.24</v>
      </c>
      <c r="H17" s="12">
        <v>0.1</v>
      </c>
      <c r="K17" s="58" cm="1">
        <f t="array" ref="K17:M19">_xlfn.LAMBDA(_xlpm.matrix,_xlop.returnObject,_xlop.lastCol,_xlop.originalMatrix,
_xlfn.LET(
_xlpm.returnObject, IF(OR(_xlfn.ISOMITTED(_xlpm.returnObject), ISBLANK(_xlpm.returnObject)), "L", _xlpm.returnObject),
_xlpm.lastRow, IF(_xlfn.ISOMITTED(lastRow), 1, lastRow),
_xlpm.lastCol, IF(_xlfn.ISOMITTED(_xlpm.lastCol), 1, _xlpm.lastCol),
_xlpm.lowerMatrix, IF(_xlfn.ISOMITTED(_xlpm.originalMatrix), ZEROS(ROWS(_xlpm.matrix),COLUMNS(_xlpm.matrix)), _xlpm.matrix),
_xlpm.originalMatrix, IF(_xlfn.ISOMITTED(_xlpm.originalMatrix), _xlpm.matrix, _xlpm.originalMatrix),
_xlpm.newMatrix,
_xlfn.REDUCE(_xlpm.lowerMatrix, _xlfn.SEQUENCE(ROWS(_xlpm.matrix)), _xlfn.LAMBDA(_xlpm.accum,_xlpm.row,
IF(AND(_xlpm.lastCol=1,_xlpm.row=1),
SLICE(_xlpm.accum, _xlpm.row, _xlpm.row, _xlpm.lastCol, _xlpm.lastCol, SQRT( INDEX(_xlpm.originalMatrix,1,1) ) ),
IF(AND(_xlpm.lastCol=1, _xlpm.row&gt;1),
SLICE(_xlpm.accum, _xlpm.row, _xlpm.row, _xlpm.lastCol, _xlpm.lastCol, INDEX(_xlpm.originalMatrix,_xlpm.row,1) / SQRT( INDEX(_xlpm.originalMatrix,1,1) ) ),
IF(AND(_xlpm.lastCol&gt;1, _xlpm.row&lt;_xlpm.lastCol),
SLICE(_xlpm.accum, _xlpm.row, _xlpm.row, _xlpm.lastCol, _xlpm.lastCol, 0 ),
IF(AND(_xlpm.lastCol&gt;1, _xlpm.row=_xlpm.lastCol),
SLICE(_xlpm.accum, _xlpm.row, _xlpm.row, _xlpm.lastCol, _xlpm.lastCol, SQRT( INDEX(_xlpm.originalMatrix,_xlpm.lastCol,_xlpm.lastCol) - SUM(INDEX(_xlpm.accum, _xlpm.lastCol, _xlfn.SEQUENCE(1, _xlpm.lastCol-1))^2) ) ),
IF(AND(_xlpm.lastCol&gt;1, _xlpm.row&gt;_xlpm.lastCol),
SLICE(_xlpm.accum, _xlpm.row, _xlpm.row, _xlpm.lastCol, _xlpm.lastCol, (INDEX(_xlpm.originalMatrix, _xlpm.row, _xlpm.lastCol) - SUM(
_xlfn.MAP(INDEX(_xlpm.accum, _xlpm.row, _xlfn.SEQUENCE(1, _xlpm.lastCol-1)), _xlfn.LAMBDA(_xlpm.val, IMCONJUGATE(_xlpm.val))) * _xlfn.MAP(INDEX(_xlpm.accum, _xlpm.lastCol, _xlfn.SEQUENCE(1, _xlpm.lastCol-1)), _xlfn.LAMBDA(_xlpm.val, IMCONJUGATE(_xlpm.val)))
)) / INDEX(_xlpm.accum,_xlpm.lastCol,_xlpm.lastCol) ),
)))))
)),
IF(NOT(_xlpm.lastCol=COLUMNS(_xlpm.matrix)), FACTORIZE_CHOL(_xlpm.newMatrix, _xlpm.returnObject,_xlpm.lastCol+1, _xlpm.originalMatrix), IFERROR(_xlfn.SWITCH(_xlpm.returnObject, "L", _xlpm.newMatrix, "U", TRANSPOSE(_xlpm.newMatrix), "LU", _xlfn.HSTACK(_xlpm.newMatrix, TRANSPOSE(_xlpm.newMatrix))), "#ERROR: matrix must be positive-definite"))
))($F$17:$H$19,$F$21)</f>
        <v>0.98994949366116658</v>
      </c>
      <c r="L17" s="58">
        <v>0</v>
      </c>
      <c r="M17" s="58">
        <v>0</v>
      </c>
      <c r="N17" s="58"/>
      <c r="O17" s="58"/>
      <c r="P17" s="58"/>
      <c r="Q17" s="58"/>
      <c r="R17" s="58"/>
      <c r="S17" s="58"/>
      <c r="T17" s="58"/>
      <c r="U17" s="58"/>
    </row>
    <row r="18" spans="4:21" x14ac:dyDescent="0.55000000000000004">
      <c r="F18" s="12">
        <v>-0.24</v>
      </c>
      <c r="G18" s="12">
        <v>0.12</v>
      </c>
      <c r="H18" s="12">
        <v>-0.01</v>
      </c>
      <c r="K18" s="58">
        <v>-0.24243661069253056</v>
      </c>
      <c r="L18" s="58">
        <v>0.24743582965269675</v>
      </c>
      <c r="M18" s="58">
        <v>0</v>
      </c>
      <c r="N18" s="58"/>
      <c r="O18" s="58"/>
      <c r="P18" s="58"/>
      <c r="Q18" s="58"/>
      <c r="R18" s="58"/>
      <c r="S18" s="58"/>
      <c r="T18" s="58"/>
      <c r="U18" s="58"/>
    </row>
    <row r="19" spans="4:21" x14ac:dyDescent="0.55000000000000004">
      <c r="F19" s="12">
        <v>0.1</v>
      </c>
      <c r="G19" s="12">
        <v>-0.01</v>
      </c>
      <c r="H19" s="12">
        <v>1.72</v>
      </c>
      <c r="K19" s="58">
        <v>0.10101525445522108</v>
      </c>
      <c r="L19" s="58">
        <v>5.8559813017804989E-2</v>
      </c>
      <c r="M19" s="58">
        <v>1.3062797046064318</v>
      </c>
      <c r="N19" s="58"/>
      <c r="O19" s="58"/>
      <c r="P19" s="58"/>
      <c r="Q19" s="58"/>
      <c r="R19" s="58"/>
      <c r="S19" s="58"/>
      <c r="T19" s="58"/>
      <c r="U19" s="58"/>
    </row>
    <row r="20" spans="4:21" x14ac:dyDescent="0.55000000000000004">
      <c r="K20" s="58"/>
      <c r="L20" s="58"/>
      <c r="M20" s="58"/>
      <c r="N20" s="58"/>
      <c r="O20" s="58"/>
      <c r="P20" s="58"/>
      <c r="Q20" s="58"/>
      <c r="R20" s="58"/>
      <c r="S20" s="58"/>
      <c r="T20" s="58"/>
      <c r="U20" s="58"/>
    </row>
    <row r="21" spans="4:21" s="21" customFormat="1" ht="14.25" x14ac:dyDescent="0.45">
      <c r="D21"/>
      <c r="E21" s="13" t="s">
        <v>901</v>
      </c>
      <c r="F21" s="12" t="s">
        <v>904</v>
      </c>
      <c r="G21"/>
      <c r="H21"/>
      <c r="I21"/>
      <c r="J21"/>
      <c r="K21" s="58"/>
      <c r="L21" s="58"/>
      <c r="M21" s="58"/>
      <c r="N21" s="58"/>
      <c r="O21" s="58"/>
      <c r="P21" s="58"/>
      <c r="Q21" s="58"/>
      <c r="R21" s="58"/>
      <c r="S21" s="58"/>
      <c r="T21" s="58"/>
      <c r="U21" s="58"/>
    </row>
    <row r="22" spans="4:21" s="21" customFormat="1" ht="14.25" x14ac:dyDescent="0.45">
      <c r="D22"/>
      <c r="E22"/>
      <c r="F22"/>
      <c r="G22"/>
      <c r="H22"/>
      <c r="I22"/>
      <c r="J22"/>
      <c r="K22" s="58"/>
      <c r="L22" s="58"/>
      <c r="M22" s="58"/>
      <c r="N22" s="58"/>
      <c r="O22" s="58"/>
      <c r="P22" s="58"/>
      <c r="Q22" s="58"/>
      <c r="R22" s="58"/>
      <c r="S22" s="58"/>
      <c r="T22" s="58"/>
      <c r="U22" s="58"/>
    </row>
    <row r="23" spans="4:21" s="21" customFormat="1" ht="14.25" x14ac:dyDescent="0.45">
      <c r="D23"/>
      <c r="E23"/>
      <c r="F23"/>
      <c r="G23"/>
      <c r="H23"/>
      <c r="I23"/>
      <c r="J23"/>
      <c r="K23" s="58"/>
      <c r="L23" s="58"/>
      <c r="M23" s="58"/>
      <c r="N23" s="58"/>
      <c r="O23" s="58"/>
      <c r="P23" s="58"/>
      <c r="Q23" s="58"/>
      <c r="R23" s="58"/>
      <c r="S23" s="58"/>
      <c r="T23" s="58"/>
      <c r="U23" s="58"/>
    </row>
    <row r="24" spans="4:21" s="21" customFormat="1" ht="14.25" x14ac:dyDescent="0.45">
      <c r="D24"/>
      <c r="E24"/>
      <c r="F24"/>
      <c r="G24"/>
      <c r="H24"/>
      <c r="I24"/>
      <c r="J24"/>
      <c r="K24" s="58"/>
      <c r="L24" s="58"/>
      <c r="M24" s="58"/>
      <c r="N24" s="58"/>
      <c r="O24" s="58"/>
      <c r="P24" s="58"/>
      <c r="Q24" s="58"/>
      <c r="R24" s="58"/>
      <c r="S24" s="58"/>
      <c r="T24" s="58"/>
      <c r="U24" s="58"/>
    </row>
    <row r="25" spans="4:21" s="21" customFormat="1" ht="14.25" x14ac:dyDescent="0.45">
      <c r="D25" s="1" t="s">
        <v>17</v>
      </c>
      <c r="E25" s="13" t="s">
        <v>22</v>
      </c>
      <c r="F25" s="12">
        <v>0.98</v>
      </c>
      <c r="G25" s="12">
        <v>-0.24</v>
      </c>
      <c r="H25" s="12">
        <v>0.1</v>
      </c>
      <c r="I25"/>
      <c r="J25"/>
      <c r="K25" s="58" cm="1">
        <f t="array" ref="K25:M27">FACTORIZE_CHOL($F$25:$H$27,$F$29)</f>
        <v>0.98994949366116658</v>
      </c>
      <c r="L25" s="58">
        <v>0</v>
      </c>
      <c r="M25" s="58">
        <v>0</v>
      </c>
      <c r="N25" s="58"/>
      <c r="O25" s="58"/>
      <c r="P25" s="58"/>
      <c r="Q25" s="58"/>
      <c r="R25" s="58"/>
      <c r="S25" s="58"/>
      <c r="T25" s="58"/>
      <c r="U25" s="58"/>
    </row>
    <row r="26" spans="4:21" s="21" customFormat="1" ht="14.25" x14ac:dyDescent="0.45">
      <c r="D26"/>
      <c r="E26"/>
      <c r="F26" s="12">
        <v>-0.24</v>
      </c>
      <c r="G26" s="12">
        <v>0.12</v>
      </c>
      <c r="H26" s="12">
        <v>-0.01</v>
      </c>
      <c r="I26"/>
      <c r="J26"/>
      <c r="K26" s="58">
        <v>-0.24243661069253056</v>
      </c>
      <c r="L26" s="58">
        <v>0.24743582965269675</v>
      </c>
      <c r="M26" s="58">
        <v>0</v>
      </c>
      <c r="N26" s="58"/>
      <c r="O26" s="58"/>
      <c r="P26" s="58"/>
      <c r="Q26" s="58"/>
      <c r="R26" s="58"/>
      <c r="S26" s="58"/>
      <c r="T26" s="58"/>
      <c r="U26" s="58"/>
    </row>
    <row r="27" spans="4:21" s="21" customFormat="1" ht="14.25" x14ac:dyDescent="0.45">
      <c r="D27"/>
      <c r="E27"/>
      <c r="F27" s="12">
        <v>0.1</v>
      </c>
      <c r="G27" s="12">
        <v>-0.01</v>
      </c>
      <c r="H27" s="12">
        <v>1.72</v>
      </c>
      <c r="I27"/>
      <c r="J27"/>
      <c r="K27" s="58">
        <v>0.10101525445522108</v>
      </c>
      <c r="L27" s="58">
        <v>5.8559813017804989E-2</v>
      </c>
      <c r="M27" s="58">
        <v>1.3062797046064318</v>
      </c>
      <c r="N27" s="58"/>
      <c r="O27" s="58"/>
      <c r="P27" s="58"/>
      <c r="Q27" s="58"/>
      <c r="R27" s="58"/>
      <c r="S27" s="58"/>
      <c r="T27" s="58"/>
      <c r="U27" s="58"/>
    </row>
    <row r="28" spans="4:21" s="21" customFormat="1" ht="14.25" x14ac:dyDescent="0.45">
      <c r="D28"/>
      <c r="E28"/>
      <c r="F28"/>
      <c r="G28"/>
      <c r="H28"/>
      <c r="I28"/>
      <c r="J28"/>
      <c r="K28" s="62"/>
      <c r="L28" s="62"/>
      <c r="M28" s="62"/>
      <c r="N28" s="62"/>
      <c r="O28" s="62"/>
      <c r="P28" s="62"/>
      <c r="Q28" s="62"/>
      <c r="R28" s="62"/>
      <c r="S28" s="62"/>
      <c r="T28" s="62"/>
      <c r="U28" s="62"/>
    </row>
    <row r="29" spans="4:21" s="21" customFormat="1" ht="14.25" x14ac:dyDescent="0.45">
      <c r="D29"/>
      <c r="E29" s="13" t="s">
        <v>901</v>
      </c>
      <c r="F29" s="12" t="s">
        <v>904</v>
      </c>
      <c r="G29"/>
      <c r="H29"/>
      <c r="I29"/>
      <c r="J29"/>
      <c r="K29" s="62"/>
      <c r="L29" s="62"/>
      <c r="M29" s="62"/>
      <c r="N29" s="62"/>
      <c r="O29" s="62"/>
      <c r="P29" s="62"/>
      <c r="Q29" s="62"/>
      <c r="R29" s="62"/>
      <c r="S29" s="62"/>
      <c r="T29" s="62"/>
      <c r="U29" s="62"/>
    </row>
  </sheetData>
  <mergeCells count="1">
    <mergeCell ref="A2:I2"/>
  </mergeCells>
  <pageMargins left="0.511811024" right="0.511811024" top="0.78740157499999996" bottom="0.78740157499999996" header="0.31496062000000002" footer="0.31496062000000002"/>
  <pageSetup paperSize="9" orientation="portrait" horizontalDpi="0" verticalDpi="0"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1531-72C2-498E-BF36-9EDBCF8311A8}">
  <sheetPr codeName="Planilha77">
    <tabColor theme="9" tint="0.59999389629810485"/>
  </sheetPr>
  <dimension ref="A1:S28"/>
  <sheetViews>
    <sheetView showGridLines="0" zoomScale="85" zoomScaleNormal="85" workbookViewId="0">
      <selection activeCell="G5" sqref="G5"/>
    </sheetView>
  </sheetViews>
  <sheetFormatPr defaultColWidth="8.796875" defaultRowHeight="18" x14ac:dyDescent="0.55000000000000004"/>
  <cols>
    <col min="1" max="1" width="12.6640625" style="17" customWidth="1"/>
    <col min="2" max="2" width="86.1328125" customWidth="1"/>
    <col min="3" max="3" width="9.6640625" customWidth="1"/>
    <col min="4" max="4" width="8.796875" customWidth="1"/>
    <col min="5" max="5" width="10" bestFit="1" customWidth="1"/>
    <col min="11" max="11" width="16" style="15" bestFit="1" customWidth="1"/>
    <col min="12" max="19" width="10.1328125" style="15" customWidth="1"/>
  </cols>
  <sheetData>
    <row r="1" spans="1:19" x14ac:dyDescent="0.55000000000000004">
      <c r="A1" s="16" t="s">
        <v>575</v>
      </c>
      <c r="K1" s="14"/>
      <c r="L1" s="14"/>
      <c r="M1" s="14"/>
      <c r="N1" s="14"/>
      <c r="O1" s="14"/>
      <c r="P1" s="14"/>
      <c r="Q1" s="14"/>
      <c r="R1" s="14"/>
      <c r="S1" s="14"/>
    </row>
    <row r="2" spans="1:19" x14ac:dyDescent="0.55000000000000004">
      <c r="A2" s="17" t="s">
        <v>881</v>
      </c>
      <c r="K2" s="14"/>
      <c r="L2" s="14"/>
      <c r="M2" s="14"/>
      <c r="N2" s="14"/>
      <c r="O2" s="14"/>
      <c r="P2" s="14"/>
      <c r="Q2" s="14"/>
      <c r="R2" s="14"/>
      <c r="S2" s="14"/>
    </row>
    <row r="4" spans="1:19" ht="15.75" x14ac:dyDescent="0.5">
      <c r="A4" s="2" t="s">
        <v>15</v>
      </c>
      <c r="B4" s="2" t="s">
        <v>16</v>
      </c>
      <c r="C4" s="2"/>
    </row>
    <row r="5" spans="1:19" ht="15.75" x14ac:dyDescent="0.45">
      <c r="A5" s="23" t="s">
        <v>22</v>
      </c>
      <c r="B5" s="26" t="s">
        <v>581</v>
      </c>
      <c r="C5" s="26"/>
    </row>
    <row r="6" spans="1:19" ht="15.75" x14ac:dyDescent="0.45">
      <c r="A6" s="23" t="s">
        <v>834</v>
      </c>
      <c r="B6" s="26" t="s">
        <v>835</v>
      </c>
      <c r="C6" s="26"/>
    </row>
    <row r="7" spans="1:19" ht="31.5" x14ac:dyDescent="0.45">
      <c r="A7" s="23" t="s">
        <v>617</v>
      </c>
      <c r="B7" s="26" t="s">
        <v>928</v>
      </c>
      <c r="C7" s="26"/>
    </row>
    <row r="9" spans="1:19" ht="15.75" x14ac:dyDescent="0.45">
      <c r="A9" s="23"/>
      <c r="B9" s="26"/>
      <c r="C9" s="26"/>
    </row>
    <row r="11" spans="1:19" x14ac:dyDescent="0.55000000000000004">
      <c r="D11" s="1" t="s">
        <v>17</v>
      </c>
      <c r="E11" s="13" t="s">
        <v>22</v>
      </c>
      <c r="F11" s="12">
        <v>1</v>
      </c>
      <c r="G11" s="12">
        <v>2</v>
      </c>
      <c r="H11" s="12">
        <v>3</v>
      </c>
      <c r="I11" s="12">
        <v>4</v>
      </c>
      <c r="K11" s="62" cm="1">
        <f t="array" ref="K11:K14">_xlfn.LAMBDA(_xlpm.matrix,_xlop.numIter,_xlop.order,
_xlfn.LET(
_xlpm.nCols, COLUMNS(_xlpm.matrix),
_xlpm.numIter,IF(OR(_xlfn.ISOMITTED(_xlpm.numIter), ISBLANK(_xlpm.numIter)), 20, _xlpm.numIter),
_xlpm.order,IF(_xlfn.ISOMITTED(_xlpm.order), 0, _xlpm.order),
_xlpm.candIter, _xlfn.REDUCE(FACTORIZE_QR(_xlpm.matrix), _xlfn.SEQUENCE(_xlpm.numIter),_xlfn.LAMBDA(_xlpm.accum,_xlpm.x, FACTORIZE_QR( MMULT(_xlfn.TAKE(_xlpm.accum,, IF(ISEVEN(_xlpm.x),-1,1)*_xlpm.nCols), _xlfn.TAKE(_xlpm.accum,,-IF(ISEVEN(_xlpm.x),-1,1)*_xlpm.nCols)) ) )),
_xlpm.vals, DIAG(_xlfn.TAKE(_xlpm.candIter,,-_xlpm.nCols)),
_xlfn.SWITCH(_xlpm.order, 0, _xlpm.vals, 1, _xlfn._xlws.SORT(_xlpm.vals,,1), -1, _xlfn._xlws.SORT(_xlpm.vals,,-1), 2, _xlfn.SORTBY(_xlpm.vals, MATCH(ABS(_xlpm.vals), _xlfn._xlws.SORT(ABS(_xlpm.vals)),0)), -2, _xlfn.SORTBY(_xlpm.vals, MATCH(ABS(_xlpm.vals), _xlfn._xlws.SORT(ABS(_xlpm.vals), ,-1 ),0)))
))($F$11:$I$14,$F$16,$F$17)</f>
        <v>13.635775489623432</v>
      </c>
      <c r="L11" s="62"/>
      <c r="M11" s="62"/>
      <c r="N11" s="62"/>
      <c r="O11" s="62"/>
      <c r="P11" s="62"/>
      <c r="Q11" s="62"/>
      <c r="R11" s="62"/>
      <c r="S11" s="62"/>
    </row>
    <row r="12" spans="1:19" x14ac:dyDescent="0.55000000000000004">
      <c r="F12" s="12">
        <v>5</v>
      </c>
      <c r="G12" s="12">
        <v>5</v>
      </c>
      <c r="H12" s="12">
        <v>6</v>
      </c>
      <c r="I12" s="12">
        <v>7</v>
      </c>
      <c r="K12" s="62">
        <v>-3.452531198735993</v>
      </c>
      <c r="L12" s="62"/>
      <c r="M12" s="62"/>
      <c r="N12" s="62"/>
      <c r="O12" s="62"/>
      <c r="P12" s="62"/>
      <c r="Q12" s="62"/>
      <c r="R12" s="62"/>
      <c r="S12" s="62"/>
    </row>
    <row r="13" spans="1:19" x14ac:dyDescent="0.55000000000000004">
      <c r="F13" s="12">
        <v>1</v>
      </c>
      <c r="G13" s="12">
        <v>4</v>
      </c>
      <c r="H13" s="12">
        <v>2</v>
      </c>
      <c r="I13" s="12">
        <v>3</v>
      </c>
      <c r="K13" s="62">
        <v>-1.063330674095702</v>
      </c>
      <c r="L13" s="62"/>
      <c r="M13" s="62"/>
      <c r="N13" s="62"/>
      <c r="O13" s="62"/>
      <c r="P13" s="62"/>
      <c r="Q13" s="62"/>
      <c r="R13" s="62"/>
      <c r="S13" s="62"/>
    </row>
    <row r="14" spans="1:19" x14ac:dyDescent="0.55000000000000004">
      <c r="F14" s="12">
        <v>5</v>
      </c>
      <c r="G14" s="12">
        <v>3</v>
      </c>
      <c r="H14" s="12">
        <v>2</v>
      </c>
      <c r="I14" s="12">
        <v>1</v>
      </c>
      <c r="K14" s="62">
        <v>-0.11985756608452219</v>
      </c>
      <c r="L14" s="62"/>
      <c r="M14" s="62"/>
      <c r="N14" s="62"/>
      <c r="O14" s="62"/>
      <c r="P14" s="62"/>
      <c r="Q14" s="62"/>
      <c r="R14" s="62"/>
      <c r="S14" s="62"/>
    </row>
    <row r="15" spans="1:19" s="21" customFormat="1" x14ac:dyDescent="0.55000000000000004">
      <c r="A15" s="17"/>
      <c r="B15"/>
      <c r="C15"/>
      <c r="D15"/>
      <c r="E15"/>
      <c r="F15"/>
      <c r="G15"/>
      <c r="H15"/>
      <c r="I15"/>
      <c r="J15"/>
      <c r="K15" s="27"/>
      <c r="L15" s="27"/>
      <c r="M15" s="27"/>
      <c r="N15" s="27"/>
      <c r="O15" s="27"/>
      <c r="P15" s="27"/>
      <c r="Q15" s="27"/>
      <c r="R15" s="27"/>
      <c r="S15" s="27"/>
    </row>
    <row r="16" spans="1:19" s="21" customFormat="1" x14ac:dyDescent="0.55000000000000004">
      <c r="A16" s="17"/>
      <c r="B16"/>
      <c r="C16"/>
      <c r="D16"/>
      <c r="E16" s="13" t="s">
        <v>834</v>
      </c>
      <c r="F16" s="12">
        <v>20</v>
      </c>
      <c r="G16"/>
      <c r="H16"/>
      <c r="I16"/>
      <c r="J16"/>
      <c r="K16" s="27"/>
      <c r="L16" s="27"/>
      <c r="M16" s="27"/>
      <c r="N16" s="27"/>
      <c r="O16" s="27"/>
      <c r="P16" s="27"/>
      <c r="Q16" s="27"/>
      <c r="R16" s="27"/>
      <c r="S16" s="27"/>
    </row>
    <row r="17" spans="1:19" s="21" customFormat="1" x14ac:dyDescent="0.55000000000000004">
      <c r="A17" s="17"/>
      <c r="B17"/>
      <c r="C17"/>
      <c r="D17"/>
      <c r="E17" s="13" t="s">
        <v>617</v>
      </c>
      <c r="F17" s="12">
        <v>0</v>
      </c>
      <c r="G17"/>
      <c r="H17"/>
      <c r="I17"/>
      <c r="J17"/>
      <c r="K17" s="27"/>
      <c r="L17" s="27"/>
      <c r="M17" s="27"/>
      <c r="N17" s="27"/>
      <c r="O17" s="27"/>
      <c r="P17" s="27"/>
      <c r="Q17" s="27"/>
      <c r="R17" s="27"/>
      <c r="S17" s="27"/>
    </row>
    <row r="22" spans="1:19" s="21" customFormat="1" ht="14.25" x14ac:dyDescent="0.45">
      <c r="D22" s="1" t="s">
        <v>17</v>
      </c>
      <c r="E22" s="13" t="s">
        <v>22</v>
      </c>
      <c r="F22" s="12">
        <v>1</v>
      </c>
      <c r="G22" s="12">
        <v>2</v>
      </c>
      <c r="H22" s="12">
        <v>3</v>
      </c>
      <c r="I22" s="12">
        <v>4</v>
      </c>
      <c r="J22"/>
      <c r="K22" s="62" cm="1">
        <f t="array" ref="K22:K25">EIGENVALUES($F$22:$I$25,$F$27,$F$28)</f>
        <v>13.635775489623432</v>
      </c>
      <c r="L22" s="62"/>
      <c r="M22" s="62"/>
      <c r="N22" s="62"/>
      <c r="O22" s="62"/>
      <c r="P22" s="62"/>
      <c r="Q22" s="62"/>
      <c r="R22" s="62"/>
      <c r="S22" s="62"/>
    </row>
    <row r="23" spans="1:19" s="21" customFormat="1" ht="14.25" x14ac:dyDescent="0.45">
      <c r="D23"/>
      <c r="E23"/>
      <c r="F23" s="12">
        <v>5</v>
      </c>
      <c r="G23" s="12">
        <v>5</v>
      </c>
      <c r="H23" s="12">
        <v>6</v>
      </c>
      <c r="I23" s="12">
        <v>7</v>
      </c>
      <c r="J23"/>
      <c r="K23" s="62">
        <v>-3.452531198735993</v>
      </c>
      <c r="L23" s="62"/>
      <c r="M23" s="62"/>
      <c r="N23" s="62"/>
      <c r="O23" s="62"/>
      <c r="P23" s="62"/>
      <c r="Q23" s="62"/>
      <c r="R23" s="62"/>
      <c r="S23" s="62"/>
    </row>
    <row r="24" spans="1:19" s="21" customFormat="1" ht="14.25" x14ac:dyDescent="0.45">
      <c r="D24"/>
      <c r="E24"/>
      <c r="F24" s="12">
        <v>1</v>
      </c>
      <c r="G24" s="12">
        <v>4</v>
      </c>
      <c r="H24" s="12">
        <v>2</v>
      </c>
      <c r="I24" s="12">
        <v>3</v>
      </c>
      <c r="J24"/>
      <c r="K24" s="62">
        <v>-1.063330674095702</v>
      </c>
      <c r="L24" s="62"/>
      <c r="M24" s="62"/>
      <c r="N24" s="62"/>
      <c r="O24" s="62"/>
      <c r="P24" s="62"/>
      <c r="Q24" s="62"/>
      <c r="R24" s="62"/>
      <c r="S24" s="62"/>
    </row>
    <row r="25" spans="1:19" s="21" customFormat="1" ht="14.25" x14ac:dyDescent="0.45">
      <c r="D25"/>
      <c r="E25"/>
      <c r="F25" s="12">
        <v>5</v>
      </c>
      <c r="G25" s="12">
        <v>3</v>
      </c>
      <c r="H25" s="12">
        <v>2</v>
      </c>
      <c r="I25" s="12">
        <v>1</v>
      </c>
      <c r="J25"/>
      <c r="K25" s="62">
        <v>-0.11985756608452219</v>
      </c>
      <c r="L25" s="62"/>
      <c r="M25" s="62"/>
      <c r="N25" s="62"/>
      <c r="O25" s="62"/>
      <c r="P25" s="62"/>
      <c r="Q25" s="62"/>
      <c r="R25" s="62"/>
      <c r="S25" s="62"/>
    </row>
    <row r="26" spans="1:19" s="21" customFormat="1" ht="14.25" x14ac:dyDescent="0.45">
      <c r="D26"/>
      <c r="E26"/>
      <c r="F26"/>
      <c r="J26"/>
      <c r="K26" s="62"/>
      <c r="L26" s="62"/>
      <c r="M26" s="62"/>
      <c r="N26" s="62"/>
      <c r="O26" s="62"/>
      <c r="P26" s="62"/>
      <c r="Q26" s="62"/>
      <c r="R26" s="62"/>
      <c r="S26" s="62"/>
    </row>
    <row r="27" spans="1:19" s="21" customFormat="1" ht="14.25" x14ac:dyDescent="0.45">
      <c r="D27"/>
      <c r="E27" s="13" t="s">
        <v>834</v>
      </c>
      <c r="F27" s="12">
        <v>20</v>
      </c>
      <c r="J27"/>
      <c r="K27" s="62"/>
      <c r="L27" s="62"/>
      <c r="M27" s="62"/>
      <c r="N27" s="62"/>
      <c r="O27" s="62"/>
      <c r="P27" s="62"/>
      <c r="Q27" s="62"/>
      <c r="R27" s="62"/>
      <c r="S27" s="62"/>
    </row>
    <row r="28" spans="1:19" s="21" customFormat="1" ht="14.25" x14ac:dyDescent="0.45">
      <c r="D28"/>
      <c r="E28" s="13" t="s">
        <v>617</v>
      </c>
      <c r="F28" s="12">
        <v>0</v>
      </c>
      <c r="G28"/>
      <c r="H28"/>
      <c r="I28"/>
      <c r="J28"/>
      <c r="K28" s="27"/>
      <c r="L28" s="27"/>
      <c r="M28" s="27"/>
      <c r="N28" s="27"/>
      <c r="O28" s="27"/>
      <c r="P28" s="27"/>
      <c r="Q28" s="27"/>
      <c r="R28" s="27"/>
      <c r="S28" s="27"/>
    </row>
  </sheetData>
  <pageMargins left="0.511811024" right="0.511811024" top="0.78740157499999996" bottom="0.78740157499999996" header="0.31496062000000002" footer="0.3149606200000000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B661D-6280-4C5C-8F58-E1A5E8C3CF4C}">
  <sheetPr codeName="Planilha78">
    <tabColor theme="9" tint="0.59999389629810485"/>
  </sheetPr>
  <dimension ref="A1:X27"/>
  <sheetViews>
    <sheetView showGridLines="0" zoomScale="85" zoomScaleNormal="85" workbookViewId="0">
      <selection activeCell="M7" sqref="M7"/>
    </sheetView>
  </sheetViews>
  <sheetFormatPr defaultColWidth="8.796875" defaultRowHeight="18" x14ac:dyDescent="0.55000000000000004"/>
  <cols>
    <col min="1" max="1" width="12.6640625" style="17" customWidth="1"/>
    <col min="2" max="2" width="85.33203125" customWidth="1"/>
    <col min="3" max="3" width="9.6640625" customWidth="1"/>
    <col min="4" max="4" width="8.796875" customWidth="1"/>
    <col min="5" max="5" width="11" bestFit="1" customWidth="1"/>
    <col min="6" max="6" width="12.33203125" bestFit="1" customWidth="1"/>
    <col min="10" max="10" width="12.33203125" style="62" bestFit="1" customWidth="1"/>
    <col min="11" max="24" width="8.796875" style="62"/>
  </cols>
  <sheetData>
    <row r="1" spans="1:24" x14ac:dyDescent="0.55000000000000004">
      <c r="A1" s="16" t="s">
        <v>579</v>
      </c>
      <c r="J1" s="116"/>
      <c r="K1" s="116"/>
      <c r="L1" s="116"/>
      <c r="M1" s="116"/>
      <c r="N1" s="116"/>
      <c r="O1" s="116"/>
      <c r="P1" s="116"/>
      <c r="Q1" s="116"/>
      <c r="R1" s="116"/>
      <c r="S1" s="116"/>
      <c r="T1" s="116"/>
      <c r="U1" s="116"/>
      <c r="V1" s="116"/>
      <c r="W1" s="116"/>
      <c r="X1" s="116"/>
    </row>
    <row r="2" spans="1:24" x14ac:dyDescent="0.55000000000000004">
      <c r="A2" s="17" t="s">
        <v>882</v>
      </c>
      <c r="J2" s="116"/>
      <c r="K2" s="116"/>
      <c r="L2" s="116"/>
      <c r="M2" s="116"/>
      <c r="N2" s="116"/>
      <c r="O2" s="116"/>
      <c r="P2" s="116"/>
      <c r="Q2" s="116"/>
      <c r="R2" s="116"/>
      <c r="S2" s="116"/>
      <c r="T2" s="116"/>
      <c r="U2" s="116"/>
      <c r="V2" s="116"/>
      <c r="W2" s="116"/>
      <c r="X2" s="116"/>
    </row>
    <row r="4" spans="1:24" ht="15.75" x14ac:dyDescent="0.5">
      <c r="A4" s="2" t="s">
        <v>15</v>
      </c>
      <c r="B4" s="2" t="s">
        <v>16</v>
      </c>
      <c r="C4" s="2"/>
    </row>
    <row r="5" spans="1:24" ht="15.75" x14ac:dyDescent="0.45">
      <c r="A5" s="23" t="s">
        <v>22</v>
      </c>
      <c r="B5" s="26" t="s">
        <v>657</v>
      </c>
      <c r="C5" s="26"/>
    </row>
    <row r="6" spans="1:24" ht="15.75" x14ac:dyDescent="0.45">
      <c r="A6" s="23" t="s">
        <v>834</v>
      </c>
      <c r="B6" s="26" t="s">
        <v>835</v>
      </c>
      <c r="C6" s="26"/>
    </row>
    <row r="7" spans="1:24" ht="15.75" x14ac:dyDescent="0.45">
      <c r="A7" s="23" t="s">
        <v>613</v>
      </c>
      <c r="B7" s="26" t="s">
        <v>615</v>
      </c>
      <c r="C7" s="26"/>
    </row>
    <row r="8" spans="1:24" ht="47.25" x14ac:dyDescent="0.45">
      <c r="A8" s="23" t="s">
        <v>617</v>
      </c>
      <c r="B8" s="26" t="s">
        <v>929</v>
      </c>
      <c r="C8" s="26"/>
    </row>
    <row r="9" spans="1:24" x14ac:dyDescent="0.55000000000000004">
      <c r="J9" s="15"/>
      <c r="K9" s="15"/>
      <c r="L9" s="15"/>
      <c r="M9" s="15"/>
      <c r="N9" s="15"/>
      <c r="O9" s="15"/>
      <c r="P9" s="15"/>
      <c r="Q9" s="15"/>
      <c r="R9" s="15"/>
      <c r="S9" s="15"/>
      <c r="T9" s="15"/>
      <c r="U9" s="15"/>
      <c r="V9" s="15"/>
      <c r="W9" s="15"/>
      <c r="X9" s="15"/>
    </row>
    <row r="10" spans="1:24" ht="15.75" x14ac:dyDescent="0.45">
      <c r="A10" s="23"/>
      <c r="B10" s="26"/>
      <c r="C10" s="26"/>
      <c r="J10" s="15"/>
      <c r="K10" s="15"/>
      <c r="L10" s="15"/>
      <c r="M10" s="15"/>
      <c r="N10" s="15"/>
      <c r="O10" s="15"/>
      <c r="P10" s="15"/>
      <c r="Q10" s="15"/>
      <c r="R10" s="15"/>
      <c r="S10" s="15"/>
      <c r="T10" s="15"/>
      <c r="U10" s="15"/>
      <c r="V10" s="15"/>
      <c r="W10" s="15"/>
      <c r="X10" s="15"/>
    </row>
    <row r="11" spans="1:24" x14ac:dyDescent="0.55000000000000004">
      <c r="N11" s="62" t="s">
        <v>932</v>
      </c>
      <c r="R11" s="62" t="s">
        <v>933</v>
      </c>
      <c r="V11" s="62" t="s">
        <v>934</v>
      </c>
    </row>
    <row r="12" spans="1:24" x14ac:dyDescent="0.55000000000000004">
      <c r="D12" s="1" t="s">
        <v>17</v>
      </c>
      <c r="E12" s="13" t="s">
        <v>22</v>
      </c>
      <c r="F12" s="12">
        <v>1</v>
      </c>
      <c r="G12" s="12">
        <v>2</v>
      </c>
      <c r="H12" s="12">
        <v>3</v>
      </c>
      <c r="J12" s="62" cm="1">
        <f t="array" ref="J12:L14">_xlfn.LAMBDA(_xlpm.matrix,_xlop.numIter,_xlop.normalized,_xlop.order,_xlfn.LET(
_xlpm.norm, ROWS(_xlpm.matrix)*MAX(ABS(_xlpm.matrix)),
_xlpm.numIter,IF(OR(_xlfn.ISOMITTED(_xlpm.numIter), ISBLANK(_xlpm.numIter)), 20, _xlpm.numIter),
_xlpm.normalized,IF(_xlfn.ISOMITTED(_xlpm.normalized), FALSE, _xlpm.normalized),
_xlpm.order,IF(_xlfn.ISOMITTED(_xlpm.order), 0, _xlpm.order),
_xlpm.eigVals, EIGENVALUES(_xlpm.matrix,_xlpm.numIter,_xlpm.order),
_xlpm.N, ROWS(_xlpm.matrix),
_xlpm.eigVecs, _xlfn.MAKEARRAY(_xlpm.N,_xlpm.N, _xlfn.LAMBDA(_xlpm.row,_xlpm.col, _xlfn.LET(_xlpm.eigMatrix, _xlpm.matrix-INDEX(_xlpm.eigVals,_xlpm.col)*_xlfn.MUNIT(ROWS(_xlpm.matrix)), _xlpm.eigVector, _xlfn.VSTACK(1, MMULT( MINVERSE( _xlfn.DROP(_xlpm.eigMatrix,1,1) ), -_xlfn.DROP(INDEX(_xlpm.eigMatrix,0,1),1) ) ), INDEX(_xlpm.eigVector,_xlpm.row) )) ),
_xlpm.normEigVecs, _xlfn.MAKEARRAY(_xlpm.N, _xlpm.N, _xlfn.LAMBDA(_xlpm.row,_xlpm.col, INDEX(_xlpm.eigVecs, _xlpm.row, _xlpm.col)/MNORM(INDEX(_xlpm.eigVecs,0,_xlpm.col), 2))),
IF(_xlpm.normalized, _xlpm.normEigVecs, _xlpm.eigVecs)
))($F$12:$H$14,$F$16,F$17,$F$18)</f>
        <v>0.43829002465120681</v>
      </c>
      <c r="K12" s="62">
        <v>0.24015574584093438</v>
      </c>
      <c r="L12" s="62">
        <v>0.86615649740992884</v>
      </c>
      <c r="N12" s="62" cm="1">
        <f t="array" ref="N12:P14">DIAG(EIGENVALUES(F12:H14))</f>
        <v>8.2307647295742719</v>
      </c>
      <c r="O12" s="62">
        <v>0</v>
      </c>
      <c r="P12" s="62">
        <v>0</v>
      </c>
      <c r="R12" s="62" cm="1">
        <f t="array" ref="R12:T14">TRANSPOSE(_xlfn.ANCHORARRAY(J12))</f>
        <v>0.43829002465120681</v>
      </c>
      <c r="S12" s="62">
        <v>0.64392208905957871</v>
      </c>
      <c r="T12" s="62">
        <v>0.62710939836075841</v>
      </c>
      <c r="V12" s="62" cm="1">
        <f t="array" ref="V12:X14">MMULT(MMULT(_xlfn.ANCHORARRAY(J12),_xlfn.ANCHORARRAY(N12)),_xlfn.ANCHORARRAY(R12))</f>
        <v>0.99999964004750486</v>
      </c>
      <c r="W12" s="62">
        <v>1.9999997195591972</v>
      </c>
      <c r="X12" s="62">
        <v>3.0000000433771663</v>
      </c>
    </row>
    <row r="13" spans="1:24" x14ac:dyDescent="0.55000000000000004">
      <c r="F13" s="12">
        <v>2</v>
      </c>
      <c r="G13" s="12">
        <v>2</v>
      </c>
      <c r="H13" s="12">
        <v>5</v>
      </c>
      <c r="J13" s="62">
        <v>0.64392208905957871</v>
      </c>
      <c r="K13" s="62">
        <v>0.58843411681821733</v>
      </c>
      <c r="L13" s="62">
        <v>-0.48898835892899167</v>
      </c>
      <c r="N13" s="62">
        <v>0</v>
      </c>
      <c r="O13" s="62">
        <v>-3.7440052228876324</v>
      </c>
      <c r="P13" s="62">
        <v>0</v>
      </c>
      <c r="R13" s="62">
        <v>0.24015574584093438</v>
      </c>
      <c r="S13" s="62">
        <v>0.58843411681821733</v>
      </c>
      <c r="T13" s="62">
        <v>-0.77205602640219639</v>
      </c>
      <c r="V13" s="62">
        <v>1.9999997195591972</v>
      </c>
      <c r="W13" s="62">
        <v>2.0000001700029837</v>
      </c>
      <c r="X13" s="62">
        <v>4.9999999976398115</v>
      </c>
    </row>
    <row r="14" spans="1:24" x14ac:dyDescent="0.55000000000000004">
      <c r="F14" s="12">
        <v>3</v>
      </c>
      <c r="G14" s="12">
        <v>5</v>
      </c>
      <c r="H14" s="12">
        <v>1</v>
      </c>
      <c r="J14" s="62">
        <v>0.62710939836075841</v>
      </c>
      <c r="K14" s="62">
        <v>-0.77205602640219639</v>
      </c>
      <c r="L14" s="62">
        <v>-0.10326328886150889</v>
      </c>
      <c r="N14" s="62">
        <v>0</v>
      </c>
      <c r="O14" s="62">
        <v>0</v>
      </c>
      <c r="P14" s="62">
        <v>-0.48675971177647953</v>
      </c>
      <c r="R14" s="62">
        <v>0.86615649740992884</v>
      </c>
      <c r="S14" s="62">
        <v>-0.48898835892899167</v>
      </c>
      <c r="T14" s="62">
        <v>-0.10326328886150889</v>
      </c>
      <c r="V14" s="62">
        <v>3.0000000433771663</v>
      </c>
      <c r="W14" s="62">
        <v>4.9999999976398115</v>
      </c>
      <c r="X14" s="62">
        <v>0.99999998485967057</v>
      </c>
    </row>
    <row r="15" spans="1:24" s="21" customFormat="1" x14ac:dyDescent="0.55000000000000004">
      <c r="A15" s="17"/>
      <c r="B15"/>
      <c r="C15"/>
      <c r="D15"/>
      <c r="E15"/>
      <c r="F15"/>
      <c r="G15"/>
      <c r="H15"/>
      <c r="I15"/>
      <c r="J15" s="62"/>
      <c r="K15" s="62"/>
      <c r="L15" s="62"/>
      <c r="M15" s="62"/>
      <c r="N15" s="62"/>
      <c r="O15" s="62"/>
      <c r="P15" s="62"/>
      <c r="Q15" s="62"/>
      <c r="R15" s="62"/>
      <c r="S15" s="62"/>
      <c r="T15" s="62"/>
      <c r="U15" s="62"/>
      <c r="V15" s="62"/>
      <c r="W15" s="62"/>
      <c r="X15" s="62"/>
    </row>
    <row r="16" spans="1:24" s="21" customFormat="1" x14ac:dyDescent="0.55000000000000004">
      <c r="A16" s="17"/>
      <c r="B16"/>
      <c r="C16"/>
      <c r="D16"/>
      <c r="E16" s="13" t="s">
        <v>931</v>
      </c>
      <c r="F16" s="12">
        <v>20</v>
      </c>
      <c r="G16"/>
      <c r="H16"/>
      <c r="I16"/>
      <c r="J16" s="62"/>
      <c r="K16" s="62"/>
      <c r="L16" s="62"/>
      <c r="M16" s="62"/>
      <c r="N16" s="62"/>
      <c r="O16" s="62"/>
      <c r="P16" s="62"/>
      <c r="Q16" s="62"/>
      <c r="R16" s="62"/>
      <c r="S16" s="62"/>
      <c r="T16" s="62"/>
      <c r="U16" s="62"/>
      <c r="V16" s="62"/>
      <c r="W16" s="62"/>
      <c r="X16" s="62"/>
    </row>
    <row r="17" spans="1:24" s="21" customFormat="1" x14ac:dyDescent="0.55000000000000004">
      <c r="A17" s="17"/>
      <c r="B17"/>
      <c r="C17"/>
      <c r="D17"/>
      <c r="E17" s="13" t="s">
        <v>614</v>
      </c>
      <c r="F17" s="12" t="b">
        <v>1</v>
      </c>
      <c r="G17"/>
      <c r="H17"/>
      <c r="I17"/>
      <c r="J17" s="62"/>
      <c r="K17" s="62"/>
      <c r="L17" s="62"/>
      <c r="M17" s="62"/>
      <c r="N17" s="62"/>
      <c r="O17" s="62"/>
      <c r="P17" s="62"/>
      <c r="Q17" s="62"/>
      <c r="R17" s="62"/>
      <c r="S17" s="62"/>
      <c r="T17" s="62"/>
      <c r="U17" s="62"/>
      <c r="V17" s="62"/>
      <c r="W17" s="62"/>
      <c r="X17" s="62"/>
    </row>
    <row r="18" spans="1:24" s="21" customFormat="1" x14ac:dyDescent="0.55000000000000004">
      <c r="A18" s="17"/>
      <c r="B18"/>
      <c r="C18"/>
      <c r="D18"/>
      <c r="E18" s="13" t="s">
        <v>616</v>
      </c>
      <c r="F18" s="12">
        <v>0</v>
      </c>
      <c r="G18"/>
      <c r="H18"/>
      <c r="I18"/>
      <c r="J18" s="62"/>
      <c r="K18" s="62"/>
      <c r="L18" s="62"/>
      <c r="M18" s="62"/>
      <c r="N18" s="62"/>
      <c r="O18" s="62"/>
      <c r="P18" s="62"/>
      <c r="Q18" s="62"/>
      <c r="R18" s="62"/>
      <c r="S18" s="62"/>
      <c r="T18" s="62"/>
      <c r="U18" s="62"/>
      <c r="V18" s="62"/>
      <c r="W18" s="62"/>
      <c r="X18" s="62"/>
    </row>
    <row r="21" spans="1:24" s="21" customFormat="1" ht="14.25" x14ac:dyDescent="0.45">
      <c r="D21" s="1" t="s">
        <v>17</v>
      </c>
      <c r="E21" s="13" t="s">
        <v>22</v>
      </c>
      <c r="F21" s="12">
        <v>1</v>
      </c>
      <c r="G21" s="12">
        <v>2</v>
      </c>
      <c r="H21" s="12">
        <v>3</v>
      </c>
      <c r="I21"/>
      <c r="J21" s="62" cm="1">
        <f t="array" ref="J21:L23">EIGENVECTORS($F$21:$H$23,$F$25,$F$26,$F$27)</f>
        <v>0.43829002465120681</v>
      </c>
      <c r="K21" s="62">
        <v>0.24015574584093438</v>
      </c>
      <c r="L21" s="62">
        <v>0.86615649740992884</v>
      </c>
      <c r="M21" s="62"/>
      <c r="N21" s="62"/>
      <c r="O21" s="62"/>
      <c r="P21" s="62"/>
      <c r="Q21" s="62"/>
      <c r="R21" s="62"/>
      <c r="S21" s="62"/>
      <c r="T21" s="62"/>
      <c r="U21" s="62"/>
      <c r="V21" s="62"/>
      <c r="W21" s="62"/>
      <c r="X21" s="62"/>
    </row>
    <row r="22" spans="1:24" s="21" customFormat="1" ht="14.25" x14ac:dyDescent="0.45">
      <c r="D22"/>
      <c r="E22"/>
      <c r="F22" s="12">
        <v>2</v>
      </c>
      <c r="G22" s="12">
        <v>2</v>
      </c>
      <c r="H22" s="12">
        <v>5</v>
      </c>
      <c r="I22"/>
      <c r="J22" s="62">
        <v>0.64392208905957871</v>
      </c>
      <c r="K22" s="62">
        <v>0.58843411681821733</v>
      </c>
      <c r="L22" s="62">
        <v>-0.48898835892899167</v>
      </c>
      <c r="M22" s="62"/>
      <c r="N22" s="62"/>
      <c r="O22" s="62"/>
      <c r="P22" s="62"/>
      <c r="Q22" s="62"/>
      <c r="R22" s="62"/>
      <c r="S22" s="62"/>
      <c r="T22" s="62"/>
      <c r="U22" s="62"/>
      <c r="V22" s="62"/>
      <c r="W22" s="62"/>
      <c r="X22" s="62"/>
    </row>
    <row r="23" spans="1:24" s="21" customFormat="1" ht="14.25" x14ac:dyDescent="0.45">
      <c r="D23"/>
      <c r="E23"/>
      <c r="F23" s="12">
        <v>3</v>
      </c>
      <c r="G23" s="12">
        <v>5</v>
      </c>
      <c r="H23" s="12">
        <v>1</v>
      </c>
      <c r="I23"/>
      <c r="J23" s="62">
        <v>0.62710939836075841</v>
      </c>
      <c r="K23" s="62">
        <v>-0.77205602640219639</v>
      </c>
      <c r="L23" s="62">
        <v>-0.10326328886150889</v>
      </c>
      <c r="M23" s="62"/>
      <c r="N23" s="62"/>
      <c r="O23" s="62"/>
      <c r="P23" s="62"/>
      <c r="Q23" s="62"/>
      <c r="R23" s="62"/>
      <c r="S23" s="62"/>
      <c r="T23" s="62"/>
      <c r="U23" s="62"/>
      <c r="V23" s="62"/>
      <c r="W23" s="62"/>
      <c r="X23" s="62"/>
    </row>
    <row r="24" spans="1:24" s="21" customFormat="1" ht="14.25" x14ac:dyDescent="0.45">
      <c r="D24"/>
      <c r="E24"/>
      <c r="F24"/>
      <c r="G24"/>
      <c r="H24"/>
      <c r="I24"/>
      <c r="J24" s="62"/>
      <c r="K24" s="62"/>
      <c r="L24" s="62"/>
      <c r="M24" s="62"/>
      <c r="N24" s="62"/>
      <c r="O24" s="62"/>
      <c r="P24" s="62"/>
      <c r="Q24" s="62"/>
      <c r="R24" s="62"/>
      <c r="S24" s="62"/>
      <c r="T24" s="62"/>
      <c r="U24" s="62"/>
      <c r="V24" s="62"/>
      <c r="W24" s="62"/>
      <c r="X24" s="62"/>
    </row>
    <row r="25" spans="1:24" s="21" customFormat="1" ht="14.25" x14ac:dyDescent="0.45">
      <c r="D25"/>
      <c r="E25" s="13" t="s">
        <v>931</v>
      </c>
      <c r="F25" s="12">
        <v>20</v>
      </c>
      <c r="G25"/>
      <c r="H25"/>
      <c r="I25"/>
      <c r="J25" s="62"/>
      <c r="K25" s="62"/>
      <c r="L25" s="62"/>
      <c r="M25" s="62"/>
      <c r="N25" s="62"/>
      <c r="O25" s="62"/>
      <c r="P25" s="62"/>
      <c r="Q25" s="62"/>
      <c r="R25" s="62"/>
      <c r="S25" s="62"/>
      <c r="T25" s="62"/>
      <c r="U25" s="62"/>
      <c r="V25" s="62"/>
      <c r="W25" s="62"/>
      <c r="X25" s="62"/>
    </row>
    <row r="26" spans="1:24" s="21" customFormat="1" ht="14.25" x14ac:dyDescent="0.45">
      <c r="D26"/>
      <c r="E26" s="13" t="s">
        <v>614</v>
      </c>
      <c r="F26" s="12" t="b">
        <v>1</v>
      </c>
      <c r="G26"/>
      <c r="H26"/>
      <c r="I26"/>
      <c r="J26" s="62"/>
      <c r="K26" s="62"/>
      <c r="L26" s="62"/>
      <c r="M26" s="62"/>
      <c r="N26" s="62"/>
      <c r="O26" s="62"/>
      <c r="P26" s="62"/>
      <c r="Q26" s="62"/>
      <c r="R26" s="62"/>
      <c r="S26" s="62"/>
      <c r="T26" s="62"/>
      <c r="U26" s="62"/>
      <c r="V26" s="62"/>
      <c r="W26" s="62"/>
      <c r="X26" s="62"/>
    </row>
    <row r="27" spans="1:24" s="21" customFormat="1" ht="14.25" x14ac:dyDescent="0.45">
      <c r="D27"/>
      <c r="E27" s="13" t="s">
        <v>616</v>
      </c>
      <c r="F27" s="12">
        <v>0</v>
      </c>
      <c r="G27"/>
      <c r="H27"/>
      <c r="I27"/>
      <c r="J27" s="62"/>
      <c r="K27" s="62"/>
      <c r="L27" s="62"/>
      <c r="M27" s="62"/>
      <c r="N27" s="62"/>
      <c r="O27" s="62"/>
      <c r="P27" s="62"/>
      <c r="Q27" s="62"/>
      <c r="R27" s="62"/>
      <c r="S27" s="62"/>
      <c r="T27" s="62"/>
      <c r="U27" s="62"/>
      <c r="V27" s="62"/>
      <c r="W27" s="62"/>
      <c r="X27" s="62"/>
    </row>
  </sheetData>
  <pageMargins left="0.511811024" right="0.511811024" top="0.78740157499999996" bottom="0.78740157499999996" header="0.31496062000000002" footer="0.3149606200000000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31806-45A1-426F-8106-17602A67DFC1}">
  <sheetPr codeName="Planilha79">
    <tabColor theme="9" tint="0.59999389629810485"/>
  </sheetPr>
  <dimension ref="A1:S31"/>
  <sheetViews>
    <sheetView showGridLines="0" zoomScaleNormal="100" workbookViewId="0">
      <selection activeCell="N13" sqref="N13"/>
    </sheetView>
  </sheetViews>
  <sheetFormatPr defaultColWidth="8.796875" defaultRowHeight="18" x14ac:dyDescent="0.55000000000000004"/>
  <cols>
    <col min="1" max="1" width="18.6640625" style="17" customWidth="1"/>
    <col min="2" max="2" width="60.6640625" customWidth="1"/>
    <col min="3" max="3" width="9.6640625" customWidth="1"/>
    <col min="4" max="4" width="8.796875" customWidth="1"/>
    <col min="5" max="5" width="10" bestFit="1" customWidth="1"/>
    <col min="11" max="19" width="9.1328125" style="15" customWidth="1"/>
  </cols>
  <sheetData>
    <row r="1" spans="1:19" x14ac:dyDescent="0.55000000000000004">
      <c r="A1" s="16" t="s">
        <v>838</v>
      </c>
      <c r="K1" s="14"/>
      <c r="L1" s="14"/>
      <c r="M1" s="14"/>
      <c r="N1" s="14"/>
      <c r="O1" s="14"/>
      <c r="P1" s="14"/>
      <c r="Q1" s="14"/>
      <c r="R1" s="14"/>
      <c r="S1" s="14"/>
    </row>
    <row r="2" spans="1:19" x14ac:dyDescent="0.45">
      <c r="A2" s="172" t="s">
        <v>841</v>
      </c>
      <c r="B2" s="172"/>
      <c r="C2" s="172"/>
      <c r="D2" s="172"/>
      <c r="E2" s="172"/>
      <c r="F2" s="172"/>
      <c r="G2" s="172"/>
      <c r="H2" s="172"/>
      <c r="I2" s="172"/>
      <c r="K2" s="14"/>
      <c r="L2" s="14"/>
      <c r="M2" s="14"/>
      <c r="N2" s="14"/>
      <c r="O2" s="14"/>
      <c r="P2" s="14"/>
      <c r="Q2" s="14"/>
      <c r="R2" s="14"/>
      <c r="S2" s="14"/>
    </row>
    <row r="3" spans="1:19" x14ac:dyDescent="0.45">
      <c r="A3" s="126"/>
      <c r="B3" s="126"/>
      <c r="C3" s="126"/>
      <c r="D3" s="126"/>
      <c r="E3" s="126"/>
      <c r="F3" s="126"/>
      <c r="G3" s="126"/>
      <c r="H3" s="126"/>
      <c r="I3" s="126"/>
      <c r="K3" s="14"/>
      <c r="L3" s="14"/>
      <c r="M3" s="14"/>
      <c r="N3" s="14"/>
      <c r="O3" s="14"/>
      <c r="P3" s="14"/>
      <c r="Q3" s="14"/>
      <c r="R3" s="14"/>
      <c r="S3" s="14"/>
    </row>
    <row r="4" spans="1:19" x14ac:dyDescent="0.55000000000000004">
      <c r="A4" s="17" t="s">
        <v>1058</v>
      </c>
      <c r="K4" s="14"/>
      <c r="L4" s="14"/>
      <c r="M4" s="14"/>
      <c r="N4" s="14"/>
      <c r="O4" s="14"/>
      <c r="P4" s="14"/>
      <c r="Q4" s="14"/>
      <c r="R4" s="14"/>
      <c r="S4" s="14"/>
    </row>
    <row r="6" spans="1:19" ht="15.75" x14ac:dyDescent="0.5">
      <c r="A6" s="2" t="s">
        <v>15</v>
      </c>
      <c r="B6" s="2" t="s">
        <v>16</v>
      </c>
      <c r="C6" s="2"/>
    </row>
    <row r="7" spans="1:19" ht="15.75" x14ac:dyDescent="0.45">
      <c r="A7" s="23" t="s">
        <v>244</v>
      </c>
      <c r="B7" s="26" t="s">
        <v>839</v>
      </c>
      <c r="C7" s="26"/>
    </row>
    <row r="8" spans="1:19" ht="15.75" x14ac:dyDescent="0.45">
      <c r="A8" s="23" t="s">
        <v>245</v>
      </c>
      <c r="B8" s="26" t="s">
        <v>840</v>
      </c>
      <c r="C8" s="26"/>
    </row>
    <row r="9" spans="1:19" ht="15.75" x14ac:dyDescent="0.45">
      <c r="A9" s="23"/>
      <c r="B9" s="26"/>
      <c r="C9" s="26"/>
    </row>
    <row r="10" spans="1:19" ht="15.75" x14ac:dyDescent="0.45">
      <c r="A10" s="23"/>
      <c r="B10" s="26"/>
      <c r="C10" s="26"/>
    </row>
    <row r="12" spans="1:19" x14ac:dyDescent="0.55000000000000004">
      <c r="D12" s="1" t="s">
        <v>17</v>
      </c>
      <c r="E12" s="13" t="s">
        <v>244</v>
      </c>
      <c r="F12" s="12">
        <v>1</v>
      </c>
      <c r="G12" s="12">
        <v>2</v>
      </c>
      <c r="H12" s="12">
        <v>3</v>
      </c>
      <c r="I12" s="12">
        <v>4</v>
      </c>
      <c r="K12" s="62" cm="1">
        <f t="array" ref="K12:K15">_xlfn.LAMBDA(_xlpm.a,_xlpm.B,
_xlfn.LET(
_xlpm.QR, FACTORIZE_QR(_xlpm.a),
_xlpm.Q, _xlfn.TAKE(_xlpm.QR,,ROWS(_xlpm.QR)),
_xlpm.r, _xlfn.TAKE(_xlpm.QR,,-(COLUMNS(_xlpm.QR)-ROWS(_xlpm.QR))),
MMULT(MINVERSE(_xlpm.r), MMULT(TRANSPOSE(_xlpm.Q),_xlpm.B))
)
)($F$12:$I$15,$F$17:$F$20)</f>
        <v>-17.000000000000227</v>
      </c>
      <c r="L12" s="62"/>
      <c r="M12" s="62"/>
      <c r="N12" s="62"/>
      <c r="O12" s="62"/>
      <c r="P12" s="62"/>
      <c r="Q12" s="62"/>
      <c r="R12" s="62"/>
      <c r="S12" s="62"/>
    </row>
    <row r="13" spans="1:19" x14ac:dyDescent="0.55000000000000004">
      <c r="F13" s="12">
        <v>5</v>
      </c>
      <c r="G13" s="12">
        <v>5</v>
      </c>
      <c r="H13" s="12">
        <v>6</v>
      </c>
      <c r="I13" s="12">
        <v>7</v>
      </c>
      <c r="K13" s="62">
        <v>7.0000000000000853</v>
      </c>
      <c r="L13" s="62"/>
      <c r="M13" s="62"/>
      <c r="N13" s="62"/>
      <c r="O13" s="62"/>
      <c r="P13" s="62"/>
      <c r="Q13" s="62"/>
      <c r="R13" s="62"/>
      <c r="S13" s="62"/>
    </row>
    <row r="14" spans="1:19" x14ac:dyDescent="0.55000000000000004">
      <c r="F14" s="12">
        <v>1</v>
      </c>
      <c r="G14" s="12">
        <v>4</v>
      </c>
      <c r="H14" s="12">
        <v>2</v>
      </c>
      <c r="I14" s="12">
        <v>3</v>
      </c>
      <c r="K14" s="62">
        <v>53.000000000000675</v>
      </c>
      <c r="L14" s="62"/>
      <c r="M14" s="62"/>
      <c r="N14" s="62"/>
      <c r="O14" s="62"/>
      <c r="P14" s="62"/>
      <c r="Q14" s="62"/>
      <c r="R14" s="62"/>
      <c r="S14" s="62"/>
    </row>
    <row r="15" spans="1:19" x14ac:dyDescent="0.55000000000000004">
      <c r="F15" s="12">
        <v>5</v>
      </c>
      <c r="G15" s="12">
        <v>3</v>
      </c>
      <c r="H15" s="12">
        <v>2</v>
      </c>
      <c r="I15" s="12">
        <v>1</v>
      </c>
      <c r="K15" s="62">
        <v>-38.000000000000483</v>
      </c>
      <c r="L15" s="62"/>
      <c r="M15" s="62"/>
      <c r="N15" s="62"/>
      <c r="O15" s="62"/>
      <c r="P15" s="62"/>
      <c r="Q15" s="62"/>
      <c r="R15" s="62"/>
      <c r="S15" s="62"/>
    </row>
    <row r="17" spans="4:19" s="21" customFormat="1" ht="14.25" x14ac:dyDescent="0.45">
      <c r="D17"/>
      <c r="E17" s="13" t="s">
        <v>245</v>
      </c>
      <c r="F17" s="12">
        <v>4</v>
      </c>
      <c r="G17"/>
      <c r="H17"/>
      <c r="I17"/>
      <c r="J17"/>
      <c r="K17" s="27"/>
      <c r="L17" s="27"/>
      <c r="M17" s="27"/>
      <c r="N17" s="27"/>
      <c r="O17" s="27"/>
      <c r="P17" s="27"/>
      <c r="Q17" s="27"/>
      <c r="R17" s="27"/>
      <c r="S17" s="27"/>
    </row>
    <row r="18" spans="4:19" s="21" customFormat="1" ht="14.25" x14ac:dyDescent="0.45">
      <c r="D18"/>
      <c r="E18"/>
      <c r="F18" s="12">
        <v>2</v>
      </c>
      <c r="G18"/>
      <c r="H18"/>
      <c r="I18"/>
      <c r="J18"/>
      <c r="K18" s="27"/>
      <c r="L18" s="27"/>
      <c r="M18" s="27"/>
      <c r="N18" s="27"/>
      <c r="O18" s="27"/>
      <c r="P18" s="27"/>
      <c r="Q18" s="27"/>
      <c r="R18" s="27"/>
      <c r="S18" s="27"/>
    </row>
    <row r="19" spans="4:19" s="21" customFormat="1" ht="14.25" x14ac:dyDescent="0.45">
      <c r="D19"/>
      <c r="E19"/>
      <c r="F19" s="12">
        <v>3</v>
      </c>
      <c r="G19"/>
      <c r="H19"/>
      <c r="I19"/>
      <c r="J19"/>
      <c r="K19" s="27"/>
      <c r="L19" s="27"/>
      <c r="M19" s="27"/>
      <c r="N19" s="27"/>
      <c r="O19" s="27"/>
      <c r="P19" s="27"/>
      <c r="Q19" s="27"/>
      <c r="R19" s="27"/>
      <c r="S19" s="27"/>
    </row>
    <row r="20" spans="4:19" s="21" customFormat="1" ht="14.25" x14ac:dyDescent="0.45">
      <c r="D20"/>
      <c r="E20"/>
      <c r="F20" s="12">
        <v>4</v>
      </c>
      <c r="G20"/>
      <c r="H20"/>
      <c r="I20"/>
      <c r="J20"/>
      <c r="K20" s="27"/>
      <c r="L20" s="27"/>
      <c r="M20" s="27"/>
      <c r="N20" s="27"/>
      <c r="O20" s="27"/>
      <c r="P20" s="27"/>
      <c r="Q20" s="27"/>
      <c r="R20" s="27"/>
      <c r="S20" s="27"/>
    </row>
    <row r="21" spans="4:19" s="21" customFormat="1" ht="14.25" x14ac:dyDescent="0.45">
      <c r="D21"/>
      <c r="E21"/>
      <c r="F21"/>
      <c r="G21"/>
      <c r="H21"/>
      <c r="I21"/>
      <c r="J21"/>
      <c r="K21" s="27"/>
      <c r="L21" s="27"/>
      <c r="M21" s="27"/>
      <c r="N21" s="27"/>
      <c r="O21" s="27"/>
      <c r="P21" s="27"/>
      <c r="Q21" s="27"/>
      <c r="R21" s="27"/>
      <c r="S21" s="27"/>
    </row>
    <row r="22" spans="4:19" s="21" customFormat="1" ht="14.25" x14ac:dyDescent="0.45">
      <c r="D22"/>
      <c r="E22"/>
      <c r="F22"/>
      <c r="G22"/>
      <c r="H22"/>
      <c r="I22"/>
      <c r="J22"/>
      <c r="K22" s="27"/>
      <c r="L22" s="27"/>
      <c r="M22" s="27"/>
      <c r="N22" s="27"/>
      <c r="O22" s="27"/>
      <c r="P22" s="27"/>
      <c r="Q22" s="27"/>
      <c r="R22" s="27"/>
      <c r="S22" s="27"/>
    </row>
    <row r="23" spans="4:19" s="21" customFormat="1" ht="14.25" x14ac:dyDescent="0.45">
      <c r="D23" s="1" t="s">
        <v>17</v>
      </c>
      <c r="E23" s="13" t="s">
        <v>22</v>
      </c>
      <c r="F23" s="12">
        <v>1</v>
      </c>
      <c r="G23" s="12">
        <v>2</v>
      </c>
      <c r="H23" s="12">
        <v>3</v>
      </c>
      <c r="I23" s="12">
        <v>4</v>
      </c>
      <c r="J23"/>
      <c r="K23" s="62" cm="1">
        <f t="array" ref="K23:K26">LINSOLVE($F$23:$I$26,$F$28:$F$31)</f>
        <v>-17.000000000000227</v>
      </c>
      <c r="L23" s="62"/>
      <c r="M23" s="62"/>
      <c r="N23" s="62"/>
      <c r="O23" s="62"/>
      <c r="P23" s="62"/>
      <c r="Q23" s="62"/>
      <c r="R23" s="62"/>
      <c r="S23" s="62"/>
    </row>
    <row r="24" spans="4:19" s="21" customFormat="1" ht="14.25" x14ac:dyDescent="0.45">
      <c r="D24"/>
      <c r="E24"/>
      <c r="F24" s="12">
        <v>5</v>
      </c>
      <c r="G24" s="12">
        <v>5</v>
      </c>
      <c r="H24" s="12">
        <v>6</v>
      </c>
      <c r="I24" s="12">
        <v>7</v>
      </c>
      <c r="J24"/>
      <c r="K24" s="62">
        <v>7.0000000000000853</v>
      </c>
      <c r="L24" s="62"/>
      <c r="M24" s="62"/>
      <c r="N24" s="62"/>
      <c r="O24" s="62"/>
      <c r="P24" s="62"/>
      <c r="Q24" s="62"/>
      <c r="R24" s="62"/>
      <c r="S24" s="62"/>
    </row>
    <row r="25" spans="4:19" s="21" customFormat="1" ht="14.25" x14ac:dyDescent="0.45">
      <c r="D25"/>
      <c r="E25"/>
      <c r="F25" s="12">
        <v>1</v>
      </c>
      <c r="G25" s="12">
        <v>4</v>
      </c>
      <c r="H25" s="12">
        <v>2</v>
      </c>
      <c r="I25" s="12">
        <v>3</v>
      </c>
      <c r="J25"/>
      <c r="K25" s="62">
        <v>53.000000000000675</v>
      </c>
      <c r="L25" s="62"/>
      <c r="M25" s="62"/>
      <c r="N25" s="62"/>
      <c r="O25" s="62"/>
      <c r="P25" s="62"/>
      <c r="Q25" s="62"/>
      <c r="R25" s="62"/>
      <c r="S25" s="62"/>
    </row>
    <row r="26" spans="4:19" s="21" customFormat="1" ht="14.25" x14ac:dyDescent="0.45">
      <c r="D26"/>
      <c r="E26"/>
      <c r="F26" s="12">
        <v>5</v>
      </c>
      <c r="G26" s="12">
        <v>3</v>
      </c>
      <c r="H26" s="12">
        <v>2</v>
      </c>
      <c r="I26" s="12">
        <v>1</v>
      </c>
      <c r="J26"/>
      <c r="K26" s="62">
        <v>-38.000000000000483</v>
      </c>
      <c r="L26" s="62"/>
      <c r="M26" s="62"/>
      <c r="N26" s="62"/>
      <c r="O26" s="62"/>
      <c r="P26" s="62"/>
      <c r="Q26" s="62"/>
      <c r="R26" s="62"/>
      <c r="S26" s="62"/>
    </row>
    <row r="27" spans="4:19" s="21" customFormat="1" ht="14.25" x14ac:dyDescent="0.45">
      <c r="D27"/>
      <c r="E27"/>
      <c r="F27"/>
      <c r="G27"/>
      <c r="H27"/>
      <c r="I27"/>
      <c r="J27"/>
      <c r="K27" s="27"/>
      <c r="L27" s="27"/>
      <c r="M27" s="27"/>
      <c r="N27" s="27"/>
      <c r="O27" s="27"/>
      <c r="P27" s="27"/>
      <c r="Q27" s="27"/>
      <c r="R27" s="27"/>
      <c r="S27" s="27"/>
    </row>
    <row r="28" spans="4:19" s="21" customFormat="1" ht="14.25" x14ac:dyDescent="0.45">
      <c r="D28"/>
      <c r="E28" s="13" t="s">
        <v>245</v>
      </c>
      <c r="F28" s="12">
        <v>4</v>
      </c>
      <c r="G28"/>
      <c r="H28"/>
      <c r="I28"/>
      <c r="J28"/>
      <c r="K28" s="27"/>
      <c r="L28" s="27"/>
      <c r="M28" s="27"/>
      <c r="N28" s="27"/>
      <c r="O28" s="27"/>
      <c r="P28" s="27"/>
      <c r="Q28" s="27"/>
      <c r="R28" s="27"/>
      <c r="S28" s="27"/>
    </row>
    <row r="29" spans="4:19" s="21" customFormat="1" ht="14.25" x14ac:dyDescent="0.45">
      <c r="D29"/>
      <c r="E29"/>
      <c r="F29" s="12">
        <v>2</v>
      </c>
      <c r="G29"/>
      <c r="H29"/>
      <c r="I29"/>
      <c r="J29"/>
      <c r="K29" s="27"/>
      <c r="L29" s="27"/>
      <c r="M29" s="27"/>
      <c r="N29" s="27"/>
      <c r="O29" s="27"/>
      <c r="P29" s="27"/>
      <c r="Q29" s="27"/>
      <c r="R29" s="27"/>
      <c r="S29" s="27"/>
    </row>
    <row r="30" spans="4:19" s="21" customFormat="1" ht="14.25" x14ac:dyDescent="0.45">
      <c r="D30"/>
      <c r="E30"/>
      <c r="F30" s="12">
        <v>3</v>
      </c>
      <c r="G30"/>
      <c r="H30"/>
      <c r="I30"/>
      <c r="J30"/>
      <c r="K30" s="27"/>
      <c r="L30" s="27"/>
      <c r="M30" s="27"/>
      <c r="N30" s="27"/>
      <c r="O30" s="27"/>
      <c r="P30" s="27"/>
      <c r="Q30" s="27"/>
      <c r="R30" s="27"/>
      <c r="S30" s="27"/>
    </row>
    <row r="31" spans="4:19" s="21" customFormat="1" ht="14.25" x14ac:dyDescent="0.45">
      <c r="D31"/>
      <c r="E31"/>
      <c r="F31" s="12">
        <v>4</v>
      </c>
      <c r="G31"/>
      <c r="H31"/>
      <c r="I31"/>
      <c r="J31"/>
      <c r="K31" s="27"/>
      <c r="L31" s="27"/>
      <c r="M31" s="27"/>
      <c r="N31" s="27"/>
      <c r="O31" s="27"/>
      <c r="P31" s="27"/>
      <c r="Q31" s="27"/>
      <c r="R31" s="27"/>
      <c r="S31" s="27"/>
    </row>
  </sheetData>
  <mergeCells count="1">
    <mergeCell ref="A2:I2"/>
  </mergeCells>
  <pageMargins left="0.511811024" right="0.511811024" top="0.78740157499999996" bottom="0.78740157499999996" header="0.31496062000000002" footer="0.3149606200000000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31FA4-DCBA-4189-9379-44DD5C2DB357}">
  <sheetPr codeName="Planilha80">
    <tabColor theme="9" tint="0.59999389629810485"/>
  </sheetPr>
  <dimension ref="A1:T50"/>
  <sheetViews>
    <sheetView showGridLines="0" zoomScale="85" zoomScaleNormal="85" workbookViewId="0">
      <selection activeCell="H12" sqref="H12"/>
    </sheetView>
  </sheetViews>
  <sheetFormatPr defaultColWidth="8.796875" defaultRowHeight="18" x14ac:dyDescent="0.55000000000000004"/>
  <cols>
    <col min="1" max="1" width="25.6640625" style="17" customWidth="1"/>
    <col min="2" max="2" width="51.1328125" customWidth="1"/>
    <col min="4" max="4" width="7.1328125" bestFit="1" customWidth="1"/>
    <col min="5" max="5" width="23.6640625" customWidth="1"/>
    <col min="6" max="6" width="6.6640625" bestFit="1" customWidth="1"/>
    <col min="7" max="7" width="7.1328125" customWidth="1"/>
    <col min="8" max="8" width="12.6640625" style="15" customWidth="1"/>
    <col min="9" max="20" width="8.6640625" style="15" customWidth="1"/>
  </cols>
  <sheetData>
    <row r="1" spans="1:20" x14ac:dyDescent="0.55000000000000004">
      <c r="A1" s="16" t="s">
        <v>911</v>
      </c>
      <c r="H1" s="14"/>
      <c r="I1" s="14"/>
      <c r="J1" s="14"/>
      <c r="K1" s="14"/>
      <c r="L1" s="14"/>
      <c r="M1" s="14"/>
      <c r="N1" s="14"/>
      <c r="O1" s="14"/>
      <c r="P1" s="14"/>
      <c r="Q1" s="14"/>
      <c r="R1" s="14"/>
      <c r="S1" s="14"/>
      <c r="T1" s="14"/>
    </row>
    <row r="2" spans="1:20" x14ac:dyDescent="0.55000000000000004">
      <c r="A2" s="17" t="s">
        <v>912</v>
      </c>
      <c r="H2" s="14"/>
      <c r="I2" s="14"/>
      <c r="J2" s="14"/>
      <c r="K2" s="14"/>
      <c r="L2" s="14"/>
      <c r="M2" s="14"/>
      <c r="N2" s="14"/>
      <c r="O2" s="14"/>
      <c r="P2" s="14"/>
      <c r="Q2" s="14"/>
      <c r="R2" s="14"/>
      <c r="S2" s="14"/>
      <c r="T2" s="14"/>
    </row>
    <row r="4" spans="1:20" ht="15.75" x14ac:dyDescent="0.5">
      <c r="A4" s="2" t="s">
        <v>15</v>
      </c>
      <c r="B4" s="2" t="s">
        <v>16</v>
      </c>
    </row>
    <row r="5" spans="1:20" ht="31.5" x14ac:dyDescent="0.45">
      <c r="A5" s="23" t="s">
        <v>908</v>
      </c>
      <c r="B5" s="26" t="s">
        <v>927</v>
      </c>
    </row>
    <row r="6" spans="1:20" ht="15.75" x14ac:dyDescent="0.45">
      <c r="A6" s="23" t="s">
        <v>909</v>
      </c>
      <c r="B6" s="26" t="s">
        <v>913</v>
      </c>
    </row>
    <row r="7" spans="1:20" ht="15.75" x14ac:dyDescent="0.45">
      <c r="A7" s="23" t="s">
        <v>910</v>
      </c>
      <c r="B7" s="26" t="s">
        <v>914</v>
      </c>
    </row>
    <row r="8" spans="1:20" ht="15.75" x14ac:dyDescent="0.45">
      <c r="A8" s="23"/>
      <c r="B8" s="26"/>
    </row>
    <row r="9" spans="1:20" ht="15.75" x14ac:dyDescent="0.45">
      <c r="A9" s="23"/>
      <c r="B9" s="26"/>
    </row>
    <row r="10" spans="1:20" ht="15.75" x14ac:dyDescent="0.45">
      <c r="A10" s="23"/>
      <c r="B10" s="26"/>
    </row>
    <row r="11" spans="1:20" x14ac:dyDescent="0.55000000000000004">
      <c r="D11" s="13" t="s">
        <v>908</v>
      </c>
      <c r="E11" s="13" t="s">
        <v>909</v>
      </c>
      <c r="F11" s="13" t="s">
        <v>910</v>
      </c>
      <c r="H11" s="60" t="s">
        <v>249</v>
      </c>
      <c r="I11" s="60"/>
      <c r="J11" s="60"/>
      <c r="K11" s="60"/>
      <c r="L11" s="60"/>
      <c r="M11" s="60"/>
      <c r="N11" s="60"/>
      <c r="O11" s="60"/>
      <c r="P11" s="60"/>
      <c r="Q11" s="60"/>
      <c r="R11" s="60"/>
      <c r="S11" s="60"/>
      <c r="T11" s="60"/>
    </row>
    <row r="12" spans="1:20" ht="18.75" customHeight="1" x14ac:dyDescent="0.55000000000000004">
      <c r="D12" s="54">
        <v>15</v>
      </c>
      <c r="E12" s="102" t="s">
        <v>915</v>
      </c>
      <c r="F12" s="52">
        <v>72.400000000000006</v>
      </c>
      <c r="H12" s="27" cm="1">
        <f t="array" aca="1" ref="H12:H26" ca="1">_xlfn.LAMBDA(_xlpm.nboot,_xlpm.bootfun,_xlpm.data,
_xlfn.SCAN(0,_xlfn.SEQUENCE(_xlpm.nboot),_xlfn.LAMBDA(_xlpm.accum,_xlpm.x,
_xlpm.bootfun( SAMPLE(_xlpm.data,ROWS(_xlpm.data),1,FALSE) ) ))
)($D$12, _xlfn.LAMBDA(_xlpm.x, AVERAGE(_xlpm.x)), $F$12:$F$29)</f>
        <v>78.661111111111097</v>
      </c>
      <c r="I12" s="27"/>
      <c r="J12" s="27"/>
      <c r="K12" s="27"/>
      <c r="L12" s="27"/>
      <c r="M12" s="27"/>
      <c r="N12" s="27"/>
      <c r="O12" s="27"/>
      <c r="P12" s="27"/>
      <c r="Q12" s="27"/>
      <c r="R12" s="27"/>
      <c r="S12" s="27"/>
      <c r="T12" s="27"/>
    </row>
    <row r="13" spans="1:20" x14ac:dyDescent="0.55000000000000004">
      <c r="F13" s="52">
        <v>69.7</v>
      </c>
      <c r="H13" s="27">
        <f ca="1"/>
        <v>76.933333333333323</v>
      </c>
      <c r="I13" s="27"/>
      <c r="J13" s="27"/>
      <c r="K13" s="27"/>
      <c r="L13" s="27"/>
      <c r="M13" s="27"/>
      <c r="N13" s="27"/>
      <c r="O13" s="27"/>
      <c r="P13" s="27"/>
      <c r="Q13" s="27"/>
      <c r="R13" s="27"/>
      <c r="S13" s="27"/>
      <c r="T13" s="27"/>
    </row>
    <row r="14" spans="1:20" x14ac:dyDescent="0.55000000000000004">
      <c r="F14" s="52">
        <v>77.400000000000006</v>
      </c>
      <c r="H14" s="27">
        <f ca="1"/>
        <v>78.277777777777771</v>
      </c>
      <c r="I14" s="27"/>
      <c r="J14" s="27"/>
      <c r="K14" s="27"/>
      <c r="L14" s="27"/>
      <c r="M14" s="27"/>
      <c r="N14" s="27"/>
      <c r="O14" s="27"/>
      <c r="P14" s="27"/>
      <c r="Q14" s="27"/>
      <c r="R14" s="27"/>
      <c r="S14" s="27"/>
      <c r="T14" s="27"/>
    </row>
    <row r="15" spans="1:20" x14ac:dyDescent="0.55000000000000004">
      <c r="F15" s="52">
        <v>79.599999999999994</v>
      </c>
      <c r="H15" s="27">
        <f ca="1"/>
        <v>78.38333333333334</v>
      </c>
      <c r="I15" s="27"/>
      <c r="J15" s="27"/>
      <c r="K15" s="27"/>
      <c r="L15" s="27"/>
      <c r="M15" s="27"/>
      <c r="N15" s="27"/>
      <c r="O15" s="27"/>
      <c r="P15" s="27"/>
      <c r="Q15" s="27"/>
      <c r="R15" s="27"/>
      <c r="S15" s="27"/>
      <c r="T15" s="27"/>
    </row>
    <row r="16" spans="1:20" x14ac:dyDescent="0.55000000000000004">
      <c r="F16" s="52">
        <v>80.400000000000006</v>
      </c>
      <c r="H16" s="27">
        <f ca="1"/>
        <v>76.072222222222223</v>
      </c>
      <c r="I16" s="27"/>
      <c r="J16" s="27"/>
      <c r="K16" s="27"/>
      <c r="L16" s="27"/>
      <c r="M16" s="27"/>
      <c r="N16" s="27"/>
      <c r="O16" s="27"/>
      <c r="P16" s="27"/>
      <c r="Q16" s="27"/>
      <c r="R16" s="27"/>
      <c r="S16" s="27"/>
      <c r="T16" s="27"/>
    </row>
    <row r="17" spans="4:20" x14ac:dyDescent="0.55000000000000004">
      <c r="F17" s="52">
        <v>77.5</v>
      </c>
      <c r="H17" s="27">
        <f ca="1"/>
        <v>79.566666666666663</v>
      </c>
      <c r="I17" s="27"/>
      <c r="J17" s="27"/>
      <c r="K17" s="27"/>
      <c r="L17" s="27"/>
      <c r="M17" s="27"/>
      <c r="N17" s="27"/>
      <c r="O17" s="27"/>
      <c r="P17" s="27"/>
      <c r="Q17" s="27"/>
      <c r="R17" s="27"/>
      <c r="S17" s="27"/>
      <c r="T17" s="27"/>
    </row>
    <row r="18" spans="4:20" x14ac:dyDescent="0.55000000000000004">
      <c r="F18" s="52">
        <v>83.3</v>
      </c>
      <c r="H18" s="27">
        <f ca="1"/>
        <v>78.816666666666663</v>
      </c>
      <c r="I18" s="27"/>
      <c r="J18" s="27"/>
      <c r="K18" s="27"/>
      <c r="L18" s="27"/>
      <c r="M18" s="27"/>
      <c r="N18" s="27"/>
      <c r="O18" s="27"/>
      <c r="P18" s="27"/>
      <c r="Q18" s="27"/>
      <c r="R18" s="27"/>
      <c r="S18" s="27"/>
      <c r="T18" s="27"/>
    </row>
    <row r="19" spans="4:20" x14ac:dyDescent="0.55000000000000004">
      <c r="F19" s="52">
        <v>83.6</v>
      </c>
      <c r="H19" s="27">
        <f ca="1"/>
        <v>78.022222222222211</v>
      </c>
      <c r="I19" s="27"/>
      <c r="J19" s="27"/>
      <c r="K19" s="27"/>
      <c r="L19" s="27"/>
      <c r="M19" s="27"/>
      <c r="N19" s="27"/>
      <c r="O19" s="27"/>
      <c r="P19" s="27"/>
      <c r="Q19" s="27"/>
      <c r="R19" s="27"/>
      <c r="S19" s="27"/>
      <c r="T19" s="27"/>
    </row>
    <row r="20" spans="4:20" x14ac:dyDescent="0.55000000000000004">
      <c r="F20" s="52">
        <v>82.1</v>
      </c>
      <c r="H20" s="27">
        <f ca="1"/>
        <v>76.494444444444454</v>
      </c>
      <c r="I20" s="27"/>
      <c r="J20" s="27"/>
      <c r="K20" s="27"/>
      <c r="L20" s="27"/>
      <c r="M20" s="27"/>
      <c r="N20" s="27"/>
      <c r="O20" s="27"/>
      <c r="P20" s="27"/>
      <c r="Q20" s="27"/>
      <c r="R20" s="27"/>
      <c r="S20" s="27"/>
      <c r="T20" s="27"/>
    </row>
    <row r="21" spans="4:20" x14ac:dyDescent="0.55000000000000004">
      <c r="F21" s="52">
        <v>89.2</v>
      </c>
      <c r="H21" s="27">
        <f ca="1"/>
        <v>78.677777777777763</v>
      </c>
      <c r="I21" s="27"/>
      <c r="J21" s="27"/>
      <c r="K21" s="27"/>
      <c r="L21" s="27"/>
      <c r="M21" s="27"/>
      <c r="N21" s="27"/>
      <c r="O21" s="27"/>
      <c r="P21" s="27"/>
      <c r="Q21" s="27"/>
      <c r="R21" s="27"/>
      <c r="S21" s="27"/>
      <c r="T21" s="27"/>
    </row>
    <row r="22" spans="4:20" x14ac:dyDescent="0.55000000000000004">
      <c r="F22" s="52">
        <v>83.9</v>
      </c>
      <c r="H22" s="27">
        <f ca="1"/>
        <v>80.194444444444457</v>
      </c>
      <c r="I22" s="27"/>
      <c r="J22" s="27"/>
      <c r="K22" s="27"/>
      <c r="L22" s="27"/>
      <c r="M22" s="27"/>
      <c r="N22" s="27"/>
      <c r="O22" s="27"/>
      <c r="P22" s="27"/>
      <c r="Q22" s="27"/>
      <c r="R22" s="27"/>
      <c r="S22" s="27"/>
      <c r="T22" s="27"/>
    </row>
    <row r="23" spans="4:20" x14ac:dyDescent="0.55000000000000004">
      <c r="F23" s="52">
        <v>74.599999999999994</v>
      </c>
      <c r="H23" s="27">
        <f ca="1"/>
        <v>80.127777777777766</v>
      </c>
      <c r="I23" s="27"/>
      <c r="J23" s="27"/>
      <c r="K23" s="27"/>
      <c r="L23" s="27"/>
      <c r="M23" s="27"/>
      <c r="N23" s="27"/>
      <c r="O23" s="27"/>
      <c r="P23" s="27"/>
      <c r="Q23" s="27"/>
      <c r="R23" s="27"/>
      <c r="S23" s="27"/>
      <c r="T23" s="27"/>
    </row>
    <row r="24" spans="4:20" x14ac:dyDescent="0.55000000000000004">
      <c r="F24" s="52">
        <v>74</v>
      </c>
      <c r="H24" s="27">
        <f ca="1"/>
        <v>78.622222222222234</v>
      </c>
      <c r="I24" s="27"/>
      <c r="J24" s="27"/>
      <c r="K24" s="27"/>
      <c r="L24" s="27"/>
      <c r="M24" s="27"/>
      <c r="N24" s="27"/>
      <c r="O24" s="27"/>
      <c r="P24" s="27"/>
      <c r="Q24" s="27"/>
      <c r="R24" s="27"/>
      <c r="S24" s="27"/>
      <c r="T24" s="27"/>
    </row>
    <row r="25" spans="4:20" x14ac:dyDescent="0.55000000000000004">
      <c r="F25" s="52">
        <v>71.8</v>
      </c>
      <c r="H25" s="27">
        <f ca="1"/>
        <v>77.050000000000011</v>
      </c>
      <c r="I25" s="27"/>
      <c r="J25" s="27"/>
      <c r="K25" s="27"/>
      <c r="L25" s="27"/>
      <c r="M25" s="27"/>
      <c r="N25" s="27"/>
      <c r="O25" s="27"/>
      <c r="P25" s="27"/>
      <c r="Q25" s="27"/>
      <c r="R25" s="27"/>
      <c r="S25" s="27"/>
      <c r="T25" s="27"/>
    </row>
    <row r="26" spans="4:20" x14ac:dyDescent="0.55000000000000004">
      <c r="F26" s="52">
        <v>77.400000000000006</v>
      </c>
      <c r="H26" s="27">
        <f ca="1"/>
        <v>76.444444444444443</v>
      </c>
      <c r="I26" s="27"/>
      <c r="J26" s="27"/>
      <c r="K26" s="27"/>
      <c r="L26" s="27"/>
      <c r="M26" s="27"/>
      <c r="N26" s="27"/>
      <c r="O26" s="27"/>
      <c r="P26" s="27"/>
      <c r="Q26" s="27"/>
      <c r="R26" s="27"/>
      <c r="S26" s="27"/>
      <c r="T26" s="27"/>
    </row>
    <row r="27" spans="4:20" x14ac:dyDescent="0.55000000000000004">
      <c r="F27" s="52">
        <v>76.5</v>
      </c>
      <c r="H27" s="53"/>
      <c r="I27" s="53"/>
      <c r="J27" s="53"/>
      <c r="K27" s="53"/>
      <c r="L27" s="53"/>
      <c r="M27" s="53"/>
      <c r="N27" s="53"/>
      <c r="O27" s="53"/>
      <c r="P27" s="53"/>
      <c r="Q27" s="53"/>
      <c r="R27" s="53"/>
      <c r="S27" s="53"/>
      <c r="T27" s="53"/>
    </row>
    <row r="28" spans="4:20" x14ac:dyDescent="0.55000000000000004">
      <c r="F28" s="52">
        <v>79.7</v>
      </c>
      <c r="H28" s="53"/>
      <c r="I28" s="53"/>
      <c r="J28" s="53"/>
      <c r="K28" s="53"/>
      <c r="L28" s="53"/>
      <c r="M28" s="53"/>
      <c r="N28" s="53"/>
      <c r="O28" s="53"/>
      <c r="P28" s="53"/>
      <c r="Q28" s="53"/>
      <c r="R28" s="53"/>
      <c r="S28" s="53"/>
      <c r="T28" s="53"/>
    </row>
    <row r="29" spans="4:20" x14ac:dyDescent="0.55000000000000004">
      <c r="F29" s="52">
        <v>76.3</v>
      </c>
      <c r="H29" s="53"/>
      <c r="I29" s="53"/>
      <c r="J29" s="53"/>
      <c r="K29" s="53"/>
      <c r="L29" s="53"/>
      <c r="M29" s="53"/>
      <c r="N29" s="53"/>
      <c r="O29" s="53"/>
      <c r="P29" s="53"/>
      <c r="Q29" s="53"/>
      <c r="R29" s="53"/>
      <c r="S29" s="53"/>
      <c r="T29" s="53"/>
    </row>
    <row r="30" spans="4:20" x14ac:dyDescent="0.55000000000000004">
      <c r="H30" s="53"/>
      <c r="I30" s="53"/>
      <c r="J30" s="53"/>
      <c r="K30" s="53"/>
      <c r="L30" s="53"/>
      <c r="M30" s="53"/>
      <c r="N30" s="53"/>
      <c r="O30" s="53"/>
      <c r="P30" s="53"/>
      <c r="Q30" s="53"/>
      <c r="R30" s="53"/>
      <c r="S30" s="53"/>
      <c r="T30" s="53"/>
    </row>
    <row r="31" spans="4:20" x14ac:dyDescent="0.55000000000000004">
      <c r="H31" s="53"/>
      <c r="I31" s="53"/>
      <c r="J31" s="53"/>
      <c r="K31" s="53"/>
      <c r="L31" s="53"/>
      <c r="M31" s="53"/>
      <c r="N31" s="53"/>
      <c r="O31" s="53"/>
      <c r="P31" s="53"/>
      <c r="Q31" s="53"/>
      <c r="R31" s="53"/>
      <c r="S31" s="53"/>
      <c r="T31" s="53"/>
    </row>
    <row r="32" spans="4:20" x14ac:dyDescent="0.55000000000000004">
      <c r="D32" s="13" t="s">
        <v>908</v>
      </c>
      <c r="E32" s="13" t="s">
        <v>909</v>
      </c>
      <c r="F32" s="13" t="s">
        <v>165</v>
      </c>
      <c r="H32" s="89" t="s">
        <v>250</v>
      </c>
      <c r="I32" s="89"/>
      <c r="J32" s="89"/>
      <c r="K32" s="89"/>
      <c r="L32" s="89"/>
      <c r="M32" s="89"/>
      <c r="N32" s="89"/>
      <c r="O32" s="89"/>
      <c r="P32" s="89"/>
      <c r="Q32" s="89"/>
      <c r="R32" s="89"/>
      <c r="S32" s="89"/>
      <c r="T32" s="89"/>
    </row>
    <row r="33" spans="4:20" x14ac:dyDescent="0.55000000000000004">
      <c r="D33" s="54">
        <v>15</v>
      </c>
      <c r="E33" s="102" t="s">
        <v>915</v>
      </c>
      <c r="F33" s="52">
        <v>72.400000000000006</v>
      </c>
      <c r="H33" s="27" cm="1">
        <f t="array" aca="1" ref="H33:H47" ca="1">BOOTSTRP($D$33, _xlfn.LAMBDA(_xlpm.x, AVERAGE(_xlpm.x)), $F$33:$F$50)</f>
        <v>77.883333333333326</v>
      </c>
      <c r="I33" s="27"/>
      <c r="J33" s="27"/>
      <c r="K33" s="27"/>
      <c r="L33" s="27"/>
      <c r="M33" s="27"/>
      <c r="N33" s="27"/>
      <c r="O33" s="27"/>
      <c r="P33" s="27"/>
      <c r="Q33" s="27"/>
      <c r="R33" s="27"/>
      <c r="S33" s="27"/>
      <c r="T33" s="27"/>
    </row>
    <row r="34" spans="4:20" x14ac:dyDescent="0.55000000000000004">
      <c r="F34" s="52">
        <v>69.7</v>
      </c>
      <c r="H34" s="27">
        <f ca="1"/>
        <v>79.572222222222237</v>
      </c>
      <c r="I34" s="27"/>
      <c r="J34" s="27"/>
      <c r="K34" s="27"/>
      <c r="L34" s="27"/>
      <c r="M34" s="27"/>
      <c r="N34" s="27"/>
      <c r="O34" s="27"/>
      <c r="P34" s="27"/>
      <c r="Q34" s="27"/>
      <c r="R34" s="27"/>
      <c r="S34" s="27"/>
      <c r="T34" s="27"/>
    </row>
    <row r="35" spans="4:20" x14ac:dyDescent="0.55000000000000004">
      <c r="F35" s="52">
        <v>77.400000000000006</v>
      </c>
      <c r="H35" s="27">
        <f ca="1"/>
        <v>79.027777777777771</v>
      </c>
      <c r="I35" s="27"/>
      <c r="J35" s="27"/>
      <c r="K35" s="27"/>
      <c r="L35" s="27"/>
      <c r="M35" s="27"/>
      <c r="N35" s="27"/>
      <c r="O35" s="27"/>
      <c r="P35" s="27"/>
      <c r="Q35" s="27"/>
      <c r="R35" s="27"/>
      <c r="S35" s="27"/>
      <c r="T35" s="27"/>
    </row>
    <row r="36" spans="4:20" x14ac:dyDescent="0.55000000000000004">
      <c r="F36" s="52">
        <v>79.599999999999994</v>
      </c>
      <c r="H36" s="27">
        <f ca="1"/>
        <v>79.022222222222226</v>
      </c>
      <c r="I36" s="27"/>
      <c r="J36" s="27"/>
      <c r="K36" s="27"/>
      <c r="L36" s="27"/>
      <c r="M36" s="27"/>
      <c r="N36" s="27"/>
      <c r="O36" s="27"/>
      <c r="P36" s="27"/>
      <c r="Q36" s="27"/>
      <c r="R36" s="27"/>
      <c r="S36" s="27"/>
      <c r="T36" s="27"/>
    </row>
    <row r="37" spans="4:20" x14ac:dyDescent="0.55000000000000004">
      <c r="F37" s="52">
        <v>80.400000000000006</v>
      </c>
      <c r="H37" s="27">
        <f ca="1"/>
        <v>78.566666666666663</v>
      </c>
      <c r="I37" s="27"/>
      <c r="J37" s="27"/>
      <c r="K37" s="27"/>
      <c r="L37" s="27"/>
      <c r="M37" s="27"/>
      <c r="N37" s="27"/>
      <c r="O37" s="27"/>
      <c r="P37" s="27"/>
      <c r="Q37" s="27"/>
      <c r="R37" s="27"/>
      <c r="S37" s="27"/>
      <c r="T37" s="27"/>
    </row>
    <row r="38" spans="4:20" x14ac:dyDescent="0.55000000000000004">
      <c r="F38" s="52">
        <v>77.5</v>
      </c>
      <c r="H38" s="27">
        <f ca="1"/>
        <v>78.566666666666677</v>
      </c>
      <c r="I38" s="27"/>
      <c r="J38" s="27"/>
      <c r="K38" s="27"/>
      <c r="L38" s="27"/>
      <c r="M38" s="27"/>
      <c r="N38" s="27"/>
      <c r="O38" s="27"/>
      <c r="P38" s="27"/>
      <c r="Q38" s="27"/>
      <c r="R38" s="27"/>
      <c r="S38" s="27"/>
      <c r="T38" s="27"/>
    </row>
    <row r="39" spans="4:20" x14ac:dyDescent="0.55000000000000004">
      <c r="F39" s="52">
        <v>83.3</v>
      </c>
      <c r="H39" s="27">
        <f ca="1"/>
        <v>77.449999999999989</v>
      </c>
      <c r="I39" s="27"/>
      <c r="J39" s="27"/>
      <c r="K39" s="27"/>
      <c r="L39" s="27"/>
      <c r="M39" s="27"/>
      <c r="N39" s="27"/>
      <c r="O39" s="27"/>
      <c r="P39" s="27"/>
      <c r="Q39" s="27"/>
      <c r="R39" s="27"/>
      <c r="S39" s="27"/>
      <c r="T39" s="27"/>
    </row>
    <row r="40" spans="4:20" x14ac:dyDescent="0.55000000000000004">
      <c r="F40" s="52">
        <v>83.6</v>
      </c>
      <c r="H40" s="27">
        <f ca="1"/>
        <v>78.122222222222206</v>
      </c>
      <c r="I40" s="27"/>
      <c r="J40" s="27"/>
      <c r="K40" s="27"/>
      <c r="L40" s="27"/>
      <c r="M40" s="27"/>
      <c r="N40" s="27"/>
      <c r="O40" s="27"/>
      <c r="P40" s="27"/>
      <c r="Q40" s="27"/>
      <c r="R40" s="27"/>
      <c r="S40" s="27"/>
      <c r="T40" s="27"/>
    </row>
    <row r="41" spans="4:20" x14ac:dyDescent="0.55000000000000004">
      <c r="F41" s="52">
        <v>82.1</v>
      </c>
      <c r="H41" s="27">
        <f ca="1"/>
        <v>79.455555555555563</v>
      </c>
      <c r="I41" s="27"/>
      <c r="J41" s="27"/>
      <c r="K41" s="27"/>
      <c r="L41" s="27"/>
      <c r="M41" s="27"/>
      <c r="N41" s="27"/>
      <c r="O41" s="27"/>
      <c r="P41" s="27"/>
      <c r="Q41" s="27"/>
      <c r="R41" s="27"/>
      <c r="S41" s="27"/>
      <c r="T41" s="27"/>
    </row>
    <row r="42" spans="4:20" x14ac:dyDescent="0.55000000000000004">
      <c r="F42" s="52">
        <v>89.2</v>
      </c>
      <c r="H42" s="27">
        <f ca="1"/>
        <v>77.366666666666674</v>
      </c>
      <c r="I42" s="27"/>
      <c r="J42" s="27"/>
      <c r="K42" s="27"/>
      <c r="L42" s="27"/>
      <c r="M42" s="27"/>
      <c r="N42" s="27"/>
      <c r="O42" s="27"/>
      <c r="P42" s="27"/>
      <c r="Q42" s="27"/>
      <c r="R42" s="27"/>
      <c r="S42" s="27"/>
      <c r="T42" s="27"/>
    </row>
    <row r="43" spans="4:20" x14ac:dyDescent="0.55000000000000004">
      <c r="F43" s="52">
        <v>83.9</v>
      </c>
      <c r="H43" s="27">
        <f ca="1"/>
        <v>78.227777777777774</v>
      </c>
      <c r="I43" s="27"/>
      <c r="J43" s="27"/>
      <c r="K43" s="27"/>
      <c r="L43" s="27"/>
      <c r="M43" s="27"/>
      <c r="N43" s="27"/>
      <c r="O43" s="27"/>
      <c r="P43" s="27"/>
      <c r="Q43" s="27"/>
      <c r="R43" s="27"/>
      <c r="S43" s="27"/>
      <c r="T43" s="27"/>
    </row>
    <row r="44" spans="4:20" x14ac:dyDescent="0.55000000000000004">
      <c r="F44" s="52">
        <v>74.599999999999994</v>
      </c>
      <c r="H44" s="27">
        <f ca="1"/>
        <v>77.877777777777794</v>
      </c>
      <c r="I44" s="27"/>
      <c r="J44" s="27"/>
      <c r="K44" s="27"/>
      <c r="L44" s="27"/>
      <c r="M44" s="27"/>
      <c r="N44" s="27"/>
      <c r="O44" s="27"/>
      <c r="P44" s="27"/>
      <c r="Q44" s="27"/>
      <c r="R44" s="27"/>
      <c r="S44" s="27"/>
      <c r="T44" s="27"/>
    </row>
    <row r="45" spans="4:20" x14ac:dyDescent="0.55000000000000004">
      <c r="F45" s="52">
        <v>74</v>
      </c>
      <c r="H45" s="27">
        <f ca="1"/>
        <v>77.36666666666666</v>
      </c>
      <c r="I45" s="27"/>
      <c r="J45" s="27"/>
      <c r="K45" s="27"/>
      <c r="L45" s="27"/>
      <c r="M45" s="27"/>
      <c r="N45" s="27"/>
      <c r="O45" s="27"/>
      <c r="P45" s="27"/>
      <c r="Q45" s="27"/>
      <c r="R45" s="27"/>
      <c r="S45" s="27"/>
      <c r="T45" s="27"/>
    </row>
    <row r="46" spans="4:20" x14ac:dyDescent="0.55000000000000004">
      <c r="F46" s="52">
        <v>71.8</v>
      </c>
      <c r="H46" s="27">
        <f ca="1"/>
        <v>76.749999999999986</v>
      </c>
      <c r="I46" s="27"/>
      <c r="J46" s="27"/>
      <c r="K46" s="27"/>
      <c r="L46" s="27"/>
      <c r="M46" s="27"/>
      <c r="N46" s="27"/>
      <c r="O46" s="27"/>
      <c r="P46" s="27"/>
      <c r="Q46" s="27"/>
      <c r="R46" s="27"/>
      <c r="S46" s="27"/>
      <c r="T46" s="27"/>
    </row>
    <row r="47" spans="4:20" x14ac:dyDescent="0.55000000000000004">
      <c r="F47" s="52">
        <v>77.400000000000006</v>
      </c>
      <c r="H47" s="27">
        <f ca="1"/>
        <v>76.977777777777774</v>
      </c>
      <c r="I47" s="27"/>
      <c r="J47" s="27"/>
      <c r="K47" s="27"/>
      <c r="L47" s="27"/>
      <c r="M47" s="27"/>
      <c r="N47" s="27"/>
      <c r="O47" s="27"/>
      <c r="P47" s="27"/>
      <c r="Q47" s="27"/>
      <c r="R47" s="27"/>
      <c r="S47" s="27"/>
      <c r="T47" s="27"/>
    </row>
    <row r="48" spans="4:20" x14ac:dyDescent="0.55000000000000004">
      <c r="F48" s="52">
        <v>76.5</v>
      </c>
      <c r="H48" s="27"/>
      <c r="I48" s="27"/>
      <c r="J48" s="27"/>
      <c r="K48" s="27"/>
      <c r="L48" s="27"/>
      <c r="M48" s="27"/>
      <c r="N48" s="27"/>
      <c r="O48" s="27"/>
      <c r="P48" s="27"/>
      <c r="Q48" s="27"/>
      <c r="R48" s="27"/>
      <c r="S48" s="27"/>
      <c r="T48" s="27"/>
    </row>
    <row r="49" spans="6:6" x14ac:dyDescent="0.55000000000000004">
      <c r="F49" s="52">
        <v>79.7</v>
      </c>
    </row>
    <row r="50" spans="6:6" x14ac:dyDescent="0.55000000000000004">
      <c r="F50" s="52">
        <v>76.3</v>
      </c>
    </row>
  </sheetData>
  <pageMargins left="0.511811024" right="0.511811024" top="0.78740157499999996" bottom="0.78740157499999996" header="0.31496062000000002" footer="0.3149606200000000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E3ED9-BBAE-452B-B7D4-E4B99BED2EF1}">
  <sheetPr codeName="Planilha81">
    <tabColor theme="9" tint="0.59999389629810485"/>
  </sheetPr>
  <dimension ref="A1:O317"/>
  <sheetViews>
    <sheetView showGridLines="0" zoomScale="85" zoomScaleNormal="85" workbookViewId="0">
      <selection activeCell="Q8" sqref="Q8"/>
    </sheetView>
  </sheetViews>
  <sheetFormatPr defaultColWidth="8.796875" defaultRowHeight="18" x14ac:dyDescent="0.55000000000000004"/>
  <cols>
    <col min="1" max="1" width="25.6640625" style="17" customWidth="1"/>
    <col min="2" max="2" width="51.1328125" customWidth="1"/>
    <col min="4" max="4" width="7.1328125" bestFit="1" customWidth="1"/>
    <col min="5" max="5" width="23.6640625" customWidth="1"/>
    <col min="6" max="6" width="6.6640625" bestFit="1" customWidth="1"/>
    <col min="7" max="7" width="7.1328125" customWidth="1"/>
    <col min="8" max="8" width="12.6640625" style="15" customWidth="1"/>
    <col min="9" max="9" width="9" style="21" customWidth="1"/>
    <col min="10" max="10" width="8.33203125" style="21" customWidth="1"/>
    <col min="11" max="11" width="20.6640625" style="21" bestFit="1" customWidth="1"/>
    <col min="12" max="13" width="8.796875" style="21"/>
    <col min="14" max="15" width="8.796875" style="15"/>
  </cols>
  <sheetData>
    <row r="1" spans="1:15" x14ac:dyDescent="0.55000000000000004">
      <c r="A1" s="16" t="s">
        <v>935</v>
      </c>
      <c r="H1" s="14"/>
      <c r="N1" s="14"/>
      <c r="O1" s="14"/>
    </row>
    <row r="2" spans="1:15" x14ac:dyDescent="0.55000000000000004">
      <c r="A2" s="17" t="s">
        <v>936</v>
      </c>
      <c r="H2" s="14"/>
      <c r="N2" s="14"/>
      <c r="O2" s="14"/>
    </row>
    <row r="4" spans="1:15" ht="15.75" x14ac:dyDescent="0.5">
      <c r="A4" s="2" t="s">
        <v>15</v>
      </c>
      <c r="B4" s="2" t="s">
        <v>16</v>
      </c>
    </row>
    <row r="5" spans="1:15" ht="31.5" x14ac:dyDescent="0.45">
      <c r="A5" s="23" t="s">
        <v>937</v>
      </c>
      <c r="B5" s="26" t="s">
        <v>940</v>
      </c>
      <c r="K5" s="129"/>
    </row>
    <row r="6" spans="1:15" ht="15.75" x14ac:dyDescent="0.45">
      <c r="A6" s="23" t="s">
        <v>938</v>
      </c>
      <c r="B6" s="26" t="s">
        <v>939</v>
      </c>
    </row>
    <row r="7" spans="1:15" ht="15.75" x14ac:dyDescent="0.45">
      <c r="A7" s="23" t="s">
        <v>910</v>
      </c>
      <c r="B7" s="26" t="s">
        <v>914</v>
      </c>
    </row>
    <row r="8" spans="1:15" ht="15.75" x14ac:dyDescent="0.45">
      <c r="A8" s="23"/>
      <c r="B8" s="26"/>
    </row>
    <row r="9" spans="1:15" ht="15.75" x14ac:dyDescent="0.45">
      <c r="A9" s="23"/>
      <c r="B9" s="26"/>
    </row>
    <row r="10" spans="1:15" ht="15.75" x14ac:dyDescent="0.45">
      <c r="A10" s="23"/>
      <c r="B10" s="26"/>
    </row>
    <row r="11" spans="1:15" x14ac:dyDescent="0.55000000000000004">
      <c r="D11" s="13" t="s">
        <v>937</v>
      </c>
      <c r="E11" s="13" t="s">
        <v>938</v>
      </c>
      <c r="F11" s="13" t="s">
        <v>910</v>
      </c>
      <c r="H11" s="60" t="s">
        <v>249</v>
      </c>
      <c r="J11" s="13" t="s">
        <v>937</v>
      </c>
      <c r="K11" s="13" t="s">
        <v>938</v>
      </c>
      <c r="L11" s="13" t="s">
        <v>910</v>
      </c>
      <c r="M11" s="40"/>
      <c r="N11" s="89" t="s">
        <v>250</v>
      </c>
      <c r="O11" s="89"/>
    </row>
    <row r="12" spans="1:15" ht="18.75" customHeight="1" x14ac:dyDescent="0.55000000000000004">
      <c r="D12" s="54">
        <v>2</v>
      </c>
      <c r="E12" s="102" t="s">
        <v>915</v>
      </c>
      <c r="F12" s="52">
        <v>72.400000000000006</v>
      </c>
      <c r="H12" s="27" cm="1">
        <f t="array" ref="H12:H317">_xlfn.LAMBDA(_xlpm.nout,_xlpm.jackfun,_xlpm.data,
IF(AND(_xlpm.nout&lt;&gt;1,_xlpm.nout&lt;&gt;2), "# nout must be either 1 or 2",
_xlfn.LET(
_xlpm.nLins, ROWS(_xlpm.data),
_xlpm.idxs, IF(_xlpm.nout=1, _xlfn.SEQUENCE(_xlpm.nLins), RMMISSING(VEC(_xlfn.MAKEARRAY(_xlpm.nLins,_xlpm.nLins,_xlfn.LAMBDA(_xlpm.row,_xlpm.col, IF(_xlpm.row&lt;&gt;_xlpm.col, _xlpm.row&amp;";"&amp;_xlpm.col, #N/A)))),1)),
_xlfn.SCAN(0,_xlpm.idxs,_xlfn.LAMBDA(_xlpm.accum,_xlpm.x,
_xlpm.jackfun( SLICE(_xlpm.data,VALUE(_xlfn.TEXTSPLIT(_xlpm.x,"-",";")),VALUE(_xlfn.TEXTSPLIT(_xlpm.x,"-",";")),0,0,,TRUE) ) ))
)))($D$12, _xlfn.LAMBDA(_xlpm.x, AVERAGE(_xlpm.x)), $F$12:$F$29)</f>
        <v>79.206249999999997</v>
      </c>
      <c r="J12" s="54">
        <v>2</v>
      </c>
      <c r="K12" s="102" t="s">
        <v>915</v>
      </c>
      <c r="L12" s="52">
        <v>72.400000000000006</v>
      </c>
      <c r="M12" s="128"/>
      <c r="N12" s="27" cm="1">
        <f t="array" ref="N12:N317">JACKKNIFE($J$12, _xlfn.LAMBDA(_xlpm.x, AVERAGE(_xlpm.x)), $L$12:$L$29)</f>
        <v>79.206249999999997</v>
      </c>
      <c r="O12" s="27"/>
    </row>
    <row r="13" spans="1:15" x14ac:dyDescent="0.55000000000000004">
      <c r="F13" s="52">
        <v>69.7</v>
      </c>
      <c r="H13" s="27">
        <v>78.725000000000009</v>
      </c>
      <c r="L13" s="52">
        <v>69.7</v>
      </c>
      <c r="M13" s="128"/>
      <c r="N13" s="27">
        <v>78.725000000000009</v>
      </c>
      <c r="O13" s="27"/>
    </row>
    <row r="14" spans="1:15" x14ac:dyDescent="0.55000000000000004">
      <c r="F14" s="52">
        <v>77.400000000000006</v>
      </c>
      <c r="H14" s="27">
        <v>78.587500000000006</v>
      </c>
      <c r="L14" s="52">
        <v>77.400000000000006</v>
      </c>
      <c r="M14" s="128"/>
      <c r="N14" s="27">
        <v>78.587500000000006</v>
      </c>
      <c r="O14" s="27"/>
    </row>
    <row r="15" spans="1:15" x14ac:dyDescent="0.55000000000000004">
      <c r="F15" s="52">
        <v>79.599999999999994</v>
      </c>
      <c r="H15" s="27">
        <v>78.537500000000009</v>
      </c>
      <c r="L15" s="52">
        <v>79.599999999999994</v>
      </c>
      <c r="M15" s="128"/>
      <c r="N15" s="27">
        <v>78.537500000000009</v>
      </c>
      <c r="O15" s="27"/>
    </row>
    <row r="16" spans="1:15" x14ac:dyDescent="0.55000000000000004">
      <c r="F16" s="52">
        <v>80.400000000000006</v>
      </c>
      <c r="H16" s="27">
        <v>78.71875</v>
      </c>
      <c r="L16" s="52">
        <v>80.400000000000006</v>
      </c>
      <c r="M16" s="128"/>
      <c r="N16" s="27">
        <v>78.71875</v>
      </c>
      <c r="O16" s="27"/>
    </row>
    <row r="17" spans="4:15" s="21" customFormat="1" ht="14.25" x14ac:dyDescent="0.45">
      <c r="D17"/>
      <c r="E17"/>
      <c r="F17" s="52">
        <v>77.5</v>
      </c>
      <c r="G17"/>
      <c r="H17" s="27">
        <v>78.356250000000003</v>
      </c>
      <c r="J17" s="61"/>
      <c r="K17" s="61"/>
      <c r="L17" s="52">
        <v>77.5</v>
      </c>
      <c r="M17" s="128"/>
      <c r="N17" s="27">
        <v>78.356250000000003</v>
      </c>
      <c r="O17" s="27"/>
    </row>
    <row r="18" spans="4:15" s="21" customFormat="1" ht="14.25" x14ac:dyDescent="0.45">
      <c r="D18"/>
      <c r="E18"/>
      <c r="F18" s="52">
        <v>83.3</v>
      </c>
      <c r="G18"/>
      <c r="H18" s="27">
        <v>78.337500000000006</v>
      </c>
      <c r="J18" s="61"/>
      <c r="K18" s="61"/>
      <c r="L18" s="52">
        <v>83.3</v>
      </c>
      <c r="M18" s="128"/>
      <c r="N18" s="27">
        <v>78.337500000000006</v>
      </c>
      <c r="O18" s="27"/>
    </row>
    <row r="19" spans="4:15" s="21" customFormat="1" ht="14.25" x14ac:dyDescent="0.45">
      <c r="D19"/>
      <c r="E19"/>
      <c r="F19" s="52">
        <v>83.6</v>
      </c>
      <c r="G19"/>
      <c r="H19" s="27">
        <v>78.431250000000006</v>
      </c>
      <c r="J19" s="61"/>
      <c r="K19" s="61"/>
      <c r="L19" s="52">
        <v>83.6</v>
      </c>
      <c r="M19" s="128"/>
      <c r="N19" s="27">
        <v>78.431250000000006</v>
      </c>
      <c r="O19" s="27"/>
    </row>
    <row r="20" spans="4:15" s="21" customFormat="1" ht="14.25" x14ac:dyDescent="0.45">
      <c r="D20"/>
      <c r="E20"/>
      <c r="F20" s="52">
        <v>82.1</v>
      </c>
      <c r="G20"/>
      <c r="H20" s="27">
        <v>77.987499999999997</v>
      </c>
      <c r="J20" s="61"/>
      <c r="K20" s="61"/>
      <c r="L20" s="52">
        <v>82.1</v>
      </c>
      <c r="M20" s="128"/>
      <c r="N20" s="27">
        <v>77.987499999999997</v>
      </c>
      <c r="O20" s="27"/>
    </row>
    <row r="21" spans="4:15" s="21" customFormat="1" ht="14.25" x14ac:dyDescent="0.45">
      <c r="D21"/>
      <c r="E21"/>
      <c r="F21" s="52">
        <v>89.2</v>
      </c>
      <c r="G21"/>
      <c r="H21" s="27">
        <v>78.318749999999994</v>
      </c>
      <c r="J21" s="61"/>
      <c r="K21" s="61"/>
      <c r="L21" s="52">
        <v>89.2</v>
      </c>
      <c r="M21" s="128"/>
      <c r="N21" s="27">
        <v>78.318749999999994</v>
      </c>
      <c r="O21" s="27"/>
    </row>
    <row r="22" spans="4:15" s="21" customFormat="1" ht="14.25" x14ac:dyDescent="0.45">
      <c r="D22"/>
      <c r="E22"/>
      <c r="F22" s="52">
        <v>83.9</v>
      </c>
      <c r="G22"/>
      <c r="H22" s="27">
        <v>78.900000000000006</v>
      </c>
      <c r="J22" s="61"/>
      <c r="K22" s="61"/>
      <c r="L22" s="52">
        <v>83.9</v>
      </c>
      <c r="M22" s="128"/>
      <c r="N22" s="27">
        <v>78.900000000000006</v>
      </c>
      <c r="O22" s="27"/>
    </row>
    <row r="23" spans="4:15" s="21" customFormat="1" ht="14.25" x14ac:dyDescent="0.45">
      <c r="D23"/>
      <c r="E23"/>
      <c r="F23" s="52">
        <v>74.599999999999994</v>
      </c>
      <c r="G23"/>
      <c r="H23" s="27">
        <v>78.9375</v>
      </c>
      <c r="J23" s="61"/>
      <c r="K23" s="61"/>
      <c r="L23" s="52">
        <v>74.599999999999994</v>
      </c>
      <c r="M23" s="128"/>
      <c r="N23" s="27">
        <v>78.9375</v>
      </c>
      <c r="O23" s="27"/>
    </row>
    <row r="24" spans="4:15" s="21" customFormat="1" ht="14.25" x14ac:dyDescent="0.45">
      <c r="D24"/>
      <c r="E24"/>
      <c r="F24" s="52">
        <v>74</v>
      </c>
      <c r="G24"/>
      <c r="H24" s="27">
        <v>79.075000000000003</v>
      </c>
      <c r="J24" s="61"/>
      <c r="K24" s="61"/>
      <c r="L24" s="52">
        <v>74</v>
      </c>
      <c r="M24" s="128"/>
      <c r="N24" s="27">
        <v>79.075000000000003</v>
      </c>
      <c r="O24" s="27"/>
    </row>
    <row r="25" spans="4:15" s="21" customFormat="1" ht="14.25" x14ac:dyDescent="0.45">
      <c r="D25"/>
      <c r="E25"/>
      <c r="F25" s="52">
        <v>71.8</v>
      </c>
      <c r="G25"/>
      <c r="H25" s="27">
        <v>78.725000000000009</v>
      </c>
      <c r="J25" s="61"/>
      <c r="K25" s="61"/>
      <c r="L25" s="52">
        <v>71.8</v>
      </c>
      <c r="M25" s="128"/>
      <c r="N25" s="27">
        <v>78.725000000000009</v>
      </c>
      <c r="O25" s="27"/>
    </row>
    <row r="26" spans="4:15" s="21" customFormat="1" ht="14.25" x14ac:dyDescent="0.45">
      <c r="D26"/>
      <c r="E26"/>
      <c r="F26" s="52">
        <v>77.400000000000006</v>
      </c>
      <c r="G26"/>
      <c r="H26" s="27">
        <v>78.781250000000014</v>
      </c>
      <c r="J26" s="61"/>
      <c r="K26" s="61"/>
      <c r="L26" s="52">
        <v>77.400000000000006</v>
      </c>
      <c r="M26" s="128"/>
      <c r="N26" s="27">
        <v>78.781250000000014</v>
      </c>
      <c r="O26" s="27"/>
    </row>
    <row r="27" spans="4:15" s="21" customFormat="1" ht="14.25" x14ac:dyDescent="0.45">
      <c r="D27"/>
      <c r="E27"/>
      <c r="F27" s="52">
        <v>76.5</v>
      </c>
      <c r="G27"/>
      <c r="H27" s="27">
        <v>78.581250000000011</v>
      </c>
      <c r="J27" s="61"/>
      <c r="K27" s="61"/>
      <c r="L27" s="52">
        <v>76.5</v>
      </c>
      <c r="M27" s="128"/>
      <c r="N27" s="27">
        <v>78.581250000000011</v>
      </c>
      <c r="O27" s="27"/>
    </row>
    <row r="28" spans="4:15" s="21" customFormat="1" ht="14.25" x14ac:dyDescent="0.45">
      <c r="D28"/>
      <c r="E28"/>
      <c r="F28" s="52">
        <v>79.7</v>
      </c>
      <c r="G28"/>
      <c r="H28" s="27">
        <v>78.793750000000017</v>
      </c>
      <c r="J28" s="61"/>
      <c r="K28" s="61"/>
      <c r="L28" s="52">
        <v>79.7</v>
      </c>
      <c r="M28" s="128"/>
      <c r="N28" s="27">
        <v>78.793750000000017</v>
      </c>
      <c r="O28" s="27"/>
    </row>
    <row r="29" spans="4:15" s="21" customFormat="1" ht="14.25" x14ac:dyDescent="0.45">
      <c r="D29"/>
      <c r="E29"/>
      <c r="F29" s="52">
        <v>76.3</v>
      </c>
      <c r="G29"/>
      <c r="H29" s="27">
        <v>79.206249999999997</v>
      </c>
      <c r="J29" s="61"/>
      <c r="K29" s="61"/>
      <c r="L29" s="52">
        <v>76.3</v>
      </c>
      <c r="M29" s="128"/>
      <c r="N29" s="27">
        <v>79.206249999999997</v>
      </c>
      <c r="O29" s="27"/>
    </row>
    <row r="30" spans="4:15" s="21" customFormat="1" ht="14.25" x14ac:dyDescent="0.45">
      <c r="D30"/>
      <c r="E30"/>
      <c r="F30"/>
      <c r="G30"/>
      <c r="H30" s="27">
        <v>78.893749999999997</v>
      </c>
      <c r="N30" s="27">
        <v>78.893749999999997</v>
      </c>
      <c r="O30" s="27"/>
    </row>
    <row r="31" spans="4:15" s="21" customFormat="1" ht="14.25" x14ac:dyDescent="0.45">
      <c r="D31"/>
      <c r="E31"/>
      <c r="F31"/>
      <c r="G31"/>
      <c r="H31" s="27">
        <v>78.756250000000009</v>
      </c>
      <c r="N31" s="27">
        <v>78.756250000000009</v>
      </c>
      <c r="O31" s="27"/>
    </row>
    <row r="32" spans="4:15" s="21" customFormat="1" ht="14.25" x14ac:dyDescent="0.45">
      <c r="D32"/>
      <c r="E32"/>
      <c r="F32"/>
      <c r="G32"/>
      <c r="H32" s="27">
        <v>78.706249999999997</v>
      </c>
      <c r="N32" s="27">
        <v>78.706249999999997</v>
      </c>
      <c r="O32" s="27"/>
    </row>
    <row r="33" spans="8:15" s="21" customFormat="1" ht="14.25" x14ac:dyDescent="0.45">
      <c r="H33" s="27">
        <v>78.887500000000003</v>
      </c>
      <c r="N33" s="27">
        <v>78.887500000000003</v>
      </c>
      <c r="O33" s="27"/>
    </row>
    <row r="34" spans="8:15" s="21" customFormat="1" ht="14.25" x14ac:dyDescent="0.45">
      <c r="H34" s="27">
        <v>78.525000000000006</v>
      </c>
      <c r="N34" s="27">
        <v>78.525000000000006</v>
      </c>
      <c r="O34" s="27"/>
    </row>
    <row r="35" spans="8:15" s="21" customFormat="1" ht="14.25" x14ac:dyDescent="0.45">
      <c r="H35" s="27">
        <v>78.506249999999994</v>
      </c>
      <c r="N35" s="27">
        <v>78.506249999999994</v>
      </c>
      <c r="O35" s="27"/>
    </row>
    <row r="36" spans="8:15" s="21" customFormat="1" ht="14.25" x14ac:dyDescent="0.45">
      <c r="H36" s="27">
        <v>78.600000000000009</v>
      </c>
      <c r="N36" s="27">
        <v>78.600000000000009</v>
      </c>
      <c r="O36" s="27"/>
    </row>
    <row r="37" spans="8:15" s="21" customFormat="1" ht="14.25" x14ac:dyDescent="0.45">
      <c r="H37" s="27">
        <v>78.15625</v>
      </c>
      <c r="N37" s="27">
        <v>78.15625</v>
      </c>
      <c r="O37" s="27"/>
    </row>
    <row r="38" spans="8:15" s="21" customFormat="1" ht="14.25" x14ac:dyDescent="0.45">
      <c r="H38" s="27">
        <v>78.487500000000011</v>
      </c>
      <c r="N38" s="27">
        <v>78.487500000000011</v>
      </c>
      <c r="O38" s="27"/>
    </row>
    <row r="39" spans="8:15" s="21" customFormat="1" ht="14.25" x14ac:dyDescent="0.45">
      <c r="H39" s="27">
        <v>79.068750000000009</v>
      </c>
      <c r="N39" s="27">
        <v>79.068750000000009</v>
      </c>
      <c r="O39" s="27"/>
    </row>
    <row r="40" spans="8:15" s="21" customFormat="1" ht="14.25" x14ac:dyDescent="0.45">
      <c r="H40" s="27">
        <v>79.106250000000003</v>
      </c>
      <c r="N40" s="27">
        <v>79.106250000000003</v>
      </c>
      <c r="O40" s="27"/>
    </row>
    <row r="41" spans="8:15" s="21" customFormat="1" ht="14.25" x14ac:dyDescent="0.45">
      <c r="H41" s="27">
        <v>79.243750000000006</v>
      </c>
      <c r="N41" s="27">
        <v>79.243750000000006</v>
      </c>
      <c r="O41" s="27"/>
    </row>
    <row r="42" spans="8:15" s="21" customFormat="1" ht="14.25" x14ac:dyDescent="0.45">
      <c r="H42" s="27">
        <v>78.893750000000011</v>
      </c>
      <c r="N42" s="27">
        <v>78.893750000000011</v>
      </c>
      <c r="O42" s="27"/>
    </row>
    <row r="43" spans="8:15" s="21" customFormat="1" ht="14.25" x14ac:dyDescent="0.45">
      <c r="H43" s="27">
        <v>78.950000000000017</v>
      </c>
      <c r="N43" s="27">
        <v>78.950000000000017</v>
      </c>
      <c r="O43" s="27"/>
    </row>
    <row r="44" spans="8:15" s="21" customFormat="1" ht="14.25" x14ac:dyDescent="0.45">
      <c r="H44" s="27">
        <v>78.750000000000014</v>
      </c>
      <c r="N44" s="27">
        <v>78.750000000000014</v>
      </c>
      <c r="O44" s="27"/>
    </row>
    <row r="45" spans="8:15" s="21" customFormat="1" ht="14.25" x14ac:dyDescent="0.45">
      <c r="H45" s="27">
        <v>78.96250000000002</v>
      </c>
      <c r="N45" s="27">
        <v>78.96250000000002</v>
      </c>
      <c r="O45" s="27"/>
    </row>
    <row r="46" spans="8:15" s="21" customFormat="1" ht="14.25" x14ac:dyDescent="0.45">
      <c r="H46" s="27">
        <v>78.725000000000009</v>
      </c>
      <c r="N46" s="27">
        <v>78.725000000000009</v>
      </c>
      <c r="O46" s="27"/>
    </row>
    <row r="47" spans="8:15" s="21" customFormat="1" ht="14.25" x14ac:dyDescent="0.45">
      <c r="H47" s="27">
        <v>78.893749999999997</v>
      </c>
      <c r="N47" s="27">
        <v>78.893749999999997</v>
      </c>
      <c r="O47" s="27"/>
    </row>
    <row r="48" spans="8:15" s="21" customFormat="1" ht="14.25" x14ac:dyDescent="0.45">
      <c r="H48" s="27">
        <v>78.275000000000006</v>
      </c>
      <c r="N48" s="27">
        <v>78.275000000000006</v>
      </c>
      <c r="O48" s="27"/>
    </row>
    <row r="49" spans="8:15" x14ac:dyDescent="0.55000000000000004">
      <c r="H49" s="27">
        <v>78.224999999999994</v>
      </c>
      <c r="N49" s="27">
        <v>78.224999999999994</v>
      </c>
      <c r="O49" s="27"/>
    </row>
    <row r="50" spans="8:15" x14ac:dyDescent="0.55000000000000004">
      <c r="H50" s="27">
        <v>78.40625</v>
      </c>
      <c r="N50" s="27">
        <v>78.40625</v>
      </c>
      <c r="O50" s="27"/>
    </row>
    <row r="51" spans="8:15" x14ac:dyDescent="0.55000000000000004">
      <c r="H51" s="27">
        <v>78.043750000000003</v>
      </c>
      <c r="N51" s="27">
        <v>78.043750000000003</v>
      </c>
      <c r="O51" s="27"/>
    </row>
    <row r="52" spans="8:15" x14ac:dyDescent="0.55000000000000004">
      <c r="H52" s="27">
        <v>78.025000000000006</v>
      </c>
      <c r="I52" s="61"/>
      <c r="N52" s="27">
        <v>78.025000000000006</v>
      </c>
      <c r="O52" s="27"/>
    </row>
    <row r="53" spans="8:15" s="21" customFormat="1" ht="14.25" x14ac:dyDescent="0.45">
      <c r="H53" s="27">
        <v>78.118750000000006</v>
      </c>
      <c r="I53" s="61"/>
      <c r="N53" s="27">
        <v>78.118750000000006</v>
      </c>
      <c r="O53" s="27"/>
    </row>
    <row r="54" spans="8:15" s="21" customFormat="1" ht="14.25" x14ac:dyDescent="0.45">
      <c r="H54" s="27">
        <v>77.674999999999997</v>
      </c>
      <c r="I54" s="61"/>
      <c r="N54" s="27">
        <v>77.674999999999997</v>
      </c>
      <c r="O54" s="27"/>
    </row>
    <row r="55" spans="8:15" s="21" customFormat="1" ht="14.25" x14ac:dyDescent="0.45">
      <c r="H55" s="27">
        <v>78.006249999999994</v>
      </c>
      <c r="I55" s="61"/>
      <c r="N55" s="27">
        <v>78.006249999999994</v>
      </c>
      <c r="O55" s="27"/>
    </row>
    <row r="56" spans="8:15" s="21" customFormat="1" ht="14.25" x14ac:dyDescent="0.45">
      <c r="H56" s="27">
        <v>78.587500000000006</v>
      </c>
      <c r="I56" s="61"/>
      <c r="N56" s="27">
        <v>78.587500000000006</v>
      </c>
      <c r="O56" s="27"/>
    </row>
    <row r="57" spans="8:15" s="21" customFormat="1" ht="14.25" x14ac:dyDescent="0.45">
      <c r="H57" s="27">
        <v>78.625</v>
      </c>
      <c r="I57" s="61"/>
      <c r="N57" s="27">
        <v>78.625</v>
      </c>
      <c r="O57" s="27"/>
    </row>
    <row r="58" spans="8:15" s="21" customFormat="1" ht="14.25" x14ac:dyDescent="0.45">
      <c r="H58" s="27">
        <v>78.762500000000003</v>
      </c>
      <c r="I58" s="61"/>
      <c r="N58" s="27">
        <v>78.762500000000003</v>
      </c>
      <c r="O58" s="27"/>
    </row>
    <row r="59" spans="8:15" s="21" customFormat="1" ht="14.25" x14ac:dyDescent="0.45">
      <c r="H59" s="27">
        <v>78.412499999999994</v>
      </c>
      <c r="I59" s="61"/>
      <c r="N59" s="27">
        <v>78.412499999999994</v>
      </c>
      <c r="O59" s="27"/>
    </row>
    <row r="60" spans="8:15" s="21" customFormat="1" ht="14.25" x14ac:dyDescent="0.45">
      <c r="H60" s="27">
        <v>78.46875</v>
      </c>
      <c r="I60" s="61"/>
      <c r="N60" s="27">
        <v>78.46875</v>
      </c>
      <c r="O60" s="27"/>
    </row>
    <row r="61" spans="8:15" s="21" customFormat="1" ht="14.25" x14ac:dyDescent="0.45">
      <c r="H61" s="27">
        <v>78.268749999999997</v>
      </c>
      <c r="I61" s="61"/>
      <c r="N61" s="27">
        <v>78.268749999999997</v>
      </c>
      <c r="O61" s="27"/>
    </row>
    <row r="62" spans="8:15" s="21" customFormat="1" ht="14.25" x14ac:dyDescent="0.45">
      <c r="H62" s="27">
        <v>78.481250000000003</v>
      </c>
      <c r="I62" s="61"/>
      <c r="N62" s="27">
        <v>78.481250000000003</v>
      </c>
      <c r="O62" s="27"/>
    </row>
    <row r="63" spans="8:15" s="21" customFormat="1" ht="14.25" x14ac:dyDescent="0.45">
      <c r="H63" s="27">
        <v>78.587500000000006</v>
      </c>
      <c r="I63" s="61"/>
      <c r="N63" s="27">
        <v>78.587500000000006</v>
      </c>
      <c r="O63" s="27"/>
    </row>
    <row r="64" spans="8:15" s="21" customFormat="1" ht="14.25" x14ac:dyDescent="0.45">
      <c r="H64" s="27">
        <v>78.756250000000009</v>
      </c>
      <c r="I64" s="61"/>
      <c r="N64" s="27">
        <v>78.756250000000009</v>
      </c>
      <c r="O64" s="27"/>
    </row>
    <row r="65" spans="8:15" s="21" customFormat="1" ht="14.25" x14ac:dyDescent="0.45">
      <c r="H65" s="27">
        <v>78.275000000000006</v>
      </c>
      <c r="I65" s="61"/>
      <c r="N65" s="27">
        <v>78.275000000000006</v>
      </c>
      <c r="O65" s="27"/>
    </row>
    <row r="66" spans="8:15" s="21" customFormat="1" ht="14.25" x14ac:dyDescent="0.45">
      <c r="H66" s="27">
        <v>78.087500000000006</v>
      </c>
      <c r="I66" s="61"/>
      <c r="N66" s="27">
        <v>78.087500000000006</v>
      </c>
      <c r="O66" s="27"/>
    </row>
    <row r="67" spans="8:15" s="21" customFormat="1" ht="14.25" x14ac:dyDescent="0.45">
      <c r="H67" s="27">
        <v>78.268750000000011</v>
      </c>
      <c r="I67" s="61"/>
      <c r="N67" s="27">
        <v>78.268750000000011</v>
      </c>
      <c r="O67" s="27"/>
    </row>
    <row r="68" spans="8:15" s="21" customFormat="1" ht="14.25" x14ac:dyDescent="0.45">
      <c r="H68" s="27">
        <v>77.90625</v>
      </c>
      <c r="I68" s="61"/>
      <c r="N68" s="27">
        <v>77.90625</v>
      </c>
      <c r="O68" s="27"/>
    </row>
    <row r="69" spans="8:15" s="21" customFormat="1" ht="14.25" x14ac:dyDescent="0.45">
      <c r="H69" s="27">
        <v>77.887500000000003</v>
      </c>
      <c r="I69" s="61"/>
      <c r="N69" s="27">
        <v>77.887500000000003</v>
      </c>
      <c r="O69" s="27"/>
    </row>
    <row r="70" spans="8:15" s="21" customFormat="1" ht="14.25" x14ac:dyDescent="0.45">
      <c r="H70" s="27">
        <v>77.981250000000003</v>
      </c>
      <c r="I70" s="61"/>
      <c r="N70" s="27">
        <v>77.981250000000003</v>
      </c>
      <c r="O70" s="27"/>
    </row>
    <row r="71" spans="8:15" s="21" customFormat="1" ht="14.25" x14ac:dyDescent="0.45">
      <c r="H71" s="27">
        <v>77.537499999999994</v>
      </c>
      <c r="I71" s="61"/>
      <c r="N71" s="27">
        <v>77.537499999999994</v>
      </c>
      <c r="O71" s="27"/>
    </row>
    <row r="72" spans="8:15" s="21" customFormat="1" ht="14.25" x14ac:dyDescent="0.45">
      <c r="H72" s="27">
        <v>77.868750000000006</v>
      </c>
      <c r="I72" s="61"/>
      <c r="N72" s="27">
        <v>77.868750000000006</v>
      </c>
      <c r="O72" s="27"/>
    </row>
    <row r="73" spans="8:15" s="21" customFormat="1" ht="14.25" x14ac:dyDescent="0.45">
      <c r="H73" s="27">
        <v>78.45</v>
      </c>
      <c r="I73" s="61"/>
      <c r="N73" s="27">
        <v>78.45</v>
      </c>
      <c r="O73" s="27"/>
    </row>
    <row r="74" spans="8:15" s="21" customFormat="1" ht="14.25" x14ac:dyDescent="0.45">
      <c r="H74" s="27">
        <v>78.487500000000011</v>
      </c>
      <c r="I74" s="61"/>
      <c r="N74" s="27">
        <v>78.487500000000011</v>
      </c>
      <c r="O74" s="27"/>
    </row>
    <row r="75" spans="8:15" s="21" customFormat="1" ht="14.25" x14ac:dyDescent="0.45">
      <c r="H75" s="27">
        <v>78.625000000000014</v>
      </c>
      <c r="I75" s="61"/>
      <c r="N75" s="27">
        <v>78.625000000000014</v>
      </c>
      <c r="O75" s="27"/>
    </row>
    <row r="76" spans="8:15" s="21" customFormat="1" ht="14.25" x14ac:dyDescent="0.45">
      <c r="H76" s="27">
        <v>78.275000000000006</v>
      </c>
      <c r="I76" s="61"/>
      <c r="N76" s="27">
        <v>78.275000000000006</v>
      </c>
      <c r="O76" s="27"/>
    </row>
    <row r="77" spans="8:15" s="21" customFormat="1" ht="14.25" x14ac:dyDescent="0.45">
      <c r="H77" s="27">
        <v>78.331250000000011</v>
      </c>
      <c r="I77" s="61"/>
      <c r="N77" s="27">
        <v>78.331250000000011</v>
      </c>
      <c r="O77" s="27"/>
    </row>
    <row r="78" spans="8:15" s="21" customFormat="1" ht="14.25" x14ac:dyDescent="0.45">
      <c r="H78" s="27">
        <v>78.131250000000009</v>
      </c>
      <c r="I78" s="61"/>
      <c r="N78" s="27">
        <v>78.131250000000009</v>
      </c>
      <c r="O78" s="27"/>
    </row>
    <row r="79" spans="8:15" s="21" customFormat="1" ht="14.25" x14ac:dyDescent="0.45">
      <c r="H79" s="27">
        <v>78.343750000000014</v>
      </c>
      <c r="I79" s="61"/>
      <c r="N79" s="27">
        <v>78.343750000000014</v>
      </c>
      <c r="O79" s="27"/>
    </row>
    <row r="80" spans="8:15" s="21" customFormat="1" ht="14.25" x14ac:dyDescent="0.45">
      <c r="H80" s="27">
        <v>78.537500000000009</v>
      </c>
      <c r="I80" s="61"/>
      <c r="N80" s="27">
        <v>78.537500000000009</v>
      </c>
      <c r="O80" s="27"/>
    </row>
    <row r="81" spans="8:15" s="21" customFormat="1" ht="14.25" x14ac:dyDescent="0.45">
      <c r="H81" s="27">
        <v>78.706249999999997</v>
      </c>
      <c r="I81" s="61"/>
      <c r="N81" s="27">
        <v>78.706249999999997</v>
      </c>
      <c r="O81" s="27"/>
    </row>
    <row r="82" spans="8:15" s="21" customFormat="1" ht="14.25" x14ac:dyDescent="0.45">
      <c r="H82" s="27">
        <v>78.224999999999994</v>
      </c>
      <c r="I82" s="61"/>
      <c r="N82" s="27">
        <v>78.224999999999994</v>
      </c>
      <c r="O82" s="27"/>
    </row>
    <row r="83" spans="8:15" s="21" customFormat="1" ht="14.25" x14ac:dyDescent="0.45">
      <c r="H83" s="27">
        <v>78.087500000000006</v>
      </c>
      <c r="I83" s="61"/>
      <c r="N83" s="27">
        <v>78.087500000000006</v>
      </c>
      <c r="O83" s="27"/>
    </row>
    <row r="84" spans="8:15" s="21" customFormat="1" ht="14.25" x14ac:dyDescent="0.45">
      <c r="H84" s="27">
        <v>78.21875</v>
      </c>
      <c r="I84" s="61"/>
      <c r="N84" s="27">
        <v>78.21875</v>
      </c>
      <c r="O84" s="27"/>
    </row>
    <row r="85" spans="8:15" s="21" customFormat="1" ht="14.25" x14ac:dyDescent="0.45">
      <c r="H85" s="27">
        <v>77.856250000000003</v>
      </c>
      <c r="I85" s="61"/>
      <c r="N85" s="27">
        <v>77.856250000000003</v>
      </c>
      <c r="O85" s="27"/>
    </row>
    <row r="86" spans="8:15" s="21" customFormat="1" ht="14.25" x14ac:dyDescent="0.45">
      <c r="H86" s="27">
        <v>77.837500000000006</v>
      </c>
      <c r="I86" s="61"/>
      <c r="N86" s="27">
        <v>77.837500000000006</v>
      </c>
      <c r="O86" s="27"/>
    </row>
    <row r="87" spans="8:15" s="21" customFormat="1" ht="14.25" x14ac:dyDescent="0.45">
      <c r="H87" s="27">
        <v>77.931250000000006</v>
      </c>
      <c r="I87" s="61"/>
      <c r="N87" s="27">
        <v>77.931250000000006</v>
      </c>
      <c r="O87" s="27"/>
    </row>
    <row r="88" spans="8:15" s="21" customFormat="1" ht="14.25" x14ac:dyDescent="0.45">
      <c r="H88" s="27">
        <v>77.487499999999997</v>
      </c>
      <c r="I88" s="61"/>
      <c r="N88" s="27">
        <v>77.487499999999997</v>
      </c>
      <c r="O88" s="27"/>
    </row>
    <row r="89" spans="8:15" s="21" customFormat="1" ht="14.25" x14ac:dyDescent="0.45">
      <c r="H89" s="27">
        <v>77.818749999999994</v>
      </c>
      <c r="I89" s="61"/>
      <c r="N89" s="27">
        <v>77.818749999999994</v>
      </c>
      <c r="O89" s="27"/>
    </row>
    <row r="90" spans="8:15" s="21" customFormat="1" ht="14.25" x14ac:dyDescent="0.45">
      <c r="H90" s="27">
        <v>78.400000000000006</v>
      </c>
      <c r="I90" s="61"/>
      <c r="N90" s="27">
        <v>78.400000000000006</v>
      </c>
      <c r="O90" s="27"/>
    </row>
    <row r="91" spans="8:15" s="21" customFormat="1" ht="14.25" x14ac:dyDescent="0.45">
      <c r="H91" s="27">
        <v>78.4375</v>
      </c>
      <c r="I91" s="61"/>
      <c r="N91" s="27">
        <v>78.4375</v>
      </c>
      <c r="O91" s="27"/>
    </row>
    <row r="92" spans="8:15" s="21" customFormat="1" ht="14.25" x14ac:dyDescent="0.45">
      <c r="H92" s="27">
        <v>78.575000000000003</v>
      </c>
      <c r="I92" s="61"/>
      <c r="N92" s="27">
        <v>78.575000000000003</v>
      </c>
      <c r="O92" s="27"/>
    </row>
    <row r="93" spans="8:15" s="21" customFormat="1" ht="14.25" x14ac:dyDescent="0.45">
      <c r="H93" s="27">
        <v>78.224999999999994</v>
      </c>
      <c r="I93" s="61"/>
      <c r="N93" s="27">
        <v>78.224999999999994</v>
      </c>
      <c r="O93" s="27"/>
    </row>
    <row r="94" spans="8:15" s="21" customFormat="1" ht="14.25" x14ac:dyDescent="0.45">
      <c r="H94" s="27">
        <v>78.28125</v>
      </c>
      <c r="I94" s="61"/>
      <c r="N94" s="27">
        <v>78.28125</v>
      </c>
      <c r="O94" s="27"/>
    </row>
    <row r="95" spans="8:15" s="21" customFormat="1" ht="14.25" x14ac:dyDescent="0.45">
      <c r="H95" s="27">
        <v>78.081249999999997</v>
      </c>
      <c r="I95" s="61"/>
      <c r="N95" s="27">
        <v>78.081249999999997</v>
      </c>
      <c r="O95" s="27"/>
    </row>
    <row r="96" spans="8:15" s="21" customFormat="1" ht="14.25" x14ac:dyDescent="0.45">
      <c r="H96" s="27">
        <v>78.293750000000003</v>
      </c>
      <c r="I96" s="61"/>
      <c r="N96" s="27">
        <v>78.293750000000003</v>
      </c>
      <c r="O96" s="27"/>
    </row>
    <row r="97" spans="8:15" s="21" customFormat="1" ht="14.25" x14ac:dyDescent="0.45">
      <c r="H97" s="27">
        <v>78.71875</v>
      </c>
      <c r="I97" s="61"/>
      <c r="N97" s="27">
        <v>78.71875</v>
      </c>
      <c r="O97" s="27"/>
    </row>
    <row r="98" spans="8:15" s="21" customFormat="1" ht="14.25" x14ac:dyDescent="0.45">
      <c r="H98" s="27">
        <v>78.887500000000003</v>
      </c>
      <c r="I98" s="61"/>
      <c r="N98" s="27">
        <v>78.887500000000003</v>
      </c>
      <c r="O98" s="27"/>
    </row>
    <row r="99" spans="8:15" s="21" customFormat="1" ht="14.25" x14ac:dyDescent="0.45">
      <c r="H99" s="27">
        <v>78.40625</v>
      </c>
      <c r="I99" s="61"/>
      <c r="N99" s="27">
        <v>78.40625</v>
      </c>
      <c r="O99" s="27"/>
    </row>
    <row r="100" spans="8:15" s="21" customFormat="1" ht="14.25" x14ac:dyDescent="0.45">
      <c r="H100" s="27">
        <v>78.268750000000011</v>
      </c>
      <c r="I100" s="61"/>
      <c r="N100" s="27">
        <v>78.268750000000011</v>
      </c>
      <c r="O100" s="27"/>
    </row>
    <row r="101" spans="8:15" s="21" customFormat="1" ht="14.25" x14ac:dyDescent="0.45">
      <c r="H101" s="27">
        <v>78.21875</v>
      </c>
      <c r="I101" s="61"/>
      <c r="N101" s="27">
        <v>78.21875</v>
      </c>
      <c r="O101" s="27"/>
    </row>
    <row r="102" spans="8:15" s="21" customFormat="1" ht="14.25" x14ac:dyDescent="0.45">
      <c r="H102" s="27">
        <v>78.037499999999994</v>
      </c>
      <c r="I102" s="61"/>
      <c r="N102" s="27">
        <v>78.037499999999994</v>
      </c>
      <c r="O102" s="27"/>
    </row>
    <row r="103" spans="8:15" s="21" customFormat="1" ht="14.25" x14ac:dyDescent="0.45">
      <c r="H103" s="27">
        <v>78.018749999999997</v>
      </c>
      <c r="I103" s="61"/>
      <c r="N103" s="27">
        <v>78.018749999999997</v>
      </c>
      <c r="O103" s="27"/>
    </row>
    <row r="104" spans="8:15" s="21" customFormat="1" ht="14.25" x14ac:dyDescent="0.45">
      <c r="H104" s="27">
        <v>78.112499999999997</v>
      </c>
      <c r="I104" s="61"/>
      <c r="N104" s="27">
        <v>78.112499999999997</v>
      </c>
      <c r="O104" s="27"/>
    </row>
    <row r="105" spans="8:15" s="21" customFormat="1" ht="14.25" x14ac:dyDescent="0.45">
      <c r="H105" s="27">
        <v>77.668749999999989</v>
      </c>
      <c r="I105" s="61"/>
      <c r="N105" s="27">
        <v>77.668749999999989</v>
      </c>
      <c r="O105" s="27"/>
    </row>
    <row r="106" spans="8:15" s="21" customFormat="1" ht="14.25" x14ac:dyDescent="0.45">
      <c r="H106" s="27">
        <v>78</v>
      </c>
      <c r="I106" s="61"/>
      <c r="N106" s="27">
        <v>78</v>
      </c>
      <c r="O106" s="27"/>
    </row>
    <row r="107" spans="8:15" s="21" customFormat="1" ht="14.25" x14ac:dyDescent="0.45">
      <c r="H107" s="27">
        <v>78.581249999999997</v>
      </c>
      <c r="I107" s="61"/>
      <c r="N107" s="27">
        <v>78.581249999999997</v>
      </c>
      <c r="O107" s="27"/>
    </row>
    <row r="108" spans="8:15" s="21" customFormat="1" ht="14.25" x14ac:dyDescent="0.45">
      <c r="H108" s="27">
        <v>78.618750000000006</v>
      </c>
      <c r="I108" s="61"/>
      <c r="N108" s="27">
        <v>78.618750000000006</v>
      </c>
      <c r="O108" s="27"/>
    </row>
    <row r="109" spans="8:15" s="21" customFormat="1" ht="14.25" x14ac:dyDescent="0.45">
      <c r="H109" s="27">
        <v>78.756250000000009</v>
      </c>
      <c r="I109" s="61"/>
      <c r="N109" s="27">
        <v>78.756250000000009</v>
      </c>
      <c r="O109" s="27"/>
    </row>
    <row r="110" spans="8:15" s="21" customFormat="1" ht="14.25" x14ac:dyDescent="0.45">
      <c r="H110" s="27">
        <v>78.40625</v>
      </c>
      <c r="I110" s="61"/>
      <c r="N110" s="27">
        <v>78.40625</v>
      </c>
      <c r="O110" s="27"/>
    </row>
    <row r="111" spans="8:15" s="21" customFormat="1" ht="14.25" x14ac:dyDescent="0.45">
      <c r="H111" s="27">
        <v>78.462500000000006</v>
      </c>
      <c r="I111" s="61"/>
      <c r="N111" s="27">
        <v>78.462500000000006</v>
      </c>
      <c r="O111" s="27"/>
    </row>
    <row r="112" spans="8:15" s="21" customFormat="1" ht="14.25" x14ac:dyDescent="0.45">
      <c r="H112" s="27">
        <v>78.262500000000003</v>
      </c>
      <c r="I112" s="61"/>
      <c r="N112" s="27">
        <v>78.262500000000003</v>
      </c>
      <c r="O112" s="27"/>
    </row>
    <row r="113" spans="8:15" s="21" customFormat="1" ht="14.25" x14ac:dyDescent="0.45">
      <c r="H113" s="27">
        <v>78.475000000000009</v>
      </c>
      <c r="I113" s="61"/>
      <c r="N113" s="27">
        <v>78.475000000000009</v>
      </c>
      <c r="O113" s="27"/>
    </row>
    <row r="114" spans="8:15" s="21" customFormat="1" ht="14.25" x14ac:dyDescent="0.45">
      <c r="H114" s="27">
        <v>78.356250000000003</v>
      </c>
      <c r="I114" s="61"/>
      <c r="N114" s="27">
        <v>78.356250000000003</v>
      </c>
      <c r="O114" s="27"/>
    </row>
    <row r="115" spans="8:15" s="21" customFormat="1" ht="14.25" x14ac:dyDescent="0.45">
      <c r="H115" s="27">
        <v>78.525000000000006</v>
      </c>
      <c r="I115" s="61"/>
      <c r="N115" s="27">
        <v>78.525000000000006</v>
      </c>
      <c r="O115" s="27"/>
    </row>
    <row r="116" spans="8:15" s="21" customFormat="1" ht="14.25" x14ac:dyDescent="0.45">
      <c r="H116" s="27">
        <v>78.043750000000003</v>
      </c>
      <c r="I116" s="61"/>
      <c r="N116" s="27">
        <v>78.043750000000003</v>
      </c>
      <c r="O116" s="27"/>
    </row>
    <row r="117" spans="8:15" s="21" customFormat="1" ht="14.25" x14ac:dyDescent="0.45">
      <c r="H117" s="27">
        <v>77.90625</v>
      </c>
      <c r="I117" s="61"/>
      <c r="N117" s="27">
        <v>77.90625</v>
      </c>
      <c r="O117" s="27"/>
    </row>
    <row r="118" spans="8:15" s="21" customFormat="1" ht="14.25" x14ac:dyDescent="0.45">
      <c r="H118" s="27">
        <v>77.856250000000003</v>
      </c>
      <c r="I118" s="61"/>
      <c r="N118" s="27">
        <v>77.856250000000003</v>
      </c>
      <c r="O118" s="27"/>
    </row>
    <row r="119" spans="8:15" s="21" customFormat="1" ht="14.25" x14ac:dyDescent="0.45">
      <c r="H119" s="27">
        <v>78.037499999999994</v>
      </c>
      <c r="I119" s="61"/>
      <c r="N119" s="27">
        <v>78.037499999999994</v>
      </c>
      <c r="O119" s="27"/>
    </row>
    <row r="120" spans="8:15" s="21" customFormat="1" ht="14.25" x14ac:dyDescent="0.45">
      <c r="H120" s="27">
        <v>77.65625</v>
      </c>
      <c r="I120" s="61"/>
      <c r="N120" s="27">
        <v>77.65625</v>
      </c>
      <c r="O120" s="27"/>
    </row>
    <row r="121" spans="8:15" s="21" customFormat="1" ht="14.25" x14ac:dyDescent="0.45">
      <c r="H121" s="27">
        <v>77.75</v>
      </c>
      <c r="I121" s="61"/>
      <c r="N121" s="27">
        <v>77.75</v>
      </c>
      <c r="O121" s="27"/>
    </row>
    <row r="122" spans="8:15" s="21" customFormat="1" ht="14.25" x14ac:dyDescent="0.45">
      <c r="H122" s="27">
        <v>77.306250000000006</v>
      </c>
      <c r="I122" s="61"/>
      <c r="N122" s="27">
        <v>77.306250000000006</v>
      </c>
      <c r="O122" s="27"/>
    </row>
    <row r="123" spans="8:15" s="21" customFormat="1" ht="14.25" x14ac:dyDescent="0.45">
      <c r="H123" s="27">
        <v>77.637500000000003</v>
      </c>
      <c r="I123" s="61"/>
      <c r="N123" s="27">
        <v>77.637500000000003</v>
      </c>
      <c r="O123" s="27"/>
    </row>
    <row r="124" spans="8:15" s="21" customFormat="1" ht="14.25" x14ac:dyDescent="0.45">
      <c r="H124" s="27">
        <v>78.21875</v>
      </c>
      <c r="I124" s="61"/>
      <c r="N124" s="27">
        <v>78.21875</v>
      </c>
      <c r="O124" s="27"/>
    </row>
    <row r="125" spans="8:15" s="21" customFormat="1" ht="14.25" x14ac:dyDescent="0.45">
      <c r="H125" s="27">
        <v>78.256249999999994</v>
      </c>
      <c r="I125" s="61"/>
      <c r="N125" s="27">
        <v>78.256249999999994</v>
      </c>
      <c r="O125" s="27"/>
    </row>
    <row r="126" spans="8:15" s="21" customFormat="1" ht="14.25" x14ac:dyDescent="0.45">
      <c r="H126" s="27">
        <v>78.393750000000011</v>
      </c>
      <c r="I126" s="61"/>
      <c r="N126" s="27">
        <v>78.393750000000011</v>
      </c>
      <c r="O126" s="27"/>
    </row>
    <row r="127" spans="8:15" s="21" customFormat="1" ht="14.25" x14ac:dyDescent="0.45">
      <c r="H127" s="27">
        <v>78.043750000000003</v>
      </c>
      <c r="I127" s="61"/>
      <c r="N127" s="27">
        <v>78.043750000000003</v>
      </c>
      <c r="O127" s="27"/>
    </row>
    <row r="128" spans="8:15" s="21" customFormat="1" ht="14.25" x14ac:dyDescent="0.45">
      <c r="H128" s="27">
        <v>78.100000000000009</v>
      </c>
      <c r="I128" s="61"/>
      <c r="N128" s="27">
        <v>78.100000000000009</v>
      </c>
      <c r="O128" s="27"/>
    </row>
    <row r="129" spans="8:15" s="21" customFormat="1" ht="14.25" x14ac:dyDescent="0.45">
      <c r="H129" s="27">
        <v>77.900000000000006</v>
      </c>
      <c r="I129" s="61"/>
      <c r="N129" s="27">
        <v>77.900000000000006</v>
      </c>
      <c r="O129" s="27"/>
    </row>
    <row r="130" spans="8:15" s="21" customFormat="1" ht="14.25" x14ac:dyDescent="0.45">
      <c r="H130" s="27">
        <v>78.112500000000011</v>
      </c>
      <c r="I130" s="61"/>
      <c r="N130" s="27">
        <v>78.112500000000011</v>
      </c>
      <c r="O130" s="27"/>
    </row>
    <row r="131" spans="8:15" s="21" customFormat="1" ht="14.25" x14ac:dyDescent="0.45">
      <c r="H131" s="27">
        <v>78.337500000000006</v>
      </c>
      <c r="I131" s="61"/>
      <c r="N131" s="27">
        <v>78.337500000000006</v>
      </c>
      <c r="O131" s="27"/>
    </row>
    <row r="132" spans="8:15" s="21" customFormat="1" ht="14.25" x14ac:dyDescent="0.45">
      <c r="H132" s="27">
        <v>78.506249999999994</v>
      </c>
      <c r="I132" s="61"/>
      <c r="N132" s="27">
        <v>78.506249999999994</v>
      </c>
      <c r="O132" s="27"/>
    </row>
    <row r="133" spans="8:15" s="21" customFormat="1" ht="14.25" x14ac:dyDescent="0.45">
      <c r="H133" s="27">
        <v>78.025000000000006</v>
      </c>
      <c r="I133" s="61"/>
      <c r="N133" s="27">
        <v>78.025000000000006</v>
      </c>
      <c r="O133" s="27"/>
    </row>
    <row r="134" spans="8:15" s="21" customFormat="1" ht="14.25" x14ac:dyDescent="0.45">
      <c r="H134" s="27">
        <v>77.887500000000003</v>
      </c>
      <c r="I134" s="61"/>
      <c r="N134" s="27">
        <v>77.887500000000003</v>
      </c>
      <c r="O134" s="27"/>
    </row>
    <row r="135" spans="8:15" s="21" customFormat="1" ht="14.25" x14ac:dyDescent="0.45">
      <c r="H135" s="27">
        <v>77.837500000000006</v>
      </c>
      <c r="I135" s="61"/>
      <c r="N135" s="27">
        <v>77.837500000000006</v>
      </c>
      <c r="O135" s="27"/>
    </row>
    <row r="136" spans="8:15" s="21" customFormat="1" ht="14.25" x14ac:dyDescent="0.45">
      <c r="H136" s="27">
        <v>78.018749999999997</v>
      </c>
      <c r="I136" s="61"/>
      <c r="N136" s="27">
        <v>78.018749999999997</v>
      </c>
      <c r="O136" s="27"/>
    </row>
    <row r="137" spans="8:15" s="21" customFormat="1" ht="14.25" x14ac:dyDescent="0.45">
      <c r="H137" s="27">
        <v>77.65625</v>
      </c>
      <c r="I137" s="61"/>
      <c r="N137" s="27">
        <v>77.65625</v>
      </c>
      <c r="O137" s="27"/>
    </row>
    <row r="138" spans="8:15" s="21" customFormat="1" ht="14.25" x14ac:dyDescent="0.45">
      <c r="H138" s="27">
        <v>77.731249999999989</v>
      </c>
      <c r="I138" s="61"/>
      <c r="N138" s="27">
        <v>77.731249999999989</v>
      </c>
      <c r="O138" s="27"/>
    </row>
    <row r="139" spans="8:15" s="21" customFormat="1" ht="14.25" x14ac:dyDescent="0.45">
      <c r="H139" s="27">
        <v>77.287499999999994</v>
      </c>
      <c r="I139" s="61"/>
      <c r="N139" s="27">
        <v>77.287499999999994</v>
      </c>
      <c r="O139" s="27"/>
    </row>
    <row r="140" spans="8:15" s="21" customFormat="1" ht="14.25" x14ac:dyDescent="0.45">
      <c r="H140" s="27">
        <v>77.618750000000006</v>
      </c>
      <c r="I140" s="61"/>
      <c r="N140" s="27">
        <v>77.618750000000006</v>
      </c>
      <c r="O140" s="27"/>
    </row>
    <row r="141" spans="8:15" s="21" customFormat="1" ht="14.25" x14ac:dyDescent="0.45">
      <c r="H141" s="27">
        <v>78.199999999999989</v>
      </c>
      <c r="I141" s="61"/>
      <c r="N141" s="27">
        <v>78.199999999999989</v>
      </c>
      <c r="O141" s="27"/>
    </row>
    <row r="142" spans="8:15" s="21" customFormat="1" ht="14.25" x14ac:dyDescent="0.45">
      <c r="H142" s="27">
        <v>78.237499999999997</v>
      </c>
      <c r="I142" s="61"/>
      <c r="N142" s="27">
        <v>78.237499999999997</v>
      </c>
      <c r="O142" s="27"/>
    </row>
    <row r="143" spans="8:15" s="21" customFormat="1" ht="14.25" x14ac:dyDescent="0.45">
      <c r="H143" s="27">
        <v>78.375</v>
      </c>
      <c r="I143" s="61"/>
      <c r="N143" s="27">
        <v>78.375</v>
      </c>
      <c r="O143" s="27"/>
    </row>
    <row r="144" spans="8:15" s="21" customFormat="1" ht="14.25" x14ac:dyDescent="0.45">
      <c r="H144" s="27">
        <v>78.025000000000006</v>
      </c>
      <c r="I144" s="61"/>
      <c r="N144" s="27">
        <v>78.025000000000006</v>
      </c>
      <c r="O144" s="27"/>
    </row>
    <row r="145" spans="8:15" s="21" customFormat="1" ht="14.25" x14ac:dyDescent="0.45">
      <c r="H145" s="27">
        <v>78.081249999999997</v>
      </c>
      <c r="I145" s="61"/>
      <c r="N145" s="27">
        <v>78.081249999999997</v>
      </c>
      <c r="O145" s="27"/>
    </row>
    <row r="146" spans="8:15" s="21" customFormat="1" ht="14.25" x14ac:dyDescent="0.45">
      <c r="H146" s="27">
        <v>77.881249999999994</v>
      </c>
      <c r="I146" s="61"/>
      <c r="N146" s="27">
        <v>77.881249999999994</v>
      </c>
      <c r="O146" s="27"/>
    </row>
    <row r="147" spans="8:15" s="21" customFormat="1" ht="14.25" x14ac:dyDescent="0.45">
      <c r="H147" s="27">
        <v>78.09375</v>
      </c>
      <c r="I147" s="61"/>
      <c r="N147" s="27">
        <v>78.09375</v>
      </c>
      <c r="O147" s="27"/>
    </row>
    <row r="148" spans="8:15" s="21" customFormat="1" ht="14.25" x14ac:dyDescent="0.45">
      <c r="H148" s="27">
        <v>78.431250000000006</v>
      </c>
      <c r="I148" s="61"/>
      <c r="N148" s="27">
        <v>78.431250000000006</v>
      </c>
      <c r="O148" s="27"/>
    </row>
    <row r="149" spans="8:15" s="21" customFormat="1" ht="14.25" x14ac:dyDescent="0.45">
      <c r="H149" s="27">
        <v>78.600000000000009</v>
      </c>
      <c r="I149" s="61"/>
      <c r="N149" s="27">
        <v>78.600000000000009</v>
      </c>
      <c r="O149" s="27"/>
    </row>
    <row r="150" spans="8:15" s="21" customFormat="1" ht="14.25" x14ac:dyDescent="0.45">
      <c r="H150" s="27">
        <v>78.118750000000006</v>
      </c>
      <c r="I150" s="61"/>
      <c r="N150" s="27">
        <v>78.118750000000006</v>
      </c>
      <c r="O150" s="27"/>
    </row>
    <row r="151" spans="8:15" s="21" customFormat="1" ht="14.25" x14ac:dyDescent="0.45">
      <c r="H151" s="27">
        <v>77.981250000000003</v>
      </c>
      <c r="I151" s="61"/>
      <c r="N151" s="27">
        <v>77.981250000000003</v>
      </c>
      <c r="O151" s="27"/>
    </row>
    <row r="152" spans="8:15" s="21" customFormat="1" ht="14.25" x14ac:dyDescent="0.45">
      <c r="H152" s="27">
        <v>77.931250000000006</v>
      </c>
      <c r="I152" s="61"/>
      <c r="N152" s="27">
        <v>77.931250000000006</v>
      </c>
      <c r="O152" s="27"/>
    </row>
    <row r="153" spans="8:15" s="21" customFormat="1" ht="14.25" x14ac:dyDescent="0.45">
      <c r="H153" s="27">
        <v>78.112499999999997</v>
      </c>
      <c r="I153" s="61"/>
      <c r="N153" s="27">
        <v>78.112499999999997</v>
      </c>
      <c r="O153" s="27"/>
    </row>
    <row r="154" spans="8:15" s="21" customFormat="1" ht="14.25" x14ac:dyDescent="0.45">
      <c r="H154" s="27">
        <v>77.75</v>
      </c>
      <c r="I154" s="61"/>
      <c r="N154" s="27">
        <v>77.75</v>
      </c>
      <c r="O154" s="27"/>
    </row>
    <row r="155" spans="8:15" s="21" customFormat="1" ht="14.25" x14ac:dyDescent="0.45">
      <c r="H155" s="27">
        <v>77.731249999999989</v>
      </c>
      <c r="I155" s="61"/>
      <c r="N155" s="27">
        <v>77.731249999999989</v>
      </c>
      <c r="O155" s="27"/>
    </row>
    <row r="156" spans="8:15" s="21" customFormat="1" ht="14.25" x14ac:dyDescent="0.45">
      <c r="H156" s="27">
        <v>77.381249999999994</v>
      </c>
      <c r="I156" s="61"/>
      <c r="N156" s="27">
        <v>77.381249999999994</v>
      </c>
      <c r="O156" s="27"/>
    </row>
    <row r="157" spans="8:15" s="21" customFormat="1" ht="14.25" x14ac:dyDescent="0.45">
      <c r="H157" s="27">
        <v>77.712500000000006</v>
      </c>
      <c r="I157" s="61"/>
      <c r="N157" s="27">
        <v>77.712500000000006</v>
      </c>
      <c r="O157" s="27"/>
    </row>
    <row r="158" spans="8:15" s="21" customFormat="1" ht="14.25" x14ac:dyDescent="0.45">
      <c r="H158" s="27">
        <v>78.293749999999989</v>
      </c>
      <c r="I158" s="61"/>
      <c r="N158" s="27">
        <v>78.293749999999989</v>
      </c>
      <c r="O158" s="27"/>
    </row>
    <row r="159" spans="8:15" s="21" customFormat="1" ht="14.25" x14ac:dyDescent="0.45">
      <c r="H159" s="27">
        <v>78.331249999999997</v>
      </c>
      <c r="I159" s="61"/>
      <c r="N159" s="27">
        <v>78.331249999999997</v>
      </c>
      <c r="O159" s="27"/>
    </row>
    <row r="160" spans="8:15" s="21" customFormat="1" ht="14.25" x14ac:dyDescent="0.45">
      <c r="H160" s="27">
        <v>78.46875</v>
      </c>
      <c r="I160" s="61"/>
      <c r="N160" s="27">
        <v>78.46875</v>
      </c>
      <c r="O160" s="27"/>
    </row>
    <row r="161" spans="8:15" s="21" customFormat="1" ht="14.25" x14ac:dyDescent="0.45">
      <c r="H161" s="27">
        <v>78.118750000000006</v>
      </c>
      <c r="I161" s="61"/>
      <c r="N161" s="27">
        <v>78.118750000000006</v>
      </c>
      <c r="O161" s="27"/>
    </row>
    <row r="162" spans="8:15" s="21" customFormat="1" ht="14.25" x14ac:dyDescent="0.45">
      <c r="H162" s="27">
        <v>78.174999999999997</v>
      </c>
      <c r="I162" s="61"/>
      <c r="N162" s="27">
        <v>78.174999999999997</v>
      </c>
      <c r="O162" s="27"/>
    </row>
    <row r="163" spans="8:15" s="21" customFormat="1" ht="14.25" x14ac:dyDescent="0.45">
      <c r="H163" s="27">
        <v>77.974999999999994</v>
      </c>
      <c r="I163" s="61"/>
      <c r="N163" s="27">
        <v>77.974999999999994</v>
      </c>
      <c r="O163" s="27"/>
    </row>
    <row r="164" spans="8:15" s="21" customFormat="1" ht="14.25" x14ac:dyDescent="0.45">
      <c r="H164" s="27">
        <v>78.1875</v>
      </c>
      <c r="I164" s="61"/>
      <c r="N164" s="27">
        <v>78.1875</v>
      </c>
      <c r="O164" s="27"/>
    </row>
    <row r="165" spans="8:15" s="21" customFormat="1" ht="14.25" x14ac:dyDescent="0.45">
      <c r="H165" s="27">
        <v>77.987499999999997</v>
      </c>
      <c r="I165" s="61"/>
      <c r="N165" s="27">
        <v>77.987499999999997</v>
      </c>
      <c r="O165" s="27"/>
    </row>
    <row r="166" spans="8:15" s="21" customFormat="1" ht="14.25" x14ac:dyDescent="0.45">
      <c r="H166" s="27">
        <v>78.15625</v>
      </c>
      <c r="I166" s="61"/>
      <c r="N166" s="27">
        <v>78.15625</v>
      </c>
      <c r="O166" s="27"/>
    </row>
    <row r="167" spans="8:15" s="21" customFormat="1" ht="14.25" x14ac:dyDescent="0.45">
      <c r="H167" s="27">
        <v>77.674999999999997</v>
      </c>
      <c r="I167" s="61"/>
      <c r="N167" s="27">
        <v>77.674999999999997</v>
      </c>
      <c r="O167" s="27"/>
    </row>
    <row r="168" spans="8:15" s="21" customFormat="1" ht="14.25" x14ac:dyDescent="0.45">
      <c r="H168" s="27">
        <v>77.537499999999994</v>
      </c>
      <c r="I168" s="61"/>
      <c r="N168" s="27">
        <v>77.537499999999994</v>
      </c>
      <c r="O168" s="27"/>
    </row>
    <row r="169" spans="8:15" s="21" customFormat="1" ht="14.25" x14ac:dyDescent="0.45">
      <c r="H169" s="27">
        <v>77.487499999999997</v>
      </c>
      <c r="I169" s="61"/>
      <c r="N169" s="27">
        <v>77.487499999999997</v>
      </c>
      <c r="O169" s="27"/>
    </row>
    <row r="170" spans="8:15" s="21" customFormat="1" ht="14.25" x14ac:dyDescent="0.45">
      <c r="H170" s="27">
        <v>77.668749999999989</v>
      </c>
      <c r="I170" s="61"/>
      <c r="N170" s="27">
        <v>77.668749999999989</v>
      </c>
      <c r="O170" s="27"/>
    </row>
    <row r="171" spans="8:15" s="21" customFormat="1" ht="14.25" x14ac:dyDescent="0.45">
      <c r="H171" s="27">
        <v>77.306250000000006</v>
      </c>
      <c r="I171" s="61"/>
      <c r="N171" s="27">
        <v>77.306250000000006</v>
      </c>
      <c r="O171" s="27"/>
    </row>
    <row r="172" spans="8:15" s="21" customFormat="1" ht="14.25" x14ac:dyDescent="0.45">
      <c r="H172" s="27">
        <v>77.287499999999994</v>
      </c>
      <c r="I172" s="61"/>
      <c r="N172" s="27">
        <v>77.287499999999994</v>
      </c>
      <c r="O172" s="27"/>
    </row>
    <row r="173" spans="8:15" s="21" customFormat="1" ht="14.25" x14ac:dyDescent="0.45">
      <c r="H173" s="27">
        <v>77.381249999999994</v>
      </c>
      <c r="I173" s="61"/>
      <c r="N173" s="27">
        <v>77.381249999999994</v>
      </c>
      <c r="O173" s="27"/>
    </row>
    <row r="174" spans="8:15" s="21" customFormat="1" ht="14.25" x14ac:dyDescent="0.45">
      <c r="H174" s="27">
        <v>77.268749999999997</v>
      </c>
      <c r="I174" s="61"/>
      <c r="N174" s="27">
        <v>77.268749999999997</v>
      </c>
      <c r="O174" s="27"/>
    </row>
    <row r="175" spans="8:15" s="21" customFormat="1" ht="14.25" x14ac:dyDescent="0.45">
      <c r="H175" s="27">
        <v>77.849999999999994</v>
      </c>
      <c r="I175" s="61"/>
      <c r="N175" s="27">
        <v>77.849999999999994</v>
      </c>
      <c r="O175" s="27"/>
    </row>
    <row r="176" spans="8:15" s="21" customFormat="1" ht="14.25" x14ac:dyDescent="0.45">
      <c r="H176" s="27">
        <v>77.887499999999989</v>
      </c>
      <c r="I176" s="61"/>
      <c r="N176" s="27">
        <v>77.887499999999989</v>
      </c>
      <c r="O176" s="27"/>
    </row>
    <row r="177" spans="8:15" s="21" customFormat="1" ht="14.25" x14ac:dyDescent="0.45">
      <c r="H177" s="27">
        <v>78.025000000000006</v>
      </c>
      <c r="I177" s="61"/>
      <c r="N177" s="27">
        <v>78.025000000000006</v>
      </c>
      <c r="O177" s="27"/>
    </row>
    <row r="178" spans="8:15" s="21" customFormat="1" ht="14.25" x14ac:dyDescent="0.45">
      <c r="H178" s="27">
        <v>77.674999999999997</v>
      </c>
      <c r="I178" s="61"/>
      <c r="N178" s="27">
        <v>77.674999999999997</v>
      </c>
      <c r="O178" s="27"/>
    </row>
    <row r="179" spans="8:15" s="21" customFormat="1" ht="14.25" x14ac:dyDescent="0.45">
      <c r="H179" s="27">
        <v>77.731250000000003</v>
      </c>
      <c r="I179" s="61"/>
      <c r="N179" s="27">
        <v>77.731250000000003</v>
      </c>
      <c r="O179" s="27"/>
    </row>
    <row r="180" spans="8:15" s="21" customFormat="1" ht="14.25" x14ac:dyDescent="0.45">
      <c r="H180" s="27">
        <v>77.53125</v>
      </c>
      <c r="I180" s="61"/>
      <c r="N180" s="27">
        <v>77.53125</v>
      </c>
      <c r="O180" s="27"/>
    </row>
    <row r="181" spans="8:15" s="21" customFormat="1" ht="14.25" x14ac:dyDescent="0.45">
      <c r="H181" s="27">
        <v>77.743750000000006</v>
      </c>
      <c r="I181" s="61"/>
      <c r="N181" s="27">
        <v>77.743750000000006</v>
      </c>
      <c r="O181" s="27"/>
    </row>
    <row r="182" spans="8:15" s="21" customFormat="1" ht="14.25" x14ac:dyDescent="0.45">
      <c r="H182" s="27">
        <v>78.318749999999994</v>
      </c>
      <c r="I182" s="61"/>
      <c r="N182" s="27">
        <v>78.318749999999994</v>
      </c>
      <c r="O182" s="27"/>
    </row>
    <row r="183" spans="8:15" s="21" customFormat="1" ht="14.25" x14ac:dyDescent="0.45">
      <c r="H183" s="27">
        <v>78.487500000000011</v>
      </c>
      <c r="I183" s="61"/>
      <c r="N183" s="27">
        <v>78.487500000000011</v>
      </c>
      <c r="O183" s="27"/>
    </row>
    <row r="184" spans="8:15" s="21" customFormat="1" ht="14.25" x14ac:dyDescent="0.45">
      <c r="H184" s="27">
        <v>78.006249999999994</v>
      </c>
      <c r="I184" s="61"/>
      <c r="N184" s="27">
        <v>78.006249999999994</v>
      </c>
      <c r="O184" s="27"/>
    </row>
    <row r="185" spans="8:15" s="21" customFormat="1" ht="14.25" x14ac:dyDescent="0.45">
      <c r="H185" s="27">
        <v>77.868750000000006</v>
      </c>
      <c r="I185" s="61"/>
      <c r="N185" s="27">
        <v>77.868750000000006</v>
      </c>
      <c r="O185" s="27"/>
    </row>
    <row r="186" spans="8:15" s="21" customFormat="1" ht="14.25" x14ac:dyDescent="0.45">
      <c r="H186" s="27">
        <v>77.818749999999994</v>
      </c>
      <c r="I186" s="61"/>
      <c r="N186" s="27">
        <v>77.818749999999994</v>
      </c>
      <c r="O186" s="27"/>
    </row>
    <row r="187" spans="8:15" s="21" customFormat="1" ht="14.25" x14ac:dyDescent="0.45">
      <c r="H187" s="27">
        <v>78</v>
      </c>
      <c r="I187" s="61"/>
      <c r="N187" s="27">
        <v>78</v>
      </c>
      <c r="O187" s="27"/>
    </row>
    <row r="188" spans="8:15" s="21" customFormat="1" ht="14.25" x14ac:dyDescent="0.45">
      <c r="H188" s="27">
        <v>77.637500000000003</v>
      </c>
      <c r="I188" s="61"/>
      <c r="N188" s="27">
        <v>77.637500000000003</v>
      </c>
      <c r="O188" s="27"/>
    </row>
    <row r="189" spans="8:15" s="21" customFormat="1" ht="14.25" x14ac:dyDescent="0.45">
      <c r="H189" s="27">
        <v>77.618750000000006</v>
      </c>
      <c r="I189" s="61"/>
      <c r="N189" s="27">
        <v>77.618750000000006</v>
      </c>
      <c r="O189" s="27"/>
    </row>
    <row r="190" spans="8:15" s="21" customFormat="1" ht="14.25" x14ac:dyDescent="0.45">
      <c r="H190" s="27">
        <v>77.712500000000006</v>
      </c>
      <c r="I190" s="61"/>
      <c r="N190" s="27">
        <v>77.712500000000006</v>
      </c>
      <c r="O190" s="27"/>
    </row>
    <row r="191" spans="8:15" s="21" customFormat="1" ht="14.25" x14ac:dyDescent="0.45">
      <c r="H191" s="27">
        <v>77.268749999999997</v>
      </c>
      <c r="I191" s="61"/>
      <c r="N191" s="27">
        <v>77.268749999999997</v>
      </c>
      <c r="O191" s="27"/>
    </row>
    <row r="192" spans="8:15" s="21" customFormat="1" ht="14.25" x14ac:dyDescent="0.45">
      <c r="H192" s="27">
        <v>78.181250000000006</v>
      </c>
      <c r="I192" s="61"/>
      <c r="N192" s="27">
        <v>78.181250000000006</v>
      </c>
      <c r="O192" s="27"/>
    </row>
    <row r="193" spans="8:15" s="21" customFormat="1" ht="14.25" x14ac:dyDescent="0.45">
      <c r="H193" s="27">
        <v>78.21875</v>
      </c>
      <c r="I193" s="61"/>
      <c r="N193" s="27">
        <v>78.21875</v>
      </c>
      <c r="O193" s="27"/>
    </row>
    <row r="194" spans="8:15" s="21" customFormat="1" ht="14.25" x14ac:dyDescent="0.45">
      <c r="H194" s="27">
        <v>78.356250000000003</v>
      </c>
      <c r="I194" s="61"/>
      <c r="N194" s="27">
        <v>78.356250000000003</v>
      </c>
      <c r="O194" s="27"/>
    </row>
    <row r="195" spans="8:15" s="21" customFormat="1" ht="14.25" x14ac:dyDescent="0.45">
      <c r="H195" s="27">
        <v>78.006249999999994</v>
      </c>
      <c r="I195" s="61"/>
      <c r="N195" s="27">
        <v>78.006249999999994</v>
      </c>
      <c r="O195" s="27"/>
    </row>
    <row r="196" spans="8:15" s="21" customFormat="1" ht="14.25" x14ac:dyDescent="0.45">
      <c r="H196" s="27">
        <v>78.0625</v>
      </c>
      <c r="I196" s="61"/>
      <c r="N196" s="27">
        <v>78.0625</v>
      </c>
      <c r="O196" s="27"/>
    </row>
    <row r="197" spans="8:15" s="21" customFormat="1" ht="14.25" x14ac:dyDescent="0.45">
      <c r="H197" s="27">
        <v>77.862499999999997</v>
      </c>
      <c r="I197" s="61"/>
      <c r="N197" s="27">
        <v>77.862499999999997</v>
      </c>
      <c r="O197" s="27"/>
    </row>
    <row r="198" spans="8:15" s="21" customFormat="1" ht="14.25" x14ac:dyDescent="0.45">
      <c r="H198" s="27">
        <v>78.075000000000003</v>
      </c>
      <c r="I198" s="128"/>
      <c r="N198" s="27">
        <v>78.075000000000003</v>
      </c>
      <c r="O198" s="27"/>
    </row>
    <row r="199" spans="8:15" s="21" customFormat="1" ht="14.25" x14ac:dyDescent="0.45">
      <c r="H199" s="27">
        <v>78.900000000000006</v>
      </c>
      <c r="I199" s="128"/>
      <c r="N199" s="27">
        <v>78.900000000000006</v>
      </c>
      <c r="O199" s="27"/>
    </row>
    <row r="200" spans="8:15" s="21" customFormat="1" ht="14.25" x14ac:dyDescent="0.45">
      <c r="H200" s="27">
        <v>79.068750000000009</v>
      </c>
      <c r="I200" s="128"/>
      <c r="N200" s="27">
        <v>79.068750000000009</v>
      </c>
      <c r="O200" s="27"/>
    </row>
    <row r="201" spans="8:15" s="21" customFormat="1" ht="14.25" x14ac:dyDescent="0.45">
      <c r="H201" s="27">
        <v>78.587500000000006</v>
      </c>
      <c r="I201" s="128"/>
      <c r="N201" s="27">
        <v>78.587500000000006</v>
      </c>
      <c r="O201" s="27"/>
    </row>
    <row r="202" spans="8:15" s="21" customFormat="1" ht="14.25" x14ac:dyDescent="0.45">
      <c r="H202" s="27">
        <v>78.45</v>
      </c>
      <c r="I202" s="128"/>
      <c r="N202" s="27">
        <v>78.45</v>
      </c>
      <c r="O202" s="27"/>
    </row>
    <row r="203" spans="8:15" s="21" customFormat="1" ht="14.25" x14ac:dyDescent="0.45">
      <c r="H203" s="27">
        <v>78.400000000000006</v>
      </c>
      <c r="I203" s="128"/>
      <c r="N203" s="27">
        <v>78.400000000000006</v>
      </c>
      <c r="O203" s="27"/>
    </row>
    <row r="204" spans="8:15" s="21" customFormat="1" ht="14.25" x14ac:dyDescent="0.45">
      <c r="H204" s="27">
        <v>78.581249999999997</v>
      </c>
      <c r="I204" s="128"/>
      <c r="N204" s="27">
        <v>78.581249999999997</v>
      </c>
      <c r="O204" s="27"/>
    </row>
    <row r="205" spans="8:15" s="21" customFormat="1" ht="14.25" x14ac:dyDescent="0.45">
      <c r="H205" s="27">
        <v>78.21875</v>
      </c>
      <c r="I205" s="128"/>
      <c r="N205" s="27">
        <v>78.21875</v>
      </c>
      <c r="O205" s="27"/>
    </row>
    <row r="206" spans="8:15" s="21" customFormat="1" ht="14.25" x14ac:dyDescent="0.45">
      <c r="H206" s="27">
        <v>78.199999999999989</v>
      </c>
      <c r="I206" s="128"/>
      <c r="N206" s="27">
        <v>78.199999999999989</v>
      </c>
      <c r="O206" s="27"/>
    </row>
    <row r="207" spans="8:15" s="21" customFormat="1" ht="14.25" x14ac:dyDescent="0.45">
      <c r="H207" s="27">
        <v>78.293749999999989</v>
      </c>
      <c r="I207" s="128"/>
      <c r="N207" s="27">
        <v>78.293749999999989</v>
      </c>
      <c r="O207" s="27"/>
    </row>
    <row r="208" spans="8:15" s="21" customFormat="1" ht="14.25" x14ac:dyDescent="0.45">
      <c r="H208" s="27">
        <v>77.849999999999994</v>
      </c>
      <c r="I208" s="128"/>
      <c r="N208" s="27">
        <v>77.849999999999994</v>
      </c>
      <c r="O208" s="27"/>
    </row>
    <row r="209" spans="8:15" s="21" customFormat="1" ht="14.25" x14ac:dyDescent="0.45">
      <c r="H209" s="27">
        <v>78.181250000000006</v>
      </c>
      <c r="I209" s="128"/>
      <c r="N209" s="27">
        <v>78.181250000000006</v>
      </c>
      <c r="O209" s="27"/>
    </row>
    <row r="210" spans="8:15" s="21" customFormat="1" ht="14.25" x14ac:dyDescent="0.45">
      <c r="H210" s="27">
        <v>78.8</v>
      </c>
      <c r="I210" s="128"/>
      <c r="N210" s="27">
        <v>78.8</v>
      </c>
      <c r="O210" s="27"/>
    </row>
    <row r="211" spans="8:15" s="21" customFormat="1" ht="14.25" x14ac:dyDescent="0.45">
      <c r="H211" s="27">
        <v>78.9375</v>
      </c>
      <c r="I211" s="128"/>
      <c r="N211" s="27">
        <v>78.9375</v>
      </c>
      <c r="O211" s="27"/>
    </row>
    <row r="212" spans="8:15" s="21" customFormat="1" ht="14.25" x14ac:dyDescent="0.45">
      <c r="H212" s="27">
        <v>78.587500000000006</v>
      </c>
      <c r="I212" s="128"/>
      <c r="N212" s="27">
        <v>78.587500000000006</v>
      </c>
      <c r="O212" s="27"/>
    </row>
    <row r="213" spans="8:15" s="21" customFormat="1" ht="14.25" x14ac:dyDescent="0.45">
      <c r="H213" s="27">
        <v>78.643750000000011</v>
      </c>
      <c r="I213" s="128"/>
      <c r="N213" s="27">
        <v>78.643750000000011</v>
      </c>
      <c r="O213" s="27"/>
    </row>
    <row r="214" spans="8:15" s="21" customFormat="1" ht="14.25" x14ac:dyDescent="0.45">
      <c r="H214" s="27">
        <v>78.443750000000009</v>
      </c>
      <c r="I214" s="128"/>
      <c r="N214" s="27">
        <v>78.443750000000009</v>
      </c>
      <c r="O214" s="27"/>
    </row>
    <row r="215" spans="8:15" s="21" customFormat="1" ht="14.25" x14ac:dyDescent="0.45">
      <c r="H215" s="27">
        <v>78.656250000000014</v>
      </c>
      <c r="I215" s="128"/>
      <c r="N215" s="27">
        <v>78.656250000000014</v>
      </c>
      <c r="O215" s="27"/>
    </row>
    <row r="216" spans="8:15" s="21" customFormat="1" ht="14.25" x14ac:dyDescent="0.45">
      <c r="H216" s="27">
        <v>78.9375</v>
      </c>
      <c r="I216" s="128"/>
      <c r="N216" s="27">
        <v>78.9375</v>
      </c>
      <c r="O216" s="27"/>
    </row>
    <row r="217" spans="8:15" s="21" customFormat="1" ht="14.25" x14ac:dyDescent="0.45">
      <c r="H217" s="27">
        <v>79.106250000000003</v>
      </c>
      <c r="I217" s="128"/>
      <c r="N217" s="27">
        <v>79.106250000000003</v>
      </c>
      <c r="O217" s="27"/>
    </row>
    <row r="218" spans="8:15" s="21" customFormat="1" ht="14.25" x14ac:dyDescent="0.45">
      <c r="H218" s="27">
        <v>78.625</v>
      </c>
      <c r="I218" s="128"/>
      <c r="N218" s="27">
        <v>78.625</v>
      </c>
      <c r="O218" s="27"/>
    </row>
    <row r="219" spans="8:15" s="21" customFormat="1" ht="14.25" x14ac:dyDescent="0.45">
      <c r="H219" s="27">
        <v>78.487500000000011</v>
      </c>
      <c r="I219" s="128"/>
      <c r="N219" s="27">
        <v>78.487500000000011</v>
      </c>
      <c r="O219" s="27"/>
    </row>
    <row r="220" spans="8:15" s="21" customFormat="1" ht="14.25" x14ac:dyDescent="0.45">
      <c r="H220" s="27">
        <v>78.4375</v>
      </c>
      <c r="I220" s="128"/>
      <c r="N220" s="27">
        <v>78.4375</v>
      </c>
      <c r="O220" s="27"/>
    </row>
    <row r="221" spans="8:15" s="21" customFormat="1" ht="14.25" x14ac:dyDescent="0.45">
      <c r="H221" s="27">
        <v>78.618750000000006</v>
      </c>
      <c r="I221" s="128"/>
      <c r="N221" s="27">
        <v>78.618750000000006</v>
      </c>
      <c r="O221" s="27"/>
    </row>
    <row r="222" spans="8:15" s="21" customFormat="1" ht="14.25" x14ac:dyDescent="0.45">
      <c r="H222" s="27">
        <v>78.256249999999994</v>
      </c>
      <c r="I222" s="128"/>
      <c r="N222" s="27">
        <v>78.256249999999994</v>
      </c>
      <c r="O222" s="27"/>
    </row>
    <row r="223" spans="8:15" s="21" customFormat="1" ht="14.25" x14ac:dyDescent="0.45">
      <c r="H223" s="27">
        <v>78.237499999999997</v>
      </c>
      <c r="I223" s="128"/>
      <c r="N223" s="27">
        <v>78.237499999999997</v>
      </c>
      <c r="O223" s="27"/>
    </row>
    <row r="224" spans="8:15" s="21" customFormat="1" ht="14.25" x14ac:dyDescent="0.45">
      <c r="H224" s="27">
        <v>78.331249999999997</v>
      </c>
      <c r="I224" s="128"/>
      <c r="N224" s="27">
        <v>78.331249999999997</v>
      </c>
      <c r="O224" s="27"/>
    </row>
    <row r="225" spans="8:15" s="21" customFormat="1" ht="14.25" x14ac:dyDescent="0.45">
      <c r="H225" s="27">
        <v>77.887499999999989</v>
      </c>
      <c r="I225" s="128"/>
      <c r="N225" s="27">
        <v>77.887499999999989</v>
      </c>
      <c r="O225" s="27"/>
    </row>
    <row r="226" spans="8:15" s="21" customFormat="1" ht="14.25" x14ac:dyDescent="0.45">
      <c r="H226" s="27">
        <v>78.21875</v>
      </c>
      <c r="I226" s="128"/>
      <c r="N226" s="27">
        <v>78.21875</v>
      </c>
      <c r="O226" s="27"/>
    </row>
    <row r="227" spans="8:15" s="21" customFormat="1" ht="14.25" x14ac:dyDescent="0.45">
      <c r="H227" s="27">
        <v>78.8</v>
      </c>
      <c r="I227" s="128"/>
      <c r="N227" s="27">
        <v>78.8</v>
      </c>
      <c r="O227" s="27"/>
    </row>
    <row r="228" spans="8:15" s="21" customFormat="1" ht="14.25" x14ac:dyDescent="0.45">
      <c r="H228" s="27">
        <v>78.975000000000009</v>
      </c>
      <c r="I228" s="128"/>
      <c r="N228" s="27">
        <v>78.975000000000009</v>
      </c>
      <c r="O228" s="27"/>
    </row>
    <row r="229" spans="8:15" s="21" customFormat="1" ht="14.25" x14ac:dyDescent="0.45">
      <c r="H229" s="27">
        <v>78.625</v>
      </c>
      <c r="I229" s="128"/>
      <c r="N229" s="27">
        <v>78.625</v>
      </c>
      <c r="O229" s="27"/>
    </row>
    <row r="230" spans="8:15" s="21" customFormat="1" ht="14.25" x14ac:dyDescent="0.45">
      <c r="H230" s="27">
        <v>78.681250000000006</v>
      </c>
      <c r="I230" s="128"/>
      <c r="N230" s="27">
        <v>78.681250000000006</v>
      </c>
      <c r="O230" s="27"/>
    </row>
    <row r="231" spans="8:15" s="21" customFormat="1" ht="14.25" x14ac:dyDescent="0.45">
      <c r="H231" s="27">
        <v>78.481250000000003</v>
      </c>
      <c r="I231" s="128"/>
      <c r="N231" s="27">
        <v>78.481250000000003</v>
      </c>
      <c r="O231" s="27"/>
    </row>
    <row r="232" spans="8:15" s="21" customFormat="1" ht="14.25" x14ac:dyDescent="0.45">
      <c r="H232" s="27">
        <v>78.693750000000009</v>
      </c>
      <c r="I232" s="128"/>
      <c r="N232" s="27">
        <v>78.693750000000009</v>
      </c>
      <c r="O232" s="27"/>
    </row>
    <row r="233" spans="8:15" s="21" customFormat="1" ht="14.25" x14ac:dyDescent="0.45">
      <c r="H233" s="27">
        <v>79.075000000000003</v>
      </c>
      <c r="I233" s="128"/>
      <c r="N233" s="27">
        <v>79.075000000000003</v>
      </c>
      <c r="O233" s="27"/>
    </row>
    <row r="234" spans="8:15" s="21" customFormat="1" ht="14.25" x14ac:dyDescent="0.45">
      <c r="H234" s="27">
        <v>79.243750000000006</v>
      </c>
      <c r="I234" s="128"/>
      <c r="N234" s="27">
        <v>79.243750000000006</v>
      </c>
      <c r="O234" s="27"/>
    </row>
    <row r="235" spans="8:15" s="21" customFormat="1" ht="14.25" x14ac:dyDescent="0.45">
      <c r="H235" s="27">
        <v>78.762500000000003</v>
      </c>
      <c r="I235" s="128"/>
      <c r="N235" s="27">
        <v>78.762500000000003</v>
      </c>
      <c r="O235" s="27"/>
    </row>
    <row r="236" spans="8:15" s="21" customFormat="1" ht="14.25" x14ac:dyDescent="0.45">
      <c r="H236" s="27">
        <v>78.625000000000014</v>
      </c>
      <c r="I236" s="128"/>
      <c r="N236" s="27">
        <v>78.625000000000014</v>
      </c>
      <c r="O236" s="27"/>
    </row>
    <row r="237" spans="8:15" s="21" customFormat="1" ht="14.25" x14ac:dyDescent="0.45">
      <c r="H237" s="27">
        <v>78.575000000000003</v>
      </c>
      <c r="I237" s="128"/>
      <c r="N237" s="27">
        <v>78.575000000000003</v>
      </c>
      <c r="O237" s="27"/>
    </row>
    <row r="238" spans="8:15" s="21" customFormat="1" ht="14.25" x14ac:dyDescent="0.45">
      <c r="H238" s="27">
        <v>78.756250000000009</v>
      </c>
      <c r="I238" s="128"/>
      <c r="N238" s="27">
        <v>78.756250000000009</v>
      </c>
      <c r="O238" s="27"/>
    </row>
    <row r="239" spans="8:15" s="21" customFormat="1" ht="14.25" x14ac:dyDescent="0.45">
      <c r="H239" s="27">
        <v>78.393750000000011</v>
      </c>
      <c r="I239" s="128"/>
      <c r="N239" s="27">
        <v>78.393750000000011</v>
      </c>
      <c r="O239" s="27"/>
    </row>
    <row r="240" spans="8:15" s="21" customFormat="1" ht="14.25" x14ac:dyDescent="0.45">
      <c r="H240" s="27">
        <v>78.375</v>
      </c>
      <c r="I240" s="128"/>
      <c r="N240" s="27">
        <v>78.375</v>
      </c>
      <c r="O240" s="27"/>
    </row>
    <row r="241" spans="8:15" s="21" customFormat="1" ht="14.25" x14ac:dyDescent="0.45">
      <c r="H241" s="27">
        <v>78.46875</v>
      </c>
      <c r="I241" s="128"/>
      <c r="N241" s="27">
        <v>78.46875</v>
      </c>
      <c r="O241" s="27"/>
    </row>
    <row r="242" spans="8:15" s="21" customFormat="1" ht="14.25" x14ac:dyDescent="0.45">
      <c r="H242" s="27">
        <v>78.025000000000006</v>
      </c>
      <c r="I242" s="128"/>
      <c r="N242" s="27">
        <v>78.025000000000006</v>
      </c>
      <c r="O242" s="27"/>
    </row>
    <row r="243" spans="8:15" s="21" customFormat="1" ht="14.25" x14ac:dyDescent="0.45">
      <c r="H243" s="27">
        <v>78.356250000000003</v>
      </c>
      <c r="I243" s="128"/>
      <c r="N243" s="27">
        <v>78.356250000000003</v>
      </c>
      <c r="O243" s="27"/>
    </row>
    <row r="244" spans="8:15" s="21" customFormat="1" ht="14.25" x14ac:dyDescent="0.45">
      <c r="H244" s="27">
        <v>78.9375</v>
      </c>
      <c r="I244" s="128"/>
      <c r="N244" s="27">
        <v>78.9375</v>
      </c>
      <c r="O244" s="27"/>
    </row>
    <row r="245" spans="8:15" x14ac:dyDescent="0.55000000000000004">
      <c r="H245" s="27">
        <v>78.975000000000009</v>
      </c>
      <c r="N245" s="27">
        <v>78.975000000000009</v>
      </c>
      <c r="O245" s="27"/>
    </row>
    <row r="246" spans="8:15" x14ac:dyDescent="0.55000000000000004">
      <c r="H246" s="27">
        <v>78.762500000000003</v>
      </c>
      <c r="N246" s="27">
        <v>78.762500000000003</v>
      </c>
      <c r="O246" s="27"/>
    </row>
    <row r="247" spans="8:15" x14ac:dyDescent="0.55000000000000004">
      <c r="H247" s="27">
        <v>78.818750000000009</v>
      </c>
      <c r="N247" s="27">
        <v>78.818750000000009</v>
      </c>
      <c r="O247" s="27"/>
    </row>
    <row r="248" spans="8:15" x14ac:dyDescent="0.55000000000000004">
      <c r="H248" s="27">
        <v>78.618750000000006</v>
      </c>
      <c r="N248" s="27">
        <v>78.618750000000006</v>
      </c>
      <c r="O248" s="27"/>
    </row>
    <row r="249" spans="8:15" x14ac:dyDescent="0.55000000000000004">
      <c r="H249" s="27">
        <v>78.831250000000011</v>
      </c>
      <c r="N249" s="27">
        <v>78.831250000000011</v>
      </c>
      <c r="O249" s="27"/>
    </row>
    <row r="250" spans="8:15" x14ac:dyDescent="0.55000000000000004">
      <c r="H250" s="27">
        <v>78.725000000000009</v>
      </c>
      <c r="N250" s="27">
        <v>78.725000000000009</v>
      </c>
      <c r="O250" s="27"/>
    </row>
    <row r="251" spans="8:15" x14ac:dyDescent="0.55000000000000004">
      <c r="H251" s="27">
        <v>78.893750000000011</v>
      </c>
      <c r="N251" s="27">
        <v>78.893750000000011</v>
      </c>
      <c r="O251" s="27"/>
    </row>
    <row r="252" spans="8:15" x14ac:dyDescent="0.55000000000000004">
      <c r="H252" s="27">
        <v>78.412499999999994</v>
      </c>
      <c r="N252" s="27">
        <v>78.412499999999994</v>
      </c>
      <c r="O252" s="27"/>
    </row>
    <row r="253" spans="8:15" x14ac:dyDescent="0.55000000000000004">
      <c r="H253" s="27">
        <v>78.275000000000006</v>
      </c>
      <c r="N253" s="27">
        <v>78.275000000000006</v>
      </c>
      <c r="O253" s="27"/>
    </row>
    <row r="254" spans="8:15" x14ac:dyDescent="0.55000000000000004">
      <c r="H254" s="27">
        <v>78.224999999999994</v>
      </c>
      <c r="N254" s="27">
        <v>78.224999999999994</v>
      </c>
      <c r="O254" s="27"/>
    </row>
    <row r="255" spans="8:15" x14ac:dyDescent="0.55000000000000004">
      <c r="H255" s="27">
        <v>78.40625</v>
      </c>
      <c r="N255" s="27">
        <v>78.40625</v>
      </c>
      <c r="O255" s="27"/>
    </row>
    <row r="256" spans="8:15" x14ac:dyDescent="0.55000000000000004">
      <c r="H256" s="27">
        <v>78.043750000000003</v>
      </c>
      <c r="N256" s="27">
        <v>78.043750000000003</v>
      </c>
      <c r="O256" s="27"/>
    </row>
    <row r="257" spans="8:15" x14ac:dyDescent="0.55000000000000004">
      <c r="H257" s="27">
        <v>78.025000000000006</v>
      </c>
      <c r="N257" s="27">
        <v>78.025000000000006</v>
      </c>
      <c r="O257" s="27"/>
    </row>
    <row r="258" spans="8:15" x14ac:dyDescent="0.55000000000000004">
      <c r="H258" s="27">
        <v>78.118750000000006</v>
      </c>
      <c r="N258" s="27">
        <v>78.118750000000006</v>
      </c>
      <c r="O258" s="27"/>
    </row>
    <row r="259" spans="8:15" x14ac:dyDescent="0.55000000000000004">
      <c r="H259" s="27">
        <v>77.674999999999997</v>
      </c>
      <c r="N259" s="27">
        <v>77.674999999999997</v>
      </c>
      <c r="O259" s="27"/>
    </row>
    <row r="260" spans="8:15" x14ac:dyDescent="0.55000000000000004">
      <c r="H260" s="27">
        <v>78.006249999999994</v>
      </c>
      <c r="N260" s="27">
        <v>78.006249999999994</v>
      </c>
      <c r="O260" s="27"/>
    </row>
    <row r="261" spans="8:15" x14ac:dyDescent="0.55000000000000004">
      <c r="H261" s="27">
        <v>78.587500000000006</v>
      </c>
      <c r="N261" s="27">
        <v>78.587500000000006</v>
      </c>
      <c r="O261" s="27"/>
    </row>
    <row r="262" spans="8:15" x14ac:dyDescent="0.55000000000000004">
      <c r="H262" s="27">
        <v>78.625</v>
      </c>
      <c r="N262" s="27">
        <v>78.625</v>
      </c>
      <c r="O262" s="27"/>
    </row>
    <row r="263" spans="8:15" x14ac:dyDescent="0.55000000000000004">
      <c r="H263" s="27">
        <v>78.762500000000003</v>
      </c>
      <c r="N263" s="27">
        <v>78.762500000000003</v>
      </c>
      <c r="O263" s="27"/>
    </row>
    <row r="264" spans="8:15" x14ac:dyDescent="0.55000000000000004">
      <c r="H264" s="27">
        <v>78.46875</v>
      </c>
      <c r="N264" s="27">
        <v>78.46875</v>
      </c>
      <c r="O264" s="27"/>
    </row>
    <row r="265" spans="8:15" x14ac:dyDescent="0.55000000000000004">
      <c r="H265" s="27">
        <v>78.268749999999997</v>
      </c>
      <c r="N265" s="27">
        <v>78.268749999999997</v>
      </c>
      <c r="O265" s="27"/>
    </row>
    <row r="266" spans="8:15" x14ac:dyDescent="0.55000000000000004">
      <c r="H266" s="27">
        <v>78.481250000000003</v>
      </c>
      <c r="N266" s="27">
        <v>78.481250000000003</v>
      </c>
      <c r="O266" s="27"/>
    </row>
    <row r="267" spans="8:15" x14ac:dyDescent="0.55000000000000004">
      <c r="H267" s="27">
        <v>78.781250000000014</v>
      </c>
      <c r="N267" s="27">
        <v>78.781250000000014</v>
      </c>
      <c r="O267" s="27"/>
    </row>
    <row r="268" spans="8:15" x14ac:dyDescent="0.55000000000000004">
      <c r="H268" s="27">
        <v>78.950000000000017</v>
      </c>
      <c r="N268" s="27">
        <v>78.950000000000017</v>
      </c>
      <c r="O268" s="27"/>
    </row>
    <row r="269" spans="8:15" x14ac:dyDescent="0.55000000000000004">
      <c r="H269" s="27">
        <v>78.46875</v>
      </c>
      <c r="N269" s="27">
        <v>78.46875</v>
      </c>
      <c r="O269" s="27"/>
    </row>
    <row r="270" spans="8:15" x14ac:dyDescent="0.55000000000000004">
      <c r="H270" s="27">
        <v>78.331250000000011</v>
      </c>
      <c r="N270" s="27">
        <v>78.331250000000011</v>
      </c>
      <c r="O270" s="27"/>
    </row>
    <row r="271" spans="8:15" x14ac:dyDescent="0.55000000000000004">
      <c r="H271" s="27">
        <v>78.28125</v>
      </c>
      <c r="N271" s="27">
        <v>78.28125</v>
      </c>
      <c r="O271" s="27"/>
    </row>
    <row r="272" spans="8:15" x14ac:dyDescent="0.55000000000000004">
      <c r="H272" s="27">
        <v>78.462500000000006</v>
      </c>
      <c r="N272" s="27">
        <v>78.462500000000006</v>
      </c>
      <c r="O272" s="27"/>
    </row>
    <row r="273" spans="8:15" x14ac:dyDescent="0.55000000000000004">
      <c r="H273" s="27">
        <v>78.100000000000009</v>
      </c>
      <c r="N273" s="27">
        <v>78.100000000000009</v>
      </c>
      <c r="O273" s="27"/>
    </row>
    <row r="274" spans="8:15" x14ac:dyDescent="0.55000000000000004">
      <c r="H274" s="27">
        <v>78.081249999999997</v>
      </c>
      <c r="N274" s="27">
        <v>78.081249999999997</v>
      </c>
      <c r="O274" s="27"/>
    </row>
    <row r="275" spans="8:15" x14ac:dyDescent="0.55000000000000004">
      <c r="H275" s="27">
        <v>78.174999999999997</v>
      </c>
      <c r="N275" s="27">
        <v>78.174999999999997</v>
      </c>
      <c r="O275" s="27"/>
    </row>
    <row r="276" spans="8:15" x14ac:dyDescent="0.55000000000000004">
      <c r="H276" s="27">
        <v>77.731250000000003</v>
      </c>
      <c r="N276" s="27">
        <v>77.731250000000003</v>
      </c>
      <c r="O276" s="27"/>
    </row>
    <row r="277" spans="8:15" x14ac:dyDescent="0.55000000000000004">
      <c r="H277" s="27">
        <v>78.0625</v>
      </c>
      <c r="N277" s="27">
        <v>78.0625</v>
      </c>
      <c r="O277" s="27"/>
    </row>
    <row r="278" spans="8:15" x14ac:dyDescent="0.55000000000000004">
      <c r="H278" s="27">
        <v>78.643750000000011</v>
      </c>
      <c r="N278" s="27">
        <v>78.643750000000011</v>
      </c>
      <c r="O278" s="27"/>
    </row>
    <row r="279" spans="8:15" x14ac:dyDescent="0.55000000000000004">
      <c r="H279" s="27">
        <v>78.681250000000006</v>
      </c>
      <c r="N279" s="27">
        <v>78.681250000000006</v>
      </c>
      <c r="O279" s="27"/>
    </row>
    <row r="280" spans="8:15" x14ac:dyDescent="0.55000000000000004">
      <c r="H280" s="27">
        <v>78.818750000000009</v>
      </c>
      <c r="N280" s="27">
        <v>78.818750000000009</v>
      </c>
      <c r="O280" s="27"/>
    </row>
    <row r="281" spans="8:15" x14ac:dyDescent="0.55000000000000004">
      <c r="H281" s="27">
        <v>78.46875</v>
      </c>
      <c r="N281" s="27">
        <v>78.46875</v>
      </c>
      <c r="O281" s="27"/>
    </row>
    <row r="282" spans="8:15" x14ac:dyDescent="0.55000000000000004">
      <c r="H282" s="27">
        <v>78.325000000000003</v>
      </c>
      <c r="N282" s="27">
        <v>78.325000000000003</v>
      </c>
      <c r="O282" s="27"/>
    </row>
    <row r="283" spans="8:15" x14ac:dyDescent="0.55000000000000004">
      <c r="H283" s="27">
        <v>78.537500000000009</v>
      </c>
      <c r="N283" s="27">
        <v>78.537500000000009</v>
      </c>
      <c r="O283" s="27"/>
    </row>
    <row r="284" spans="8:15" x14ac:dyDescent="0.55000000000000004">
      <c r="H284" s="27">
        <v>78.581250000000011</v>
      </c>
      <c r="N284" s="27">
        <v>78.581250000000011</v>
      </c>
      <c r="O284" s="27"/>
    </row>
    <row r="285" spans="8:15" x14ac:dyDescent="0.55000000000000004">
      <c r="H285" s="27">
        <v>78.750000000000014</v>
      </c>
      <c r="N285" s="27">
        <v>78.750000000000014</v>
      </c>
      <c r="O285" s="27"/>
    </row>
    <row r="286" spans="8:15" x14ac:dyDescent="0.55000000000000004">
      <c r="H286" s="27">
        <v>78.268749999999997</v>
      </c>
      <c r="N286" s="27">
        <v>78.268749999999997</v>
      </c>
      <c r="O286" s="27"/>
    </row>
    <row r="287" spans="8:15" x14ac:dyDescent="0.55000000000000004">
      <c r="H287" s="27">
        <v>78.131250000000009</v>
      </c>
      <c r="N287" s="27">
        <v>78.131250000000009</v>
      </c>
      <c r="O287" s="27"/>
    </row>
    <row r="288" spans="8:15" x14ac:dyDescent="0.55000000000000004">
      <c r="H288" s="27">
        <v>78.081249999999997</v>
      </c>
      <c r="N288" s="27">
        <v>78.081249999999997</v>
      </c>
      <c r="O288" s="27"/>
    </row>
    <row r="289" spans="8:15" x14ac:dyDescent="0.55000000000000004">
      <c r="H289" s="27">
        <v>78.262500000000003</v>
      </c>
      <c r="N289" s="27">
        <v>78.262500000000003</v>
      </c>
      <c r="O289" s="27"/>
    </row>
    <row r="290" spans="8:15" x14ac:dyDescent="0.55000000000000004">
      <c r="H290" s="27">
        <v>77.900000000000006</v>
      </c>
      <c r="N290" s="27">
        <v>77.900000000000006</v>
      </c>
      <c r="O290" s="27"/>
    </row>
    <row r="291" spans="8:15" x14ac:dyDescent="0.55000000000000004">
      <c r="H291" s="27">
        <v>77.881249999999994</v>
      </c>
      <c r="N291" s="27">
        <v>77.881249999999994</v>
      </c>
      <c r="O291" s="27"/>
    </row>
    <row r="292" spans="8:15" x14ac:dyDescent="0.55000000000000004">
      <c r="H292" s="27">
        <v>77.974999999999994</v>
      </c>
      <c r="N292" s="27">
        <v>77.974999999999994</v>
      </c>
      <c r="O292" s="27"/>
    </row>
    <row r="293" spans="8:15" x14ac:dyDescent="0.55000000000000004">
      <c r="H293" s="27">
        <v>77.53125</v>
      </c>
      <c r="N293" s="27">
        <v>77.53125</v>
      </c>
      <c r="O293" s="27"/>
    </row>
    <row r="294" spans="8:15" x14ac:dyDescent="0.55000000000000004">
      <c r="H294" s="27">
        <v>77.862499999999997</v>
      </c>
      <c r="N294" s="27">
        <v>77.862499999999997</v>
      </c>
      <c r="O294" s="27"/>
    </row>
    <row r="295" spans="8:15" x14ac:dyDescent="0.55000000000000004">
      <c r="H295" s="27">
        <v>78.443750000000009</v>
      </c>
      <c r="N295" s="27">
        <v>78.443750000000009</v>
      </c>
      <c r="O295" s="27"/>
    </row>
    <row r="296" spans="8:15" x14ac:dyDescent="0.55000000000000004">
      <c r="H296" s="27">
        <v>78.481250000000003</v>
      </c>
      <c r="N296" s="27">
        <v>78.481250000000003</v>
      </c>
      <c r="O296" s="27"/>
    </row>
    <row r="297" spans="8:15" x14ac:dyDescent="0.55000000000000004">
      <c r="H297" s="27">
        <v>78.618750000000006</v>
      </c>
      <c r="N297" s="27">
        <v>78.618750000000006</v>
      </c>
      <c r="O297" s="27"/>
    </row>
    <row r="298" spans="8:15" x14ac:dyDescent="0.55000000000000004">
      <c r="H298" s="27">
        <v>78.268749999999997</v>
      </c>
      <c r="N298" s="27">
        <v>78.268749999999997</v>
      </c>
      <c r="O298" s="27"/>
    </row>
    <row r="299" spans="8:15" x14ac:dyDescent="0.55000000000000004">
      <c r="H299" s="27">
        <v>78.325000000000003</v>
      </c>
      <c r="N299" s="27">
        <v>78.325000000000003</v>
      </c>
      <c r="O299" s="27"/>
    </row>
    <row r="300" spans="8:15" x14ac:dyDescent="0.55000000000000004">
      <c r="H300" s="27">
        <v>78.337500000000006</v>
      </c>
      <c r="N300" s="27">
        <v>78.337500000000006</v>
      </c>
      <c r="O300" s="27"/>
    </row>
    <row r="301" spans="8:15" x14ac:dyDescent="0.55000000000000004">
      <c r="H301" s="27">
        <v>78.793750000000017</v>
      </c>
      <c r="N301" s="27">
        <v>78.793750000000017</v>
      </c>
      <c r="O301" s="27"/>
    </row>
    <row r="302" spans="8:15" x14ac:dyDescent="0.55000000000000004">
      <c r="H302" s="27">
        <v>78.96250000000002</v>
      </c>
      <c r="N302" s="27">
        <v>78.96250000000002</v>
      </c>
      <c r="O302" s="27"/>
    </row>
    <row r="303" spans="8:15" x14ac:dyDescent="0.55000000000000004">
      <c r="H303" s="27">
        <v>78.481250000000003</v>
      </c>
      <c r="N303" s="27">
        <v>78.481250000000003</v>
      </c>
      <c r="O303" s="27"/>
    </row>
    <row r="304" spans="8:15" x14ac:dyDescent="0.55000000000000004">
      <c r="H304" s="27">
        <v>78.343750000000014</v>
      </c>
      <c r="N304" s="27">
        <v>78.343750000000014</v>
      </c>
      <c r="O304" s="27"/>
    </row>
    <row r="305" spans="8:15" x14ac:dyDescent="0.55000000000000004">
      <c r="H305" s="27">
        <v>78.293750000000003</v>
      </c>
      <c r="N305" s="27">
        <v>78.293750000000003</v>
      </c>
      <c r="O305" s="27"/>
    </row>
    <row r="306" spans="8:15" x14ac:dyDescent="0.55000000000000004">
      <c r="H306" s="27">
        <v>78.475000000000009</v>
      </c>
      <c r="N306" s="27">
        <v>78.475000000000009</v>
      </c>
      <c r="O306" s="27"/>
    </row>
    <row r="307" spans="8:15" x14ac:dyDescent="0.55000000000000004">
      <c r="H307" s="27">
        <v>78.112500000000011</v>
      </c>
      <c r="N307" s="27">
        <v>78.112500000000011</v>
      </c>
      <c r="O307" s="27"/>
    </row>
    <row r="308" spans="8:15" x14ac:dyDescent="0.55000000000000004">
      <c r="H308" s="27">
        <v>78.09375</v>
      </c>
      <c r="N308" s="27">
        <v>78.09375</v>
      </c>
      <c r="O308" s="27"/>
    </row>
    <row r="309" spans="8:15" x14ac:dyDescent="0.55000000000000004">
      <c r="H309" s="27">
        <v>78.1875</v>
      </c>
      <c r="N309" s="27">
        <v>78.1875</v>
      </c>
      <c r="O309" s="27"/>
    </row>
    <row r="310" spans="8:15" x14ac:dyDescent="0.55000000000000004">
      <c r="H310" s="27">
        <v>77.743750000000006</v>
      </c>
      <c r="N310" s="27">
        <v>77.743750000000006</v>
      </c>
      <c r="O310" s="27"/>
    </row>
    <row r="311" spans="8:15" x14ac:dyDescent="0.55000000000000004">
      <c r="H311" s="27">
        <v>78.075000000000003</v>
      </c>
      <c r="N311" s="27">
        <v>78.075000000000003</v>
      </c>
      <c r="O311" s="27"/>
    </row>
    <row r="312" spans="8:15" x14ac:dyDescent="0.55000000000000004">
      <c r="H312" s="27">
        <v>78.656250000000014</v>
      </c>
      <c r="N312" s="27">
        <v>78.656250000000014</v>
      </c>
      <c r="O312" s="27"/>
    </row>
    <row r="313" spans="8:15" x14ac:dyDescent="0.55000000000000004">
      <c r="H313" s="27">
        <v>78.693750000000009</v>
      </c>
      <c r="N313" s="27">
        <v>78.693750000000009</v>
      </c>
      <c r="O313" s="27"/>
    </row>
    <row r="314" spans="8:15" x14ac:dyDescent="0.55000000000000004">
      <c r="H314" s="27">
        <v>78.831250000000011</v>
      </c>
      <c r="N314" s="27">
        <v>78.831250000000011</v>
      </c>
      <c r="O314" s="27"/>
    </row>
    <row r="315" spans="8:15" x14ac:dyDescent="0.55000000000000004">
      <c r="H315" s="27">
        <v>78.481250000000003</v>
      </c>
      <c r="N315" s="27">
        <v>78.481250000000003</v>
      </c>
      <c r="O315" s="27"/>
    </row>
    <row r="316" spans="8:15" x14ac:dyDescent="0.55000000000000004">
      <c r="H316" s="27">
        <v>78.537500000000009</v>
      </c>
      <c r="N316" s="27">
        <v>78.537500000000009</v>
      </c>
      <c r="O316" s="27"/>
    </row>
    <row r="317" spans="8:15" x14ac:dyDescent="0.55000000000000004">
      <c r="H317" s="27">
        <v>78.337500000000006</v>
      </c>
      <c r="N317" s="27">
        <v>78.337500000000006</v>
      </c>
      <c r="O317" s="27"/>
    </row>
  </sheetData>
  <pageMargins left="0.511811024" right="0.511811024" top="0.78740157499999996" bottom="0.78740157499999996" header="0.31496062000000002" footer="0.3149606200000000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DA98E-59A6-4CAF-9799-8E674B5388EA}">
  <sheetPr codeName="Planilha82">
    <tabColor theme="9" tint="0.59999389629810485"/>
  </sheetPr>
  <dimension ref="A1:V24"/>
  <sheetViews>
    <sheetView showGridLines="0" zoomScale="85" zoomScaleNormal="85" workbookViewId="0">
      <selection activeCell="K9" sqref="K9"/>
    </sheetView>
  </sheetViews>
  <sheetFormatPr defaultColWidth="8.796875" defaultRowHeight="18" x14ac:dyDescent="0.55000000000000004"/>
  <cols>
    <col min="1" max="1" width="20.6640625" style="17" customWidth="1"/>
    <col min="2" max="2" width="61.796875" customWidth="1"/>
    <col min="3" max="3" width="9.6640625" customWidth="1"/>
    <col min="4" max="7" width="11.33203125" bestFit="1" customWidth="1"/>
    <col min="8" max="8" width="5.6640625" customWidth="1"/>
    <col min="9" max="9" width="12.33203125" bestFit="1" customWidth="1"/>
    <col min="11" max="22" width="12.33203125" style="15" bestFit="1" customWidth="1"/>
  </cols>
  <sheetData>
    <row r="1" spans="1:22" x14ac:dyDescent="0.55000000000000004">
      <c r="A1" s="16" t="s">
        <v>942</v>
      </c>
      <c r="K1" s="14"/>
      <c r="L1" s="14"/>
      <c r="M1" s="14"/>
      <c r="N1" s="14"/>
      <c r="O1" s="14"/>
      <c r="P1" s="14"/>
      <c r="Q1" s="14"/>
      <c r="R1" s="14"/>
      <c r="S1" s="14"/>
      <c r="T1" s="14"/>
      <c r="U1" s="14"/>
      <c r="V1" s="14"/>
    </row>
    <row r="2" spans="1:22" x14ac:dyDescent="0.55000000000000004">
      <c r="A2" s="17" t="s">
        <v>953</v>
      </c>
      <c r="K2" s="14"/>
      <c r="L2" s="14"/>
      <c r="M2" s="14"/>
      <c r="N2" s="14"/>
      <c r="O2" s="14"/>
      <c r="P2" s="14"/>
      <c r="Q2" s="14"/>
      <c r="R2" s="14"/>
      <c r="S2" s="14"/>
      <c r="T2" s="14"/>
      <c r="U2" s="14"/>
      <c r="V2" s="14"/>
    </row>
    <row r="4" spans="1:22" ht="15.75" x14ac:dyDescent="0.5">
      <c r="A4" s="2" t="s">
        <v>15</v>
      </c>
      <c r="B4" s="2" t="s">
        <v>16</v>
      </c>
      <c r="C4" s="2"/>
    </row>
    <row r="5" spans="1:22" ht="15.75" x14ac:dyDescent="0.45">
      <c r="A5" s="23" t="s">
        <v>943</v>
      </c>
      <c r="B5" s="26" t="s">
        <v>947</v>
      </c>
      <c r="C5" s="26"/>
      <c r="D5" s="56"/>
      <c r="F5" s="56"/>
    </row>
    <row r="6" spans="1:22" ht="15.75" x14ac:dyDescent="0.45">
      <c r="A6" s="23" t="s">
        <v>945</v>
      </c>
      <c r="B6" s="26" t="s">
        <v>948</v>
      </c>
      <c r="C6" s="26"/>
    </row>
    <row r="7" spans="1:22" ht="15.75" x14ac:dyDescent="0.45">
      <c r="A7" s="23" t="s">
        <v>944</v>
      </c>
      <c r="B7" s="26" t="s">
        <v>949</v>
      </c>
      <c r="C7" s="26"/>
      <c r="D7" s="1" t="s">
        <v>943</v>
      </c>
      <c r="E7" s="1" t="s">
        <v>945</v>
      </c>
      <c r="F7" s="1" t="s">
        <v>944</v>
      </c>
      <c r="G7" s="1" t="s">
        <v>946</v>
      </c>
      <c r="I7" s="1" t="s">
        <v>951</v>
      </c>
    </row>
    <row r="8" spans="1:22" ht="15.75" x14ac:dyDescent="0.45">
      <c r="A8" s="23" t="s">
        <v>946</v>
      </c>
      <c r="B8" s="26" t="s">
        <v>950</v>
      </c>
      <c r="C8" s="26"/>
      <c r="D8" s="130">
        <v>1</v>
      </c>
      <c r="E8" s="130">
        <v>3.2367392194600386</v>
      </c>
      <c r="F8" s="130">
        <v>3.4697345232009735</v>
      </c>
      <c r="G8" s="130">
        <v>4.2136470522159728</v>
      </c>
      <c r="I8" s="12" t="b">
        <v>0</v>
      </c>
      <c r="K8" s="60" t="s">
        <v>249</v>
      </c>
      <c r="L8" s="60"/>
      <c r="M8" s="60"/>
      <c r="N8" s="60"/>
      <c r="O8" s="60" t="s">
        <v>801</v>
      </c>
      <c r="P8" s="60"/>
      <c r="Q8" s="60"/>
      <c r="R8" s="60"/>
      <c r="S8" s="60"/>
      <c r="T8" s="60"/>
      <c r="U8" s="60"/>
      <c r="V8" s="60"/>
    </row>
    <row r="9" spans="1:22" ht="31.5" x14ac:dyDescent="0.45">
      <c r="A9" s="23" t="s">
        <v>951</v>
      </c>
      <c r="B9" s="26" t="s">
        <v>952</v>
      </c>
      <c r="C9" s="26"/>
      <c r="D9" s="130">
        <v>2</v>
      </c>
      <c r="E9" s="130">
        <v>4.8381623956704285</v>
      </c>
      <c r="F9" s="130">
        <v>4.9871364257305988</v>
      </c>
      <c r="G9" s="130">
        <v>5.1108277116842471</v>
      </c>
      <c r="K9" s="132" cm="1">
        <f t="array" ref="K9">_xlfn.LAMBDA(_xlpm.x_Sample_1,_xlpm.y_sample_1,_xlpm.x_sample_2,_xlpm.y_sample_2,_xlop.returnZstat,
_xlfn.LET(
_xlpm.returnZstat, IF(OR(_xlfn.ISOMITTED(_xlpm.returnZstat), ISBLANK(_xlpm.returnZstat)), FALSE, _xlpm.returnZstat),
_xlpm.n_1, COUNTA(_xlpm.x_Sample_1), _xlpm.n_2, COUNTA(_xlpm.x_sample_2),
_xlpm.rFisher_1, FISHER(CORREL(_xlpm.x_Sample_1, _xlpm.y_sample_1)), _xlpm.rFisher_2, FISHER(CORREL(_xlpm.x_sample_2, _xlpm.y_sample_2)),
_xlpm.stdFisher, SQRT(1/(_xlpm.n_1-3) + 1/(_xlpm.n_2-3)),
_xlpm.zStat, (_xlpm.rFisher_1 - _xlpm.rFisher_2)/_xlpm.stdFisher,
_xlpm.pVal, 2*(1 - _xlfn.NORM.S.DIST(ABS(_xlpm.zStat), TRUE)),
IF(_xlpm.returnZstat, _xlpm.zStat, _xlpm.pVal)
))($D$8:$D$24,$E$8:$E$24,$F$8:$F$17,$G$8:$G$17,$I$8)</f>
        <v>0.10609408851383262</v>
      </c>
      <c r="L9" s="132"/>
      <c r="M9" s="132"/>
      <c r="N9" s="132"/>
      <c r="O9" s="132" cm="1">
        <f t="array" ref="O9">CORREL_DIFF_TEST($D$8:$D$24,$E$8:$E$24,$F$8:$F$17,$G$8:$G$17,$I$8)</f>
        <v>0.10609408851383262</v>
      </c>
      <c r="P9" s="132"/>
      <c r="Q9" s="132"/>
      <c r="R9" s="132"/>
      <c r="S9" s="132"/>
      <c r="T9" s="132"/>
      <c r="U9" s="132"/>
      <c r="V9" s="132"/>
    </row>
    <row r="10" spans="1:22" x14ac:dyDescent="0.55000000000000004">
      <c r="D10" s="130">
        <v>3</v>
      </c>
      <c r="E10" s="130">
        <v>5.9169337114668377</v>
      </c>
      <c r="F10" s="130">
        <v>5.4294415496203747</v>
      </c>
      <c r="G10" s="130">
        <v>6.4610501179146036</v>
      </c>
    </row>
    <row r="11" spans="1:22" ht="36.75" customHeight="1" x14ac:dyDescent="0.55000000000000004">
      <c r="D11" s="130">
        <v>4</v>
      </c>
      <c r="E11" s="130">
        <v>6.2649847298033912</v>
      </c>
      <c r="F11" s="130">
        <v>6.058718507265719</v>
      </c>
      <c r="G11" s="130">
        <v>6.431454278148367</v>
      </c>
    </row>
    <row r="12" spans="1:22" x14ac:dyDescent="0.55000000000000004">
      <c r="D12" s="130">
        <v>5</v>
      </c>
      <c r="E12" s="130">
        <v>7.5230228583624221</v>
      </c>
      <c r="F12" s="130">
        <v>7.191648231434745</v>
      </c>
      <c r="G12" s="130">
        <v>8.1727751024519861</v>
      </c>
    </row>
    <row r="13" spans="1:22" x14ac:dyDescent="0.55000000000000004">
      <c r="D13" s="130">
        <v>6</v>
      </c>
      <c r="E13" s="130">
        <v>8.9741556034073895</v>
      </c>
      <c r="F13" s="130">
        <v>8.364359840257352</v>
      </c>
      <c r="G13" s="130">
        <v>9.16838422190248</v>
      </c>
      <c r="K13" s="62"/>
      <c r="L13" s="62"/>
      <c r="M13" s="62"/>
      <c r="N13" s="62"/>
      <c r="O13" s="62"/>
      <c r="P13" s="62"/>
      <c r="Q13" s="62"/>
      <c r="R13" s="62"/>
      <c r="S13" s="62"/>
      <c r="T13" s="62"/>
      <c r="U13" s="62"/>
      <c r="V13" s="62"/>
    </row>
    <row r="14" spans="1:22" x14ac:dyDescent="0.55000000000000004">
      <c r="D14" s="130">
        <v>7</v>
      </c>
      <c r="E14" s="130">
        <v>9.3133044894422632</v>
      </c>
      <c r="F14" s="130">
        <v>9.0119054363749509</v>
      </c>
      <c r="G14" s="130">
        <v>10.229056535527949</v>
      </c>
      <c r="K14" s="62"/>
      <c r="L14" s="62"/>
      <c r="M14" s="62"/>
      <c r="N14" s="62"/>
      <c r="O14" s="62"/>
      <c r="P14" s="62"/>
      <c r="Q14" s="62"/>
      <c r="R14" s="62"/>
      <c r="S14" s="62"/>
      <c r="T14" s="62"/>
      <c r="U14" s="62"/>
      <c r="V14" s="62"/>
    </row>
    <row r="15" spans="1:22" s="21" customFormat="1" x14ac:dyDescent="0.55000000000000004">
      <c r="A15" s="17"/>
      <c r="B15"/>
      <c r="C15"/>
      <c r="D15" s="130">
        <v>8</v>
      </c>
      <c r="E15" s="130">
        <v>10.264773234540304</v>
      </c>
      <c r="F15" s="130">
        <v>10.705642465369834</v>
      </c>
      <c r="G15" s="130">
        <v>10.941003284291092</v>
      </c>
      <c r="H15"/>
      <c r="I15"/>
      <c r="J15"/>
      <c r="K15" s="62"/>
      <c r="L15" s="62"/>
      <c r="M15" s="62"/>
      <c r="N15" s="62"/>
      <c r="O15" s="62"/>
      <c r="P15" s="62"/>
      <c r="Q15" s="62"/>
      <c r="R15" s="62"/>
      <c r="S15" s="62"/>
      <c r="T15" s="62"/>
      <c r="U15" s="62"/>
      <c r="V15" s="62"/>
    </row>
    <row r="16" spans="1:22" s="21" customFormat="1" x14ac:dyDescent="0.55000000000000004">
      <c r="A16" s="17"/>
      <c r="B16"/>
      <c r="C16"/>
      <c r="D16" s="130">
        <v>9</v>
      </c>
      <c r="E16" s="130">
        <v>11.49193174682822</v>
      </c>
      <c r="F16" s="130">
        <v>11.980770585728504</v>
      </c>
      <c r="G16" s="130">
        <v>12.177343210984368</v>
      </c>
      <c r="H16"/>
      <c r="I16"/>
      <c r="J16"/>
      <c r="K16" s="62"/>
      <c r="L16" s="62"/>
      <c r="M16" s="62"/>
      <c r="N16" s="62"/>
      <c r="O16" s="62"/>
      <c r="P16" s="62"/>
      <c r="Q16" s="62"/>
      <c r="R16" s="62"/>
      <c r="S16" s="62"/>
      <c r="T16" s="62"/>
      <c r="U16" s="62"/>
      <c r="V16" s="62"/>
    </row>
    <row r="17" spans="4:22" s="21" customFormat="1" ht="14.25" x14ac:dyDescent="0.45">
      <c r="D17" s="130">
        <v>10</v>
      </c>
      <c r="E17" s="130">
        <v>12.059356461421853</v>
      </c>
      <c r="F17" s="130">
        <v>12.723109023710164</v>
      </c>
      <c r="G17" s="130">
        <v>12.81602636725925</v>
      </c>
      <c r="K17" s="62"/>
      <c r="L17" s="62"/>
      <c r="M17" s="62"/>
      <c r="N17" s="62"/>
      <c r="O17" s="62"/>
      <c r="P17" s="62"/>
      <c r="Q17" s="62"/>
      <c r="R17" s="62"/>
      <c r="S17" s="62"/>
      <c r="T17" s="62"/>
      <c r="U17" s="62"/>
      <c r="V17" s="62"/>
    </row>
    <row r="18" spans="4:22" s="21" customFormat="1" ht="14.25" x14ac:dyDescent="0.45">
      <c r="D18" s="130">
        <v>11</v>
      </c>
      <c r="E18" s="130">
        <v>13.470391705724728</v>
      </c>
      <c r="F18" s="131"/>
      <c r="G18" s="131"/>
      <c r="K18" s="62"/>
      <c r="L18" s="62"/>
      <c r="M18" s="62"/>
      <c r="N18" s="62"/>
      <c r="O18" s="62"/>
      <c r="P18" s="62"/>
      <c r="Q18" s="62"/>
      <c r="R18" s="62"/>
      <c r="S18" s="62"/>
      <c r="T18" s="62"/>
      <c r="U18" s="62"/>
      <c r="V18" s="62"/>
    </row>
    <row r="19" spans="4:22" s="21" customFormat="1" ht="14.25" x14ac:dyDescent="0.45">
      <c r="D19" s="130">
        <v>12</v>
      </c>
      <c r="E19" s="130">
        <v>14.917327902425553</v>
      </c>
      <c r="F19" s="131"/>
      <c r="G19" s="131"/>
      <c r="K19" s="62"/>
      <c r="L19" s="62"/>
      <c r="M19" s="62"/>
      <c r="N19" s="62"/>
      <c r="O19" s="62"/>
      <c r="P19" s="62"/>
      <c r="Q19" s="62"/>
      <c r="R19" s="62"/>
      <c r="S19" s="62"/>
      <c r="T19" s="62"/>
      <c r="U19" s="62"/>
      <c r="V19" s="62"/>
    </row>
    <row r="20" spans="4:22" s="21" customFormat="1" ht="14.25" x14ac:dyDescent="0.45">
      <c r="D20" s="130">
        <v>13</v>
      </c>
      <c r="E20" s="130">
        <v>15.160199840781345</v>
      </c>
      <c r="F20" s="131"/>
      <c r="G20" s="131"/>
      <c r="K20" s="62"/>
      <c r="L20" s="62"/>
      <c r="M20" s="62"/>
      <c r="N20" s="62"/>
      <c r="O20" s="62"/>
      <c r="P20" s="62"/>
      <c r="Q20" s="62"/>
      <c r="R20" s="62"/>
      <c r="S20" s="62"/>
      <c r="T20" s="62"/>
      <c r="U20" s="62"/>
      <c r="V20" s="62"/>
    </row>
    <row r="21" spans="4:22" s="21" customFormat="1" ht="14.25" x14ac:dyDescent="0.45">
      <c r="D21" s="130">
        <v>14</v>
      </c>
      <c r="E21" s="130">
        <v>16.41320524515347</v>
      </c>
      <c r="F21" s="131"/>
      <c r="G21" s="131"/>
      <c r="K21" s="62"/>
      <c r="L21" s="62"/>
      <c r="M21" s="62"/>
      <c r="N21" s="62"/>
      <c r="O21" s="62"/>
      <c r="P21" s="62"/>
      <c r="Q21" s="62"/>
      <c r="R21" s="62"/>
      <c r="S21" s="62"/>
      <c r="T21" s="62"/>
      <c r="U21" s="62"/>
      <c r="V21" s="62"/>
    </row>
    <row r="22" spans="4:22" s="21" customFormat="1" ht="14.25" x14ac:dyDescent="0.45">
      <c r="D22" s="130">
        <v>15</v>
      </c>
      <c r="E22" s="130">
        <v>17.052886132201422</v>
      </c>
      <c r="F22" s="131"/>
      <c r="G22" s="131"/>
      <c r="K22" s="62"/>
      <c r="L22" s="62"/>
      <c r="M22" s="62"/>
      <c r="N22" s="62"/>
      <c r="O22" s="62"/>
      <c r="P22" s="62"/>
      <c r="Q22" s="62"/>
      <c r="R22" s="62"/>
      <c r="S22" s="62"/>
      <c r="T22" s="62"/>
      <c r="U22" s="62"/>
      <c r="V22" s="62"/>
    </row>
    <row r="23" spans="4:22" s="21" customFormat="1" ht="14.25" x14ac:dyDescent="0.45">
      <c r="D23" s="130">
        <v>16</v>
      </c>
      <c r="E23" s="130">
        <v>18.226848551084725</v>
      </c>
      <c r="F23" s="131"/>
      <c r="G23" s="131"/>
      <c r="K23" s="62"/>
      <c r="L23" s="62"/>
      <c r="M23" s="62"/>
      <c r="N23" s="62"/>
      <c r="O23" s="62"/>
      <c r="P23" s="62"/>
      <c r="Q23" s="62"/>
      <c r="R23" s="62"/>
      <c r="S23" s="62"/>
      <c r="T23" s="62"/>
      <c r="U23" s="62"/>
      <c r="V23" s="62"/>
    </row>
    <row r="24" spans="4:22" s="21" customFormat="1" ht="14.25" x14ac:dyDescent="0.45">
      <c r="D24" s="130">
        <v>17</v>
      </c>
      <c r="E24" s="130">
        <v>19.864023898807499</v>
      </c>
      <c r="F24" s="131"/>
      <c r="G24" s="131"/>
      <c r="K24" s="62"/>
      <c r="L24" s="62"/>
      <c r="M24" s="62"/>
      <c r="N24" s="62"/>
      <c r="O24" s="62"/>
      <c r="P24" s="62"/>
      <c r="Q24" s="62"/>
      <c r="R24" s="62"/>
      <c r="S24" s="62"/>
      <c r="T24" s="62"/>
      <c r="U24" s="62"/>
      <c r="V24" s="62"/>
    </row>
  </sheetData>
  <phoneticPr fontId="26" type="noConversion"/>
  <pageMargins left="0.511811024" right="0.511811024" top="0.78740157499999996" bottom="0.78740157499999996" header="0.31496062000000002" footer="0.3149606200000000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29577-CD2E-4EBC-801F-86AEE238BA72}">
  <sheetPr codeName="Planilha83">
    <tabColor theme="9" tint="0.59999389629810485"/>
  </sheetPr>
  <dimension ref="A1:V31"/>
  <sheetViews>
    <sheetView showGridLines="0" zoomScale="85" zoomScaleNormal="85" workbookViewId="0">
      <selection activeCell="K13" sqref="K13"/>
    </sheetView>
  </sheetViews>
  <sheetFormatPr defaultColWidth="8.796875" defaultRowHeight="18" x14ac:dyDescent="0.55000000000000004"/>
  <cols>
    <col min="1" max="1" width="16.796875" style="17" customWidth="1"/>
    <col min="2" max="2" width="82.6640625" customWidth="1"/>
    <col min="3" max="3" width="8.33203125" customWidth="1"/>
    <col min="4" max="4" width="8.796875" customWidth="1"/>
    <col min="5" max="5" width="15.1328125" customWidth="1"/>
    <col min="6" max="6" width="12.33203125" bestFit="1" customWidth="1"/>
    <col min="11" max="11" width="12.33203125" style="15" bestFit="1" customWidth="1"/>
    <col min="12" max="16" width="8.796875" style="15"/>
    <col min="17" max="18" width="7.33203125" style="15" bestFit="1" customWidth="1"/>
    <col min="19" max="22" width="12.796875" style="15" bestFit="1" customWidth="1"/>
  </cols>
  <sheetData>
    <row r="1" spans="1:22" x14ac:dyDescent="0.55000000000000004">
      <c r="A1" s="83" t="s">
        <v>954</v>
      </c>
      <c r="K1" s="14"/>
      <c r="L1" s="14"/>
      <c r="M1" s="14"/>
      <c r="N1" s="14"/>
      <c r="O1" s="14"/>
      <c r="P1" s="14"/>
      <c r="Q1" s="14"/>
      <c r="R1" s="14"/>
      <c r="S1" s="14"/>
      <c r="T1" s="14"/>
      <c r="U1" s="14"/>
      <c r="V1" s="14"/>
    </row>
    <row r="2" spans="1:22" x14ac:dyDescent="0.55000000000000004">
      <c r="A2" s="17" t="s">
        <v>963</v>
      </c>
      <c r="K2" s="14"/>
      <c r="L2" s="14"/>
      <c r="M2" s="14"/>
      <c r="N2" s="14"/>
      <c r="O2" s="14"/>
      <c r="P2" s="14"/>
      <c r="Q2" s="14"/>
      <c r="R2" s="14"/>
      <c r="S2" s="14"/>
      <c r="T2" s="14"/>
      <c r="U2" s="14"/>
      <c r="V2" s="14"/>
    </row>
    <row r="3" spans="1:22" x14ac:dyDescent="0.55000000000000004">
      <c r="M3" s="27"/>
    </row>
    <row r="4" spans="1:22" ht="15.75" x14ac:dyDescent="0.5">
      <c r="A4" s="2" t="s">
        <v>15</v>
      </c>
      <c r="B4" s="2" t="s">
        <v>16</v>
      </c>
      <c r="C4" s="2"/>
      <c r="M4" s="27"/>
    </row>
    <row r="5" spans="1:22" ht="15.75" x14ac:dyDescent="0.45">
      <c r="A5" s="23" t="s">
        <v>22</v>
      </c>
      <c r="B5" s="26" t="s">
        <v>960</v>
      </c>
      <c r="C5" s="26"/>
      <c r="M5" s="27"/>
    </row>
    <row r="6" spans="1:22" ht="48.75" customHeight="1" x14ac:dyDescent="0.45">
      <c r="A6" s="23" t="s">
        <v>901</v>
      </c>
      <c r="B6" s="26" t="s">
        <v>961</v>
      </c>
      <c r="C6" s="26"/>
      <c r="K6" s="62"/>
      <c r="L6" s="62"/>
      <c r="M6" s="62"/>
      <c r="N6" s="62"/>
      <c r="O6" s="62"/>
      <c r="P6" s="62"/>
      <c r="Q6" s="62"/>
      <c r="R6" s="62"/>
      <c r="S6" s="62"/>
      <c r="T6" s="62"/>
      <c r="U6" s="62"/>
      <c r="V6" s="62"/>
    </row>
    <row r="7" spans="1:22" ht="15.75" x14ac:dyDescent="0.45">
      <c r="A7" s="23" t="s">
        <v>957</v>
      </c>
      <c r="B7" s="26" t="s">
        <v>955</v>
      </c>
      <c r="C7" s="26"/>
      <c r="M7" s="27"/>
    </row>
    <row r="8" spans="1:22" ht="15.75" x14ac:dyDescent="0.45">
      <c r="A8" s="23" t="s">
        <v>958</v>
      </c>
      <c r="B8" s="26" t="s">
        <v>1069</v>
      </c>
      <c r="C8" s="26"/>
      <c r="K8" s="62"/>
      <c r="L8" s="62"/>
      <c r="M8" s="62"/>
      <c r="N8" s="62"/>
      <c r="O8" s="62"/>
      <c r="P8" s="62"/>
      <c r="Q8" s="62"/>
      <c r="R8" s="62"/>
      <c r="S8" s="62"/>
      <c r="T8" s="62"/>
      <c r="U8" s="62"/>
      <c r="V8" s="62"/>
    </row>
    <row r="9" spans="1:22" ht="31.5" x14ac:dyDescent="0.45">
      <c r="A9" s="23" t="s">
        <v>959</v>
      </c>
      <c r="B9" s="26" t="s">
        <v>1070</v>
      </c>
      <c r="C9" s="26"/>
      <c r="K9" s="62"/>
      <c r="L9" s="62"/>
      <c r="M9" s="62"/>
      <c r="N9" s="62"/>
      <c r="O9" s="62"/>
      <c r="P9" s="62"/>
      <c r="Q9" s="62"/>
      <c r="R9" s="62"/>
      <c r="S9" s="62"/>
      <c r="T9" s="62"/>
      <c r="U9" s="62"/>
      <c r="V9" s="62"/>
    </row>
    <row r="10" spans="1:22" ht="15.75" x14ac:dyDescent="0.45">
      <c r="A10" s="23" t="s">
        <v>834</v>
      </c>
      <c r="B10" s="26" t="s">
        <v>956</v>
      </c>
      <c r="C10" s="26"/>
      <c r="K10" s="62"/>
      <c r="L10" s="62"/>
      <c r="M10" s="62"/>
      <c r="N10" s="62"/>
      <c r="O10" s="62"/>
      <c r="P10" s="62"/>
      <c r="Q10" s="62"/>
      <c r="R10" s="62"/>
      <c r="S10" s="62"/>
      <c r="T10" s="62"/>
      <c r="U10" s="62"/>
      <c r="V10" s="62"/>
    </row>
    <row r="11" spans="1:22" ht="15.75" x14ac:dyDescent="0.45">
      <c r="A11" s="23"/>
      <c r="B11" s="26"/>
      <c r="C11" s="26"/>
      <c r="M11" s="27"/>
    </row>
    <row r="12" spans="1:22" x14ac:dyDescent="0.55000000000000004">
      <c r="M12" s="27"/>
    </row>
    <row r="13" spans="1:22" x14ac:dyDescent="0.55000000000000004">
      <c r="D13" s="1" t="s">
        <v>17</v>
      </c>
      <c r="E13" s="13" t="s">
        <v>22</v>
      </c>
      <c r="F13" s="12">
        <v>7</v>
      </c>
      <c r="G13" s="12">
        <v>26</v>
      </c>
      <c r="H13" s="12">
        <v>6</v>
      </c>
      <c r="I13" s="12">
        <v>60</v>
      </c>
      <c r="K13" s="62" cm="1">
        <f t="array" ref="K13:N25">_xlfn.LAMBDA(_xlpm.matrix,_xlop.returnObject,_xlop.nFactors,_xlop.standardize,_xlop.isPopulation,_xlop.numIter,_xlfn.LET(
    _xlpm.returnObject, IF(_xlfn.ISOMITTED(_xlpm.returnObject), 1, _xlpm.returnObject),
    _xlpm.nFactors, IF(_xlfn.ISOMITTED(_xlpm.nFactors), 1, _xlpm.nFactors),
    _xlpm.standardize, IF(_xlfn.ISOMITTED(_xlpm.standardize), FALSE, _xlpm.standardize),
    _xlpm.isPopulation, IF(_xlfn.ISOMITTED(_xlpm.isPopulation), FALSE, _xlpm.isPopulation),
    _xlpm.numIter, IF(_xlfn.ISOMITTED(_xlpm.numIter), 20, _xlpm.numIter),
    _xlpm.standardized, IF(
        _xlpm.standardize = FALSE,
        _xlpm.matrix,
        _xlfn.MAKEARRAY(
            ROWS(_xlpm.matrix),
            COLUMNS(_xlpm.matrix),
            _xlfn.LAMBDA(_xlpm.row,_xlpm.col,
                (INDEX(_xlpm.matrix, _xlpm.row, _xlpm.col) - AVERAGE(INDEX(_xlpm.matrix, 0, _xlpm.col))) /
                    IF(
                        _xlpm.isPopulation = FALSE,
                        _xlfn.STDEV.S(INDEX(_xlpm.matrix, 0, _xlpm.col)),
                        _xlfn.STDEV.P(INDEX(_xlpm.matrix, 0, _xlpm.col))
                    )
            )
        )
    ),
    _xlpm.covs, _xlfn.MAKEARRAY(
        COLUMNS(_xlpm.standardized),
        COLUMNS(_xlpm.standardized),
        _xlfn.LAMBDA(_xlpm.row,_xlpm.col,
            IF(
                _xlpm.isPopulation = FALSE,
                _xlfn.COVARIANCE.S(INDEX(_xlpm.standardized, 0, _xlpm.row), INDEX(_xlpm.standardized, 0, _xlpm.col)),
                _xlfn.COVARIANCE.P(INDEX(_xlpm.standardized, 0, _xlpm.row), INDEX(_xlpm.standardized, 0, _xlpm.col))
            )
        )
    ),
    _xlpm.eigenValues, EIGENVALUES(_xlpm.covs, _xlpm.numIter, -1),
    _xlpm.proportionVar, 100 * _xlpm.eigenValues / SUM(_xlpm.eigenValues),
    _xlpm.eigenVectors, EIGENVECTORS(_xlpm.covs, _xlpm.numIter, TRUE, -1),
    _xlpm.mu, TRANSPOSE(_xlfn.BYCOL(_xlpm.matrix, _xlfn.LAMBDA(_xlpm.col, AVERAGE(_xlpm.col)))),
    _xlpm.scores, MMULT(
        _xlpm.standardized - IF(_xlpm.standardize, 0, TRANSPOSE(_xlpm.mu)),
        _xlfn.CHOOSECOLS(_xlpm.eigenVectors, _xlfn.SEQUENCE(_xlpm.nFactors))
    ),
    _xlpm.tsquared, _xlfn.MAKEARRAY(
        ROWS(_xlpm.matrix),
        1,
        _xlfn.LAMBDA(_xlpm.row,_xlpm.col, SUMPRODUCT(INDEX(_xlpm.scores, _xlpm.row) ^ 2, 1 / TRANSPOSE(_xlpm.eigenValues)))
    ),
    _xlpm.final, CHOOSE(
        _xlpm.returnObject,
        _xlfn.TAKE(_xlpm.eigenVectors, , _xlpm.nFactors),
        _xlpm.scores,
        _xlfn.TAKE(_xlpm.eigenValues, _xlpm.nFactors),
        _xlpm.tsquared,
        _xlfn.TAKE(_xlpm.proportionVar, _xlpm.nFactors),
        _xlpm.mu
    ),
    _xlpm.final
))($F$13:$I$25,$F$27,$F$28,$F$29,$F$30,$F$31)</f>
        <v>-36.82182599944926</v>
      </c>
      <c r="L13" s="62">
        <v>6.8708781542273911</v>
      </c>
      <c r="M13" s="62">
        <v>-4.5909444576297531</v>
      </c>
      <c r="N13" s="62">
        <v>0.39665258271391224</v>
      </c>
      <c r="Q13" s="62" cm="1">
        <f t="array" ref="Q13:T25">PCA($F$13:$I$25,$F$27,$F$28,$F$29,$F$30,$F$31)</f>
        <v>-36.82182599944926</v>
      </c>
      <c r="R13" s="62">
        <v>6.8708781542273911</v>
      </c>
      <c r="S13" s="62">
        <v>-4.5909444576297531</v>
      </c>
      <c r="T13" s="62">
        <v>0.39665258271391224</v>
      </c>
      <c r="U13" s="62"/>
      <c r="V13" s="62"/>
    </row>
    <row r="14" spans="1:22" x14ac:dyDescent="0.55000000000000004">
      <c r="F14" s="12">
        <v>1</v>
      </c>
      <c r="G14" s="12">
        <v>29</v>
      </c>
      <c r="H14" s="12">
        <v>15</v>
      </c>
      <c r="I14" s="12">
        <v>52</v>
      </c>
      <c r="K14" s="62">
        <v>-29.607273420711742</v>
      </c>
      <c r="L14" s="62">
        <v>-4.6108819635262934</v>
      </c>
      <c r="M14" s="62">
        <v>-2.24757816366394</v>
      </c>
      <c r="N14" s="62">
        <v>-0.39584353669648742</v>
      </c>
      <c r="Q14" s="62">
        <v>-29.607273420711742</v>
      </c>
      <c r="R14" s="62">
        <v>-4.6108819635262934</v>
      </c>
      <c r="S14" s="62">
        <v>-2.24757816366394</v>
      </c>
      <c r="T14" s="62">
        <v>-0.39584353669648742</v>
      </c>
      <c r="U14" s="62"/>
      <c r="V14" s="62"/>
    </row>
    <row r="15" spans="1:22" x14ac:dyDescent="0.55000000000000004">
      <c r="F15" s="12">
        <v>11</v>
      </c>
      <c r="G15" s="12">
        <v>56</v>
      </c>
      <c r="H15" s="12">
        <v>8</v>
      </c>
      <c r="I15" s="12">
        <v>20</v>
      </c>
      <c r="K15" s="62">
        <v>12.981775719738105</v>
      </c>
      <c r="L15" s="62">
        <v>4.2049131831759379</v>
      </c>
      <c r="M15" s="62">
        <v>0.90224308269468922</v>
      </c>
      <c r="N15" s="62">
        <v>-1.1261005872106167</v>
      </c>
      <c r="Q15" s="62">
        <v>12.981775719738105</v>
      </c>
      <c r="R15" s="62">
        <v>4.2049131831759379</v>
      </c>
      <c r="S15" s="62">
        <v>0.90224308269468922</v>
      </c>
      <c r="T15" s="62">
        <v>-1.1261005872106167</v>
      </c>
      <c r="U15" s="62"/>
      <c r="V15" s="62"/>
    </row>
    <row r="16" spans="1:22" x14ac:dyDescent="0.55000000000000004">
      <c r="F16" s="12">
        <v>11</v>
      </c>
      <c r="G16" s="12">
        <v>31</v>
      </c>
      <c r="H16" s="12">
        <v>8</v>
      </c>
      <c r="I16" s="12">
        <v>47</v>
      </c>
      <c r="K16" s="62">
        <v>-23.714725720917087</v>
      </c>
      <c r="L16" s="62">
        <v>6.634052554708707</v>
      </c>
      <c r="M16" s="62">
        <v>1.8547420008063042</v>
      </c>
      <c r="N16" s="62">
        <v>-0.37856480838468443</v>
      </c>
      <c r="Q16" s="62">
        <v>-23.714725720917087</v>
      </c>
      <c r="R16" s="62">
        <v>6.634052554708707</v>
      </c>
      <c r="S16" s="62">
        <v>1.8547420008063042</v>
      </c>
      <c r="T16" s="62">
        <v>-0.37856480838468443</v>
      </c>
      <c r="U16" s="62"/>
      <c r="V16" s="62"/>
    </row>
    <row r="17" spans="4:22" x14ac:dyDescent="0.55000000000000004">
      <c r="F17" s="12">
        <v>7</v>
      </c>
      <c r="G17" s="12">
        <v>52</v>
      </c>
      <c r="H17" s="12">
        <v>6</v>
      </c>
      <c r="I17" s="12">
        <v>33</v>
      </c>
      <c r="K17" s="62">
        <v>0.55319167662457058</v>
      </c>
      <c r="L17" s="62">
        <v>4.461732123178721</v>
      </c>
      <c r="M17" s="62">
        <v>-6.0874126523251819</v>
      </c>
      <c r="N17" s="62">
        <v>0.14238489604727711</v>
      </c>
      <c r="Q17" s="62">
        <v>0.55319167662457058</v>
      </c>
      <c r="R17" s="62">
        <v>4.461732123178721</v>
      </c>
      <c r="S17" s="62">
        <v>-6.0874126523251819</v>
      </c>
      <c r="T17" s="62">
        <v>0.14238489604727711</v>
      </c>
      <c r="U17" s="62"/>
      <c r="V17" s="62"/>
    </row>
    <row r="18" spans="4:22" s="21" customFormat="1" ht="14.25" x14ac:dyDescent="0.45">
      <c r="D18"/>
      <c r="E18"/>
      <c r="F18" s="12">
        <v>11</v>
      </c>
      <c r="G18" s="12">
        <v>55</v>
      </c>
      <c r="H18" s="12">
        <v>9</v>
      </c>
      <c r="I18" s="12">
        <v>22</v>
      </c>
      <c r="J18"/>
      <c r="K18" s="62">
        <v>10.812490833310321</v>
      </c>
      <c r="L18" s="62">
        <v>3.6465711745440541</v>
      </c>
      <c r="M18" s="62">
        <v>0.9129707916746006</v>
      </c>
      <c r="N18" s="62">
        <v>-0.13496881031468133</v>
      </c>
      <c r="O18" s="15"/>
      <c r="P18" s="15"/>
      <c r="Q18" s="62">
        <v>10.812490833310321</v>
      </c>
      <c r="R18" s="62">
        <v>3.6465711745440541</v>
      </c>
      <c r="S18" s="62">
        <v>0.9129707916746006</v>
      </c>
      <c r="T18" s="62">
        <v>-0.13496881031468133</v>
      </c>
      <c r="U18" s="62"/>
      <c r="V18" s="62"/>
    </row>
    <row r="19" spans="4:22" s="21" customFormat="1" ht="14.25" x14ac:dyDescent="0.45">
      <c r="D19"/>
      <c r="F19" s="12">
        <v>3</v>
      </c>
      <c r="G19" s="12">
        <v>71</v>
      </c>
      <c r="H19" s="12">
        <v>17</v>
      </c>
      <c r="I19" s="12">
        <v>6</v>
      </c>
      <c r="J19"/>
      <c r="K19" s="62">
        <v>32.588166608816721</v>
      </c>
      <c r="L19" s="62">
        <v>-8.9798462849360501</v>
      </c>
      <c r="M19" s="62">
        <v>-1.6062659139965803</v>
      </c>
      <c r="N19" s="62">
        <v>8.1763927599940445E-2</v>
      </c>
      <c r="O19" s="15"/>
      <c r="P19" s="15"/>
      <c r="Q19" s="62">
        <v>32.588166608816721</v>
      </c>
      <c r="R19" s="62">
        <v>-8.9798462849360501</v>
      </c>
      <c r="S19" s="62">
        <v>-1.6062659139965803</v>
      </c>
      <c r="T19" s="62">
        <v>8.1763927599940445E-2</v>
      </c>
      <c r="U19" s="62"/>
      <c r="V19" s="62"/>
    </row>
    <row r="20" spans="4:22" s="21" customFormat="1" ht="14.25" x14ac:dyDescent="0.45">
      <c r="D20"/>
      <c r="F20" s="12">
        <v>1</v>
      </c>
      <c r="G20" s="12">
        <v>31</v>
      </c>
      <c r="H20" s="12">
        <v>22</v>
      </c>
      <c r="I20" s="12">
        <v>44</v>
      </c>
      <c r="J20"/>
      <c r="K20" s="62">
        <v>-22.606395499006517</v>
      </c>
      <c r="L20" s="62">
        <v>-10.725906457369469</v>
      </c>
      <c r="M20" s="62">
        <v>3.2365377144834255</v>
      </c>
      <c r="N20" s="62">
        <v>0.32433477464637406</v>
      </c>
      <c r="O20" s="15"/>
      <c r="P20" s="15"/>
      <c r="Q20" s="62">
        <v>-22.606395499006517</v>
      </c>
      <c r="R20" s="62">
        <v>-10.725906457369469</v>
      </c>
      <c r="S20" s="62">
        <v>3.2365377144834255</v>
      </c>
      <c r="T20" s="62">
        <v>0.32433477464637406</v>
      </c>
      <c r="U20" s="62"/>
      <c r="V20" s="62"/>
    </row>
    <row r="21" spans="4:22" s="21" customFormat="1" ht="14.25" x14ac:dyDescent="0.45">
      <c r="D21"/>
      <c r="F21" s="12">
        <v>2</v>
      </c>
      <c r="G21" s="12">
        <v>54</v>
      </c>
      <c r="H21" s="12">
        <v>18</v>
      </c>
      <c r="I21" s="12">
        <v>22</v>
      </c>
      <c r="J21"/>
      <c r="K21" s="62">
        <v>9.2625872376747349</v>
      </c>
      <c r="L21" s="62">
        <v>-8.9853733474787827</v>
      </c>
      <c r="M21" s="62">
        <v>-1.6909578102165312E-2</v>
      </c>
      <c r="N21" s="62">
        <v>-0.54374617598180119</v>
      </c>
      <c r="O21" s="15"/>
      <c r="P21" s="15"/>
      <c r="Q21" s="62">
        <v>9.2625872376747349</v>
      </c>
      <c r="R21" s="62">
        <v>-8.9853733474787827</v>
      </c>
      <c r="S21" s="62">
        <v>-1.6909578102165312E-2</v>
      </c>
      <c r="T21" s="62">
        <v>-0.54374617598180119</v>
      </c>
      <c r="U21" s="62"/>
      <c r="V21" s="62"/>
    </row>
    <row r="22" spans="4:22" s="21" customFormat="1" ht="14.25" x14ac:dyDescent="0.45">
      <c r="D22"/>
      <c r="F22" s="12">
        <v>21</v>
      </c>
      <c r="G22" s="12">
        <v>47</v>
      </c>
      <c r="H22" s="12">
        <v>4</v>
      </c>
      <c r="I22" s="12">
        <v>26</v>
      </c>
      <c r="J22"/>
      <c r="K22" s="62">
        <v>3.2839693296430288</v>
      </c>
      <c r="L22" s="62">
        <v>14.15727733750087</v>
      </c>
      <c r="M22" s="62">
        <v>7.0465129948337495</v>
      </c>
      <c r="N22" s="62">
        <v>0.34050986096061253</v>
      </c>
      <c r="O22" s="15"/>
      <c r="P22" s="15"/>
      <c r="Q22" s="62">
        <v>3.2839693296430288</v>
      </c>
      <c r="R22" s="62">
        <v>14.15727733750087</v>
      </c>
      <c r="S22" s="62">
        <v>7.0465129948337495</v>
      </c>
      <c r="T22" s="62">
        <v>0.34050986096061253</v>
      </c>
      <c r="U22" s="62"/>
      <c r="V22" s="62"/>
    </row>
    <row r="23" spans="4:22" s="21" customFormat="1" ht="14.25" x14ac:dyDescent="0.45">
      <c r="D23"/>
      <c r="F23" s="12">
        <v>1</v>
      </c>
      <c r="G23" s="12">
        <v>40</v>
      </c>
      <c r="H23" s="12">
        <v>23</v>
      </c>
      <c r="I23" s="12">
        <v>34</v>
      </c>
      <c r="J23"/>
      <c r="K23" s="62">
        <v>-9.2200311178304819</v>
      </c>
      <c r="L23" s="62">
        <v>-12.386080787220473</v>
      </c>
      <c r="M23" s="62">
        <v>3.428342878284635</v>
      </c>
      <c r="N23" s="62">
        <v>0.43515276966489891</v>
      </c>
      <c r="O23" s="15"/>
      <c r="P23" s="15"/>
      <c r="Q23" s="62">
        <v>-9.2200311178304819</v>
      </c>
      <c r="R23" s="62">
        <v>-12.386080787220473</v>
      </c>
      <c r="S23" s="62">
        <v>3.428342878284635</v>
      </c>
      <c r="T23" s="62">
        <v>0.43515276966489891</v>
      </c>
      <c r="U23" s="62"/>
      <c r="V23" s="62"/>
    </row>
    <row r="24" spans="4:22" s="21" customFormat="1" ht="14.25" x14ac:dyDescent="0.45">
      <c r="D24"/>
      <c r="E24"/>
      <c r="F24" s="12">
        <v>11</v>
      </c>
      <c r="G24" s="12">
        <v>66</v>
      </c>
      <c r="H24" s="12">
        <v>9</v>
      </c>
      <c r="I24" s="12">
        <v>12</v>
      </c>
      <c r="J24"/>
      <c r="K24" s="62">
        <v>25.584908517429874</v>
      </c>
      <c r="L24" s="62">
        <v>2.7816931481523874</v>
      </c>
      <c r="M24" s="62">
        <v>-0.38671606686449067</v>
      </c>
      <c r="N24" s="62">
        <v>0.4468179505456007</v>
      </c>
      <c r="O24" s="15"/>
      <c r="P24" s="15"/>
      <c r="Q24" s="62">
        <v>25.584908517429874</v>
      </c>
      <c r="R24" s="62">
        <v>2.7816931481523874</v>
      </c>
      <c r="S24" s="62">
        <v>-0.38671606686449067</v>
      </c>
      <c r="T24" s="62">
        <v>0.4468179505456007</v>
      </c>
      <c r="U24" s="62"/>
      <c r="V24" s="62"/>
    </row>
    <row r="25" spans="4:22" s="21" customFormat="1" ht="14.25" x14ac:dyDescent="0.45">
      <c r="D25"/>
      <c r="E25"/>
      <c r="F25" s="12">
        <v>10</v>
      </c>
      <c r="G25" s="12">
        <v>68</v>
      </c>
      <c r="H25" s="12">
        <v>8</v>
      </c>
      <c r="I25" s="12">
        <v>12</v>
      </c>
      <c r="J25"/>
      <c r="K25" s="62">
        <v>26.903161834677746</v>
      </c>
      <c r="L25" s="62">
        <v>2.9309711650430033</v>
      </c>
      <c r="M25" s="62">
        <v>-2.4455226301953044</v>
      </c>
      <c r="N25" s="62">
        <v>0.41160715640965151</v>
      </c>
      <c r="O25" s="15"/>
      <c r="P25" s="15"/>
      <c r="Q25" s="62">
        <v>26.903161834677746</v>
      </c>
      <c r="R25" s="62">
        <v>2.9309711650430033</v>
      </c>
      <c r="S25" s="62">
        <v>-2.4455226301953044</v>
      </c>
      <c r="T25" s="62">
        <v>0.41160715640965151</v>
      </c>
      <c r="U25" s="62"/>
      <c r="V25" s="62"/>
    </row>
    <row r="26" spans="4:22" s="21" customFormat="1" ht="14.25" x14ac:dyDescent="0.45">
      <c r="D26"/>
      <c r="E26"/>
      <c r="F26"/>
      <c r="G26"/>
      <c r="H26"/>
      <c r="I26"/>
      <c r="J26"/>
      <c r="K26" s="27"/>
      <c r="L26" s="15"/>
      <c r="M26" s="15"/>
      <c r="N26" s="15"/>
      <c r="O26" s="15"/>
      <c r="P26" s="15"/>
      <c r="Q26" s="15"/>
      <c r="R26" s="58"/>
      <c r="S26" s="58"/>
      <c r="T26" s="58"/>
      <c r="U26" s="58"/>
      <c r="V26" s="58"/>
    </row>
    <row r="27" spans="4:22" s="21" customFormat="1" ht="14.25" x14ac:dyDescent="0.45">
      <c r="D27"/>
      <c r="E27" s="13" t="s">
        <v>901</v>
      </c>
      <c r="F27" s="12">
        <v>2</v>
      </c>
      <c r="G27"/>
      <c r="H27"/>
      <c r="I27"/>
      <c r="J27"/>
      <c r="K27" s="27"/>
      <c r="L27" s="15"/>
      <c r="M27" s="15"/>
      <c r="N27" s="15"/>
      <c r="O27" s="15"/>
      <c r="P27" s="15"/>
      <c r="Q27" s="15"/>
      <c r="R27" s="15"/>
      <c r="S27" s="15"/>
      <c r="T27" s="15"/>
      <c r="U27" s="15"/>
      <c r="V27" s="15"/>
    </row>
    <row r="28" spans="4:22" s="21" customFormat="1" ht="14.25" x14ac:dyDescent="0.45">
      <c r="D28"/>
      <c r="E28" s="13" t="s">
        <v>957</v>
      </c>
      <c r="F28" s="12">
        <v>4</v>
      </c>
      <c r="G28"/>
      <c r="H28"/>
      <c r="I28"/>
      <c r="J28"/>
      <c r="K28" s="27"/>
      <c r="L28" s="15"/>
      <c r="M28" s="15"/>
      <c r="N28" s="15"/>
      <c r="O28" s="15"/>
      <c r="P28" s="15"/>
      <c r="Q28" s="15"/>
      <c r="R28" s="15"/>
      <c r="S28" s="15"/>
      <c r="T28" s="15"/>
      <c r="U28" s="15"/>
      <c r="V28" s="15"/>
    </row>
    <row r="29" spans="4:22" s="21" customFormat="1" ht="14.25" x14ac:dyDescent="0.45">
      <c r="D29"/>
      <c r="E29" s="13" t="s">
        <v>958</v>
      </c>
      <c r="F29" s="12" t="b">
        <v>0</v>
      </c>
      <c r="G29"/>
      <c r="H29"/>
      <c r="I29"/>
      <c r="J29"/>
      <c r="K29" s="27"/>
      <c r="L29" s="15"/>
      <c r="M29" s="15"/>
      <c r="N29" s="15"/>
      <c r="O29" s="15"/>
      <c r="P29" s="15"/>
      <c r="Q29" s="15"/>
      <c r="R29" s="15"/>
      <c r="S29" s="15"/>
      <c r="T29" s="15"/>
      <c r="U29" s="15"/>
      <c r="V29" s="15"/>
    </row>
    <row r="30" spans="4:22" s="21" customFormat="1" ht="14.25" x14ac:dyDescent="0.45">
      <c r="D30"/>
      <c r="E30" s="13" t="s">
        <v>959</v>
      </c>
      <c r="F30" s="12" t="b">
        <v>0</v>
      </c>
      <c r="G30"/>
      <c r="H30"/>
      <c r="I30"/>
      <c r="J30"/>
      <c r="K30" s="27"/>
      <c r="L30" s="15"/>
      <c r="M30" s="15"/>
      <c r="N30" s="15"/>
      <c r="O30" s="15"/>
      <c r="P30" s="15"/>
      <c r="Q30" s="15"/>
      <c r="R30" s="15"/>
      <c r="S30" s="15"/>
      <c r="T30" s="15"/>
      <c r="U30" s="15"/>
      <c r="V30" s="15"/>
    </row>
    <row r="31" spans="4:22" s="21" customFormat="1" ht="14.25" x14ac:dyDescent="0.45">
      <c r="D31"/>
      <c r="E31" s="13" t="s">
        <v>834</v>
      </c>
      <c r="F31" s="12">
        <v>20</v>
      </c>
      <c r="G31"/>
      <c r="H31"/>
      <c r="I31"/>
      <c r="J31"/>
      <c r="K31" s="27"/>
      <c r="L31" s="15"/>
      <c r="M31" s="15"/>
      <c r="N31" s="15"/>
      <c r="O31" s="15"/>
      <c r="P31" s="15"/>
      <c r="Q31" s="15"/>
      <c r="R31" s="15"/>
      <c r="S31" s="15"/>
      <c r="T31" s="15"/>
      <c r="U31" s="15"/>
      <c r="V31" s="15"/>
    </row>
  </sheetData>
  <pageMargins left="0.511811024" right="0.511811024" top="0.78740157499999996" bottom="0.78740157499999996" header="0.31496062000000002" footer="0.3149606200000000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12EFB-B58C-4B31-905E-1C8E02125686}">
  <sheetPr codeName="Planilha84">
    <tabColor theme="9" tint="0.59999389629810485"/>
  </sheetPr>
  <dimension ref="A1:V35"/>
  <sheetViews>
    <sheetView showGridLines="0" zoomScale="85" zoomScaleNormal="85" workbookViewId="0">
      <selection activeCell="K9" sqref="K9"/>
    </sheetView>
  </sheetViews>
  <sheetFormatPr defaultColWidth="8.796875" defaultRowHeight="18" x14ac:dyDescent="0.55000000000000004"/>
  <cols>
    <col min="1" max="1" width="16.796875" style="17" customWidth="1"/>
    <col min="2" max="2" width="82.6640625" customWidth="1"/>
    <col min="3" max="3" width="8.33203125" customWidth="1"/>
    <col min="4" max="4" width="8.796875" customWidth="1"/>
    <col min="5" max="5" width="15.1328125" customWidth="1"/>
    <col min="6" max="6" width="12.6640625" bestFit="1" customWidth="1"/>
    <col min="7" max="7" width="9.33203125" bestFit="1" customWidth="1"/>
    <col min="8" max="9" width="9" bestFit="1" customWidth="1"/>
    <col min="11" max="11" width="18.796875" style="15" bestFit="1" customWidth="1"/>
    <col min="12" max="14" width="8.796875" style="15"/>
    <col min="15" max="15" width="18.796875" style="15" bestFit="1" customWidth="1"/>
    <col min="16" max="16" width="8.796875" style="21"/>
    <col min="17" max="17" width="17.33203125" style="21" customWidth="1"/>
    <col min="18" max="22" width="8.796875" style="21"/>
  </cols>
  <sheetData>
    <row r="1" spans="1:15" x14ac:dyDescent="0.55000000000000004">
      <c r="A1" s="83" t="s">
        <v>962</v>
      </c>
      <c r="K1" s="14"/>
      <c r="L1" s="14"/>
      <c r="M1" s="14"/>
      <c r="N1" s="14"/>
      <c r="O1" s="14"/>
    </row>
    <row r="2" spans="1:15" x14ac:dyDescent="0.55000000000000004">
      <c r="A2" s="17" t="s">
        <v>972</v>
      </c>
      <c r="K2" s="14"/>
      <c r="L2" s="14"/>
      <c r="M2" s="14"/>
      <c r="N2" s="14"/>
      <c r="O2" s="14"/>
    </row>
    <row r="3" spans="1:15" x14ac:dyDescent="0.55000000000000004">
      <c r="M3" s="27"/>
    </row>
    <row r="4" spans="1:15" ht="15.75" x14ac:dyDescent="0.5">
      <c r="A4" s="2" t="s">
        <v>15</v>
      </c>
      <c r="B4" s="2" t="s">
        <v>16</v>
      </c>
      <c r="C4" s="2"/>
      <c r="M4" s="27"/>
    </row>
    <row r="5" spans="1:15" ht="15.75" x14ac:dyDescent="0.45">
      <c r="A5" s="23" t="s">
        <v>964</v>
      </c>
      <c r="B5" s="26" t="s">
        <v>974</v>
      </c>
      <c r="C5" s="26"/>
      <c r="M5" s="27"/>
    </row>
    <row r="6" spans="1:15" ht="15.75" x14ac:dyDescent="0.45">
      <c r="A6" s="23" t="s">
        <v>812</v>
      </c>
      <c r="B6" s="26" t="s">
        <v>973</v>
      </c>
      <c r="C6" s="26"/>
      <c r="M6" s="27"/>
    </row>
    <row r="7" spans="1:15" ht="15.75" x14ac:dyDescent="0.45">
      <c r="A7" s="23"/>
      <c r="B7" s="26"/>
      <c r="C7" s="26"/>
      <c r="M7" s="27"/>
    </row>
    <row r="8" spans="1:15" x14ac:dyDescent="0.55000000000000004">
      <c r="M8" s="27"/>
    </row>
    <row r="9" spans="1:15" x14ac:dyDescent="0.55000000000000004">
      <c r="D9" s="1" t="s">
        <v>17</v>
      </c>
      <c r="E9" s="13" t="s">
        <v>964</v>
      </c>
      <c r="F9" s="133">
        <v>-36.822000000000003</v>
      </c>
      <c r="G9" s="133">
        <v>6.8710000000000004</v>
      </c>
      <c r="H9" s="133">
        <v>-4.5910000000000002</v>
      </c>
      <c r="I9" s="133">
        <v>0.39700000000000002</v>
      </c>
      <c r="K9" s="62" cm="1">
        <f t="array" ref="K9:K21">_xlfn.LAMBDA(_xlpm.y,_xlpm.x,_xlfn.LET(
_xlpm.centered, _xlpm.y-AVERAGE(_xlpm.x),
_xlpm.covMatrixInv, MINVERSE(COV(_xlpm.x,,,0)),
_xlpm.result, MMULT(MMULT(_xlpm.centered, _xlpm.covMatrixInv), TRANSPOSE(_xlpm.centered)),
_xlpm.final, DIAG(_xlpm.result),
_xlpm.final
))($F$9:$I$21,$F$23:$I$35)</f>
        <v>5.6816700831211548</v>
      </c>
      <c r="L9" s="62"/>
      <c r="M9" s="62"/>
      <c r="O9" s="62" cm="1">
        <f t="array" ref="O9:O21">MAHAL($F$9:$I$21,$F$23:$I$35)</f>
        <v>5.6816700831211548</v>
      </c>
    </row>
    <row r="10" spans="1:15" x14ac:dyDescent="0.55000000000000004">
      <c r="F10" s="133">
        <v>-29.606999999999999</v>
      </c>
      <c r="G10" s="133">
        <v>-4.6109999999999998</v>
      </c>
      <c r="H10" s="133">
        <v>-2.2480000000000002</v>
      </c>
      <c r="I10" s="133">
        <v>-0.39600000000000002</v>
      </c>
      <c r="K10" s="62">
        <v>3.0754581512782115</v>
      </c>
      <c r="L10" s="62"/>
      <c r="M10" s="62"/>
      <c r="O10" s="62">
        <v>3.0754581512782115</v>
      </c>
    </row>
    <row r="11" spans="1:15" x14ac:dyDescent="0.55000000000000004">
      <c r="F11" s="133">
        <v>12.981999999999999</v>
      </c>
      <c r="G11" s="133">
        <v>4.2050000000000001</v>
      </c>
      <c r="H11" s="133">
        <v>0.90200000000000002</v>
      </c>
      <c r="I11" s="133">
        <v>-1.1259999999999999</v>
      </c>
      <c r="K11" s="62">
        <v>5.9985771454118435</v>
      </c>
      <c r="L11" s="62"/>
      <c r="M11" s="62"/>
      <c r="O11" s="62">
        <v>5.9985771454118435</v>
      </c>
    </row>
    <row r="12" spans="1:15" x14ac:dyDescent="0.55000000000000004">
      <c r="F12" s="133">
        <v>-23.715</v>
      </c>
      <c r="G12" s="133">
        <v>6.6340000000000003</v>
      </c>
      <c r="H12" s="133">
        <v>1.855</v>
      </c>
      <c r="I12" s="133">
        <v>-0.379</v>
      </c>
      <c r="K12" s="62">
        <v>2.6209907254107954</v>
      </c>
      <c r="L12" s="62"/>
      <c r="M12" s="62"/>
      <c r="O12" s="62">
        <v>2.6209907254107954</v>
      </c>
    </row>
    <row r="13" spans="1:15" x14ac:dyDescent="0.55000000000000004">
      <c r="F13" s="133">
        <v>0.55300000000000005</v>
      </c>
      <c r="G13" s="133">
        <v>4.4619999999999997</v>
      </c>
      <c r="H13" s="133">
        <v>-6.0869999999999997</v>
      </c>
      <c r="I13" s="133">
        <v>0.14199999999999999</v>
      </c>
      <c r="K13" s="62">
        <v>3.3671032673750694</v>
      </c>
      <c r="L13" s="62"/>
      <c r="M13" s="62"/>
      <c r="O13" s="62">
        <v>3.3671032673750694</v>
      </c>
    </row>
    <row r="14" spans="1:15" s="21" customFormat="1" x14ac:dyDescent="0.55000000000000004">
      <c r="A14" s="17"/>
      <c r="B14"/>
      <c r="C14"/>
      <c r="D14"/>
      <c r="E14"/>
      <c r="F14" s="133">
        <v>10.811999999999999</v>
      </c>
      <c r="G14" s="133">
        <v>3.6469999999999998</v>
      </c>
      <c r="H14" s="133">
        <v>0.91300000000000003</v>
      </c>
      <c r="I14" s="133">
        <v>-0.13500000000000001</v>
      </c>
      <c r="J14"/>
      <c r="K14" s="62">
        <v>0.56698490399985313</v>
      </c>
      <c r="L14" s="62"/>
      <c r="M14" s="27"/>
      <c r="N14" s="15"/>
      <c r="O14" s="62">
        <v>0.56698490399985313</v>
      </c>
    </row>
    <row r="15" spans="1:15" s="21" customFormat="1" x14ac:dyDescent="0.55000000000000004">
      <c r="A15" s="17"/>
      <c r="B15"/>
      <c r="C15"/>
      <c r="D15"/>
      <c r="F15" s="133">
        <v>32.588000000000001</v>
      </c>
      <c r="G15" s="133">
        <v>-8.98</v>
      </c>
      <c r="H15" s="133">
        <v>-1.6060000000000001</v>
      </c>
      <c r="I15" s="133">
        <v>8.2000000000000003E-2</v>
      </c>
      <c r="J15"/>
      <c r="K15" s="62">
        <v>3.4819013267031549</v>
      </c>
      <c r="L15" s="62"/>
      <c r="M15" s="27"/>
      <c r="N15" s="15"/>
      <c r="O15" s="62">
        <v>3.4819013267031549</v>
      </c>
    </row>
    <row r="16" spans="1:15" s="21" customFormat="1" x14ac:dyDescent="0.55000000000000004">
      <c r="A16" s="17"/>
      <c r="B16"/>
      <c r="C16"/>
      <c r="D16"/>
      <c r="F16" s="133">
        <v>-22.606000000000002</v>
      </c>
      <c r="G16" s="133">
        <v>-10.726000000000001</v>
      </c>
      <c r="H16" s="133">
        <v>3.2370000000000001</v>
      </c>
      <c r="I16" s="133">
        <v>0.32400000000000001</v>
      </c>
      <c r="J16"/>
      <c r="K16" s="62">
        <v>3.9791854429938325</v>
      </c>
      <c r="L16" s="62"/>
      <c r="M16" s="27"/>
      <c r="N16" s="15"/>
      <c r="O16" s="62">
        <v>3.9791854429938325</v>
      </c>
    </row>
    <row r="17" spans="4:15" s="21" customFormat="1" ht="14.25" x14ac:dyDescent="0.45">
      <c r="D17"/>
      <c r="F17" s="133">
        <v>9.2629999999999999</v>
      </c>
      <c r="G17" s="133">
        <v>-8.9849999999999994</v>
      </c>
      <c r="H17" s="133">
        <v>-1.7000000000000001E-2</v>
      </c>
      <c r="I17" s="133">
        <v>-0.54400000000000004</v>
      </c>
      <c r="J17"/>
      <c r="K17" s="62">
        <v>2.6088156143697923</v>
      </c>
      <c r="L17" s="62"/>
      <c r="M17" s="27"/>
      <c r="N17" s="15"/>
      <c r="O17" s="62">
        <v>2.6088156143697923</v>
      </c>
    </row>
    <row r="18" spans="4:15" s="21" customFormat="1" ht="14.25" x14ac:dyDescent="0.45">
      <c r="D18"/>
      <c r="F18" s="133">
        <v>3.2839999999999998</v>
      </c>
      <c r="G18" s="133">
        <v>14.157</v>
      </c>
      <c r="H18" s="133">
        <v>7.0469999999999997</v>
      </c>
      <c r="I18" s="133">
        <v>0.34100000000000003</v>
      </c>
      <c r="J18"/>
      <c r="K18" s="62">
        <v>7.4822225235166817</v>
      </c>
      <c r="L18" s="62"/>
      <c r="M18" s="27"/>
      <c r="N18" s="15"/>
      <c r="O18" s="62">
        <v>7.4822225235166817</v>
      </c>
    </row>
    <row r="19" spans="4:15" s="21" customFormat="1" ht="14.25" x14ac:dyDescent="0.45">
      <c r="D19"/>
      <c r="F19" s="133">
        <v>-9.2200000000000006</v>
      </c>
      <c r="G19" s="133">
        <v>-12.385999999999999</v>
      </c>
      <c r="H19" s="133">
        <v>3.4279999999999999</v>
      </c>
      <c r="I19" s="133">
        <v>0.435</v>
      </c>
      <c r="J19"/>
      <c r="K19" s="62">
        <v>4.1826281445830666</v>
      </c>
      <c r="L19" s="62"/>
      <c r="M19" s="15"/>
      <c r="N19" s="15"/>
      <c r="O19" s="62">
        <v>4.1826281445830666</v>
      </c>
    </row>
    <row r="20" spans="4:15" s="21" customFormat="1" ht="14.25" x14ac:dyDescent="0.45">
      <c r="D20"/>
      <c r="E20"/>
      <c r="F20" s="133">
        <v>25.585000000000001</v>
      </c>
      <c r="G20" s="133">
        <v>2.782</v>
      </c>
      <c r="H20" s="133">
        <v>-0.38700000000000001</v>
      </c>
      <c r="I20" s="133">
        <v>0.44700000000000001</v>
      </c>
      <c r="J20"/>
      <c r="K20" s="62">
        <v>2.2323542905244436</v>
      </c>
      <c r="L20" s="62"/>
      <c r="M20" s="15"/>
      <c r="N20" s="15"/>
      <c r="O20" s="62">
        <v>2.2323542905244436</v>
      </c>
    </row>
    <row r="21" spans="4:15" s="21" customFormat="1" ht="14.25" x14ac:dyDescent="0.45">
      <c r="D21"/>
      <c r="E21"/>
      <c r="F21" s="133">
        <v>26.902999999999999</v>
      </c>
      <c r="G21" s="133">
        <v>2.931</v>
      </c>
      <c r="H21" s="133">
        <v>-2.4460000000000002</v>
      </c>
      <c r="I21" s="133">
        <v>0.41199999999999998</v>
      </c>
      <c r="J21"/>
      <c r="K21" s="62">
        <v>2.7221084008758192</v>
      </c>
      <c r="L21" s="62"/>
      <c r="M21" s="15"/>
      <c r="N21" s="15"/>
      <c r="O21" s="62">
        <v>2.7221084008758192</v>
      </c>
    </row>
    <row r="22" spans="4:15" s="21" customFormat="1" ht="14.25" x14ac:dyDescent="0.45">
      <c r="D22"/>
      <c r="E22"/>
      <c r="F22" s="42"/>
      <c r="G22" s="42"/>
      <c r="H22" s="42"/>
      <c r="I22" s="42"/>
      <c r="J22"/>
      <c r="K22" s="27"/>
      <c r="L22" s="15"/>
      <c r="M22" s="15"/>
      <c r="N22" s="15"/>
      <c r="O22" s="27"/>
    </row>
    <row r="23" spans="4:15" s="21" customFormat="1" ht="14.25" x14ac:dyDescent="0.45">
      <c r="D23"/>
      <c r="E23" s="13" t="s">
        <v>812</v>
      </c>
      <c r="F23" s="133">
        <v>-36.822000000000003</v>
      </c>
      <c r="G23" s="133">
        <v>6.8710000000000004</v>
      </c>
      <c r="H23" s="133">
        <v>-4.5910000000000002</v>
      </c>
      <c r="I23" s="133">
        <v>0.39700000000000002</v>
      </c>
      <c r="J23"/>
      <c r="K23" s="27"/>
      <c r="L23" s="15"/>
      <c r="M23" s="15"/>
      <c r="N23" s="15"/>
      <c r="O23" s="27"/>
    </row>
    <row r="24" spans="4:15" s="21" customFormat="1" ht="14.25" x14ac:dyDescent="0.45">
      <c r="D24"/>
      <c r="E24"/>
      <c r="F24" s="133">
        <v>-29.606999999999999</v>
      </c>
      <c r="G24" s="133">
        <v>-4.6109999999999998</v>
      </c>
      <c r="H24" s="133">
        <v>-2.2480000000000002</v>
      </c>
      <c r="I24" s="133">
        <v>-0.39600000000000002</v>
      </c>
      <c r="J24"/>
      <c r="K24" s="27"/>
      <c r="L24" s="15"/>
      <c r="M24" s="15"/>
      <c r="N24" s="15"/>
      <c r="O24" s="27"/>
    </row>
    <row r="25" spans="4:15" s="21" customFormat="1" ht="14.25" x14ac:dyDescent="0.45">
      <c r="D25"/>
      <c r="E25"/>
      <c r="F25" s="133">
        <v>12.981999999999999</v>
      </c>
      <c r="G25" s="133">
        <v>4.2050000000000001</v>
      </c>
      <c r="H25" s="133">
        <v>0.90200000000000002</v>
      </c>
      <c r="I25" s="133">
        <v>-1.1259999999999999</v>
      </c>
      <c r="J25"/>
      <c r="K25" s="27"/>
      <c r="L25" s="15"/>
      <c r="M25" s="15"/>
      <c r="N25" s="15"/>
      <c r="O25" s="27"/>
    </row>
    <row r="26" spans="4:15" s="21" customFormat="1" ht="14.25" x14ac:dyDescent="0.45">
      <c r="D26"/>
      <c r="E26"/>
      <c r="F26" s="133">
        <v>-23.715</v>
      </c>
      <c r="G26" s="133">
        <v>6.6340000000000003</v>
      </c>
      <c r="H26" s="133">
        <v>1.855</v>
      </c>
      <c r="I26" s="133">
        <v>-0.379</v>
      </c>
      <c r="J26"/>
      <c r="K26" s="27"/>
      <c r="L26" s="15"/>
      <c r="M26" s="15"/>
      <c r="N26" s="15"/>
      <c r="O26" s="27"/>
    </row>
    <row r="27" spans="4:15" s="21" customFormat="1" ht="14.25" x14ac:dyDescent="0.45">
      <c r="D27"/>
      <c r="E27"/>
      <c r="F27" s="133">
        <v>0.55300000000000005</v>
      </c>
      <c r="G27" s="133">
        <v>4.4619999999999997</v>
      </c>
      <c r="H27" s="133">
        <v>-6.0869999999999997</v>
      </c>
      <c r="I27" s="133">
        <v>0.14199999999999999</v>
      </c>
      <c r="J27"/>
      <c r="K27" s="27"/>
      <c r="L27" s="15"/>
      <c r="M27" s="15"/>
      <c r="N27" s="15"/>
      <c r="O27" s="27"/>
    </row>
    <row r="28" spans="4:15" s="21" customFormat="1" ht="14.25" x14ac:dyDescent="0.45">
      <c r="D28"/>
      <c r="E28"/>
      <c r="F28" s="133">
        <v>10.811999999999999</v>
      </c>
      <c r="G28" s="133">
        <v>3.6469999999999998</v>
      </c>
      <c r="H28" s="133">
        <v>0.91300000000000003</v>
      </c>
      <c r="I28" s="133">
        <v>-0.13500000000000001</v>
      </c>
      <c r="J28"/>
      <c r="K28" s="27"/>
      <c r="L28" s="15"/>
      <c r="M28" s="15"/>
      <c r="N28" s="15"/>
      <c r="O28" s="27"/>
    </row>
    <row r="29" spans="4:15" s="21" customFormat="1" ht="14.25" x14ac:dyDescent="0.45">
      <c r="D29"/>
      <c r="F29" s="133">
        <v>32.588000000000001</v>
      </c>
      <c r="G29" s="133">
        <v>-8.98</v>
      </c>
      <c r="H29" s="133">
        <v>-1.6060000000000001</v>
      </c>
      <c r="I29" s="133">
        <v>8.2000000000000003E-2</v>
      </c>
      <c r="J29"/>
      <c r="K29" s="27"/>
      <c r="L29" s="15"/>
      <c r="M29" s="15"/>
      <c r="N29" s="15"/>
      <c r="O29" s="27"/>
    </row>
    <row r="30" spans="4:15" s="21" customFormat="1" ht="14.25" x14ac:dyDescent="0.45">
      <c r="D30"/>
      <c r="F30" s="133">
        <v>-22.606000000000002</v>
      </c>
      <c r="G30" s="133">
        <v>-10.726000000000001</v>
      </c>
      <c r="H30" s="133">
        <v>3.2370000000000001</v>
      </c>
      <c r="I30" s="133">
        <v>0.32400000000000001</v>
      </c>
      <c r="J30"/>
      <c r="K30" s="27"/>
      <c r="L30" s="15"/>
      <c r="M30" s="27"/>
      <c r="N30" s="15"/>
      <c r="O30" s="27"/>
    </row>
    <row r="31" spans="4:15" s="21" customFormat="1" ht="14.25" x14ac:dyDescent="0.45">
      <c r="D31"/>
      <c r="F31" s="133">
        <v>9.2629999999999999</v>
      </c>
      <c r="G31" s="133">
        <v>-8.9849999999999994</v>
      </c>
      <c r="H31" s="133">
        <v>-1.7000000000000001E-2</v>
      </c>
      <c r="I31" s="133">
        <v>-0.54400000000000004</v>
      </c>
      <c r="J31"/>
      <c r="K31" s="27"/>
      <c r="L31" s="15"/>
      <c r="M31" s="27"/>
      <c r="N31" s="15"/>
      <c r="O31" s="27"/>
    </row>
    <row r="32" spans="4:15" s="21" customFormat="1" ht="14.25" x14ac:dyDescent="0.45">
      <c r="D32"/>
      <c r="F32" s="133">
        <v>3.2839999999999998</v>
      </c>
      <c r="G32" s="133">
        <v>14.157</v>
      </c>
      <c r="H32" s="133">
        <v>7.0469999999999997</v>
      </c>
      <c r="I32" s="133">
        <v>0.34100000000000003</v>
      </c>
      <c r="J32"/>
      <c r="K32" s="27"/>
      <c r="L32" s="15"/>
      <c r="M32" s="27"/>
      <c r="N32" s="15"/>
      <c r="O32" s="27"/>
    </row>
    <row r="33" spans="5:15" s="21" customFormat="1" ht="14.25" x14ac:dyDescent="0.45">
      <c r="F33" s="133">
        <v>-9.2200000000000006</v>
      </c>
      <c r="G33" s="133">
        <v>-12.385999999999999</v>
      </c>
      <c r="H33" s="133">
        <v>3.4279999999999999</v>
      </c>
      <c r="I33" s="133">
        <v>0.435</v>
      </c>
      <c r="K33" s="27"/>
      <c r="L33" s="15"/>
      <c r="M33" s="27"/>
      <c r="N33" s="15"/>
      <c r="O33" s="27"/>
    </row>
    <row r="34" spans="5:15" s="21" customFormat="1" ht="14.25" x14ac:dyDescent="0.45">
      <c r="E34"/>
      <c r="F34" s="133">
        <v>25.585000000000001</v>
      </c>
      <c r="G34" s="133">
        <v>2.782</v>
      </c>
      <c r="H34" s="133">
        <v>-0.38700000000000001</v>
      </c>
      <c r="I34" s="133">
        <v>0.44700000000000001</v>
      </c>
      <c r="K34" s="27"/>
      <c r="L34" s="15"/>
      <c r="M34" s="27"/>
      <c r="N34" s="15"/>
      <c r="O34" s="27"/>
    </row>
    <row r="35" spans="5:15" s="21" customFormat="1" ht="14.25" x14ac:dyDescent="0.45">
      <c r="E35"/>
      <c r="F35" s="133">
        <v>26.902999999999999</v>
      </c>
      <c r="G35" s="133">
        <v>2.931</v>
      </c>
      <c r="H35" s="133">
        <v>-2.4460000000000002</v>
      </c>
      <c r="I35" s="133">
        <v>0.41199999999999998</v>
      </c>
      <c r="K35" s="27"/>
      <c r="L35" s="15"/>
      <c r="M35" s="27"/>
      <c r="N35" s="15"/>
      <c r="O35" s="27"/>
    </row>
  </sheetData>
  <pageMargins left="0.511811024" right="0.511811024" top="0.78740157499999996" bottom="0.78740157499999996" header="0.31496062000000002" footer="0.3149606200000000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B9051-7370-4CFB-ADDB-51E1E9F9D3AC}">
  <sheetPr codeName="Planilha85">
    <tabColor theme="9" tint="0.59999389629810485"/>
  </sheetPr>
  <dimension ref="A1:Z1285"/>
  <sheetViews>
    <sheetView showGridLines="0" topLeftCell="E1" zoomScale="85" zoomScaleNormal="85" workbookViewId="0">
      <pane ySplit="2" topLeftCell="A14" activePane="bottomLeft" state="frozen"/>
      <selection pane="bottomLeft" activeCell="S24" sqref="S24"/>
    </sheetView>
  </sheetViews>
  <sheetFormatPr defaultColWidth="8.796875" defaultRowHeight="18" x14ac:dyDescent="0.55000000000000004"/>
  <cols>
    <col min="1" max="1" width="22.796875" style="17" customWidth="1"/>
    <col min="2" max="2" width="67.33203125" bestFit="1" customWidth="1"/>
    <col min="3" max="3" width="3.33203125" customWidth="1"/>
    <col min="4" max="4" width="8.796875" customWidth="1"/>
    <col min="5" max="5" width="16.33203125" customWidth="1"/>
    <col min="6" max="10" width="18.1328125" customWidth="1"/>
    <col min="12" max="12" width="14.33203125" bestFit="1" customWidth="1"/>
    <col min="13" max="13" width="10.796875" bestFit="1" customWidth="1"/>
    <col min="16" max="16" width="21" customWidth="1"/>
    <col min="17" max="17" width="13.6640625" customWidth="1"/>
    <col min="18" max="18" width="8.796875" customWidth="1"/>
    <col min="19" max="19" width="18.796875" style="15" bestFit="1" customWidth="1"/>
    <col min="20" max="20" width="8.796875" style="15"/>
    <col min="21" max="21" width="14.33203125" style="15" customWidth="1"/>
    <col min="22" max="26" width="8.796875" style="15"/>
  </cols>
  <sheetData>
    <row r="1" spans="1:26" x14ac:dyDescent="0.55000000000000004">
      <c r="A1" s="83" t="s">
        <v>1011</v>
      </c>
    </row>
    <row r="2" spans="1:26" x14ac:dyDescent="0.55000000000000004">
      <c r="A2" s="17" t="s">
        <v>1025</v>
      </c>
    </row>
    <row r="4" spans="1:26" x14ac:dyDescent="0.55000000000000004">
      <c r="A4" s="17" t="s">
        <v>1050</v>
      </c>
    </row>
    <row r="5" spans="1:26" ht="14.25" x14ac:dyDescent="0.45">
      <c r="A5" s="85" t="s">
        <v>1020</v>
      </c>
      <c r="S5" s="10"/>
      <c r="T5" s="10"/>
      <c r="U5" s="10"/>
      <c r="V5" s="10"/>
      <c r="W5" s="10"/>
      <c r="X5" s="10"/>
      <c r="Y5" s="10"/>
      <c r="Z5" s="10"/>
    </row>
    <row r="6" spans="1:26" ht="14.25" x14ac:dyDescent="0.45">
      <c r="A6" s="85" t="s">
        <v>1019</v>
      </c>
    </row>
    <row r="7" spans="1:26" ht="14.25" x14ac:dyDescent="0.45">
      <c r="A7" s="85" t="s">
        <v>1023</v>
      </c>
    </row>
    <row r="8" spans="1:26" ht="14.25" x14ac:dyDescent="0.45">
      <c r="A8" s="85" t="s">
        <v>1024</v>
      </c>
      <c r="S8" s="10"/>
      <c r="T8" s="10"/>
      <c r="U8" s="10"/>
      <c r="V8" s="10"/>
      <c r="W8" s="10"/>
      <c r="X8" s="10"/>
      <c r="Y8" s="10"/>
      <c r="Z8" s="10"/>
    </row>
    <row r="9" spans="1:26" ht="14.25" x14ac:dyDescent="0.45">
      <c r="A9" s="85" t="s">
        <v>1027</v>
      </c>
      <c r="S9" s="10"/>
      <c r="T9" s="10"/>
      <c r="U9" s="10"/>
      <c r="V9" s="10"/>
      <c r="W9" s="10"/>
      <c r="X9" s="10"/>
      <c r="Y9" s="10"/>
      <c r="Z9" s="10"/>
    </row>
    <row r="10" spans="1:26" ht="14.25" x14ac:dyDescent="0.45">
      <c r="A10" s="85" t="s">
        <v>1029</v>
      </c>
      <c r="S10" s="10"/>
      <c r="T10" s="10"/>
      <c r="U10" s="10"/>
      <c r="V10" s="10"/>
      <c r="W10" s="10"/>
      <c r="X10" s="10"/>
      <c r="Y10" s="10"/>
      <c r="Z10" s="10"/>
    </row>
    <row r="11" spans="1:26" ht="14.25" x14ac:dyDescent="0.45">
      <c r="A11" s="85" t="s">
        <v>1032</v>
      </c>
      <c r="S11" s="10"/>
      <c r="T11" s="10"/>
      <c r="U11" s="10"/>
      <c r="V11" s="10"/>
      <c r="W11" s="10"/>
      <c r="X11" s="10"/>
      <c r="Y11" s="10"/>
      <c r="Z11" s="10"/>
    </row>
    <row r="12" spans="1:26" ht="14.25" x14ac:dyDescent="0.45">
      <c r="A12" s="85"/>
      <c r="S12" s="10"/>
      <c r="T12" s="10"/>
      <c r="U12" s="10"/>
      <c r="V12" s="10"/>
      <c r="W12" s="10"/>
      <c r="X12" s="10"/>
      <c r="Y12" s="10"/>
      <c r="Z12" s="10"/>
    </row>
    <row r="13" spans="1:26" ht="15.75" x14ac:dyDescent="0.5">
      <c r="A13" s="2" t="s">
        <v>15</v>
      </c>
      <c r="B13" s="2" t="s">
        <v>16</v>
      </c>
      <c r="C13" s="2"/>
    </row>
    <row r="14" spans="1:26" ht="31.5" x14ac:dyDescent="0.45">
      <c r="A14" s="23" t="s">
        <v>1003</v>
      </c>
      <c r="B14" s="26" t="s">
        <v>1009</v>
      </c>
      <c r="C14" s="26"/>
    </row>
    <row r="15" spans="1:26" ht="15.75" x14ac:dyDescent="0.45">
      <c r="A15" s="23" t="s">
        <v>1015</v>
      </c>
      <c r="B15" s="26" t="s">
        <v>1016</v>
      </c>
      <c r="C15" s="26"/>
    </row>
    <row r="16" spans="1:26" ht="35.25" customHeight="1" x14ac:dyDescent="0.45">
      <c r="A16" s="23" t="s">
        <v>1013</v>
      </c>
      <c r="B16" s="26" t="s">
        <v>1021</v>
      </c>
      <c r="C16" s="26"/>
    </row>
    <row r="17" spans="1:26" ht="116.25" customHeight="1" x14ac:dyDescent="0.45">
      <c r="A17" s="23" t="s">
        <v>1014</v>
      </c>
      <c r="B17" s="26" t="s">
        <v>1028</v>
      </c>
      <c r="C17" s="26"/>
    </row>
    <row r="18" spans="1:26" ht="49.5" customHeight="1" x14ac:dyDescent="0.45">
      <c r="A18" s="23" t="s">
        <v>1030</v>
      </c>
      <c r="B18" s="26" t="s">
        <v>1031</v>
      </c>
      <c r="C18" s="26"/>
    </row>
    <row r="19" spans="1:26" ht="47.25" x14ac:dyDescent="0.45">
      <c r="A19" s="23" t="s">
        <v>1022</v>
      </c>
      <c r="B19" s="26" t="s">
        <v>1033</v>
      </c>
      <c r="C19" s="26"/>
    </row>
    <row r="20" spans="1:26" ht="51" customHeight="1" x14ac:dyDescent="0.45">
      <c r="A20" s="23" t="s">
        <v>1026</v>
      </c>
      <c r="B20" s="26" t="s">
        <v>1036</v>
      </c>
      <c r="C20" s="26"/>
    </row>
    <row r="21" spans="1:26" ht="15.75" x14ac:dyDescent="0.45">
      <c r="A21" s="23"/>
      <c r="B21" s="26"/>
      <c r="C21" s="26"/>
    </row>
    <row r="23" spans="1:26" x14ac:dyDescent="0.55000000000000004">
      <c r="D23" s="1" t="s">
        <v>17</v>
      </c>
      <c r="F23" s="138" t="s">
        <v>1004</v>
      </c>
      <c r="G23" s="138" t="s">
        <v>1005</v>
      </c>
      <c r="H23" s="138" t="s">
        <v>1006</v>
      </c>
      <c r="I23" s="138" t="s">
        <v>1007</v>
      </c>
      <c r="J23" s="138" t="s">
        <v>1008</v>
      </c>
      <c r="P23" s="13" t="s">
        <v>1013</v>
      </c>
      <c r="Q23" s="141">
        <v>0.99</v>
      </c>
      <c r="S23" s="60" t="s">
        <v>249</v>
      </c>
      <c r="T23" s="60"/>
      <c r="U23" s="60" t="s">
        <v>250</v>
      </c>
      <c r="W23" s="60" t="s">
        <v>1038</v>
      </c>
    </row>
    <row r="24" spans="1:26" x14ac:dyDescent="0.55000000000000004">
      <c r="E24" s="13" t="s">
        <v>1015</v>
      </c>
      <c r="F24" s="133">
        <v>0.2</v>
      </c>
      <c r="G24" s="133">
        <v>0.2</v>
      </c>
      <c r="H24" s="133">
        <v>0.2</v>
      </c>
      <c r="I24" s="133">
        <v>0.2</v>
      </c>
      <c r="J24" s="133">
        <v>0.2</v>
      </c>
      <c r="S24" s="132" cm="1">
        <f t="array" aca="1" ref="S24" ca="1">_xlfn.LAMBDA(_xlpm.portfolioPrices,_xlop.portfolioWeights,_xlop.confidenceInterval,_xlop.typeVaR,_xlop.distribution,_xlop.conditionalVaRparam,_xlop.brwLambda, _xlfn.LET(
    _xlpm.portfolioWeights, IF(
        OR(_xlfn.ISOMITTED(_xlpm.portfolioWeights), ISBLANK(_xlpm.portfolioWeights)),
        _xlfn.EXPAND(1, 1, COLUMNS(_xlpm.portfolioPrices), 1),
        _xlfn.TOROW(_xlpm.portfolioWeights)
    ),
    _xlpm.typeVaR, IF(OR(_xlfn.ISOMITTED(_xlpm.typeVaR), ISBLANK(_xlpm.typeVaR)), "vcv", _xlpm.typeVaR),
    _xlpm.distribution, IF(OR(_xlfn.ISOMITTED(_xlpm.distribution), ISBLANK(_xlpm.distribution)), "normal", _xlpm.distribution),
    _xlpm.brwLambda, IF(OR(_xlfn.ISOMITTED(_xlpm.brwLambda), ISBLANK(_xlpm.brwLambda)), 0.99, _xlpm.brwLambda),
    _xlpm.conditionalVaRparam, IF(
        OR(_xlfn.ISOMITTED(_xlpm.conditionalVaRparam), ISBLANK(_xlpm.conditionalVaRparam)),
        0,
        _xlpm.conditionalVaRparam
    ),
    _xlpm.confidenceInterval, IF(
        OR(_xlfn.ISOMITTED(_xlpm.confidenceInterval), ISBLANK(_xlpm.confidenceInterval)),
        _xlfn.SWITCH(
            _xlpm.typeVaR,
            "vcvCondSteps", TRANSPOSE(_xlfn.DROP(LINSPACE(0.95, 1, _xlpm.conditionalVaRparam + 1), -1)),
            "vcvCondSim", _xlfn.RANDARRAY(_xlpm.conditionalVaRparam, 1, 0.95, 1, FALSE),
            0.95
        ),
        _xlfn.SWITCH(
            _xlpm.typeVaR,
            "vcvCondSteps", TRANSPOSE(
                _xlfn.DROP(LINSPACE(_xlpm.confidenceInterval, 1, _xlpm.conditionalVaRparam + 1), -1)
            ),
            "vcvCondSim", _xlfn.RANDARRAY(_xlpm.conditionalVaRparam, 1, _xlpm.confidenceInterval, 1, FALSE),
            _xlfn.TOCOL(_xlpm.confidenceInterval)
        )
    ),
    _xlpm.portfolioReturns, (_xlfn.DROP(_xlpm.portfolioPrices, 1) / _xlfn.DROP(_xlpm.portfolioPrices, -1) - 1),
    _xlpm.weightedPortfolioReturn, _xlfn.BYROW(_xlpm.portfolioReturns * _xlpm.portfolioWeights, _xlfn.LAMBDA(_xlpm.row, SUM(_xlpm.row))) /
        SUM(_xlpm.portfolioWeights),
    _xlpm.covPortfolioReturns, COV(_xlpm.portfolioReturns),
    _xlpm.portfolioVar, MMULT(
        _xlpm.portfolioWeights,
        MMULT(_xlpm.covPortfolioReturns, TRANSPOSE(_xlpm.portfolioWeights))
    ),
    _xlpm.portfolioStd, SQRT(_xlpm.portfolioVar),
    _xlpm.portfolioMean, AVERAGE(_xlpm.weightedPortfolioReturn),
    _xlpm.portfolioMedian, MEDIAN(_xlpm.weightedPortfolioReturn),
    _xlpm.portfolioSkew, SKEW(_xlpm.weightedPortfolioReturn),
    _xlpm.portfolioKurt, KURT(_xlpm.weightedPortfolioReturn),
    _xlpm.zStat, _xlfn.NORM.S.INV(1 - _xlpm.confidenceInterval),
    _xlpm.vcvVAR, _xlfn.SWITCH(
        _xlpm.distribution,
        "normal", _xlpm.portfolioMean + _xlpm.zStat * _xlpm.portfolioStd,
        "logistic", _xlpm.portfolioMean +
            (_xlpm.portfolioStd * SQRT(3) / PI()) * LN((1 - _xlpm.confidenceInterval) / _xlpm.confidenceInterval),
        "hypersecant", _xlpm.portfolioMean +
            2 * _xlpm.portfolioStd / PI() * LN(TAN(PI() / 2 * (1 - _xlpm.confidenceInterval))),
        "laplace", _xlpm.portfolioMedian +
            AVERAGE(ABS(_xlpm.weightedPortfolioReturn - _xlpm.portfolioMean)) * LN(2 * (1 - _xlpm.confidenceInterval)),
        "cauchy", _xlpm.portfolioMedian +
            1 / 2 *
                (
                    _xlfn.PERCENTILE.EXC(_xlpm.weightedPortfolioReturn, 0.75) -
                        _xlfn.PERCENTILE.EXC(_xlpm.weightedPortfolioReturn, 0.25)
                ) * TAN(PI() * (1 - _xlpm.confidenceInterval) - PI() / 2),
    ),
    _xlpm.vcvVaRModified, IF(
        _xlpm.typeVaR &lt;&gt; "mcvc",
        FALSE,
        _xlpm.portfolioMean +
            (
                _xlpm.zStat + 1 / 6 * (_xlpm.zStat ^ 2 - 1) * _xlpm.portfolioSkew +
                    1 / 24 * (_xlpm.zStat ^ 3 - 3 * _xlpm.zStat) * _xlpm.portfolioKurt +
                    1 / 36 * (2 * _xlpm.zStat ^ 3 - 5 * _xlpm.zStat) * _xlpm.portfolioSkew ^ 2
            ) * _xlpm.portfolioStd
    ),
    _xlpm.vcvVaRcondSim, IF(
        _xlpm.typeVaR &lt;&gt; "vcvCondSim",
        FALSE,
        MIN(_xlpm.vcvVAR) * AVERAGE(1 * (_xlpm.vcvVAR &lt; _xlfn.RANDARRAY(ROWS(_xlpm.vcvVAR), 1, MIN(_xlpm.vcvVAR), 0)))
    ),
    _xlpm.vcvVARcond, IF(
        _xlpm.typeVaR &lt;&gt; "vcvCond",
        FALSE,
        _xlpm.portfolioMean -
            _xlpm.portfolioStd * _xlfn.NORM.S.DIST((_xlpm.vcvVAR - _xlpm.portfolioMean) / _xlpm.portfolioStd, 0) /
                _xlfn.NORM.S.DIST((_xlpm.vcvVAR - _xlpm.portfolioMean) / _xlpm.portfolioStd, 1)
    ),
    _xlpm.hsVAR, IF(
        _xlpm.typeVaR &lt;&gt; "hist",
        FALSE,
        _xlfn.PERCENTILE.EXC(_xlpm.weightedPortfolioReturn, 1 - _xlpm.confidenceInterval)
    ),
    _xlpm.hsVAR_BRW, IF(
        _xlpm.typeVaR &lt;&gt; "histBRW",
        FALSE,
        _xlfn.LET(
            _xlpm.recency, _xlfn.SEQUENCE(
                ROWS(_xlpm.weightedPortfolioReturn),
                1,
                ROWS(_xlpm.weightedPortfolioReturn) - 1,
                -1
            ),
            _xlpm.rankedReturn, _xlfn._xlws.SORT(
                _xlfn.HSTACK(_xlpm.weightedPortfolioReturn, _xlpm.brwLambda ^ _xlpm.recency / SUM(_xlpm.brwLambda ^ _xlpm.recency)),
                1,
                1,
                FALSE
            ),
            _xlpm.rankedReturnCumm, _xlfn.SCAN(0, INDEX(_xlpm.rankedReturn, 0, 2), _xlfn.LAMBDA(_xlpm.accum,_xlpm.x, _xlpm.accum + _xlpm.x)),
            INDEX(_xlpm.rankedReturn, MATCH(1 - _xlpm.confidenceInterval, _xlpm.rankedReturnCumm, 1), 1)
        )
    ),
    _xlpm.result, _xlfn.SWITCH(
        _xlpm.typeVaR,
        "vcv", _xlpm.vcvVAR,
        "vcvCondSteps", _xlpm.vcvVAR,
        "vcvCondSim", _xlpm.vcvVaRcondSim,
        "vcvCond", _xlpm.vcvVARcond,
        "mvcv", _xlpm.vcvVaRModified,
        "hist", _xlpm.hsVAR,
        "histBRW", _xlpm.hsVAR_BRW
    ),
    _xlpm.resultFinal, _xlfn.BYROW(_xlpm.result, _xlfn.LAMBDA(_xlpm.row, AVERAGE(RMMISSING(_xlpm.row, 2)))),
    IF(
        _xlpm.distribution = "normal",
        _xlpm.resultFinal,
        IF(
            ISMEMBER(_xlpm.typeVaR, {"vcv";"vcvCondSteps";"vcvCondSim"}),
            _xlpm.resultFinal,
            "# " &amp; _xlpm.typeVaR &amp; " does not accept distribution argument"
        )
    )
))($F$27:$J$532, $F$24:$J$24, $Q$23, $Q$25, $Q$27, $Q$29, $Q$31)</f>
        <v>-2.9795117308404177E-2</v>
      </c>
      <c r="T24" s="86"/>
      <c r="U24" s="132" cm="1">
        <f t="array" aca="1" ref="U24" ca="1">FINANCE_VAR($F$27:$J$532, $F$24:$J$24, $Q$23, $Q$25, $Q$27, $Q$29, $Q$31)</f>
        <v>-2.9795117308404177E-2</v>
      </c>
      <c r="W24" s="132" cm="1">
        <f t="array" aca="1" ref="W24" ca="1">FINANCE_VAR($N$27:$N$1285, 1, $Q$23, $Q$25, $Q$27, $Q$29, $Q$31)</f>
        <v>-2.1065755927388758E-2</v>
      </c>
    </row>
    <row r="25" spans="1:26" x14ac:dyDescent="0.55000000000000004">
      <c r="P25" s="13" t="s">
        <v>1012</v>
      </c>
      <c r="Q25" s="139" t="s">
        <v>1035</v>
      </c>
    </row>
    <row r="26" spans="1:26" x14ac:dyDescent="0.55000000000000004">
      <c r="F26" s="138" t="s">
        <v>1004</v>
      </c>
      <c r="G26" s="138" t="s">
        <v>1005</v>
      </c>
      <c r="H26" s="138" t="s">
        <v>1006</v>
      </c>
      <c r="I26" s="138" t="s">
        <v>1007</v>
      </c>
      <c r="J26" s="138" t="s">
        <v>1008</v>
      </c>
      <c r="M26" s="138" t="s">
        <v>230</v>
      </c>
      <c r="N26" s="138" t="s">
        <v>1018</v>
      </c>
    </row>
    <row r="27" spans="1:26" x14ac:dyDescent="0.55000000000000004">
      <c r="E27" s="13" t="s">
        <v>1003</v>
      </c>
      <c r="F27" s="133">
        <v>7.6509999999999998</v>
      </c>
      <c r="G27" s="133">
        <v>2.032</v>
      </c>
      <c r="H27" s="133">
        <v>0.67700000000000005</v>
      </c>
      <c r="I27" s="133">
        <v>2.7730000000000001</v>
      </c>
      <c r="J27" s="133">
        <v>7.78</v>
      </c>
      <c r="L27" s="13" t="s">
        <v>1003</v>
      </c>
      <c r="M27" s="143">
        <v>42004</v>
      </c>
      <c r="N27" s="142">
        <v>2058.9</v>
      </c>
      <c r="P27" s="13" t="s">
        <v>1030</v>
      </c>
      <c r="Q27" s="144" t="s">
        <v>1037</v>
      </c>
    </row>
    <row r="28" spans="1:26" s="21" customFormat="1" ht="14.25" x14ac:dyDescent="0.45">
      <c r="D28"/>
      <c r="E28"/>
      <c r="F28" s="133">
        <v>7.6340000000000003</v>
      </c>
      <c r="G28" s="133">
        <v>2.0369999999999999</v>
      </c>
      <c r="H28" s="133">
        <v>0.67500000000000004</v>
      </c>
      <c r="I28" s="133">
        <v>2.7549999999999999</v>
      </c>
      <c r="J28" s="133">
        <v>7.78</v>
      </c>
      <c r="K28"/>
      <c r="L28"/>
      <c r="M28" s="143">
        <v>42006</v>
      </c>
      <c r="N28" s="142">
        <v>2058.1999999999998</v>
      </c>
      <c r="O28"/>
      <c r="P28"/>
      <c r="Q28"/>
      <c r="R28"/>
      <c r="S28" s="132"/>
      <c r="T28" s="86"/>
      <c r="U28" s="132"/>
      <c r="V28" s="15"/>
      <c r="W28" s="15"/>
      <c r="X28" s="15"/>
      <c r="Y28" s="15"/>
      <c r="Z28" s="15"/>
    </row>
    <row r="29" spans="1:26" s="21" customFormat="1" ht="14.25" x14ac:dyDescent="0.45">
      <c r="D29"/>
      <c r="E29"/>
      <c r="F29" s="133">
        <v>7.6609999999999996</v>
      </c>
      <c r="G29" s="133">
        <v>2.0449999999999999</v>
      </c>
      <c r="H29" s="133">
        <v>0.68100000000000005</v>
      </c>
      <c r="I29" s="133">
        <v>2.7800000000000002</v>
      </c>
      <c r="J29" s="133">
        <v>7.92</v>
      </c>
      <c r="K29"/>
      <c r="L29"/>
      <c r="M29" s="143">
        <v>42009</v>
      </c>
      <c r="N29" s="142">
        <v>2020.58</v>
      </c>
      <c r="O29"/>
      <c r="P29" s="13" t="s">
        <v>1022</v>
      </c>
      <c r="Q29" s="140">
        <v>10000</v>
      </c>
      <c r="R29"/>
      <c r="S29" s="60"/>
      <c r="T29" s="86"/>
      <c r="U29" s="132"/>
      <c r="V29" s="15"/>
      <c r="W29" s="86"/>
      <c r="X29" s="15"/>
      <c r="Y29" s="15"/>
      <c r="Z29" s="15"/>
    </row>
    <row r="30" spans="1:26" s="21" customFormat="1" ht="14.25" x14ac:dyDescent="0.45">
      <c r="D30"/>
      <c r="E30"/>
      <c r="F30" s="133">
        <v>7.6349999999999998</v>
      </c>
      <c r="G30" s="133">
        <v>1.992</v>
      </c>
      <c r="H30" s="133">
        <v>0.68100000000000005</v>
      </c>
      <c r="I30" s="133">
        <v>2.7629999999999999</v>
      </c>
      <c r="J30" s="133">
        <v>7.9399999999999995</v>
      </c>
      <c r="K30"/>
      <c r="L30"/>
      <c r="M30" s="143">
        <v>42010</v>
      </c>
      <c r="N30" s="142">
        <v>2002.61</v>
      </c>
      <c r="O30"/>
      <c r="P30"/>
      <c r="Q30"/>
      <c r="R30"/>
      <c r="S30" s="132"/>
      <c r="T30" s="86"/>
      <c r="U30" s="132"/>
      <c r="V30" s="15"/>
      <c r="W30" s="86"/>
      <c r="X30" s="15"/>
      <c r="Y30" s="15"/>
      <c r="Z30" s="15"/>
    </row>
    <row r="31" spans="1:26" s="21" customFormat="1" ht="14.25" x14ac:dyDescent="0.45">
      <c r="D31"/>
      <c r="E31"/>
      <c r="F31" s="133">
        <v>7.58</v>
      </c>
      <c r="G31" s="133">
        <v>2.0009999999999999</v>
      </c>
      <c r="H31" s="133">
        <v>0.68100000000000005</v>
      </c>
      <c r="I31" s="133">
        <v>2.7869999999999999</v>
      </c>
      <c r="J31" s="133">
        <v>7.95</v>
      </c>
      <c r="K31"/>
      <c r="L31"/>
      <c r="M31" s="143">
        <v>42011</v>
      </c>
      <c r="N31" s="142">
        <v>2025.9</v>
      </c>
      <c r="O31"/>
      <c r="P31" s="13" t="s">
        <v>1026</v>
      </c>
      <c r="Q31" s="144">
        <v>0.99</v>
      </c>
      <c r="R31"/>
      <c r="S31" s="15"/>
      <c r="T31" s="15"/>
      <c r="U31" s="15"/>
      <c r="V31" s="15"/>
      <c r="W31" s="15"/>
      <c r="X31" s="15"/>
      <c r="Y31" s="15"/>
      <c r="Z31" s="15"/>
    </row>
    <row r="32" spans="1:26" s="21" customFormat="1" ht="14.25" x14ac:dyDescent="0.45">
      <c r="D32"/>
      <c r="E32"/>
      <c r="F32" s="133">
        <v>7.6630000000000003</v>
      </c>
      <c r="G32" s="133">
        <v>2.0179999999999998</v>
      </c>
      <c r="H32" s="133">
        <v>0.68400000000000005</v>
      </c>
      <c r="I32" s="133">
        <v>2.8050000000000002</v>
      </c>
      <c r="J32" s="133">
        <v>7.93</v>
      </c>
      <c r="K32"/>
      <c r="L32"/>
      <c r="M32" s="143">
        <v>42012</v>
      </c>
      <c r="N32" s="142">
        <v>2062.14</v>
      </c>
      <c r="O32"/>
      <c r="R32"/>
      <c r="S32" s="62"/>
      <c r="T32" s="62"/>
      <c r="U32" s="15"/>
      <c r="V32" s="15"/>
      <c r="W32" s="15"/>
      <c r="X32" s="15"/>
      <c r="Y32" s="15"/>
      <c r="Z32" s="15"/>
    </row>
    <row r="33" spans="4:26" s="21" customFormat="1" ht="14.25" x14ac:dyDescent="0.45">
      <c r="D33"/>
      <c r="F33" s="133">
        <v>7.9550000000000001</v>
      </c>
      <c r="G33" s="133">
        <v>2.012</v>
      </c>
      <c r="H33" s="133">
        <v>0.69</v>
      </c>
      <c r="I33" s="133">
        <v>2.9340000000000002</v>
      </c>
      <c r="J33" s="133">
        <v>8.19</v>
      </c>
      <c r="K33"/>
      <c r="L33"/>
      <c r="M33" s="143">
        <v>42013</v>
      </c>
      <c r="N33" s="142">
        <v>2044.81</v>
      </c>
      <c r="O33"/>
      <c r="R33"/>
      <c r="S33" s="62"/>
      <c r="T33" s="62"/>
      <c r="U33" s="15"/>
      <c r="V33" s="15"/>
      <c r="W33" s="15"/>
      <c r="X33" s="15"/>
      <c r="Y33" s="15"/>
      <c r="Z33" s="15"/>
    </row>
    <row r="34" spans="4:26" s="21" customFormat="1" ht="14.25" x14ac:dyDescent="0.45">
      <c r="D34"/>
      <c r="F34" s="133">
        <v>7.96</v>
      </c>
      <c r="G34" s="133">
        <v>1.9609999999999999</v>
      </c>
      <c r="H34" s="133">
        <v>0.69799999999999995</v>
      </c>
      <c r="I34" s="133">
        <v>2.968</v>
      </c>
      <c r="J34" s="133">
        <v>8.2899999999999991</v>
      </c>
      <c r="K34"/>
      <c r="L34"/>
      <c r="M34" s="143">
        <v>42016</v>
      </c>
      <c r="N34" s="142">
        <v>2028.26</v>
      </c>
      <c r="O34"/>
      <c r="R34"/>
      <c r="S34" s="62"/>
      <c r="T34" s="62"/>
      <c r="U34" s="15"/>
      <c r="V34" s="15"/>
      <c r="W34" s="15"/>
      <c r="X34" s="15"/>
      <c r="Y34" s="15"/>
      <c r="Z34" s="15"/>
    </row>
    <row r="35" spans="4:26" s="21" customFormat="1" ht="14.25" x14ac:dyDescent="0.45">
      <c r="D35"/>
      <c r="F35" s="133">
        <v>7.9169999999999998</v>
      </c>
      <c r="G35" s="133">
        <v>1.9449999999999998</v>
      </c>
      <c r="H35" s="133">
        <v>0.70499999999999996</v>
      </c>
      <c r="I35" s="133">
        <v>3.024</v>
      </c>
      <c r="J35" s="133">
        <v>8.33</v>
      </c>
      <c r="K35"/>
      <c r="L35"/>
      <c r="M35" s="143">
        <v>42017</v>
      </c>
      <c r="N35" s="142">
        <v>2023.03</v>
      </c>
      <c r="O35"/>
      <c r="R35"/>
      <c r="S35" s="62"/>
      <c r="T35" s="62"/>
      <c r="U35" s="15"/>
      <c r="V35" s="15"/>
      <c r="W35" s="15"/>
      <c r="X35" s="15"/>
      <c r="Y35" s="15"/>
      <c r="Z35" s="15"/>
    </row>
    <row r="36" spans="4:26" s="21" customFormat="1" ht="14.25" x14ac:dyDescent="0.45">
      <c r="D36"/>
      <c r="F36" s="133">
        <v>7.8490000000000002</v>
      </c>
      <c r="G36" s="133">
        <v>1.9550000000000001</v>
      </c>
      <c r="H36" s="133">
        <v>0.70599999999999996</v>
      </c>
      <c r="I36" s="133">
        <v>3.0009999999999999</v>
      </c>
      <c r="J36" s="133">
        <v>8.16</v>
      </c>
      <c r="K36"/>
      <c r="L36"/>
      <c r="M36" s="143">
        <v>42018</v>
      </c>
      <c r="N36" s="142">
        <v>2011.27</v>
      </c>
      <c r="O36"/>
      <c r="P36"/>
      <c r="Q36"/>
      <c r="R36"/>
      <c r="S36" s="27"/>
      <c r="T36" s="15"/>
      <c r="U36" s="15"/>
      <c r="V36" s="15"/>
      <c r="W36" s="15"/>
      <c r="X36" s="15"/>
      <c r="Y36" s="15"/>
      <c r="Z36" s="15"/>
    </row>
    <row r="37" spans="4:26" s="21" customFormat="1" ht="14.25" x14ac:dyDescent="0.45">
      <c r="D37"/>
      <c r="F37" s="133">
        <v>7.93</v>
      </c>
      <c r="G37" s="133">
        <v>1.994</v>
      </c>
      <c r="H37" s="133">
        <v>0.70499999999999996</v>
      </c>
      <c r="I37" s="133">
        <v>2.9870000000000001</v>
      </c>
      <c r="J37" s="133">
        <v>8.17</v>
      </c>
      <c r="K37"/>
      <c r="L37"/>
      <c r="M37" s="143">
        <v>42019</v>
      </c>
      <c r="N37" s="142">
        <v>1992.67</v>
      </c>
      <c r="O37"/>
      <c r="P37"/>
      <c r="Q37"/>
      <c r="R37"/>
      <c r="S37" s="27"/>
      <c r="T37" s="15"/>
      <c r="U37" s="15"/>
      <c r="V37" s="15"/>
      <c r="W37" s="15"/>
      <c r="X37" s="15"/>
      <c r="Y37" s="15"/>
      <c r="Z37" s="15"/>
    </row>
    <row r="38" spans="4:26" s="21" customFormat="1" ht="14.25" x14ac:dyDescent="0.45">
      <c r="D38"/>
      <c r="E38"/>
      <c r="F38" s="133">
        <v>7.9279999999999999</v>
      </c>
      <c r="G38" s="133">
        <v>1.9849999999999999</v>
      </c>
      <c r="H38" s="133">
        <v>0.70399999999999996</v>
      </c>
      <c r="I38" s="133">
        <v>2.948</v>
      </c>
      <c r="J38" s="133">
        <v>8.1999999999999993</v>
      </c>
      <c r="K38"/>
      <c r="L38"/>
      <c r="M38" s="143">
        <v>42020</v>
      </c>
      <c r="N38" s="142">
        <v>2019.42</v>
      </c>
      <c r="O38"/>
      <c r="P38"/>
      <c r="Q38"/>
      <c r="R38"/>
      <c r="S38" s="27"/>
      <c r="T38" s="15"/>
      <c r="U38" s="15"/>
      <c r="V38" s="15"/>
      <c r="W38" s="15"/>
      <c r="X38" s="15"/>
      <c r="Y38" s="15"/>
      <c r="Z38" s="15"/>
    </row>
    <row r="39" spans="4:26" s="21" customFormat="1" ht="14.25" x14ac:dyDescent="0.45">
      <c r="D39"/>
      <c r="E39"/>
      <c r="F39" s="133">
        <v>7.883</v>
      </c>
      <c r="G39" s="133">
        <v>1.9929999999999999</v>
      </c>
      <c r="H39" s="133">
        <v>0.70899999999999996</v>
      </c>
      <c r="I39" s="133">
        <v>2.9729999999999999</v>
      </c>
      <c r="J39" s="133">
        <v>8.19</v>
      </c>
      <c r="K39"/>
      <c r="L39"/>
      <c r="M39" s="143">
        <v>42024</v>
      </c>
      <c r="N39" s="142">
        <v>2022.55</v>
      </c>
      <c r="O39"/>
      <c r="P39"/>
      <c r="Q39"/>
      <c r="R39"/>
      <c r="S39" s="27"/>
      <c r="T39" s="15"/>
      <c r="U39" s="15"/>
      <c r="V39" s="15"/>
      <c r="W39" s="15"/>
      <c r="X39" s="15"/>
      <c r="Y39" s="15"/>
      <c r="Z39" s="15"/>
    </row>
    <row r="40" spans="4:26" s="21" customFormat="1" ht="14.25" x14ac:dyDescent="0.45">
      <c r="E40"/>
      <c r="F40" s="133">
        <v>7.8840000000000003</v>
      </c>
      <c r="G40" s="133">
        <v>2.0049999999999999</v>
      </c>
      <c r="H40" s="133">
        <v>0.71499999999999997</v>
      </c>
      <c r="I40" s="133">
        <v>2.9729999999999999</v>
      </c>
      <c r="J40" s="133">
        <v>8.19</v>
      </c>
      <c r="K40"/>
      <c r="L40"/>
      <c r="M40" s="143">
        <v>42025</v>
      </c>
      <c r="N40" s="142">
        <v>2032.12</v>
      </c>
      <c r="S40" s="15"/>
      <c r="T40" s="15"/>
      <c r="U40" s="15"/>
      <c r="V40" s="15"/>
      <c r="W40" s="15"/>
      <c r="X40" s="15"/>
      <c r="Y40" s="15"/>
      <c r="Z40" s="15"/>
    </row>
    <row r="41" spans="4:26" s="21" customFormat="1" ht="14.25" x14ac:dyDescent="0.45">
      <c r="E41"/>
      <c r="F41" s="133">
        <v>7.8449999999999998</v>
      </c>
      <c r="G41" s="133">
        <v>2.0920000000000001</v>
      </c>
      <c r="H41" s="133">
        <v>0.72</v>
      </c>
      <c r="I41" s="133">
        <v>2.9670000000000001</v>
      </c>
      <c r="J41" s="133">
        <v>8.24</v>
      </c>
      <c r="K41"/>
      <c r="L41"/>
      <c r="M41" s="143">
        <v>42026</v>
      </c>
      <c r="N41" s="142">
        <v>2063.15</v>
      </c>
      <c r="S41" s="15"/>
      <c r="T41" s="15"/>
      <c r="U41" s="15"/>
      <c r="V41" s="15"/>
      <c r="W41" s="15"/>
      <c r="X41" s="15"/>
      <c r="Y41" s="15"/>
      <c r="Z41" s="15"/>
    </row>
    <row r="42" spans="4:26" s="21" customFormat="1" ht="14.25" x14ac:dyDescent="0.45">
      <c r="E42"/>
      <c r="F42" s="133">
        <v>7.851</v>
      </c>
      <c r="G42" s="133">
        <v>2.0920000000000001</v>
      </c>
      <c r="H42" s="133">
        <v>0.72099999999999997</v>
      </c>
      <c r="I42" s="133">
        <v>2.96</v>
      </c>
      <c r="J42" s="133">
        <v>8.34</v>
      </c>
      <c r="K42"/>
      <c r="L42"/>
      <c r="M42" s="143">
        <v>42027</v>
      </c>
      <c r="N42" s="142">
        <v>2051.8200000000002</v>
      </c>
      <c r="S42" s="15"/>
      <c r="T42" s="15"/>
      <c r="U42" s="15"/>
      <c r="V42" s="15"/>
      <c r="W42" s="15"/>
      <c r="X42" s="15"/>
      <c r="Y42" s="15"/>
      <c r="Z42" s="15"/>
    </row>
    <row r="43" spans="4:26" s="21" customFormat="1" ht="14.25" x14ac:dyDescent="0.45">
      <c r="E43"/>
      <c r="F43" s="133">
        <v>7.7149999999999999</v>
      </c>
      <c r="G43" s="133">
        <v>2.085</v>
      </c>
      <c r="H43" s="133">
        <v>0.72</v>
      </c>
      <c r="I43" s="133">
        <v>2.9769999999999999</v>
      </c>
      <c r="J43" s="133">
        <v>8.26</v>
      </c>
      <c r="K43"/>
      <c r="L43"/>
      <c r="M43" s="143">
        <v>42030</v>
      </c>
      <c r="N43" s="142">
        <v>2057.09</v>
      </c>
      <c r="S43" s="15"/>
      <c r="T43" s="15"/>
      <c r="U43" s="15"/>
      <c r="V43" s="15"/>
      <c r="W43" s="15"/>
      <c r="X43" s="15"/>
      <c r="Y43" s="15"/>
      <c r="Z43" s="15"/>
    </row>
    <row r="44" spans="4:26" s="21" customFormat="1" ht="14.25" x14ac:dyDescent="0.45">
      <c r="E44"/>
      <c r="F44" s="133">
        <v>7.6840000000000002</v>
      </c>
      <c r="G44" s="133">
        <v>2.1030000000000002</v>
      </c>
      <c r="H44" s="133">
        <v>0.71299999999999997</v>
      </c>
      <c r="I44" s="133">
        <v>2.9910000000000001</v>
      </c>
      <c r="J44" s="133">
        <v>8.33</v>
      </c>
      <c r="K44"/>
      <c r="L44"/>
      <c r="M44" s="143">
        <v>42031</v>
      </c>
      <c r="N44" s="142">
        <v>2029.55</v>
      </c>
      <c r="S44" s="15"/>
      <c r="T44" s="15"/>
      <c r="U44" s="15"/>
      <c r="V44" s="15"/>
      <c r="W44" s="15"/>
      <c r="X44" s="15"/>
      <c r="Y44" s="15"/>
      <c r="Z44" s="15"/>
    </row>
    <row r="45" spans="4:26" s="21" customFormat="1" ht="14.25" x14ac:dyDescent="0.45">
      <c r="E45"/>
      <c r="F45" s="133">
        <v>7.7059999999999995</v>
      </c>
      <c r="G45" s="133">
        <v>2.1</v>
      </c>
      <c r="H45" s="133">
        <v>0.71299999999999997</v>
      </c>
      <c r="I45" s="133">
        <v>3.016</v>
      </c>
      <c r="J45" s="133">
        <v>8.49</v>
      </c>
      <c r="K45"/>
      <c r="L45"/>
      <c r="M45" s="143">
        <v>42032</v>
      </c>
      <c r="N45" s="142">
        <v>2002.16</v>
      </c>
      <c r="S45" s="15"/>
      <c r="T45" s="15"/>
      <c r="U45" s="15"/>
      <c r="V45" s="15"/>
      <c r="W45" s="15"/>
      <c r="X45" s="15"/>
      <c r="Y45" s="15"/>
      <c r="Z45" s="15"/>
    </row>
    <row r="46" spans="4:26" s="21" customFormat="1" ht="14.25" x14ac:dyDescent="0.45">
      <c r="E46"/>
      <c r="F46" s="133">
        <v>7.7050000000000001</v>
      </c>
      <c r="G46" s="133">
        <v>2.077</v>
      </c>
      <c r="H46" s="133">
        <v>0.71599999999999997</v>
      </c>
      <c r="I46" s="133">
        <v>3.0019999999999998</v>
      </c>
      <c r="J46" s="133">
        <v>8.39</v>
      </c>
      <c r="K46"/>
      <c r="L46"/>
      <c r="M46" s="143">
        <v>42033</v>
      </c>
      <c r="N46" s="142">
        <v>2021.25</v>
      </c>
      <c r="S46" s="15"/>
      <c r="T46" s="15"/>
      <c r="U46" s="15"/>
      <c r="V46" s="15"/>
      <c r="W46" s="15"/>
      <c r="X46" s="15"/>
      <c r="Y46" s="15"/>
      <c r="Z46" s="15"/>
    </row>
    <row r="47" spans="4:26" s="21" customFormat="1" ht="14.25" x14ac:dyDescent="0.45">
      <c r="E47"/>
      <c r="F47" s="133">
        <v>7.6059999999999999</v>
      </c>
      <c r="G47" s="133">
        <v>2.0179999999999998</v>
      </c>
      <c r="H47" s="133">
        <v>0.70499999999999996</v>
      </c>
      <c r="I47" s="133">
        <v>2.92</v>
      </c>
      <c r="J47" s="133">
        <v>8.14</v>
      </c>
      <c r="K47"/>
      <c r="L47"/>
      <c r="M47" s="143">
        <v>42034</v>
      </c>
      <c r="N47" s="142">
        <v>1994.99</v>
      </c>
      <c r="S47" s="15"/>
      <c r="T47" s="15"/>
      <c r="U47" s="15"/>
      <c r="V47" s="15"/>
      <c r="W47" s="15"/>
      <c r="X47" s="15"/>
      <c r="Y47" s="15"/>
      <c r="Z47" s="15"/>
    </row>
    <row r="48" spans="4:26" s="21" customFormat="1" ht="14.25" x14ac:dyDescent="0.45">
      <c r="E48"/>
      <c r="F48" s="133">
        <v>7.5110000000000001</v>
      </c>
      <c r="G48" s="133">
        <v>1.9990000000000001</v>
      </c>
      <c r="H48" s="133">
        <v>0.69499999999999995</v>
      </c>
      <c r="I48" s="133">
        <v>2.8769999999999998</v>
      </c>
      <c r="J48" s="133">
        <v>8.1999999999999993</v>
      </c>
      <c r="K48"/>
      <c r="L48"/>
      <c r="M48" s="143">
        <v>42037</v>
      </c>
      <c r="N48" s="142">
        <v>2020.85</v>
      </c>
      <c r="S48" s="15"/>
      <c r="T48" s="15"/>
      <c r="U48" s="15"/>
      <c r="V48" s="15"/>
      <c r="W48" s="15"/>
      <c r="X48" s="15"/>
      <c r="Y48" s="15"/>
      <c r="Z48" s="15"/>
    </row>
    <row r="49" spans="5:26" s="21" customFormat="1" ht="14.25" x14ac:dyDescent="0.45">
      <c r="E49"/>
      <c r="F49" s="133">
        <v>7.5030000000000001</v>
      </c>
      <c r="G49" s="133">
        <v>1.9729999999999999</v>
      </c>
      <c r="H49" s="133">
        <v>0.69299999999999995</v>
      </c>
      <c r="I49" s="133">
        <v>2.8689999999999998</v>
      </c>
      <c r="J49" s="133">
        <v>8.24</v>
      </c>
      <c r="K49"/>
      <c r="L49"/>
      <c r="M49" s="143">
        <v>42038</v>
      </c>
      <c r="N49" s="142">
        <v>2050.0300000000002</v>
      </c>
      <c r="S49" s="15"/>
      <c r="T49" s="15"/>
      <c r="U49" s="15"/>
      <c r="V49" s="15"/>
      <c r="W49" s="15"/>
      <c r="X49" s="15"/>
      <c r="Y49" s="15"/>
      <c r="Z49" s="15"/>
    </row>
    <row r="50" spans="5:26" s="21" customFormat="1" ht="14.25" x14ac:dyDescent="0.45">
      <c r="E50"/>
      <c r="F50" s="133">
        <v>7.5019999999999998</v>
      </c>
      <c r="G50" s="133">
        <v>1.956</v>
      </c>
      <c r="H50" s="133">
        <v>0.68799999999999994</v>
      </c>
      <c r="I50" s="133">
        <v>2.8660000000000001</v>
      </c>
      <c r="J50" s="133">
        <v>8.14</v>
      </c>
      <c r="K50"/>
      <c r="L50"/>
      <c r="M50" s="143">
        <v>42039</v>
      </c>
      <c r="N50" s="142">
        <v>2041.51</v>
      </c>
      <c r="S50" s="15"/>
      <c r="T50" s="15"/>
      <c r="U50" s="15"/>
      <c r="V50" s="15"/>
      <c r="W50" s="15"/>
      <c r="X50" s="15"/>
      <c r="Y50" s="15"/>
      <c r="Z50" s="15"/>
    </row>
    <row r="51" spans="5:26" s="21" customFormat="1" ht="14.25" x14ac:dyDescent="0.45">
      <c r="E51"/>
      <c r="F51" s="133">
        <v>7.4980000000000002</v>
      </c>
      <c r="G51" s="133">
        <v>1.9390000000000001</v>
      </c>
      <c r="H51" s="133">
        <v>0.68100000000000005</v>
      </c>
      <c r="I51" s="133">
        <v>2.8170000000000002</v>
      </c>
      <c r="J51" s="133">
        <v>8.1199999999999992</v>
      </c>
      <c r="K51"/>
      <c r="L51"/>
      <c r="M51" s="143">
        <v>42040</v>
      </c>
      <c r="N51" s="142">
        <v>2062.52</v>
      </c>
      <c r="S51" s="15"/>
      <c r="T51" s="15"/>
      <c r="U51" s="15"/>
      <c r="V51" s="15"/>
      <c r="W51" s="15"/>
      <c r="X51" s="15"/>
      <c r="Y51" s="15"/>
      <c r="Z51" s="15"/>
    </row>
    <row r="52" spans="5:26" s="21" customFormat="1" ht="14.25" x14ac:dyDescent="0.45">
      <c r="E52"/>
      <c r="F52" s="133">
        <v>7.27</v>
      </c>
      <c r="G52" s="133">
        <v>1.891</v>
      </c>
      <c r="H52" s="133">
        <v>0.66200000000000003</v>
      </c>
      <c r="I52" s="133">
        <v>2.7439999999999998</v>
      </c>
      <c r="J52" s="133">
        <v>7.85</v>
      </c>
      <c r="K52"/>
      <c r="L52"/>
      <c r="M52" s="143">
        <v>42041</v>
      </c>
      <c r="N52" s="142">
        <v>2055.4699999999998</v>
      </c>
      <c r="S52" s="15"/>
      <c r="T52" s="15"/>
      <c r="U52" s="15"/>
      <c r="V52" s="15"/>
      <c r="W52" s="15"/>
      <c r="X52" s="15"/>
      <c r="Y52" s="15"/>
      <c r="Z52" s="15"/>
    </row>
    <row r="53" spans="5:26" s="21" customFormat="1" ht="14.25" x14ac:dyDescent="0.45">
      <c r="E53"/>
      <c r="F53" s="133">
        <v>7.3929999999999998</v>
      </c>
      <c r="G53" s="133">
        <v>1.9319999999999999</v>
      </c>
      <c r="H53" s="133">
        <v>0.67400000000000004</v>
      </c>
      <c r="I53" s="133">
        <v>2.8069999999999999</v>
      </c>
      <c r="J53" s="133">
        <v>8.0399999999999991</v>
      </c>
      <c r="K53"/>
      <c r="L53"/>
      <c r="M53" s="143">
        <v>42044</v>
      </c>
      <c r="N53" s="142">
        <v>2046.74</v>
      </c>
      <c r="S53" s="15"/>
      <c r="T53" s="15"/>
      <c r="U53" s="15"/>
      <c r="V53" s="15"/>
      <c r="W53" s="15"/>
      <c r="X53" s="15"/>
      <c r="Y53" s="15"/>
      <c r="Z53" s="15"/>
    </row>
    <row r="54" spans="5:26" s="21" customFormat="1" ht="14.25" x14ac:dyDescent="0.45">
      <c r="E54"/>
      <c r="F54" s="133">
        <v>7.3360000000000003</v>
      </c>
      <c r="G54" s="133">
        <v>1.9409999999999998</v>
      </c>
      <c r="H54" s="133">
        <v>0.67600000000000005</v>
      </c>
      <c r="I54" s="133">
        <v>2.8359999999999999</v>
      </c>
      <c r="J54" s="133">
        <v>7.98</v>
      </c>
      <c r="K54"/>
      <c r="L54"/>
      <c r="M54" s="143">
        <v>42045</v>
      </c>
      <c r="N54" s="142">
        <v>2068.59</v>
      </c>
      <c r="S54" s="15"/>
      <c r="T54" s="15"/>
      <c r="U54" s="15"/>
      <c r="V54" s="15"/>
      <c r="W54" s="15"/>
      <c r="X54" s="15"/>
      <c r="Y54" s="15"/>
      <c r="Z54" s="15"/>
    </row>
    <row r="55" spans="5:26" s="21" customFormat="1" ht="14.25" x14ac:dyDescent="0.45">
      <c r="E55"/>
      <c r="F55" s="133">
        <v>7.3179999999999996</v>
      </c>
      <c r="G55" s="133">
        <v>1.929</v>
      </c>
      <c r="H55" s="133">
        <v>0.66600000000000004</v>
      </c>
      <c r="I55" s="133">
        <v>2.7450000000000001</v>
      </c>
      <c r="J55" s="133">
        <v>7.88</v>
      </c>
      <c r="K55"/>
      <c r="L55"/>
      <c r="M55" s="143">
        <v>42046</v>
      </c>
      <c r="N55" s="142">
        <v>2068.5300000000002</v>
      </c>
      <c r="S55" s="15"/>
      <c r="T55" s="15"/>
      <c r="U55" s="15"/>
      <c r="V55" s="15"/>
      <c r="W55" s="15"/>
      <c r="X55" s="15"/>
      <c r="Y55" s="15"/>
      <c r="Z55" s="15"/>
    </row>
    <row r="56" spans="5:26" s="21" customFormat="1" ht="14.25" x14ac:dyDescent="0.45">
      <c r="E56"/>
      <c r="F56" s="133">
        <v>7.3239999999999998</v>
      </c>
      <c r="G56" s="133">
        <v>1.9330000000000001</v>
      </c>
      <c r="H56" s="133">
        <v>0.66500000000000004</v>
      </c>
      <c r="I56" s="133">
        <v>2.77</v>
      </c>
      <c r="J56" s="133">
        <v>8.02</v>
      </c>
      <c r="K56"/>
      <c r="L56"/>
      <c r="M56" s="143">
        <v>42047</v>
      </c>
      <c r="N56" s="142">
        <v>2088.48</v>
      </c>
      <c r="S56" s="15"/>
      <c r="T56" s="15"/>
      <c r="U56" s="15"/>
      <c r="V56" s="15"/>
      <c r="W56" s="15"/>
      <c r="X56" s="15"/>
      <c r="Y56" s="15"/>
      <c r="Z56" s="15"/>
    </row>
    <row r="57" spans="5:26" s="21" customFormat="1" ht="14.25" x14ac:dyDescent="0.45">
      <c r="E57"/>
      <c r="F57" s="133">
        <v>7.3479999999999999</v>
      </c>
      <c r="G57" s="133">
        <v>1.9300000000000002</v>
      </c>
      <c r="H57" s="133">
        <v>0.66500000000000004</v>
      </c>
      <c r="I57" s="133">
        <v>2.7519999999999998</v>
      </c>
      <c r="J57" s="133">
        <v>8.0399999999999991</v>
      </c>
      <c r="K57"/>
      <c r="L57"/>
      <c r="M57" s="143">
        <v>42048</v>
      </c>
      <c r="N57" s="142">
        <v>2096.9899999999998</v>
      </c>
      <c r="S57" s="15"/>
      <c r="T57" s="15"/>
      <c r="U57" s="15"/>
      <c r="V57" s="15"/>
      <c r="W57" s="15"/>
      <c r="X57" s="15"/>
      <c r="Y57" s="15"/>
      <c r="Z57" s="15"/>
    </row>
    <row r="58" spans="5:26" s="21" customFormat="1" ht="14.25" x14ac:dyDescent="0.45">
      <c r="E58"/>
      <c r="F58" s="133">
        <v>7.5010000000000003</v>
      </c>
      <c r="G58" s="133">
        <v>1.9569999999999999</v>
      </c>
      <c r="H58" s="133">
        <v>0.66700000000000004</v>
      </c>
      <c r="I58" s="133">
        <v>2.7490000000000001</v>
      </c>
      <c r="J58" s="133">
        <v>8.09</v>
      </c>
      <c r="K58"/>
      <c r="L58"/>
      <c r="M58" s="143">
        <v>42052</v>
      </c>
      <c r="N58" s="142">
        <v>2100.34</v>
      </c>
      <c r="S58" s="15"/>
      <c r="T58" s="15"/>
      <c r="U58" s="15"/>
      <c r="V58" s="15"/>
      <c r="W58" s="15"/>
      <c r="X58" s="15"/>
      <c r="Y58" s="15"/>
      <c r="Z58" s="15"/>
    </row>
    <row r="59" spans="5:26" s="21" customFormat="1" ht="14.25" x14ac:dyDescent="0.45">
      <c r="E59"/>
      <c r="F59" s="133">
        <v>7.5229999999999997</v>
      </c>
      <c r="G59" s="133">
        <v>1.9849999999999999</v>
      </c>
      <c r="H59" s="133">
        <v>0.67100000000000004</v>
      </c>
      <c r="I59" s="133">
        <v>2.7509999999999999</v>
      </c>
      <c r="J59" s="133">
        <v>8.18</v>
      </c>
      <c r="K59"/>
      <c r="L59"/>
      <c r="M59" s="143">
        <v>42053</v>
      </c>
      <c r="N59" s="142">
        <v>2099.6799999999998</v>
      </c>
      <c r="S59" s="15"/>
      <c r="T59" s="15"/>
      <c r="U59" s="15"/>
      <c r="V59" s="15"/>
      <c r="W59" s="15"/>
      <c r="X59" s="15"/>
      <c r="Y59" s="15"/>
      <c r="Z59" s="15"/>
    </row>
    <row r="60" spans="5:26" s="21" customFormat="1" ht="14.25" x14ac:dyDescent="0.45">
      <c r="E60"/>
      <c r="F60" s="133">
        <v>7.6079999999999997</v>
      </c>
      <c r="G60" s="133">
        <v>2.0009999999999999</v>
      </c>
      <c r="H60" s="133">
        <v>0.67700000000000005</v>
      </c>
      <c r="I60" s="133">
        <v>2.754</v>
      </c>
      <c r="J60" s="133">
        <v>8.2200000000000006</v>
      </c>
      <c r="K60"/>
      <c r="L60"/>
      <c r="M60" s="143">
        <v>42054</v>
      </c>
      <c r="N60" s="142">
        <v>2097.4499999999998</v>
      </c>
      <c r="S60" s="15"/>
      <c r="T60" s="15"/>
      <c r="U60" s="15"/>
      <c r="V60" s="15"/>
      <c r="W60" s="15"/>
      <c r="X60" s="15"/>
      <c r="Y60" s="15"/>
      <c r="Z60" s="15"/>
    </row>
    <row r="61" spans="5:26" s="21" customFormat="1" ht="14.25" x14ac:dyDescent="0.45">
      <c r="E61"/>
      <c r="F61" s="133">
        <v>7.6050000000000004</v>
      </c>
      <c r="G61" s="133">
        <v>2.0099999999999998</v>
      </c>
      <c r="H61" s="133">
        <v>0.68</v>
      </c>
      <c r="I61" s="133">
        <v>2.7560000000000002</v>
      </c>
      <c r="J61" s="133">
        <v>8.19</v>
      </c>
      <c r="K61"/>
      <c r="L61"/>
      <c r="M61" s="143">
        <v>42055</v>
      </c>
      <c r="N61" s="142">
        <v>2110.3000000000002</v>
      </c>
      <c r="S61" s="15"/>
      <c r="T61" s="15"/>
      <c r="U61" s="15"/>
      <c r="V61" s="15"/>
      <c r="W61" s="15"/>
      <c r="X61" s="15"/>
      <c r="Y61" s="15"/>
      <c r="Z61" s="15"/>
    </row>
    <row r="62" spans="5:26" s="21" customFormat="1" ht="14.25" x14ac:dyDescent="0.45">
      <c r="E62"/>
      <c r="F62" s="133">
        <v>7.37</v>
      </c>
      <c r="G62" s="133">
        <v>2.0110000000000001</v>
      </c>
      <c r="H62" s="133">
        <v>0.67900000000000005</v>
      </c>
      <c r="I62" s="133">
        <v>2.7490000000000001</v>
      </c>
      <c r="J62" s="133">
        <v>8.1999999999999993</v>
      </c>
      <c r="K62"/>
      <c r="L62"/>
      <c r="M62" s="143">
        <v>42058</v>
      </c>
      <c r="N62" s="142">
        <v>2109.66</v>
      </c>
      <c r="S62" s="15"/>
      <c r="T62" s="15"/>
      <c r="U62" s="15"/>
      <c r="V62" s="15"/>
      <c r="W62" s="15"/>
      <c r="X62" s="15"/>
      <c r="Y62" s="15"/>
      <c r="Z62" s="15"/>
    </row>
    <row r="63" spans="5:26" s="21" customFormat="1" ht="14.25" x14ac:dyDescent="0.45">
      <c r="E63"/>
      <c r="F63" s="133">
        <v>7.4729999999999999</v>
      </c>
      <c r="G63" s="133">
        <v>2.0209999999999999</v>
      </c>
      <c r="H63" s="133">
        <v>0.69699999999999995</v>
      </c>
      <c r="I63" s="133">
        <v>2.774</v>
      </c>
      <c r="J63" s="133">
        <v>8.31</v>
      </c>
      <c r="K63"/>
      <c r="L63"/>
      <c r="M63" s="143">
        <v>42059</v>
      </c>
      <c r="N63" s="142">
        <v>2115.48</v>
      </c>
      <c r="S63" s="15"/>
      <c r="T63" s="15"/>
      <c r="U63" s="15"/>
      <c r="V63" s="15"/>
      <c r="W63" s="15"/>
      <c r="X63" s="15"/>
      <c r="Y63" s="15"/>
      <c r="Z63" s="15"/>
    </row>
    <row r="64" spans="5:26" s="21" customFormat="1" ht="14.25" x14ac:dyDescent="0.45">
      <c r="E64"/>
      <c r="F64" s="133">
        <v>7.2809999999999997</v>
      </c>
      <c r="G64" s="133">
        <v>2.11</v>
      </c>
      <c r="H64" s="133">
        <v>0.69199999999999995</v>
      </c>
      <c r="I64" s="133">
        <v>2.82</v>
      </c>
      <c r="J64" s="133">
        <v>8.3000000000000007</v>
      </c>
      <c r="K64"/>
      <c r="L64"/>
      <c r="M64" s="143">
        <v>42060</v>
      </c>
      <c r="N64" s="142">
        <v>2113.86</v>
      </c>
      <c r="S64" s="15"/>
      <c r="T64" s="15"/>
      <c r="U64" s="15"/>
      <c r="V64" s="15"/>
      <c r="W64" s="15"/>
      <c r="X64" s="15"/>
      <c r="Y64" s="15"/>
      <c r="Z64" s="15"/>
    </row>
    <row r="65" spans="5:26" s="21" customFormat="1" ht="14.25" x14ac:dyDescent="0.45">
      <c r="E65"/>
      <c r="F65" s="133">
        <v>7.234</v>
      </c>
      <c r="G65" s="133">
        <v>2.0979999999999999</v>
      </c>
      <c r="H65" s="133">
        <v>0.68700000000000006</v>
      </c>
      <c r="I65" s="133">
        <v>2.6840000000000002</v>
      </c>
      <c r="J65" s="133">
        <v>8.3000000000000007</v>
      </c>
      <c r="K65"/>
      <c r="L65"/>
      <c r="M65" s="143">
        <v>42061</v>
      </c>
      <c r="N65" s="142">
        <v>2110.7399999999998</v>
      </c>
      <c r="S65" s="15"/>
      <c r="T65" s="15"/>
      <c r="U65" s="15"/>
      <c r="V65" s="15"/>
      <c r="W65" s="15"/>
      <c r="X65" s="15"/>
      <c r="Y65" s="15"/>
      <c r="Z65" s="15"/>
    </row>
    <row r="66" spans="5:26" s="21" customFormat="1" ht="14.25" x14ac:dyDescent="0.45">
      <c r="E66"/>
      <c r="F66" s="133">
        <v>7.2140000000000004</v>
      </c>
      <c r="G66" s="133">
        <v>2.085</v>
      </c>
      <c r="H66" s="133">
        <v>0.68600000000000005</v>
      </c>
      <c r="I66" s="133">
        <v>2.681</v>
      </c>
      <c r="J66" s="133">
        <v>8.2899999999999991</v>
      </c>
      <c r="K66"/>
      <c r="L66"/>
      <c r="M66" s="143">
        <v>42062</v>
      </c>
      <c r="N66" s="142">
        <v>2104.5</v>
      </c>
      <c r="S66" s="15"/>
      <c r="T66" s="15"/>
      <c r="U66" s="15"/>
      <c r="V66" s="15"/>
      <c r="W66" s="15"/>
      <c r="X66" s="15"/>
      <c r="Y66" s="15"/>
      <c r="Z66" s="15"/>
    </row>
    <row r="67" spans="5:26" s="21" customFormat="1" ht="14.25" x14ac:dyDescent="0.45">
      <c r="E67"/>
      <c r="F67" s="133">
        <v>7.1920000000000002</v>
      </c>
      <c r="G67" s="133">
        <v>2.12</v>
      </c>
      <c r="H67" s="133">
        <v>0.69</v>
      </c>
      <c r="I67" s="133">
        <v>2.7039999999999997</v>
      </c>
      <c r="J67" s="133">
        <v>8.39</v>
      </c>
      <c r="K67"/>
      <c r="L67"/>
      <c r="M67" s="143">
        <v>42065</v>
      </c>
      <c r="N67" s="142">
        <v>2117.39</v>
      </c>
      <c r="S67" s="15"/>
      <c r="T67" s="15"/>
      <c r="U67" s="15"/>
      <c r="V67" s="15"/>
      <c r="W67" s="15"/>
      <c r="X67" s="15"/>
      <c r="Y67" s="15"/>
      <c r="Z67" s="15"/>
    </row>
    <row r="68" spans="5:26" s="21" customFormat="1" ht="14.25" x14ac:dyDescent="0.45">
      <c r="E68"/>
      <c r="F68" s="133">
        <v>7.1710000000000003</v>
      </c>
      <c r="G68" s="133">
        <v>2.1349999999999998</v>
      </c>
      <c r="H68" s="133">
        <v>0.68799999999999994</v>
      </c>
      <c r="I68" s="133">
        <v>2.677</v>
      </c>
      <c r="J68" s="133">
        <v>8.11</v>
      </c>
      <c r="K68"/>
      <c r="L68"/>
      <c r="M68" s="143">
        <v>42066</v>
      </c>
      <c r="N68" s="142">
        <v>2107.7800000000002</v>
      </c>
      <c r="S68" s="15"/>
      <c r="T68" s="15"/>
      <c r="U68" s="15"/>
      <c r="V68" s="15"/>
      <c r="W68" s="15"/>
      <c r="X68" s="15"/>
      <c r="Y68" s="15"/>
      <c r="Z68" s="15"/>
    </row>
    <row r="69" spans="5:26" s="21" customFormat="1" ht="14.25" x14ac:dyDescent="0.45">
      <c r="E69"/>
      <c r="F69" s="133">
        <v>7.1980000000000004</v>
      </c>
      <c r="G69" s="133">
        <v>2.113</v>
      </c>
      <c r="H69" s="133">
        <v>0.68300000000000005</v>
      </c>
      <c r="I69" s="133">
        <v>2.657</v>
      </c>
      <c r="J69" s="133">
        <v>7.96</v>
      </c>
      <c r="K69"/>
      <c r="L69"/>
      <c r="M69" s="143">
        <v>42067</v>
      </c>
      <c r="N69" s="142">
        <v>2098.5300000000002</v>
      </c>
      <c r="S69" s="15"/>
      <c r="T69" s="15"/>
      <c r="U69" s="15"/>
      <c r="V69" s="15"/>
      <c r="W69" s="15"/>
      <c r="X69" s="15"/>
      <c r="Y69" s="15"/>
      <c r="Z69" s="15"/>
    </row>
    <row r="70" spans="5:26" s="21" customFormat="1" ht="14.25" x14ac:dyDescent="0.45">
      <c r="E70"/>
      <c r="F70" s="133">
        <v>7.05</v>
      </c>
      <c r="G70" s="133">
        <v>2.0529999999999999</v>
      </c>
      <c r="H70" s="133">
        <v>0.67</v>
      </c>
      <c r="I70" s="133">
        <v>2.5760000000000001</v>
      </c>
      <c r="J70" s="133">
        <v>7.8</v>
      </c>
      <c r="K70"/>
      <c r="L70"/>
      <c r="M70" s="143">
        <v>42068</v>
      </c>
      <c r="N70" s="142">
        <v>2101.04</v>
      </c>
      <c r="S70" s="15"/>
      <c r="T70" s="15"/>
      <c r="U70" s="15"/>
      <c r="V70" s="15"/>
      <c r="W70" s="15"/>
      <c r="X70" s="15"/>
      <c r="Y70" s="15"/>
      <c r="Z70" s="15"/>
    </row>
    <row r="71" spans="5:26" s="21" customFormat="1" ht="14.25" x14ac:dyDescent="0.45">
      <c r="E71"/>
      <c r="F71" s="133">
        <v>7.02</v>
      </c>
      <c r="G71" s="133">
        <v>2.0720000000000001</v>
      </c>
      <c r="H71" s="133">
        <v>0.67</v>
      </c>
      <c r="I71" s="133">
        <v>2.6160000000000001</v>
      </c>
      <c r="J71" s="133">
        <v>7.75</v>
      </c>
      <c r="K71"/>
      <c r="L71"/>
      <c r="M71" s="143">
        <v>42069</v>
      </c>
      <c r="N71" s="142">
        <v>2071.2600000000002</v>
      </c>
      <c r="S71" s="15"/>
      <c r="T71" s="15"/>
      <c r="U71" s="15"/>
      <c r="V71" s="15"/>
      <c r="W71" s="15"/>
      <c r="X71" s="15"/>
      <c r="Y71" s="15"/>
      <c r="Z71" s="15"/>
    </row>
    <row r="72" spans="5:26" s="21" customFormat="1" ht="14.25" x14ac:dyDescent="0.45">
      <c r="E72"/>
      <c r="F72" s="133">
        <v>7.0010000000000003</v>
      </c>
      <c r="G72" s="133">
        <v>2.1139999999999999</v>
      </c>
      <c r="H72" s="133">
        <v>0.66600000000000004</v>
      </c>
      <c r="I72" s="133">
        <v>2.601</v>
      </c>
      <c r="J72" s="133">
        <v>7.84</v>
      </c>
      <c r="K72"/>
      <c r="L72"/>
      <c r="M72" s="143">
        <v>42072</v>
      </c>
      <c r="N72" s="142">
        <v>2079.4299999999998</v>
      </c>
      <c r="S72" s="15"/>
      <c r="T72" s="15"/>
      <c r="U72" s="15"/>
      <c r="V72" s="15"/>
      <c r="W72" s="15"/>
      <c r="X72" s="15"/>
      <c r="Y72" s="15"/>
      <c r="Z72" s="15"/>
    </row>
    <row r="73" spans="5:26" s="21" customFormat="1" ht="14.25" x14ac:dyDescent="0.45">
      <c r="E73"/>
      <c r="F73" s="133">
        <v>6.9939999999999998</v>
      </c>
      <c r="G73" s="133">
        <v>2.11</v>
      </c>
      <c r="H73" s="133">
        <v>0.67300000000000004</v>
      </c>
      <c r="I73" s="133">
        <v>2.61</v>
      </c>
      <c r="J73" s="133">
        <v>7.82</v>
      </c>
      <c r="K73"/>
      <c r="L73"/>
      <c r="M73" s="143">
        <v>42073</v>
      </c>
      <c r="N73" s="142">
        <v>2044.16</v>
      </c>
      <c r="S73" s="15"/>
      <c r="T73" s="15"/>
      <c r="U73" s="15"/>
      <c r="V73" s="15"/>
      <c r="W73" s="15"/>
      <c r="X73" s="15"/>
      <c r="Y73" s="15"/>
      <c r="Z73" s="15"/>
    </row>
    <row r="74" spans="5:26" s="21" customFormat="1" ht="14.25" x14ac:dyDescent="0.45">
      <c r="E74"/>
      <c r="F74" s="133">
        <v>7.0279999999999996</v>
      </c>
      <c r="G74" s="133">
        <v>2.1230000000000002</v>
      </c>
      <c r="H74" s="133">
        <v>0.67500000000000004</v>
      </c>
      <c r="I74" s="133">
        <v>2.63</v>
      </c>
      <c r="J74" s="133">
        <v>7.78</v>
      </c>
      <c r="K74"/>
      <c r="L74"/>
      <c r="M74" s="143">
        <v>42074</v>
      </c>
      <c r="N74" s="142">
        <v>2040.24</v>
      </c>
      <c r="S74" s="15"/>
      <c r="T74" s="15"/>
      <c r="U74" s="15"/>
      <c r="V74" s="15"/>
      <c r="W74" s="15"/>
      <c r="X74" s="15"/>
      <c r="Y74" s="15"/>
      <c r="Z74" s="15"/>
    </row>
    <row r="75" spans="5:26" s="21" customFormat="1" ht="14.25" x14ac:dyDescent="0.45">
      <c r="E75"/>
      <c r="F75" s="133">
        <v>7.0579999999999998</v>
      </c>
      <c r="G75" s="133">
        <v>2.1080000000000001</v>
      </c>
      <c r="H75" s="133">
        <v>0.67300000000000004</v>
      </c>
      <c r="I75" s="133">
        <v>2.6179999999999999</v>
      </c>
      <c r="J75" s="133">
        <v>7.79</v>
      </c>
      <c r="K75"/>
      <c r="L75"/>
      <c r="M75" s="143">
        <v>42075</v>
      </c>
      <c r="N75" s="142">
        <v>2065.9499999999998</v>
      </c>
      <c r="S75" s="15"/>
      <c r="T75" s="15"/>
      <c r="U75" s="15"/>
      <c r="V75" s="15"/>
      <c r="W75" s="15"/>
      <c r="X75" s="15"/>
      <c r="Y75" s="15"/>
      <c r="Z75" s="15"/>
    </row>
    <row r="76" spans="5:26" s="21" customFormat="1" ht="14.25" x14ac:dyDescent="0.45">
      <c r="E76"/>
      <c r="F76" s="133">
        <v>7.056</v>
      </c>
      <c r="G76" s="133">
        <v>2.1150000000000002</v>
      </c>
      <c r="H76" s="133">
        <v>0.67500000000000004</v>
      </c>
      <c r="I76" s="133">
        <v>2.6259999999999999</v>
      </c>
      <c r="J76" s="133">
        <v>7.82</v>
      </c>
      <c r="K76"/>
      <c r="L76"/>
      <c r="M76" s="143">
        <v>42076</v>
      </c>
      <c r="N76" s="142">
        <v>2053.4</v>
      </c>
      <c r="S76" s="15"/>
      <c r="T76" s="15"/>
      <c r="U76" s="15"/>
      <c r="V76" s="15"/>
      <c r="W76" s="15"/>
      <c r="X76" s="15"/>
      <c r="Y76" s="15"/>
      <c r="Z76" s="15"/>
    </row>
    <row r="77" spans="5:26" s="21" customFormat="1" ht="14.25" x14ac:dyDescent="0.45">
      <c r="E77"/>
      <c r="F77" s="133">
        <v>6.9779999999999998</v>
      </c>
      <c r="G77" s="133">
        <v>2.097</v>
      </c>
      <c r="H77" s="133">
        <v>0.66900000000000004</v>
      </c>
      <c r="I77" s="133">
        <v>2.593</v>
      </c>
      <c r="J77" s="133">
        <v>7.77</v>
      </c>
      <c r="K77"/>
      <c r="L77"/>
      <c r="M77" s="143">
        <v>42079</v>
      </c>
      <c r="N77" s="142">
        <v>2081.19</v>
      </c>
      <c r="S77" s="15"/>
      <c r="T77" s="15"/>
      <c r="U77" s="15"/>
      <c r="V77" s="15"/>
      <c r="W77" s="15"/>
      <c r="X77" s="15"/>
      <c r="Y77" s="15"/>
      <c r="Z77" s="15"/>
    </row>
    <row r="78" spans="5:26" s="21" customFormat="1" ht="14.25" x14ac:dyDescent="0.45">
      <c r="E78"/>
      <c r="F78" s="133">
        <v>6.9030000000000005</v>
      </c>
      <c r="G78" s="133">
        <v>2.0739999999999998</v>
      </c>
      <c r="H78" s="133">
        <v>0.66700000000000004</v>
      </c>
      <c r="I78" s="133">
        <v>2.577</v>
      </c>
      <c r="J78" s="133">
        <v>7.64</v>
      </c>
      <c r="K78"/>
      <c r="L78"/>
      <c r="M78" s="143">
        <v>42080</v>
      </c>
      <c r="N78" s="142">
        <v>2074.2800000000002</v>
      </c>
      <c r="S78" s="15"/>
      <c r="T78" s="15"/>
      <c r="U78" s="15"/>
      <c r="V78" s="15"/>
      <c r="W78" s="15"/>
      <c r="X78" s="15"/>
      <c r="Y78" s="15"/>
      <c r="Z78" s="15"/>
    </row>
    <row r="79" spans="5:26" s="21" customFormat="1" ht="14.25" x14ac:dyDescent="0.45">
      <c r="E79"/>
      <c r="F79" s="133">
        <v>6.992</v>
      </c>
      <c r="G79" s="133">
        <v>2.0699999999999998</v>
      </c>
      <c r="H79" s="133">
        <v>0.66800000000000004</v>
      </c>
      <c r="I79" s="133">
        <v>2.5750000000000002</v>
      </c>
      <c r="J79" s="133">
        <v>7.6899999999999995</v>
      </c>
      <c r="K79"/>
      <c r="L79"/>
      <c r="M79" s="143">
        <v>42081</v>
      </c>
      <c r="N79" s="142">
        <v>2099.5</v>
      </c>
      <c r="S79" s="15"/>
      <c r="T79" s="15"/>
      <c r="U79" s="15"/>
      <c r="V79" s="15"/>
      <c r="W79" s="15"/>
      <c r="X79" s="15"/>
      <c r="Y79" s="15"/>
      <c r="Z79" s="15"/>
    </row>
    <row r="80" spans="5:26" s="21" customFormat="1" ht="14.25" x14ac:dyDescent="0.45">
      <c r="E80"/>
      <c r="F80" s="133">
        <v>7.0730000000000004</v>
      </c>
      <c r="G80" s="133">
        <v>2.0950000000000002</v>
      </c>
      <c r="H80" s="133">
        <v>0.67500000000000004</v>
      </c>
      <c r="I80" s="133">
        <v>2.6059999999999999</v>
      </c>
      <c r="J80" s="133">
        <v>7.67</v>
      </c>
      <c r="K80"/>
      <c r="L80"/>
      <c r="M80" s="143">
        <v>42082</v>
      </c>
      <c r="N80" s="142">
        <v>2089.27</v>
      </c>
      <c r="S80" s="15"/>
      <c r="T80" s="15"/>
      <c r="U80" s="15"/>
      <c r="V80" s="15"/>
      <c r="W80" s="15"/>
      <c r="X80" s="15"/>
      <c r="Y80" s="15"/>
      <c r="Z80" s="15"/>
    </row>
    <row r="81" spans="5:26" s="21" customFormat="1" ht="14.25" x14ac:dyDescent="0.45">
      <c r="E81"/>
      <c r="F81" s="133">
        <v>6.9559999999999995</v>
      </c>
      <c r="G81" s="133">
        <v>2.17</v>
      </c>
      <c r="H81" s="133">
        <v>0.67100000000000004</v>
      </c>
      <c r="I81" s="133">
        <v>2.5760000000000001</v>
      </c>
      <c r="J81" s="133">
        <v>7.55</v>
      </c>
      <c r="K81"/>
      <c r="L81"/>
      <c r="M81" s="143">
        <v>42083</v>
      </c>
      <c r="N81" s="142">
        <v>2108.1</v>
      </c>
      <c r="S81" s="15"/>
      <c r="T81" s="15"/>
      <c r="U81" s="15"/>
      <c r="V81" s="15"/>
      <c r="W81" s="15"/>
      <c r="X81" s="15"/>
      <c r="Y81" s="15"/>
      <c r="Z81" s="15"/>
    </row>
    <row r="82" spans="5:26" s="21" customFormat="1" ht="14.25" x14ac:dyDescent="0.45">
      <c r="E82"/>
      <c r="F82" s="133">
        <v>6.9909999999999997</v>
      </c>
      <c r="G82" s="133">
        <v>2.16</v>
      </c>
      <c r="H82" s="133">
        <v>0.67900000000000005</v>
      </c>
      <c r="I82" s="133">
        <v>2.6349999999999998</v>
      </c>
      <c r="J82" s="133">
        <v>7.5</v>
      </c>
      <c r="K82"/>
      <c r="L82"/>
      <c r="M82" s="143">
        <v>42086</v>
      </c>
      <c r="N82" s="142">
        <v>2104.42</v>
      </c>
      <c r="S82" s="15"/>
      <c r="T82" s="15"/>
      <c r="U82" s="15"/>
      <c r="V82" s="15"/>
      <c r="W82" s="15"/>
      <c r="X82" s="15"/>
      <c r="Y82" s="15"/>
      <c r="Z82" s="15"/>
    </row>
    <row r="83" spans="5:26" s="21" customFormat="1" ht="14.25" x14ac:dyDescent="0.45">
      <c r="E83"/>
      <c r="F83" s="133">
        <v>6.9399999999999995</v>
      </c>
      <c r="G83" s="133">
        <v>2.1150000000000002</v>
      </c>
      <c r="H83" s="133">
        <v>0.67200000000000004</v>
      </c>
      <c r="I83" s="133">
        <v>2.6189999999999998</v>
      </c>
      <c r="J83" s="133">
        <v>7.47</v>
      </c>
      <c r="K83"/>
      <c r="L83"/>
      <c r="M83" s="143">
        <v>42087</v>
      </c>
      <c r="N83" s="142">
        <v>2091.5</v>
      </c>
      <c r="S83" s="15"/>
      <c r="T83" s="15"/>
      <c r="U83" s="15"/>
      <c r="V83" s="15"/>
      <c r="W83" s="15"/>
      <c r="X83" s="15"/>
      <c r="Y83" s="15"/>
      <c r="Z83" s="15"/>
    </row>
    <row r="84" spans="5:26" s="21" customFormat="1" ht="14.25" x14ac:dyDescent="0.45">
      <c r="E84"/>
      <c r="F84" s="133">
        <v>6.7789999999999999</v>
      </c>
      <c r="G84" s="133">
        <v>2.0699999999999998</v>
      </c>
      <c r="H84" s="133">
        <v>0.66100000000000003</v>
      </c>
      <c r="I84" s="133">
        <v>2.5830000000000002</v>
      </c>
      <c r="J84" s="133">
        <v>7.27</v>
      </c>
      <c r="K84"/>
      <c r="L84"/>
      <c r="M84" s="143">
        <v>42088</v>
      </c>
      <c r="N84" s="142">
        <v>2061.0500000000002</v>
      </c>
      <c r="S84" s="15"/>
      <c r="T84" s="15"/>
      <c r="U84" s="15"/>
      <c r="V84" s="15"/>
      <c r="W84" s="15"/>
      <c r="X84" s="15"/>
      <c r="Y84" s="15"/>
      <c r="Z84" s="15"/>
    </row>
    <row r="85" spans="5:26" s="21" customFormat="1" ht="14.25" x14ac:dyDescent="0.45">
      <c r="E85"/>
      <c r="F85" s="133">
        <v>6.6660000000000004</v>
      </c>
      <c r="G85" s="133">
        <v>2.044</v>
      </c>
      <c r="H85" s="133">
        <v>0.64800000000000002</v>
      </c>
      <c r="I85" s="133">
        <v>2.5460000000000003</v>
      </c>
      <c r="J85" s="133">
        <v>7.14</v>
      </c>
      <c r="K85"/>
      <c r="L85"/>
      <c r="M85" s="143">
        <v>42089</v>
      </c>
      <c r="N85" s="142">
        <v>2056.15</v>
      </c>
      <c r="S85" s="15"/>
      <c r="T85" s="15"/>
      <c r="U85" s="15"/>
      <c r="V85" s="15"/>
      <c r="W85" s="15"/>
      <c r="X85" s="15"/>
      <c r="Y85" s="15"/>
      <c r="Z85" s="15"/>
    </row>
    <row r="86" spans="5:26" s="21" customFormat="1" ht="14.25" x14ac:dyDescent="0.45">
      <c r="E86"/>
      <c r="F86" s="133">
        <v>6.6520000000000001</v>
      </c>
      <c r="G86" s="133">
        <v>2.0590000000000002</v>
      </c>
      <c r="H86" s="133">
        <v>0.64600000000000002</v>
      </c>
      <c r="I86" s="133">
        <v>2.585</v>
      </c>
      <c r="J86" s="133">
        <v>7.07</v>
      </c>
      <c r="K86"/>
      <c r="L86"/>
      <c r="M86" s="143">
        <v>42090</v>
      </c>
      <c r="N86" s="142">
        <v>2061.02</v>
      </c>
      <c r="S86" s="15"/>
      <c r="T86" s="15"/>
      <c r="U86" s="15"/>
      <c r="V86" s="15"/>
      <c r="W86" s="15"/>
      <c r="X86" s="15"/>
      <c r="Y86" s="15"/>
      <c r="Z86" s="15"/>
    </row>
    <row r="87" spans="5:26" s="21" customFormat="1" ht="14.25" x14ac:dyDescent="0.45">
      <c r="E87"/>
      <c r="F87" s="133">
        <v>6.72</v>
      </c>
      <c r="G87" s="133">
        <v>2.0619999999999998</v>
      </c>
      <c r="H87" s="133">
        <v>0.65</v>
      </c>
      <c r="I87" s="133">
        <v>2.5760000000000001</v>
      </c>
      <c r="J87" s="133">
        <v>7.19</v>
      </c>
      <c r="K87"/>
      <c r="L87"/>
      <c r="M87" s="143">
        <v>42093</v>
      </c>
      <c r="N87" s="142">
        <v>2086.2399999999998</v>
      </c>
      <c r="S87" s="15"/>
      <c r="T87" s="15"/>
      <c r="U87" s="15"/>
      <c r="V87" s="15"/>
      <c r="W87" s="15"/>
      <c r="X87" s="15"/>
      <c r="Y87" s="15"/>
      <c r="Z87" s="15"/>
    </row>
    <row r="88" spans="5:26" s="21" customFormat="1" ht="14.25" x14ac:dyDescent="0.45">
      <c r="E88"/>
      <c r="F88" s="133">
        <v>6.6970000000000001</v>
      </c>
      <c r="G88" s="133">
        <v>2.06</v>
      </c>
      <c r="H88" s="133">
        <v>0.64900000000000002</v>
      </c>
      <c r="I88" s="133">
        <v>2.57</v>
      </c>
      <c r="J88" s="133">
        <v>7.15</v>
      </c>
      <c r="K88"/>
      <c r="L88"/>
      <c r="M88" s="143">
        <v>42094</v>
      </c>
      <c r="N88" s="142">
        <v>2067.89</v>
      </c>
      <c r="S88" s="15"/>
      <c r="T88" s="15"/>
      <c r="U88" s="15"/>
      <c r="V88" s="15"/>
      <c r="W88" s="15"/>
      <c r="X88" s="15"/>
      <c r="Y88" s="15"/>
      <c r="Z88" s="15"/>
    </row>
    <row r="89" spans="5:26" s="21" customFormat="1" ht="14.25" x14ac:dyDescent="0.45">
      <c r="E89"/>
      <c r="F89" s="133">
        <v>6.6539999999999999</v>
      </c>
      <c r="G89" s="133">
        <v>2.0649999999999999</v>
      </c>
      <c r="H89" s="133">
        <v>0.64700000000000002</v>
      </c>
      <c r="I89" s="133">
        <v>2.5880000000000001</v>
      </c>
      <c r="J89" s="133">
        <v>7.13</v>
      </c>
      <c r="K89"/>
      <c r="L89"/>
      <c r="M89" s="143">
        <v>42095</v>
      </c>
      <c r="N89" s="142">
        <v>2059.69</v>
      </c>
      <c r="S89" s="15"/>
      <c r="T89" s="15"/>
      <c r="U89" s="15"/>
      <c r="V89" s="15"/>
      <c r="W89" s="15"/>
      <c r="X89" s="15"/>
      <c r="Y89" s="15"/>
      <c r="Z89" s="15"/>
    </row>
    <row r="90" spans="5:26" s="21" customFormat="1" ht="14.25" x14ac:dyDescent="0.45">
      <c r="E90"/>
      <c r="F90" s="133">
        <v>6.6360000000000001</v>
      </c>
      <c r="G90" s="133">
        <v>2.069</v>
      </c>
      <c r="H90" s="133">
        <v>0.65100000000000002</v>
      </c>
      <c r="I90" s="133">
        <v>2.59</v>
      </c>
      <c r="J90" s="133">
        <v>7.04</v>
      </c>
      <c r="K90"/>
      <c r="L90"/>
      <c r="M90" s="143">
        <v>42096</v>
      </c>
      <c r="N90" s="142">
        <v>2066.96</v>
      </c>
      <c r="S90" s="15"/>
      <c r="T90" s="15"/>
      <c r="U90" s="15"/>
      <c r="V90" s="15"/>
      <c r="W90" s="15"/>
      <c r="X90" s="15"/>
      <c r="Y90" s="15"/>
      <c r="Z90" s="15"/>
    </row>
    <row r="91" spans="5:26" s="21" customFormat="1" ht="14.25" x14ac:dyDescent="0.45">
      <c r="E91"/>
      <c r="F91" s="133">
        <v>6.6210000000000004</v>
      </c>
      <c r="G91" s="133">
        <v>2.0739999999999998</v>
      </c>
      <c r="H91" s="133">
        <v>0.65200000000000002</v>
      </c>
      <c r="I91" s="133">
        <v>2.5750000000000002</v>
      </c>
      <c r="J91" s="133">
        <v>7.01</v>
      </c>
      <c r="K91"/>
      <c r="L91"/>
      <c r="M91" s="143">
        <v>42100</v>
      </c>
      <c r="N91" s="142">
        <v>2080.62</v>
      </c>
      <c r="S91" s="15"/>
      <c r="T91" s="15"/>
      <c r="U91" s="15"/>
      <c r="V91" s="15"/>
      <c r="W91" s="15"/>
      <c r="X91" s="15"/>
      <c r="Y91" s="15"/>
      <c r="Z91" s="15"/>
    </row>
    <row r="92" spans="5:26" s="21" customFormat="1" ht="14.25" x14ac:dyDescent="0.45">
      <c r="E92"/>
      <c r="F92" s="133">
        <v>6.7370000000000001</v>
      </c>
      <c r="G92" s="133">
        <v>2.1219999999999999</v>
      </c>
      <c r="H92" s="133">
        <v>0.66200000000000003</v>
      </c>
      <c r="I92" s="133">
        <v>2.6269999999999998</v>
      </c>
      <c r="J92" s="133">
        <v>7.2</v>
      </c>
      <c r="K92"/>
      <c r="L92"/>
      <c r="M92" s="143">
        <v>42101</v>
      </c>
      <c r="N92" s="142">
        <v>2076.33</v>
      </c>
      <c r="S92" s="15"/>
      <c r="T92" s="15"/>
      <c r="U92" s="15"/>
      <c r="V92" s="15"/>
      <c r="W92" s="15"/>
      <c r="X92" s="15"/>
      <c r="Y92" s="15"/>
      <c r="Z92" s="15"/>
    </row>
    <row r="93" spans="5:26" s="21" customFormat="1" ht="14.25" x14ac:dyDescent="0.45">
      <c r="E93"/>
      <c r="F93" s="133">
        <v>6.6479999999999997</v>
      </c>
      <c r="G93" s="133">
        <v>2.0960000000000001</v>
      </c>
      <c r="H93" s="133">
        <v>0.66300000000000003</v>
      </c>
      <c r="I93" s="133">
        <v>2.61</v>
      </c>
      <c r="J93" s="133">
        <v>7.13</v>
      </c>
      <c r="K93"/>
      <c r="L93"/>
      <c r="M93" s="143">
        <v>42102</v>
      </c>
      <c r="N93" s="142">
        <v>2081.9</v>
      </c>
      <c r="S93" s="15"/>
      <c r="T93" s="15"/>
      <c r="U93" s="15"/>
      <c r="V93" s="15"/>
      <c r="W93" s="15"/>
      <c r="X93" s="15"/>
      <c r="Y93" s="15"/>
      <c r="Z93" s="15"/>
    </row>
    <row r="94" spans="5:26" s="21" customFormat="1" ht="14.25" x14ac:dyDescent="0.45">
      <c r="E94"/>
      <c r="F94" s="133">
        <v>6.7030000000000003</v>
      </c>
      <c r="G94" s="133">
        <v>2.1120000000000001</v>
      </c>
      <c r="H94" s="133">
        <v>0.66700000000000004</v>
      </c>
      <c r="I94" s="133">
        <v>2.6139999999999999</v>
      </c>
      <c r="J94" s="133">
        <v>7.15</v>
      </c>
      <c r="K94"/>
      <c r="L94"/>
      <c r="M94" s="143">
        <v>42103</v>
      </c>
      <c r="N94" s="142">
        <v>2091.1799999999998</v>
      </c>
      <c r="S94" s="15"/>
      <c r="T94" s="15"/>
      <c r="U94" s="15"/>
      <c r="V94" s="15"/>
      <c r="W94" s="15"/>
      <c r="X94" s="15"/>
      <c r="Y94" s="15"/>
      <c r="Z94" s="15"/>
    </row>
    <row r="95" spans="5:26" s="21" customFormat="1" ht="14.25" x14ac:dyDescent="0.45">
      <c r="E95"/>
      <c r="F95" s="133">
        <v>6.7350000000000003</v>
      </c>
      <c r="G95" s="133">
        <v>2.1480000000000001</v>
      </c>
      <c r="H95" s="133">
        <v>0.67100000000000004</v>
      </c>
      <c r="I95" s="133">
        <v>2.629</v>
      </c>
      <c r="J95" s="133">
        <v>7.25</v>
      </c>
      <c r="K95"/>
      <c r="L95"/>
      <c r="M95" s="143">
        <v>42104</v>
      </c>
      <c r="N95" s="142">
        <v>2102.06</v>
      </c>
      <c r="S95" s="15"/>
      <c r="T95" s="15"/>
      <c r="U95" s="15"/>
      <c r="V95" s="15"/>
      <c r="W95" s="15"/>
      <c r="X95" s="15"/>
      <c r="Y95" s="15"/>
      <c r="Z95" s="15"/>
    </row>
    <row r="96" spans="5:26" s="21" customFormat="1" ht="14.25" x14ac:dyDescent="0.45">
      <c r="E96"/>
      <c r="F96" s="133">
        <v>6.7560000000000002</v>
      </c>
      <c r="G96" s="133">
        <v>2.1459999999999999</v>
      </c>
      <c r="H96" s="133">
        <v>0.67</v>
      </c>
      <c r="I96" s="133">
        <v>2.6320000000000001</v>
      </c>
      <c r="J96" s="133">
        <v>7.3</v>
      </c>
      <c r="K96"/>
      <c r="L96"/>
      <c r="M96" s="143">
        <v>42107</v>
      </c>
      <c r="N96" s="142">
        <v>2092.4299999999998</v>
      </c>
      <c r="S96" s="15"/>
      <c r="T96" s="15"/>
      <c r="U96" s="15"/>
      <c r="V96" s="15"/>
      <c r="W96" s="15"/>
      <c r="X96" s="15"/>
      <c r="Y96" s="15"/>
      <c r="Z96" s="15"/>
    </row>
    <row r="97" spans="5:26" s="21" customFormat="1" ht="14.25" x14ac:dyDescent="0.45">
      <c r="E97"/>
      <c r="F97" s="133">
        <v>6.8159999999999998</v>
      </c>
      <c r="G97" s="133">
        <v>2.16</v>
      </c>
      <c r="H97" s="133">
        <v>0.68200000000000005</v>
      </c>
      <c r="I97" s="133">
        <v>2.6470000000000002</v>
      </c>
      <c r="J97" s="133">
        <v>7.33</v>
      </c>
      <c r="K97"/>
      <c r="L97"/>
      <c r="M97" s="143">
        <v>42108</v>
      </c>
      <c r="N97" s="142">
        <v>2095.84</v>
      </c>
      <c r="S97" s="15"/>
      <c r="T97" s="15"/>
      <c r="U97" s="15"/>
      <c r="V97" s="15"/>
      <c r="W97" s="15"/>
      <c r="X97" s="15"/>
      <c r="Y97" s="15"/>
      <c r="Z97" s="15"/>
    </row>
    <row r="98" spans="5:26" s="21" customFormat="1" ht="14.25" x14ac:dyDescent="0.45">
      <c r="E98"/>
      <c r="F98" s="133">
        <v>6.8520000000000003</v>
      </c>
      <c r="G98" s="133">
        <v>2.1339999999999999</v>
      </c>
      <c r="H98" s="133">
        <v>0.68200000000000005</v>
      </c>
      <c r="I98" s="133">
        <v>2.6480000000000001</v>
      </c>
      <c r="J98" s="133">
        <v>7.34</v>
      </c>
      <c r="K98"/>
      <c r="L98"/>
      <c r="M98" s="143">
        <v>42109</v>
      </c>
      <c r="N98" s="142">
        <v>2106.63</v>
      </c>
      <c r="S98" s="15"/>
      <c r="T98" s="15"/>
      <c r="U98" s="15"/>
      <c r="V98" s="15"/>
      <c r="W98" s="15"/>
      <c r="X98" s="15"/>
      <c r="Y98" s="15"/>
      <c r="Z98" s="15"/>
    </row>
    <row r="99" spans="5:26" s="21" customFormat="1" ht="14.25" x14ac:dyDescent="0.45">
      <c r="E99"/>
      <c r="F99" s="133">
        <v>6.7190000000000003</v>
      </c>
      <c r="G99" s="133">
        <v>2.1379999999999999</v>
      </c>
      <c r="H99" s="133">
        <v>0.67700000000000005</v>
      </c>
      <c r="I99" s="133">
        <v>2.629</v>
      </c>
      <c r="J99" s="133">
        <v>7.27</v>
      </c>
      <c r="K99"/>
      <c r="L99"/>
      <c r="M99" s="143">
        <v>42110</v>
      </c>
      <c r="N99" s="142">
        <v>2104.9899999999998</v>
      </c>
      <c r="S99" s="15"/>
      <c r="T99" s="15"/>
      <c r="U99" s="15"/>
      <c r="V99" s="15"/>
      <c r="W99" s="15"/>
      <c r="X99" s="15"/>
      <c r="Y99" s="15"/>
      <c r="Z99" s="15"/>
    </row>
    <row r="100" spans="5:26" s="21" customFormat="1" ht="14.25" x14ac:dyDescent="0.45">
      <c r="E100"/>
      <c r="F100" s="133">
        <v>6.7549999999999999</v>
      </c>
      <c r="G100" s="133">
        <v>2.1179999999999999</v>
      </c>
      <c r="H100" s="133">
        <v>0.67700000000000005</v>
      </c>
      <c r="I100" s="133">
        <v>2.6840000000000002</v>
      </c>
      <c r="J100" s="133">
        <v>7.28</v>
      </c>
      <c r="K100"/>
      <c r="L100"/>
      <c r="M100" s="143">
        <v>42111</v>
      </c>
      <c r="N100" s="142">
        <v>2081.1799999999998</v>
      </c>
      <c r="S100" s="15"/>
      <c r="T100" s="15"/>
      <c r="U100" s="15"/>
      <c r="V100" s="15"/>
      <c r="W100" s="15"/>
      <c r="X100" s="15"/>
      <c r="Y100" s="15"/>
      <c r="Z100" s="15"/>
    </row>
    <row r="101" spans="5:26" s="21" customFormat="1" ht="14.25" x14ac:dyDescent="0.45">
      <c r="E101"/>
      <c r="F101" s="133">
        <v>6.7649999999999997</v>
      </c>
      <c r="G101" s="133">
        <v>2.14</v>
      </c>
      <c r="H101" s="133">
        <v>0.67600000000000005</v>
      </c>
      <c r="I101" s="133">
        <v>2.7109999999999999</v>
      </c>
      <c r="J101" s="133">
        <v>7.3</v>
      </c>
      <c r="K101"/>
      <c r="L101"/>
      <c r="M101" s="143">
        <v>42114</v>
      </c>
      <c r="N101" s="142">
        <v>2100.4</v>
      </c>
      <c r="S101" s="15"/>
      <c r="T101" s="15"/>
      <c r="U101" s="15"/>
      <c r="V101" s="15"/>
      <c r="W101" s="15"/>
      <c r="X101" s="15"/>
      <c r="Y101" s="15"/>
      <c r="Z101" s="15"/>
    </row>
    <row r="102" spans="5:26" s="21" customFormat="1" ht="14.25" x14ac:dyDescent="0.45">
      <c r="E102"/>
      <c r="F102" s="133">
        <v>6.907</v>
      </c>
      <c r="G102" s="133">
        <v>2.1419999999999999</v>
      </c>
      <c r="H102" s="133">
        <v>0.66100000000000003</v>
      </c>
      <c r="I102" s="133">
        <v>2.722</v>
      </c>
      <c r="J102" s="133">
        <v>7.45</v>
      </c>
      <c r="K102"/>
      <c r="L102"/>
      <c r="M102" s="143">
        <v>42115</v>
      </c>
      <c r="N102" s="142">
        <v>2097.29</v>
      </c>
      <c r="S102" s="15"/>
      <c r="T102" s="15"/>
      <c r="U102" s="15"/>
      <c r="V102" s="15"/>
      <c r="W102" s="15"/>
      <c r="X102" s="15"/>
      <c r="Y102" s="15"/>
      <c r="Z102" s="15"/>
    </row>
    <row r="103" spans="5:26" s="21" customFormat="1" ht="14.25" x14ac:dyDescent="0.45">
      <c r="E103"/>
      <c r="F103" s="133">
        <v>7.0119999999999996</v>
      </c>
      <c r="G103" s="133">
        <v>2.1549999999999998</v>
      </c>
      <c r="H103" s="133">
        <v>0.65700000000000003</v>
      </c>
      <c r="I103" s="133">
        <v>2.742</v>
      </c>
      <c r="J103" s="133">
        <v>7.64</v>
      </c>
      <c r="K103"/>
      <c r="L103"/>
      <c r="M103" s="143">
        <v>42116</v>
      </c>
      <c r="N103" s="142">
        <v>2107.96</v>
      </c>
      <c r="S103" s="15"/>
      <c r="T103" s="15"/>
      <c r="U103" s="15"/>
      <c r="V103" s="15"/>
      <c r="W103" s="15"/>
      <c r="X103" s="15"/>
      <c r="Y103" s="15"/>
      <c r="Z103" s="15"/>
    </row>
    <row r="104" spans="5:26" s="21" customFormat="1" ht="14.25" x14ac:dyDescent="0.45">
      <c r="E104"/>
      <c r="F104" s="133">
        <v>7.0720000000000001</v>
      </c>
      <c r="G104" s="133">
        <v>2.1640000000000001</v>
      </c>
      <c r="H104" s="133">
        <v>0.66400000000000003</v>
      </c>
      <c r="I104" s="133">
        <v>2.7589999999999999</v>
      </c>
      <c r="J104" s="133">
        <v>7.65</v>
      </c>
      <c r="K104"/>
      <c r="L104"/>
      <c r="M104" s="143">
        <v>42117</v>
      </c>
      <c r="N104" s="142">
        <v>2112.9299999999998</v>
      </c>
      <c r="S104" s="15"/>
      <c r="T104" s="15"/>
      <c r="U104" s="15"/>
      <c r="V104" s="15"/>
      <c r="W104" s="15"/>
      <c r="X104" s="15"/>
      <c r="Y104" s="15"/>
      <c r="Z104" s="15"/>
    </row>
    <row r="105" spans="5:26" s="21" customFormat="1" ht="14.25" x14ac:dyDescent="0.45">
      <c r="E105"/>
      <c r="F105" s="133">
        <v>7.12</v>
      </c>
      <c r="G105" s="133">
        <v>2.1539999999999999</v>
      </c>
      <c r="H105" s="133">
        <v>0.66100000000000003</v>
      </c>
      <c r="I105" s="133">
        <v>2.7560000000000002</v>
      </c>
      <c r="J105" s="133">
        <v>7.6899999999999995</v>
      </c>
      <c r="K105"/>
      <c r="L105"/>
      <c r="M105" s="143">
        <v>42118</v>
      </c>
      <c r="N105" s="142">
        <v>2117.69</v>
      </c>
      <c r="S105" s="15"/>
      <c r="T105" s="15"/>
      <c r="U105" s="15"/>
      <c r="V105" s="15"/>
      <c r="W105" s="15"/>
      <c r="X105" s="15"/>
      <c r="Y105" s="15"/>
      <c r="Z105" s="15"/>
    </row>
    <row r="106" spans="5:26" s="21" customFormat="1" ht="14.25" x14ac:dyDescent="0.45">
      <c r="E106"/>
      <c r="F106" s="133">
        <v>7.1180000000000003</v>
      </c>
      <c r="G106" s="133">
        <v>2.13</v>
      </c>
      <c r="H106" s="133">
        <v>0.65</v>
      </c>
      <c r="I106" s="133">
        <v>2.7330000000000001</v>
      </c>
      <c r="J106" s="133">
        <v>7.53</v>
      </c>
      <c r="K106"/>
      <c r="L106"/>
      <c r="M106" s="143">
        <v>42121</v>
      </c>
      <c r="N106" s="142">
        <v>2108.92</v>
      </c>
      <c r="S106" s="15"/>
      <c r="T106" s="15"/>
      <c r="U106" s="15"/>
      <c r="V106" s="15"/>
      <c r="W106" s="15"/>
      <c r="X106" s="15"/>
      <c r="Y106" s="15"/>
      <c r="Z106" s="15"/>
    </row>
    <row r="107" spans="5:26" s="21" customFormat="1" ht="14.25" x14ac:dyDescent="0.45">
      <c r="E107"/>
      <c r="F107" s="133">
        <v>7.0990000000000002</v>
      </c>
      <c r="G107" s="133">
        <v>2.1</v>
      </c>
      <c r="H107" s="133">
        <v>0.64900000000000002</v>
      </c>
      <c r="I107" s="133">
        <v>2.7240000000000002</v>
      </c>
      <c r="J107" s="133">
        <v>7.49</v>
      </c>
      <c r="K107"/>
      <c r="L107"/>
      <c r="M107" s="143">
        <v>42122</v>
      </c>
      <c r="N107" s="142">
        <v>2114.7600000000002</v>
      </c>
      <c r="S107" s="15"/>
      <c r="T107" s="15"/>
      <c r="U107" s="15"/>
      <c r="V107" s="15"/>
      <c r="W107" s="15"/>
      <c r="X107" s="15"/>
      <c r="Y107" s="15"/>
      <c r="Z107" s="15"/>
    </row>
    <row r="108" spans="5:26" s="21" customFormat="1" ht="14.25" x14ac:dyDescent="0.45">
      <c r="E108"/>
      <c r="F108" s="133">
        <v>7.1959999999999997</v>
      </c>
      <c r="G108" s="133">
        <v>2.09</v>
      </c>
      <c r="H108" s="133">
        <v>0.64800000000000002</v>
      </c>
      <c r="I108" s="133">
        <v>2.6840000000000002</v>
      </c>
      <c r="J108" s="133">
        <v>7.62</v>
      </c>
      <c r="K108"/>
      <c r="L108"/>
      <c r="M108" s="143">
        <v>42123</v>
      </c>
      <c r="N108" s="142">
        <v>2106.85</v>
      </c>
      <c r="S108" s="15"/>
      <c r="T108" s="15"/>
      <c r="U108" s="15"/>
      <c r="V108" s="15"/>
      <c r="W108" s="15"/>
      <c r="X108" s="15"/>
      <c r="Y108" s="15"/>
      <c r="Z108" s="15"/>
    </row>
    <row r="109" spans="5:26" s="21" customFormat="1" ht="14.25" x14ac:dyDescent="0.45">
      <c r="E109"/>
      <c r="F109" s="133">
        <v>7.2539999999999996</v>
      </c>
      <c r="G109" s="133">
        <v>2.073</v>
      </c>
      <c r="H109" s="133">
        <v>0.64700000000000002</v>
      </c>
      <c r="I109" s="133">
        <v>2.702</v>
      </c>
      <c r="J109" s="133">
        <v>7.67</v>
      </c>
      <c r="K109"/>
      <c r="L109"/>
      <c r="M109" s="143">
        <v>42124</v>
      </c>
      <c r="N109" s="142">
        <v>2085.5100000000002</v>
      </c>
      <c r="S109" s="15"/>
      <c r="T109" s="15"/>
      <c r="U109" s="15"/>
      <c r="V109" s="15"/>
      <c r="W109" s="15"/>
      <c r="X109" s="15"/>
      <c r="Y109" s="15"/>
      <c r="Z109" s="15"/>
    </row>
    <row r="110" spans="5:26" s="21" customFormat="1" ht="14.25" x14ac:dyDescent="0.45">
      <c r="E110"/>
      <c r="F110" s="133">
        <v>7.2910000000000004</v>
      </c>
      <c r="G110" s="133">
        <v>2.0550000000000002</v>
      </c>
      <c r="H110" s="133">
        <v>0.64300000000000002</v>
      </c>
      <c r="I110" s="133">
        <v>2.698</v>
      </c>
      <c r="J110" s="133">
        <v>7.6899999999999995</v>
      </c>
      <c r="K110"/>
      <c r="L110"/>
      <c r="M110" s="143">
        <v>42125</v>
      </c>
      <c r="N110" s="142">
        <v>2108.29</v>
      </c>
      <c r="S110" s="15"/>
      <c r="T110" s="15"/>
      <c r="U110" s="15"/>
      <c r="V110" s="15"/>
      <c r="W110" s="15"/>
      <c r="X110" s="15"/>
      <c r="Y110" s="15"/>
      <c r="Z110" s="15"/>
    </row>
    <row r="111" spans="5:26" s="21" customFormat="1" ht="14.25" x14ac:dyDescent="0.45">
      <c r="E111"/>
      <c r="F111" s="133">
        <v>7.298</v>
      </c>
      <c r="G111" s="133">
        <v>2.0550000000000002</v>
      </c>
      <c r="H111" s="133">
        <v>0.64300000000000002</v>
      </c>
      <c r="I111" s="133">
        <v>2.7250000000000001</v>
      </c>
      <c r="J111" s="133">
        <v>7.61</v>
      </c>
      <c r="K111"/>
      <c r="L111"/>
      <c r="M111" s="143">
        <v>42128</v>
      </c>
      <c r="N111" s="142">
        <v>2114.4899999999998</v>
      </c>
      <c r="S111" s="15"/>
      <c r="T111" s="15"/>
      <c r="U111" s="15"/>
      <c r="V111" s="15"/>
      <c r="W111" s="15"/>
      <c r="X111" s="15"/>
      <c r="Y111" s="15"/>
      <c r="Z111" s="15"/>
    </row>
    <row r="112" spans="5:26" s="21" customFormat="1" ht="14.25" x14ac:dyDescent="0.45">
      <c r="E112"/>
      <c r="F112" s="133">
        <v>7.2130000000000001</v>
      </c>
      <c r="G112" s="133">
        <v>2.0270000000000001</v>
      </c>
      <c r="H112" s="133">
        <v>0.64700000000000002</v>
      </c>
      <c r="I112" s="133">
        <v>2.6850000000000001</v>
      </c>
      <c r="J112" s="133">
        <v>7.42</v>
      </c>
      <c r="K112"/>
      <c r="L112"/>
      <c r="M112" s="143">
        <v>42129</v>
      </c>
      <c r="N112" s="142">
        <v>2089.46</v>
      </c>
      <c r="S112" s="15"/>
      <c r="T112" s="15"/>
      <c r="U112" s="15"/>
      <c r="V112" s="15"/>
      <c r="W112" s="15"/>
      <c r="X112" s="15"/>
      <c r="Y112" s="15"/>
      <c r="Z112" s="15"/>
    </row>
    <row r="113" spans="5:26" s="21" customFormat="1" ht="14.25" x14ac:dyDescent="0.45">
      <c r="E113"/>
      <c r="F113" s="133">
        <v>7.1440000000000001</v>
      </c>
      <c r="G113" s="133">
        <v>2.056</v>
      </c>
      <c r="H113" s="133">
        <v>0.65400000000000003</v>
      </c>
      <c r="I113" s="133">
        <v>2.722</v>
      </c>
      <c r="J113" s="133">
        <v>7.48</v>
      </c>
      <c r="K113"/>
      <c r="L113"/>
      <c r="M113" s="143">
        <v>42130</v>
      </c>
      <c r="N113" s="142">
        <v>2080.15</v>
      </c>
      <c r="S113" s="15"/>
      <c r="T113" s="15"/>
      <c r="U113" s="15"/>
      <c r="V113" s="15"/>
      <c r="W113" s="15"/>
      <c r="X113" s="15"/>
      <c r="Y113" s="15"/>
      <c r="Z113" s="15"/>
    </row>
    <row r="114" spans="5:26" s="21" customFormat="1" ht="14.25" x14ac:dyDescent="0.45">
      <c r="E114"/>
      <c r="F114" s="133">
        <v>7.1059999999999999</v>
      </c>
      <c r="G114" s="133">
        <v>2.069</v>
      </c>
      <c r="H114" s="133">
        <v>0.65900000000000003</v>
      </c>
      <c r="I114" s="133">
        <v>2.7320000000000002</v>
      </c>
      <c r="J114" s="133">
        <v>7.4</v>
      </c>
      <c r="K114"/>
      <c r="L114"/>
      <c r="M114" s="143">
        <v>42131</v>
      </c>
      <c r="N114" s="142">
        <v>2088</v>
      </c>
      <c r="S114" s="15"/>
      <c r="T114" s="15"/>
      <c r="U114" s="15"/>
      <c r="V114" s="15"/>
      <c r="W114" s="15"/>
      <c r="X114" s="15"/>
      <c r="Y114" s="15"/>
      <c r="Z114" s="15"/>
    </row>
    <row r="115" spans="5:26" s="21" customFormat="1" ht="14.25" x14ac:dyDescent="0.45">
      <c r="E115"/>
      <c r="F115" s="133">
        <v>7.1950000000000003</v>
      </c>
      <c r="G115" s="133">
        <v>2.11</v>
      </c>
      <c r="H115" s="133">
        <v>0.66500000000000004</v>
      </c>
      <c r="I115" s="133">
        <v>2.7610000000000001</v>
      </c>
      <c r="J115" s="133">
        <v>7.49</v>
      </c>
      <c r="K115"/>
      <c r="L115"/>
      <c r="M115" s="143">
        <v>42132</v>
      </c>
      <c r="N115" s="142">
        <v>2116.1</v>
      </c>
      <c r="S115" s="15"/>
      <c r="T115" s="15"/>
      <c r="U115" s="15"/>
      <c r="V115" s="15"/>
      <c r="W115" s="15"/>
      <c r="X115" s="15"/>
      <c r="Y115" s="15"/>
      <c r="Z115" s="15"/>
    </row>
    <row r="116" spans="5:26" x14ac:dyDescent="0.55000000000000004">
      <c r="F116" s="133">
        <v>7.3170000000000002</v>
      </c>
      <c r="G116" s="133">
        <v>2.1379999999999999</v>
      </c>
      <c r="H116" s="133">
        <v>0.66900000000000004</v>
      </c>
      <c r="I116" s="133">
        <v>2.8650000000000002</v>
      </c>
      <c r="J116" s="133">
        <v>7.65</v>
      </c>
      <c r="M116" s="143">
        <v>42135</v>
      </c>
      <c r="N116" s="142">
        <v>2105.33</v>
      </c>
    </row>
    <row r="117" spans="5:26" x14ac:dyDescent="0.55000000000000004">
      <c r="F117" s="133">
        <v>7.3579999999999997</v>
      </c>
      <c r="G117" s="133">
        <v>2.145</v>
      </c>
      <c r="H117" s="133">
        <v>0.67100000000000004</v>
      </c>
      <c r="I117" s="133">
        <v>2.9409999999999998</v>
      </c>
      <c r="J117" s="133">
        <v>7.6899999999999995</v>
      </c>
      <c r="M117" s="143">
        <v>42136</v>
      </c>
      <c r="N117" s="142">
        <v>2099.12</v>
      </c>
    </row>
    <row r="118" spans="5:26" x14ac:dyDescent="0.55000000000000004">
      <c r="F118" s="133">
        <v>7.33</v>
      </c>
      <c r="G118" s="133">
        <v>2.1189999999999998</v>
      </c>
      <c r="H118" s="133">
        <v>0.66700000000000004</v>
      </c>
      <c r="I118" s="133">
        <v>2.93</v>
      </c>
      <c r="J118" s="133">
        <v>7.62</v>
      </c>
      <c r="M118" s="143">
        <v>42137</v>
      </c>
      <c r="N118" s="142">
        <v>2098.48</v>
      </c>
    </row>
    <row r="119" spans="5:26" x14ac:dyDescent="0.55000000000000004">
      <c r="F119" s="133">
        <v>7.3860000000000001</v>
      </c>
      <c r="G119" s="133">
        <v>2.1160000000000001</v>
      </c>
      <c r="H119" s="133">
        <v>0.66800000000000004</v>
      </c>
      <c r="I119" s="133">
        <v>2.9329999999999998</v>
      </c>
      <c r="J119" s="133">
        <v>7.66</v>
      </c>
      <c r="M119" s="143">
        <v>42138</v>
      </c>
      <c r="N119" s="142">
        <v>2121.1</v>
      </c>
    </row>
    <row r="120" spans="5:26" x14ac:dyDescent="0.55000000000000004">
      <c r="F120" s="133">
        <v>7.3879999999999999</v>
      </c>
      <c r="G120" s="133">
        <v>2.085</v>
      </c>
      <c r="H120" s="133">
        <v>0.65700000000000003</v>
      </c>
      <c r="I120" s="133">
        <v>2.915</v>
      </c>
      <c r="J120" s="133">
        <v>7.61</v>
      </c>
      <c r="M120" s="143">
        <v>42139</v>
      </c>
      <c r="N120" s="142">
        <v>2122.73</v>
      </c>
    </row>
    <row r="121" spans="5:26" x14ac:dyDescent="0.55000000000000004">
      <c r="F121" s="133">
        <v>7.2990000000000004</v>
      </c>
      <c r="G121" s="133">
        <v>2.09</v>
      </c>
      <c r="H121" s="133">
        <v>0.66200000000000003</v>
      </c>
      <c r="I121" s="133">
        <v>2.9449999999999998</v>
      </c>
      <c r="J121" s="133">
        <v>7.55</v>
      </c>
      <c r="M121" s="143">
        <v>42142</v>
      </c>
      <c r="N121" s="142">
        <v>2129.1999999999998</v>
      </c>
    </row>
    <row r="122" spans="5:26" x14ac:dyDescent="0.55000000000000004">
      <c r="F122" s="133">
        <v>7.3289999999999997</v>
      </c>
      <c r="G122" s="133">
        <v>2.0750000000000002</v>
      </c>
      <c r="H122" s="133">
        <v>0.66</v>
      </c>
      <c r="I122" s="133">
        <v>2.9009999999999998</v>
      </c>
      <c r="J122" s="133">
        <v>7.5</v>
      </c>
      <c r="M122" s="143">
        <v>42143</v>
      </c>
      <c r="N122" s="142">
        <v>2127.83</v>
      </c>
    </row>
    <row r="123" spans="5:26" x14ac:dyDescent="0.55000000000000004">
      <c r="F123" s="133">
        <v>7.3890000000000002</v>
      </c>
      <c r="G123" s="133">
        <v>2.089</v>
      </c>
      <c r="H123" s="133">
        <v>0.66500000000000004</v>
      </c>
      <c r="I123" s="133">
        <v>2.9239999999999999</v>
      </c>
      <c r="J123" s="133">
        <v>7.54</v>
      </c>
      <c r="M123" s="143">
        <v>42144</v>
      </c>
      <c r="N123" s="142">
        <v>2125.85</v>
      </c>
    </row>
    <row r="124" spans="5:26" x14ac:dyDescent="0.55000000000000004">
      <c r="F124" s="133">
        <v>7.4569999999999999</v>
      </c>
      <c r="G124" s="133">
        <v>2.1110000000000002</v>
      </c>
      <c r="H124" s="133">
        <v>0.67</v>
      </c>
      <c r="I124" s="133">
        <v>2.96</v>
      </c>
      <c r="J124" s="133">
        <v>7.67</v>
      </c>
      <c r="M124" s="143">
        <v>42145</v>
      </c>
      <c r="N124" s="142">
        <v>2130.8200000000002</v>
      </c>
    </row>
    <row r="125" spans="5:26" x14ac:dyDescent="0.55000000000000004">
      <c r="F125" s="133">
        <v>7.3929999999999998</v>
      </c>
      <c r="G125" s="133">
        <v>2.0880000000000001</v>
      </c>
      <c r="H125" s="133">
        <v>0.66600000000000004</v>
      </c>
      <c r="I125" s="133">
        <v>2.944</v>
      </c>
      <c r="J125" s="133">
        <v>7.7</v>
      </c>
      <c r="M125" s="143">
        <v>42146</v>
      </c>
      <c r="N125" s="142">
        <v>2126.06</v>
      </c>
    </row>
    <row r="126" spans="5:26" x14ac:dyDescent="0.55000000000000004">
      <c r="F126" s="133">
        <v>7.3019999999999996</v>
      </c>
      <c r="G126" s="133">
        <v>2.0529999999999999</v>
      </c>
      <c r="H126" s="133">
        <v>0.66</v>
      </c>
      <c r="I126" s="133">
        <v>2.9020000000000001</v>
      </c>
      <c r="J126" s="133">
        <v>7.54</v>
      </c>
      <c r="M126" s="143">
        <v>42150</v>
      </c>
      <c r="N126" s="142">
        <v>2104.1999999999998</v>
      </c>
    </row>
    <row r="127" spans="5:26" x14ac:dyDescent="0.55000000000000004">
      <c r="F127" s="133">
        <v>7.3280000000000003</v>
      </c>
      <c r="G127" s="133">
        <v>2.0619999999999998</v>
      </c>
      <c r="H127" s="133">
        <v>0.65700000000000003</v>
      </c>
      <c r="I127" s="133">
        <v>2.8970000000000002</v>
      </c>
      <c r="J127" s="133">
        <v>7.51</v>
      </c>
      <c r="M127" s="143">
        <v>42151</v>
      </c>
      <c r="N127" s="142">
        <v>2123.48</v>
      </c>
    </row>
    <row r="128" spans="5:26" x14ac:dyDescent="0.55000000000000004">
      <c r="F128" s="133">
        <v>7.2320000000000002</v>
      </c>
      <c r="G128" s="133">
        <v>1.988</v>
      </c>
      <c r="H128" s="133">
        <v>0.64300000000000002</v>
      </c>
      <c r="I128" s="133">
        <v>2.8</v>
      </c>
      <c r="J128" s="133">
        <v>7.4</v>
      </c>
      <c r="M128" s="143">
        <v>42152</v>
      </c>
      <c r="N128" s="142">
        <v>2120.79</v>
      </c>
    </row>
    <row r="129" spans="6:14" x14ac:dyDescent="0.55000000000000004">
      <c r="F129" s="133">
        <v>7.258</v>
      </c>
      <c r="G129" s="133">
        <v>1.992</v>
      </c>
      <c r="H129" s="133">
        <v>0.64200000000000002</v>
      </c>
      <c r="I129" s="133">
        <v>2.7610000000000001</v>
      </c>
      <c r="J129" s="133">
        <v>7.43</v>
      </c>
      <c r="M129" s="143">
        <v>42153</v>
      </c>
      <c r="N129" s="142">
        <v>2107.39</v>
      </c>
    </row>
    <row r="130" spans="6:14" x14ac:dyDescent="0.55000000000000004">
      <c r="F130" s="133">
        <v>7.2060000000000004</v>
      </c>
      <c r="G130" s="133">
        <v>1.972</v>
      </c>
      <c r="H130" s="133">
        <v>0.63200000000000001</v>
      </c>
      <c r="I130" s="133">
        <v>2.7509999999999999</v>
      </c>
      <c r="J130" s="133">
        <v>7.55</v>
      </c>
      <c r="M130" s="143">
        <v>42156</v>
      </c>
      <c r="N130" s="142">
        <v>2111.73</v>
      </c>
    </row>
    <row r="131" spans="6:14" x14ac:dyDescent="0.55000000000000004">
      <c r="F131" s="133">
        <v>7.2480000000000002</v>
      </c>
      <c r="G131" s="133">
        <v>2.0190000000000001</v>
      </c>
      <c r="H131" s="133">
        <v>0.63400000000000001</v>
      </c>
      <c r="I131" s="133">
        <v>2.7930000000000001</v>
      </c>
      <c r="J131" s="133">
        <v>7.52</v>
      </c>
      <c r="M131" s="143">
        <v>42157</v>
      </c>
      <c r="N131" s="142">
        <v>2109.6</v>
      </c>
    </row>
    <row r="132" spans="6:14" x14ac:dyDescent="0.55000000000000004">
      <c r="F132" s="133">
        <v>7.3129999999999997</v>
      </c>
      <c r="G132" s="133">
        <v>2.0459999999999998</v>
      </c>
      <c r="H132" s="133">
        <v>0.63600000000000001</v>
      </c>
      <c r="I132" s="133">
        <v>2.8090000000000002</v>
      </c>
      <c r="J132" s="133">
        <v>7.54</v>
      </c>
      <c r="M132" s="143">
        <v>42158</v>
      </c>
      <c r="N132" s="142">
        <v>2114.0700000000002</v>
      </c>
    </row>
    <row r="133" spans="6:14" x14ac:dyDescent="0.55000000000000004">
      <c r="F133" s="133">
        <v>7.2370000000000001</v>
      </c>
      <c r="G133" s="133">
        <v>1.978</v>
      </c>
      <c r="H133" s="133">
        <v>0.625</v>
      </c>
      <c r="I133" s="133">
        <v>2.66</v>
      </c>
      <c r="J133" s="133">
        <v>7.37</v>
      </c>
      <c r="M133" s="143">
        <v>42159</v>
      </c>
      <c r="N133" s="142">
        <v>2095.84</v>
      </c>
    </row>
    <row r="134" spans="6:14" x14ac:dyDescent="0.55000000000000004">
      <c r="F134" s="133">
        <v>7.282</v>
      </c>
      <c r="G134" s="133">
        <v>2.0129999999999999</v>
      </c>
      <c r="H134" s="133">
        <v>0.63700000000000001</v>
      </c>
      <c r="I134" s="133">
        <v>2.706</v>
      </c>
      <c r="J134" s="133">
        <v>7.47</v>
      </c>
      <c r="M134" s="143">
        <v>42160</v>
      </c>
      <c r="N134" s="142">
        <v>2092.83</v>
      </c>
    </row>
    <row r="135" spans="6:14" x14ac:dyDescent="0.55000000000000004">
      <c r="F135" s="133">
        <v>7.32</v>
      </c>
      <c r="G135" s="133">
        <v>2.012</v>
      </c>
      <c r="H135" s="133">
        <v>0.63600000000000001</v>
      </c>
      <c r="I135" s="133">
        <v>2.7</v>
      </c>
      <c r="J135" s="133">
        <v>7.44</v>
      </c>
      <c r="M135" s="143">
        <v>42163</v>
      </c>
      <c r="N135" s="142">
        <v>2079.2800000000002</v>
      </c>
    </row>
    <row r="136" spans="6:14" x14ac:dyDescent="0.55000000000000004">
      <c r="F136" s="133">
        <v>7.2990000000000004</v>
      </c>
      <c r="G136" s="133">
        <v>1.99</v>
      </c>
      <c r="H136" s="133">
        <v>0.629</v>
      </c>
      <c r="I136" s="133">
        <v>2.6760000000000002</v>
      </c>
      <c r="J136" s="133">
        <v>7.27</v>
      </c>
      <c r="M136" s="143">
        <v>42164</v>
      </c>
      <c r="N136" s="142">
        <v>2080.15</v>
      </c>
    </row>
    <row r="137" spans="6:14" x14ac:dyDescent="0.55000000000000004">
      <c r="F137" s="133">
        <v>7.3</v>
      </c>
      <c r="G137" s="133">
        <v>2</v>
      </c>
      <c r="H137" s="133">
        <v>0.63</v>
      </c>
      <c r="I137" s="133">
        <v>2.6920000000000002</v>
      </c>
      <c r="J137" s="133">
        <v>7.46</v>
      </c>
      <c r="M137" s="143">
        <v>42165</v>
      </c>
      <c r="N137" s="142">
        <v>2105.1999999999998</v>
      </c>
    </row>
    <row r="138" spans="6:14" x14ac:dyDescent="0.55000000000000004">
      <c r="F138" s="133">
        <v>7.33</v>
      </c>
      <c r="G138" s="133">
        <v>1.988</v>
      </c>
      <c r="H138" s="133">
        <v>0.63200000000000001</v>
      </c>
      <c r="I138" s="133">
        <v>2.657</v>
      </c>
      <c r="J138" s="133">
        <v>7.37</v>
      </c>
      <c r="M138" s="143">
        <v>42166</v>
      </c>
      <c r="N138" s="142">
        <v>2108.86</v>
      </c>
    </row>
    <row r="139" spans="6:14" x14ac:dyDescent="0.55000000000000004">
      <c r="F139" s="133">
        <v>7.3280000000000003</v>
      </c>
      <c r="G139" s="133">
        <v>1.9790000000000001</v>
      </c>
      <c r="H139" s="133">
        <v>0.629</v>
      </c>
      <c r="I139" s="133">
        <v>2.62</v>
      </c>
      <c r="J139" s="133">
        <v>7.24</v>
      </c>
      <c r="M139" s="143">
        <v>42167</v>
      </c>
      <c r="N139" s="142">
        <v>2094.11</v>
      </c>
    </row>
    <row r="140" spans="6:14" x14ac:dyDescent="0.55000000000000004">
      <c r="F140" s="133">
        <v>7.3460000000000001</v>
      </c>
      <c r="G140" s="133">
        <v>2.0059999999999998</v>
      </c>
      <c r="H140" s="133">
        <v>0.63100000000000001</v>
      </c>
      <c r="I140" s="133">
        <v>2.6360000000000001</v>
      </c>
      <c r="J140" s="133">
        <v>7.31</v>
      </c>
      <c r="M140" s="143">
        <v>42170</v>
      </c>
      <c r="N140" s="142">
        <v>2084.4299999999998</v>
      </c>
    </row>
    <row r="141" spans="6:14" x14ac:dyDescent="0.55000000000000004">
      <c r="F141" s="133">
        <v>7.2279999999999998</v>
      </c>
      <c r="G141" s="133">
        <v>1.9449999999999998</v>
      </c>
      <c r="H141" s="133">
        <v>0.621</v>
      </c>
      <c r="I141" s="133">
        <v>2.5449999999999999</v>
      </c>
      <c r="J141" s="133">
        <v>7.12</v>
      </c>
      <c r="M141" s="143">
        <v>42171</v>
      </c>
      <c r="N141" s="142">
        <v>2096.29</v>
      </c>
    </row>
    <row r="142" spans="6:14" x14ac:dyDescent="0.55000000000000004">
      <c r="F142" s="133">
        <v>7.2469999999999999</v>
      </c>
      <c r="G142" s="133">
        <v>1.95</v>
      </c>
      <c r="H142" s="133">
        <v>0.61599999999999999</v>
      </c>
      <c r="I142" s="133">
        <v>2.5449999999999999</v>
      </c>
      <c r="J142" s="133">
        <v>7.1</v>
      </c>
      <c r="M142" s="143">
        <v>42172</v>
      </c>
      <c r="N142" s="142">
        <v>2100.44</v>
      </c>
    </row>
    <row r="143" spans="6:14" x14ac:dyDescent="0.55000000000000004">
      <c r="F143" s="133">
        <v>7.2379999999999995</v>
      </c>
      <c r="G143" s="133">
        <v>1.9300000000000002</v>
      </c>
      <c r="H143" s="133">
        <v>0.61499999999999999</v>
      </c>
      <c r="I143" s="133">
        <v>2.577</v>
      </c>
      <c r="J143" s="133">
        <v>7.1</v>
      </c>
      <c r="M143" s="143">
        <v>42173</v>
      </c>
      <c r="N143" s="142">
        <v>2121.2399999999998</v>
      </c>
    </row>
    <row r="144" spans="6:14" x14ac:dyDescent="0.55000000000000004">
      <c r="F144" s="133">
        <v>7.2690000000000001</v>
      </c>
      <c r="G144" s="133">
        <v>1.9370000000000001</v>
      </c>
      <c r="H144" s="133">
        <v>0.61699999999999999</v>
      </c>
      <c r="I144" s="133">
        <v>2.5789999999999997</v>
      </c>
      <c r="J144" s="133">
        <v>7.15</v>
      </c>
      <c r="M144" s="143">
        <v>42174</v>
      </c>
      <c r="N144" s="142">
        <v>2109.9899999999998</v>
      </c>
    </row>
    <row r="145" spans="6:14" x14ac:dyDescent="0.55000000000000004">
      <c r="F145" s="133">
        <v>7.0810000000000004</v>
      </c>
      <c r="G145" s="133">
        <v>1.9020000000000001</v>
      </c>
      <c r="H145" s="133">
        <v>0.61399999999999999</v>
      </c>
      <c r="I145" s="133">
        <v>2.569</v>
      </c>
      <c r="J145" s="133">
        <v>7.03</v>
      </c>
      <c r="M145" s="143">
        <v>42177</v>
      </c>
      <c r="N145" s="142">
        <v>2122.85</v>
      </c>
    </row>
    <row r="146" spans="6:14" x14ac:dyDescent="0.55000000000000004">
      <c r="F146" s="133">
        <v>7.2089999999999996</v>
      </c>
      <c r="G146" s="133">
        <v>1.94</v>
      </c>
      <c r="H146" s="133">
        <v>0.621</v>
      </c>
      <c r="I146" s="133">
        <v>2.6150000000000002</v>
      </c>
      <c r="J146" s="133">
        <v>7.11</v>
      </c>
      <c r="M146" s="143">
        <v>42178</v>
      </c>
      <c r="N146" s="142">
        <v>2124.1999999999998</v>
      </c>
    </row>
    <row r="147" spans="6:14" x14ac:dyDescent="0.55000000000000004">
      <c r="F147" s="133">
        <v>7.0229999999999997</v>
      </c>
      <c r="G147" s="133">
        <v>1.905</v>
      </c>
      <c r="H147" s="133">
        <v>0.61199999999999999</v>
      </c>
      <c r="I147" s="133">
        <v>2.5709999999999997</v>
      </c>
      <c r="J147" s="133">
        <v>6.93</v>
      </c>
      <c r="M147" s="143">
        <v>42179</v>
      </c>
      <c r="N147" s="142">
        <v>2108.58</v>
      </c>
    </row>
    <row r="148" spans="6:14" x14ac:dyDescent="0.55000000000000004">
      <c r="F148" s="133">
        <v>7.08</v>
      </c>
      <c r="G148" s="133">
        <v>1.891</v>
      </c>
      <c r="H148" s="133">
        <v>0.61399999999999999</v>
      </c>
      <c r="I148" s="133">
        <v>2.5760000000000001</v>
      </c>
      <c r="J148" s="133">
        <v>6.91</v>
      </c>
      <c r="M148" s="143">
        <v>42180</v>
      </c>
      <c r="N148" s="142">
        <v>2102.31</v>
      </c>
    </row>
    <row r="149" spans="6:14" x14ac:dyDescent="0.55000000000000004">
      <c r="F149" s="133">
        <v>7.1040000000000001</v>
      </c>
      <c r="G149" s="133">
        <v>1.88</v>
      </c>
      <c r="H149" s="133">
        <v>0.61799999999999999</v>
      </c>
      <c r="I149" s="133">
        <v>2.548</v>
      </c>
      <c r="J149" s="133">
        <v>6.9399999999999995</v>
      </c>
      <c r="M149" s="143">
        <v>42181</v>
      </c>
      <c r="N149" s="142">
        <v>2101.4899999999998</v>
      </c>
    </row>
    <row r="150" spans="6:14" x14ac:dyDescent="0.55000000000000004">
      <c r="F150" s="133">
        <v>7.0979999999999999</v>
      </c>
      <c r="G150" s="133">
        <v>1.899</v>
      </c>
      <c r="H150" s="133">
        <v>0.626</v>
      </c>
      <c r="I150" s="133">
        <v>2.5460000000000003</v>
      </c>
      <c r="J150" s="133">
        <v>6.95</v>
      </c>
      <c r="M150" s="143">
        <v>42184</v>
      </c>
      <c r="N150" s="142">
        <v>2057.64</v>
      </c>
    </row>
    <row r="151" spans="6:14" x14ac:dyDescent="0.55000000000000004">
      <c r="F151" s="133">
        <v>7.1070000000000002</v>
      </c>
      <c r="G151" s="133">
        <v>1.8900000000000001</v>
      </c>
      <c r="H151" s="133">
        <v>0.63100000000000001</v>
      </c>
      <c r="I151" s="133">
        <v>2.5609999999999999</v>
      </c>
      <c r="J151" s="133">
        <v>6.93</v>
      </c>
      <c r="M151" s="143">
        <v>42185</v>
      </c>
      <c r="N151" s="142">
        <v>2063.11</v>
      </c>
    </row>
    <row r="152" spans="6:14" x14ac:dyDescent="0.55000000000000004">
      <c r="F152" s="133">
        <v>6.9879999999999995</v>
      </c>
      <c r="G152" s="133">
        <v>1.8540000000000001</v>
      </c>
      <c r="H152" s="133">
        <v>0.623</v>
      </c>
      <c r="I152" s="133">
        <v>2.5249999999999999</v>
      </c>
      <c r="J152" s="133">
        <v>6.88</v>
      </c>
      <c r="M152" s="143">
        <v>42186</v>
      </c>
      <c r="N152" s="142">
        <v>2077.42</v>
      </c>
    </row>
    <row r="153" spans="6:14" x14ac:dyDescent="0.55000000000000004">
      <c r="F153" s="133">
        <v>7.0419999999999998</v>
      </c>
      <c r="G153" s="133">
        <v>1.8580000000000001</v>
      </c>
      <c r="H153" s="133">
        <v>0.62</v>
      </c>
      <c r="I153" s="133">
        <v>2.492</v>
      </c>
      <c r="J153" s="133">
        <v>6.88</v>
      </c>
      <c r="M153" s="143">
        <v>42187</v>
      </c>
      <c r="N153" s="142">
        <v>2076.7800000000002</v>
      </c>
    </row>
    <row r="154" spans="6:14" x14ac:dyDescent="0.55000000000000004">
      <c r="F154" s="133">
        <v>6.99</v>
      </c>
      <c r="G154" s="133">
        <v>1.8580000000000001</v>
      </c>
      <c r="H154" s="133">
        <v>0.623</v>
      </c>
      <c r="I154" s="133">
        <v>2.504</v>
      </c>
      <c r="J154" s="133">
        <v>6.88</v>
      </c>
      <c r="M154" s="143">
        <v>42191</v>
      </c>
      <c r="N154" s="142">
        <v>2068.7600000000002</v>
      </c>
    </row>
    <row r="155" spans="6:14" x14ac:dyDescent="0.55000000000000004">
      <c r="F155" s="133">
        <v>7.0490000000000004</v>
      </c>
      <c r="G155" s="133">
        <v>1.8660000000000001</v>
      </c>
      <c r="H155" s="133">
        <v>0.624</v>
      </c>
      <c r="I155" s="133">
        <v>2.4969999999999999</v>
      </c>
      <c r="J155" s="133">
        <v>6.93</v>
      </c>
      <c r="M155" s="143">
        <v>42192</v>
      </c>
      <c r="N155" s="142">
        <v>2081.34</v>
      </c>
    </row>
    <row r="156" spans="6:14" x14ac:dyDescent="0.55000000000000004">
      <c r="F156" s="133">
        <v>7.0229999999999997</v>
      </c>
      <c r="G156" s="133">
        <v>1.865</v>
      </c>
      <c r="H156" s="133">
        <v>0.625</v>
      </c>
      <c r="I156" s="133">
        <v>2.4830000000000001</v>
      </c>
      <c r="J156" s="133">
        <v>6.9399999999999995</v>
      </c>
      <c r="M156" s="143">
        <v>42193</v>
      </c>
      <c r="N156" s="142">
        <v>2046.68</v>
      </c>
    </row>
    <row r="157" spans="6:14" x14ac:dyDescent="0.55000000000000004">
      <c r="F157" s="133">
        <v>7.1260000000000003</v>
      </c>
      <c r="G157" s="133">
        <v>1.8839999999999999</v>
      </c>
      <c r="H157" s="133">
        <v>0.629</v>
      </c>
      <c r="I157" s="133">
        <v>2.5030000000000001</v>
      </c>
      <c r="J157" s="133">
        <v>6.97</v>
      </c>
      <c r="M157" s="143">
        <v>42194</v>
      </c>
      <c r="N157" s="142">
        <v>2051.31</v>
      </c>
    </row>
    <row r="158" spans="6:14" x14ac:dyDescent="0.55000000000000004">
      <c r="F158" s="133">
        <v>7.07</v>
      </c>
      <c r="G158" s="133">
        <v>1.865</v>
      </c>
      <c r="H158" s="133">
        <v>0.625</v>
      </c>
      <c r="I158" s="133">
        <v>2.4460000000000002</v>
      </c>
      <c r="J158" s="133">
        <v>6.91</v>
      </c>
      <c r="M158" s="143">
        <v>42195</v>
      </c>
      <c r="N158" s="142">
        <v>2076.62</v>
      </c>
    </row>
    <row r="159" spans="6:14" x14ac:dyDescent="0.55000000000000004">
      <c r="F159" s="133">
        <v>7.0039999999999996</v>
      </c>
      <c r="G159" s="133">
        <v>1.875</v>
      </c>
      <c r="H159" s="133">
        <v>0.623</v>
      </c>
      <c r="I159" s="133">
        <v>2.4500000000000002</v>
      </c>
      <c r="J159" s="133">
        <v>6.77</v>
      </c>
      <c r="M159" s="143">
        <v>42198</v>
      </c>
      <c r="N159" s="142">
        <v>2099.6</v>
      </c>
    </row>
    <row r="160" spans="6:14" x14ac:dyDescent="0.55000000000000004">
      <c r="F160" s="133">
        <v>7.0990000000000002</v>
      </c>
      <c r="G160" s="133">
        <v>1.895</v>
      </c>
      <c r="H160" s="133">
        <v>0.626</v>
      </c>
      <c r="I160" s="133">
        <v>2.4590000000000001</v>
      </c>
      <c r="J160" s="133">
        <v>6.75</v>
      </c>
      <c r="M160" s="143">
        <v>42199</v>
      </c>
      <c r="N160" s="142">
        <v>2108.9499999999998</v>
      </c>
    </row>
    <row r="161" spans="6:14" x14ac:dyDescent="0.55000000000000004">
      <c r="F161" s="133">
        <v>7.0830000000000002</v>
      </c>
      <c r="G161" s="133">
        <v>1.897</v>
      </c>
      <c r="H161" s="133">
        <v>0.624</v>
      </c>
      <c r="I161" s="133">
        <v>2.4569999999999999</v>
      </c>
      <c r="J161" s="133">
        <v>6.71</v>
      </c>
      <c r="M161" s="143">
        <v>42200</v>
      </c>
      <c r="N161" s="142">
        <v>2107.4</v>
      </c>
    </row>
    <row r="162" spans="6:14" x14ac:dyDescent="0.55000000000000004">
      <c r="F162" s="133">
        <v>7.0679999999999996</v>
      </c>
      <c r="G162" s="133">
        <v>1.915</v>
      </c>
      <c r="H162" s="133">
        <v>0.625</v>
      </c>
      <c r="I162" s="133">
        <v>2.4369999999999998</v>
      </c>
      <c r="J162" s="133">
        <v>6.75</v>
      </c>
      <c r="M162" s="143">
        <v>42201</v>
      </c>
      <c r="N162" s="142">
        <v>2124.29</v>
      </c>
    </row>
    <row r="163" spans="6:14" x14ac:dyDescent="0.55000000000000004">
      <c r="F163" s="133">
        <v>7.0730000000000004</v>
      </c>
      <c r="G163" s="133">
        <v>1.8839999999999999</v>
      </c>
      <c r="H163" s="133">
        <v>0.625</v>
      </c>
      <c r="I163" s="133">
        <v>2.4390000000000001</v>
      </c>
      <c r="J163" s="133">
        <v>6.6899999999999995</v>
      </c>
      <c r="M163" s="143">
        <v>42202</v>
      </c>
      <c r="N163" s="142">
        <v>2126.64</v>
      </c>
    </row>
    <row r="164" spans="6:14" x14ac:dyDescent="0.55000000000000004">
      <c r="F164" s="133">
        <v>7.1740000000000004</v>
      </c>
      <c r="G164" s="133">
        <v>1.889</v>
      </c>
      <c r="H164" s="133">
        <v>0.625</v>
      </c>
      <c r="I164" s="133">
        <v>2.4489999999999998</v>
      </c>
      <c r="J164" s="133">
        <v>6.78</v>
      </c>
      <c r="M164" s="143">
        <v>42205</v>
      </c>
      <c r="N164" s="142">
        <v>2128.2800000000002</v>
      </c>
    </row>
    <row r="165" spans="6:14" x14ac:dyDescent="0.55000000000000004">
      <c r="F165" s="133">
        <v>7.181</v>
      </c>
      <c r="G165" s="133">
        <v>1.855</v>
      </c>
      <c r="H165" s="133">
        <v>0.625</v>
      </c>
      <c r="I165" s="133">
        <v>2.4350000000000001</v>
      </c>
      <c r="J165" s="133">
        <v>6.74</v>
      </c>
      <c r="M165" s="143">
        <v>42206</v>
      </c>
      <c r="N165" s="142">
        <v>2119.21</v>
      </c>
    </row>
    <row r="166" spans="6:14" x14ac:dyDescent="0.55000000000000004">
      <c r="F166" s="133">
        <v>7.1509999999999998</v>
      </c>
      <c r="G166" s="133">
        <v>1.8679999999999999</v>
      </c>
      <c r="H166" s="133">
        <v>0.626</v>
      </c>
      <c r="I166" s="133">
        <v>2.4180000000000001</v>
      </c>
      <c r="J166" s="133">
        <v>6.79</v>
      </c>
      <c r="M166" s="143">
        <v>42207</v>
      </c>
      <c r="N166" s="142">
        <v>2114.15</v>
      </c>
    </row>
    <row r="167" spans="6:14" x14ac:dyDescent="0.55000000000000004">
      <c r="F167" s="133">
        <v>7.22</v>
      </c>
      <c r="G167" s="133">
        <v>1.8660000000000001</v>
      </c>
      <c r="H167" s="133">
        <v>0.623</v>
      </c>
      <c r="I167" s="133">
        <v>2.42</v>
      </c>
      <c r="J167" s="133">
        <v>6.76</v>
      </c>
      <c r="M167" s="143">
        <v>42208</v>
      </c>
      <c r="N167" s="142">
        <v>2102.15</v>
      </c>
    </row>
    <row r="168" spans="6:14" x14ac:dyDescent="0.55000000000000004">
      <c r="F168" s="133">
        <v>7.3140000000000001</v>
      </c>
      <c r="G168" s="133">
        <v>1.893</v>
      </c>
      <c r="H168" s="133">
        <v>0.63</v>
      </c>
      <c r="I168" s="133">
        <v>2.5030000000000001</v>
      </c>
      <c r="J168" s="133">
        <v>6.98</v>
      </c>
      <c r="M168" s="143">
        <v>42209</v>
      </c>
      <c r="N168" s="142">
        <v>2079.65</v>
      </c>
    </row>
    <row r="169" spans="6:14" x14ac:dyDescent="0.55000000000000004">
      <c r="F169" s="133">
        <v>7.2370000000000001</v>
      </c>
      <c r="G169" s="133">
        <v>1.88</v>
      </c>
      <c r="H169" s="133">
        <v>0.624</v>
      </c>
      <c r="I169" s="133">
        <v>2.4609999999999999</v>
      </c>
      <c r="J169" s="133">
        <v>6.84</v>
      </c>
      <c r="M169" s="143">
        <v>42212</v>
      </c>
      <c r="N169" s="142">
        <v>2067.64</v>
      </c>
    </row>
    <row r="170" spans="6:14" x14ac:dyDescent="0.55000000000000004">
      <c r="F170" s="133">
        <v>7.2519999999999998</v>
      </c>
      <c r="G170" s="133">
        <v>1.8919999999999999</v>
      </c>
      <c r="H170" s="133">
        <v>0.626</v>
      </c>
      <c r="I170" s="133">
        <v>2.4750000000000001</v>
      </c>
      <c r="J170" s="133">
        <v>6.9399999999999995</v>
      </c>
      <c r="M170" s="143">
        <v>42213</v>
      </c>
      <c r="N170" s="142">
        <v>2093.25</v>
      </c>
    </row>
    <row r="171" spans="6:14" x14ac:dyDescent="0.55000000000000004">
      <c r="F171" s="133">
        <v>7.2780000000000005</v>
      </c>
      <c r="G171" s="133">
        <v>1.909</v>
      </c>
      <c r="H171" s="133">
        <v>0.626</v>
      </c>
      <c r="I171" s="133">
        <v>2.496</v>
      </c>
      <c r="J171" s="133">
        <v>7.03</v>
      </c>
      <c r="M171" s="143">
        <v>42214</v>
      </c>
      <c r="N171" s="142">
        <v>2108.5700000000002</v>
      </c>
    </row>
    <row r="172" spans="6:14" x14ac:dyDescent="0.55000000000000004">
      <c r="F172" s="133">
        <v>7.258</v>
      </c>
      <c r="G172" s="133">
        <v>1.9300000000000002</v>
      </c>
      <c r="H172" s="133">
        <v>0.624</v>
      </c>
      <c r="I172" s="133">
        <v>2.5350000000000001</v>
      </c>
      <c r="J172" s="133">
        <v>6.97</v>
      </c>
      <c r="M172" s="143">
        <v>42215</v>
      </c>
      <c r="N172" s="142">
        <v>2108.63</v>
      </c>
    </row>
    <row r="173" spans="6:14" x14ac:dyDescent="0.55000000000000004">
      <c r="F173" s="133">
        <v>7.3049999999999997</v>
      </c>
      <c r="G173" s="133">
        <v>1.94</v>
      </c>
      <c r="H173" s="133">
        <v>0.624</v>
      </c>
      <c r="I173" s="133">
        <v>2.5540000000000003</v>
      </c>
      <c r="J173" s="133">
        <v>6.88</v>
      </c>
      <c r="M173" s="143">
        <v>42216</v>
      </c>
      <c r="N173" s="142">
        <v>2103.84</v>
      </c>
    </row>
    <row r="174" spans="6:14" x14ac:dyDescent="0.55000000000000004">
      <c r="F174" s="133">
        <v>7.141</v>
      </c>
      <c r="G174" s="133">
        <v>1.917</v>
      </c>
      <c r="H174" s="133">
        <v>0.63400000000000001</v>
      </c>
      <c r="I174" s="133">
        <v>2.5419999999999998</v>
      </c>
      <c r="J174" s="133">
        <v>6.83</v>
      </c>
      <c r="M174" s="143">
        <v>42219</v>
      </c>
      <c r="N174" s="142">
        <v>2098.04</v>
      </c>
    </row>
    <row r="175" spans="6:14" x14ac:dyDescent="0.55000000000000004">
      <c r="F175" s="133">
        <v>7.0410000000000004</v>
      </c>
      <c r="G175" s="133">
        <v>1.865</v>
      </c>
      <c r="H175" s="133">
        <v>0.627</v>
      </c>
      <c r="I175" s="133">
        <v>2.5009999999999999</v>
      </c>
      <c r="J175" s="133">
        <v>6.74</v>
      </c>
      <c r="M175" s="143">
        <v>42220</v>
      </c>
      <c r="N175" s="142">
        <v>2093.3200000000002</v>
      </c>
    </row>
    <row r="176" spans="6:14" x14ac:dyDescent="0.55000000000000004">
      <c r="F176" s="133">
        <v>7.1580000000000004</v>
      </c>
      <c r="G176" s="133">
        <v>1.887</v>
      </c>
      <c r="H176" s="133">
        <v>0.626</v>
      </c>
      <c r="I176" s="133">
        <v>2.5779999999999998</v>
      </c>
      <c r="J176" s="133">
        <v>6.89</v>
      </c>
      <c r="M176" s="143">
        <v>42221</v>
      </c>
      <c r="N176" s="142">
        <v>2099.84</v>
      </c>
    </row>
    <row r="177" spans="6:14" x14ac:dyDescent="0.55000000000000004">
      <c r="F177" s="133">
        <v>7.0860000000000003</v>
      </c>
      <c r="G177" s="133">
        <v>1.8860000000000001</v>
      </c>
      <c r="H177" s="133">
        <v>0.626</v>
      </c>
      <c r="I177" s="133">
        <v>2.52</v>
      </c>
      <c r="J177" s="133">
        <v>6.91</v>
      </c>
      <c r="M177" s="143">
        <v>42222</v>
      </c>
      <c r="N177" s="142">
        <v>2083.56</v>
      </c>
    </row>
    <row r="178" spans="6:14" x14ac:dyDescent="0.55000000000000004">
      <c r="F178" s="133">
        <v>7.1609999999999996</v>
      </c>
      <c r="G178" s="133">
        <v>1.8940000000000001</v>
      </c>
      <c r="H178" s="133">
        <v>0.624</v>
      </c>
      <c r="I178" s="133">
        <v>2.5249999999999999</v>
      </c>
      <c r="J178" s="133">
        <v>6.87</v>
      </c>
      <c r="M178" s="143">
        <v>42223</v>
      </c>
      <c r="N178" s="142">
        <v>2077.5700000000002</v>
      </c>
    </row>
    <row r="179" spans="6:14" x14ac:dyDescent="0.55000000000000004">
      <c r="F179" s="133">
        <v>7.2539999999999996</v>
      </c>
      <c r="G179" s="133">
        <v>1.931</v>
      </c>
      <c r="H179" s="133">
        <v>0.622</v>
      </c>
      <c r="I179" s="133">
        <v>2.5270000000000001</v>
      </c>
      <c r="J179" s="133">
        <v>6.97</v>
      </c>
      <c r="M179" s="143">
        <v>42226</v>
      </c>
      <c r="N179" s="142">
        <v>2104.1799999999998</v>
      </c>
    </row>
    <row r="180" spans="6:14" x14ac:dyDescent="0.55000000000000004">
      <c r="F180" s="133">
        <v>7.258</v>
      </c>
      <c r="G180" s="133">
        <v>1.915</v>
      </c>
      <c r="H180" s="133">
        <v>0.621</v>
      </c>
      <c r="I180" s="133">
        <v>2.5209999999999999</v>
      </c>
      <c r="J180" s="133">
        <v>6.93</v>
      </c>
      <c r="M180" s="143">
        <v>42227</v>
      </c>
      <c r="N180" s="142">
        <v>2084.0700000000002</v>
      </c>
    </row>
    <row r="181" spans="6:14" x14ac:dyDescent="0.55000000000000004">
      <c r="F181" s="133">
        <v>7.2130000000000001</v>
      </c>
      <c r="G181" s="133">
        <v>1.8759999999999999</v>
      </c>
      <c r="H181" s="133">
        <v>0.61899999999999999</v>
      </c>
      <c r="I181" s="133">
        <v>2.4790000000000001</v>
      </c>
      <c r="J181" s="133">
        <v>6.8</v>
      </c>
      <c r="M181" s="143">
        <v>42228</v>
      </c>
      <c r="N181" s="142">
        <v>2086.0500000000002</v>
      </c>
    </row>
    <row r="182" spans="6:14" x14ac:dyDescent="0.55000000000000004">
      <c r="F182" s="133">
        <v>7.1609999999999996</v>
      </c>
      <c r="G182" s="133">
        <v>1.845</v>
      </c>
      <c r="H182" s="133">
        <v>0.61399999999999999</v>
      </c>
      <c r="I182" s="133">
        <v>2.4580000000000002</v>
      </c>
      <c r="J182" s="133">
        <v>6.72</v>
      </c>
      <c r="M182" s="143">
        <v>42229</v>
      </c>
      <c r="N182" s="142">
        <v>2083.39</v>
      </c>
    </row>
    <row r="183" spans="6:14" x14ac:dyDescent="0.55000000000000004">
      <c r="F183" s="133">
        <v>7.1559999999999997</v>
      </c>
      <c r="G183" s="133">
        <v>1.8399999999999999</v>
      </c>
      <c r="H183" s="133">
        <v>0.61</v>
      </c>
      <c r="I183" s="133">
        <v>2.4220000000000002</v>
      </c>
      <c r="J183" s="133">
        <v>6.63</v>
      </c>
      <c r="M183" s="143">
        <v>42230</v>
      </c>
      <c r="N183" s="142">
        <v>2091.54</v>
      </c>
    </row>
    <row r="184" spans="6:14" x14ac:dyDescent="0.55000000000000004">
      <c r="F184" s="133">
        <v>7.0549999999999997</v>
      </c>
      <c r="G184" s="133">
        <v>1.798</v>
      </c>
      <c r="H184" s="133">
        <v>0.60499999999999998</v>
      </c>
      <c r="I184" s="133">
        <v>2.3959999999999999</v>
      </c>
      <c r="J184" s="133">
        <v>6.47</v>
      </c>
      <c r="M184" s="143">
        <v>42233</v>
      </c>
      <c r="N184" s="142">
        <v>2102.44</v>
      </c>
    </row>
    <row r="185" spans="6:14" x14ac:dyDescent="0.55000000000000004">
      <c r="F185" s="133">
        <v>7.0289999999999999</v>
      </c>
      <c r="G185" s="133">
        <v>1.8220000000000001</v>
      </c>
      <c r="H185" s="133">
        <v>0.60099999999999998</v>
      </c>
      <c r="I185" s="133">
        <v>2.4060000000000001</v>
      </c>
      <c r="J185" s="133">
        <v>6.51</v>
      </c>
      <c r="M185" s="143">
        <v>42234</v>
      </c>
      <c r="N185" s="142">
        <v>2096.92</v>
      </c>
    </row>
    <row r="186" spans="6:14" x14ac:dyDescent="0.55000000000000004">
      <c r="F186" s="133">
        <v>6.9690000000000003</v>
      </c>
      <c r="G186" s="133">
        <v>1.8260000000000001</v>
      </c>
      <c r="H186" s="133">
        <v>0.60199999999999998</v>
      </c>
      <c r="I186" s="133">
        <v>2.4089999999999998</v>
      </c>
      <c r="J186" s="133">
        <v>6.45</v>
      </c>
      <c r="M186" s="143">
        <v>42235</v>
      </c>
      <c r="N186" s="142">
        <v>2079.61</v>
      </c>
    </row>
    <row r="187" spans="6:14" x14ac:dyDescent="0.55000000000000004">
      <c r="F187" s="133">
        <v>6.9710000000000001</v>
      </c>
      <c r="G187" s="133">
        <v>1.837</v>
      </c>
      <c r="H187" s="133">
        <v>0.60399999999999998</v>
      </c>
      <c r="I187" s="133">
        <v>2.4390000000000001</v>
      </c>
      <c r="J187" s="133">
        <v>6.48</v>
      </c>
      <c r="M187" s="143">
        <v>42236</v>
      </c>
      <c r="N187" s="142">
        <v>2035.73</v>
      </c>
    </row>
    <row r="188" spans="6:14" x14ac:dyDescent="0.55000000000000004">
      <c r="F188" s="133">
        <v>6.9249999999999998</v>
      </c>
      <c r="G188" s="133">
        <v>1.8439999999999999</v>
      </c>
      <c r="H188" s="133">
        <v>0.60799999999999998</v>
      </c>
      <c r="I188" s="133">
        <v>2.468</v>
      </c>
      <c r="J188" s="133">
        <v>6.47</v>
      </c>
      <c r="M188" s="143">
        <v>42237</v>
      </c>
      <c r="N188" s="142">
        <v>1970.89</v>
      </c>
    </row>
    <row r="189" spans="6:14" x14ac:dyDescent="0.55000000000000004">
      <c r="F189" s="133">
        <v>6.8929999999999998</v>
      </c>
      <c r="G189" s="133">
        <v>1.8519999999999999</v>
      </c>
      <c r="H189" s="133">
        <v>0.61</v>
      </c>
      <c r="I189" s="133">
        <v>2.468</v>
      </c>
      <c r="J189" s="133">
        <v>6.48</v>
      </c>
      <c r="M189" s="143">
        <v>42240</v>
      </c>
      <c r="N189" s="142">
        <v>1893.21</v>
      </c>
    </row>
    <row r="190" spans="6:14" x14ac:dyDescent="0.55000000000000004">
      <c r="F190" s="133">
        <v>6.8819999999999997</v>
      </c>
      <c r="G190" s="133">
        <v>1.831</v>
      </c>
      <c r="H190" s="133">
        <v>0.60799999999999998</v>
      </c>
      <c r="I190" s="133">
        <v>2.444</v>
      </c>
      <c r="J190" s="133">
        <v>6.45</v>
      </c>
      <c r="M190" s="143">
        <v>42241</v>
      </c>
      <c r="N190" s="142">
        <v>1867.61</v>
      </c>
    </row>
    <row r="191" spans="6:14" x14ac:dyDescent="0.55000000000000004">
      <c r="F191" s="133">
        <v>6.8620000000000001</v>
      </c>
      <c r="G191" s="133">
        <v>1.837</v>
      </c>
      <c r="H191" s="133">
        <v>0.60799999999999998</v>
      </c>
      <c r="I191" s="133">
        <v>2.448</v>
      </c>
      <c r="J191" s="133">
        <v>6.47</v>
      </c>
      <c r="M191" s="143">
        <v>42242</v>
      </c>
      <c r="N191" s="142">
        <v>1940.51</v>
      </c>
    </row>
    <row r="192" spans="6:14" x14ac:dyDescent="0.55000000000000004">
      <c r="F192" s="133">
        <v>6.9059999999999997</v>
      </c>
      <c r="G192" s="133">
        <v>1.837</v>
      </c>
      <c r="H192" s="133">
        <v>0.60799999999999998</v>
      </c>
      <c r="I192" s="133">
        <v>2.464</v>
      </c>
      <c r="J192" s="133">
        <v>6.53</v>
      </c>
      <c r="M192" s="143">
        <v>42243</v>
      </c>
      <c r="N192" s="142">
        <v>1987.66</v>
      </c>
    </row>
    <row r="193" spans="6:14" x14ac:dyDescent="0.55000000000000004">
      <c r="F193" s="133">
        <v>6.8490000000000002</v>
      </c>
      <c r="G193" s="133">
        <v>1.8140000000000001</v>
      </c>
      <c r="H193" s="133">
        <v>0.60499999999999998</v>
      </c>
      <c r="I193" s="133">
        <v>2.4540000000000002</v>
      </c>
      <c r="J193" s="133">
        <v>6.42</v>
      </c>
      <c r="M193" s="143">
        <v>42244</v>
      </c>
      <c r="N193" s="142">
        <v>1988.87</v>
      </c>
    </row>
    <row r="194" spans="6:14" x14ac:dyDescent="0.55000000000000004">
      <c r="F194" s="133">
        <v>6.75</v>
      </c>
      <c r="G194" s="133">
        <v>1.7829999999999999</v>
      </c>
      <c r="H194" s="133">
        <v>0.59899999999999998</v>
      </c>
      <c r="I194" s="133">
        <v>2.4390000000000001</v>
      </c>
      <c r="J194" s="133">
        <v>6.33</v>
      </c>
      <c r="M194" s="143">
        <v>42247</v>
      </c>
      <c r="N194" s="142">
        <v>1972.18</v>
      </c>
    </row>
    <row r="195" spans="6:14" x14ac:dyDescent="0.55000000000000004">
      <c r="F195" s="133">
        <v>6.6890000000000001</v>
      </c>
      <c r="G195" s="133">
        <v>1.7570000000000001</v>
      </c>
      <c r="H195" s="133">
        <v>0.59299999999999997</v>
      </c>
      <c r="I195" s="133">
        <v>2.4129999999999998</v>
      </c>
      <c r="J195" s="133">
        <v>6.27</v>
      </c>
      <c r="M195" s="143">
        <v>42248</v>
      </c>
      <c r="N195" s="142">
        <v>1913.85</v>
      </c>
    </row>
    <row r="196" spans="6:14" x14ac:dyDescent="0.55000000000000004">
      <c r="F196" s="133">
        <v>6.7480000000000002</v>
      </c>
      <c r="G196" s="133">
        <v>1.7749999999999999</v>
      </c>
      <c r="H196" s="133">
        <v>0.59599999999999997</v>
      </c>
      <c r="I196" s="133">
        <v>2.4279999999999999</v>
      </c>
      <c r="J196" s="133">
        <v>6.38</v>
      </c>
      <c r="M196" s="143">
        <v>42249</v>
      </c>
      <c r="N196" s="142">
        <v>1948.86</v>
      </c>
    </row>
    <row r="197" spans="6:14" x14ac:dyDescent="0.55000000000000004">
      <c r="F197" s="133">
        <v>6.7729999999999997</v>
      </c>
      <c r="G197" s="133">
        <v>1.81</v>
      </c>
      <c r="H197" s="133">
        <v>0.60399999999999998</v>
      </c>
      <c r="I197" s="133">
        <v>2.4649999999999999</v>
      </c>
      <c r="J197" s="133">
        <v>6.33</v>
      </c>
      <c r="M197" s="143">
        <v>42250</v>
      </c>
      <c r="N197" s="142">
        <v>1951.13</v>
      </c>
    </row>
    <row r="198" spans="6:14" x14ac:dyDescent="0.55000000000000004">
      <c r="F198" s="133">
        <v>6.7009999999999996</v>
      </c>
      <c r="G198" s="133">
        <v>1.78</v>
      </c>
      <c r="H198" s="133">
        <v>0.60599999999999998</v>
      </c>
      <c r="I198" s="133">
        <v>2.504</v>
      </c>
      <c r="J198" s="133">
        <v>6.31</v>
      </c>
      <c r="M198" s="143">
        <v>42251</v>
      </c>
      <c r="N198" s="142">
        <v>1921.22</v>
      </c>
    </row>
    <row r="199" spans="6:14" x14ac:dyDescent="0.55000000000000004">
      <c r="F199" s="133">
        <v>6.6040000000000001</v>
      </c>
      <c r="G199" s="133">
        <v>1.762</v>
      </c>
      <c r="H199" s="133">
        <v>0.59899999999999998</v>
      </c>
      <c r="I199" s="133">
        <v>2.4809999999999999</v>
      </c>
      <c r="J199" s="133">
        <v>6.22</v>
      </c>
      <c r="M199" s="143">
        <v>42255</v>
      </c>
      <c r="N199" s="142">
        <v>1969.41</v>
      </c>
    </row>
    <row r="200" spans="6:14" x14ac:dyDescent="0.55000000000000004">
      <c r="F200" s="133">
        <v>6.5510000000000002</v>
      </c>
      <c r="G200" s="133">
        <v>1.7450000000000001</v>
      </c>
      <c r="H200" s="133">
        <v>0.58699999999999997</v>
      </c>
      <c r="I200" s="133">
        <v>2.4500000000000002</v>
      </c>
      <c r="J200" s="133">
        <v>6.2</v>
      </c>
      <c r="M200" s="143">
        <v>42256</v>
      </c>
      <c r="N200" s="142">
        <v>1942.04</v>
      </c>
    </row>
    <row r="201" spans="6:14" x14ac:dyDescent="0.55000000000000004">
      <c r="F201" s="133">
        <v>6.53</v>
      </c>
      <c r="G201" s="133">
        <v>1.768</v>
      </c>
      <c r="H201" s="133">
        <v>0.59399999999999997</v>
      </c>
      <c r="I201" s="133">
        <v>2.4929999999999999</v>
      </c>
      <c r="J201" s="133">
        <v>6.18</v>
      </c>
      <c r="M201" s="143">
        <v>42257</v>
      </c>
      <c r="N201" s="142">
        <v>1952.29</v>
      </c>
    </row>
    <row r="202" spans="6:14" x14ac:dyDescent="0.55000000000000004">
      <c r="F202" s="133">
        <v>6.508</v>
      </c>
      <c r="G202" s="133">
        <v>1.7469999999999999</v>
      </c>
      <c r="H202" s="133">
        <v>0.59199999999999997</v>
      </c>
      <c r="I202" s="133">
        <v>2.4630000000000001</v>
      </c>
      <c r="J202" s="133">
        <v>6.17</v>
      </c>
      <c r="M202" s="143">
        <v>42258</v>
      </c>
      <c r="N202" s="142">
        <v>1961.05</v>
      </c>
    </row>
    <row r="203" spans="6:14" x14ac:dyDescent="0.55000000000000004">
      <c r="F203" s="133">
        <v>6.5220000000000002</v>
      </c>
      <c r="G203" s="133">
        <v>1.722</v>
      </c>
      <c r="H203" s="133">
        <v>0.58899999999999997</v>
      </c>
      <c r="I203" s="133">
        <v>2.448</v>
      </c>
      <c r="J203" s="133">
        <v>6.12</v>
      </c>
      <c r="M203" s="143">
        <v>42261</v>
      </c>
      <c r="N203" s="142">
        <v>1953.03</v>
      </c>
    </row>
    <row r="204" spans="6:14" x14ac:dyDescent="0.55000000000000004">
      <c r="F204" s="133">
        <v>6.5620000000000003</v>
      </c>
      <c r="G204" s="133">
        <v>1.722</v>
      </c>
      <c r="H204" s="133">
        <v>0.59199999999999997</v>
      </c>
      <c r="I204" s="133">
        <v>2.4740000000000002</v>
      </c>
      <c r="J204" s="133">
        <v>6.13</v>
      </c>
      <c r="M204" s="143">
        <v>42262</v>
      </c>
      <c r="N204" s="142">
        <v>1978.09</v>
      </c>
    </row>
    <row r="205" spans="6:14" x14ac:dyDescent="0.55000000000000004">
      <c r="F205" s="133">
        <v>6.5839999999999996</v>
      </c>
      <c r="G205" s="133">
        <v>1.7109999999999999</v>
      </c>
      <c r="H205" s="133">
        <v>0.58899999999999997</v>
      </c>
      <c r="I205" s="133">
        <v>2.4609999999999999</v>
      </c>
      <c r="J205" s="133">
        <v>6.12</v>
      </c>
      <c r="M205" s="143">
        <v>42263</v>
      </c>
      <c r="N205" s="142">
        <v>1995.31</v>
      </c>
    </row>
    <row r="206" spans="6:14" x14ac:dyDescent="0.55000000000000004">
      <c r="F206" s="133">
        <v>6.5540000000000003</v>
      </c>
      <c r="G206" s="133">
        <v>1.7109999999999999</v>
      </c>
      <c r="H206" s="133">
        <v>0.59299999999999997</v>
      </c>
      <c r="I206" s="133">
        <v>2.5</v>
      </c>
      <c r="J206" s="133">
        <v>6.08</v>
      </c>
      <c r="M206" s="143">
        <v>42264</v>
      </c>
      <c r="N206" s="142">
        <v>1990.2</v>
      </c>
    </row>
    <row r="207" spans="6:14" x14ac:dyDescent="0.55000000000000004">
      <c r="F207" s="133">
        <v>6.5060000000000002</v>
      </c>
      <c r="G207" s="133">
        <v>1.6949999999999998</v>
      </c>
      <c r="H207" s="133">
        <v>0.59499999999999997</v>
      </c>
      <c r="I207" s="133">
        <v>2.5060000000000002</v>
      </c>
      <c r="J207" s="133">
        <v>5.98</v>
      </c>
      <c r="M207" s="143">
        <v>42265</v>
      </c>
      <c r="N207" s="142">
        <v>1958.03</v>
      </c>
    </row>
    <row r="208" spans="6:14" x14ac:dyDescent="0.55000000000000004">
      <c r="F208" s="133">
        <v>6.6219999999999999</v>
      </c>
      <c r="G208" s="133">
        <v>1.7309999999999999</v>
      </c>
      <c r="H208" s="133">
        <v>0.60499999999999998</v>
      </c>
      <c r="I208" s="133">
        <v>2.569</v>
      </c>
      <c r="J208" s="133">
        <v>6.18</v>
      </c>
      <c r="M208" s="143">
        <v>42268</v>
      </c>
      <c r="N208" s="142">
        <v>1966.97</v>
      </c>
    </row>
    <row r="209" spans="6:14" x14ac:dyDescent="0.55000000000000004">
      <c r="F209" s="133">
        <v>6.657</v>
      </c>
      <c r="G209" s="133">
        <v>1.7429999999999999</v>
      </c>
      <c r="H209" s="133">
        <v>0.61599999999999999</v>
      </c>
      <c r="I209" s="133">
        <v>2.5949999999999998</v>
      </c>
      <c r="J209" s="133">
        <v>6.3</v>
      </c>
      <c r="M209" s="143">
        <v>42269</v>
      </c>
      <c r="N209" s="142">
        <v>1942.74</v>
      </c>
    </row>
    <row r="210" spans="6:14" x14ac:dyDescent="0.55000000000000004">
      <c r="F210" s="133">
        <v>6.8040000000000003</v>
      </c>
      <c r="G210" s="133">
        <v>1.7650000000000001</v>
      </c>
      <c r="H210" s="133">
        <v>0.61899999999999999</v>
      </c>
      <c r="I210" s="133">
        <v>2.6259999999999999</v>
      </c>
      <c r="J210" s="133">
        <v>6.48</v>
      </c>
      <c r="M210" s="143">
        <v>42270</v>
      </c>
      <c r="N210" s="142">
        <v>1938.76</v>
      </c>
    </row>
    <row r="211" spans="6:14" x14ac:dyDescent="0.55000000000000004">
      <c r="F211" s="133">
        <v>6.76</v>
      </c>
      <c r="G211" s="133">
        <v>1.76</v>
      </c>
      <c r="H211" s="133">
        <v>0.61699999999999999</v>
      </c>
      <c r="I211" s="133">
        <v>2.5880000000000001</v>
      </c>
      <c r="J211" s="133">
        <v>6.38</v>
      </c>
      <c r="M211" s="143">
        <v>42271</v>
      </c>
      <c r="N211" s="142">
        <v>1932.24</v>
      </c>
    </row>
    <row r="212" spans="6:14" x14ac:dyDescent="0.55000000000000004">
      <c r="F212" s="133">
        <v>6.7569999999999997</v>
      </c>
      <c r="G212" s="133">
        <v>1.7509999999999999</v>
      </c>
      <c r="H212" s="133">
        <v>0.60899999999999999</v>
      </c>
      <c r="I212" s="133">
        <v>2.5640000000000001</v>
      </c>
      <c r="J212" s="133">
        <v>6.35</v>
      </c>
      <c r="M212" s="143">
        <v>42272</v>
      </c>
      <c r="N212" s="142">
        <v>1931.34</v>
      </c>
    </row>
    <row r="213" spans="6:14" x14ac:dyDescent="0.55000000000000004">
      <c r="F213" s="133">
        <v>6.8129999999999997</v>
      </c>
      <c r="G213" s="133">
        <v>1.756</v>
      </c>
      <c r="H213" s="133">
        <v>0.60699999999999998</v>
      </c>
      <c r="I213" s="133">
        <v>2.552</v>
      </c>
      <c r="J213" s="133">
        <v>6.37</v>
      </c>
      <c r="M213" s="143">
        <v>42275</v>
      </c>
      <c r="N213" s="142">
        <v>1881.77</v>
      </c>
    </row>
    <row r="214" spans="6:14" x14ac:dyDescent="0.55000000000000004">
      <c r="F214" s="133">
        <v>6.82</v>
      </c>
      <c r="G214" s="133">
        <v>1.7669999999999999</v>
      </c>
      <c r="H214" s="133">
        <v>0.61</v>
      </c>
      <c r="I214" s="133">
        <v>2.556</v>
      </c>
      <c r="J214" s="133">
        <v>6.42</v>
      </c>
      <c r="M214" s="143">
        <v>42276</v>
      </c>
      <c r="N214" s="142">
        <v>1884.09</v>
      </c>
    </row>
    <row r="215" spans="6:14" x14ac:dyDescent="0.55000000000000004">
      <c r="F215" s="133">
        <v>6.6980000000000004</v>
      </c>
      <c r="G215" s="133">
        <v>1.718</v>
      </c>
      <c r="H215" s="133">
        <v>0.59299999999999997</v>
      </c>
      <c r="I215" s="133">
        <v>2.5</v>
      </c>
      <c r="J215" s="133">
        <v>6.36</v>
      </c>
      <c r="M215" s="143">
        <v>42277</v>
      </c>
      <c r="N215" s="142">
        <v>1920.03</v>
      </c>
    </row>
    <row r="216" spans="6:14" x14ac:dyDescent="0.55000000000000004">
      <c r="F216" s="133">
        <v>6.6959999999999997</v>
      </c>
      <c r="G216" s="133">
        <v>1.724</v>
      </c>
      <c r="H216" s="133">
        <v>0.58499999999999996</v>
      </c>
      <c r="I216" s="133">
        <v>2.4849999999999999</v>
      </c>
      <c r="J216" s="133">
        <v>6.16</v>
      </c>
      <c r="M216" s="143">
        <v>42278</v>
      </c>
      <c r="N216" s="142">
        <v>1923.82</v>
      </c>
    </row>
    <row r="217" spans="6:14" x14ac:dyDescent="0.55000000000000004">
      <c r="F217" s="133">
        <v>6.6349999999999998</v>
      </c>
      <c r="G217" s="133">
        <v>1.7029999999999998</v>
      </c>
      <c r="H217" s="133">
        <v>0.57499999999999996</v>
      </c>
      <c r="I217" s="133">
        <v>2.46</v>
      </c>
      <c r="J217" s="133">
        <v>6.13</v>
      </c>
      <c r="M217" s="143">
        <v>42279</v>
      </c>
      <c r="N217" s="142">
        <v>1951.36</v>
      </c>
    </row>
    <row r="218" spans="6:14" x14ac:dyDescent="0.55000000000000004">
      <c r="F218" s="133">
        <v>6.6909999999999998</v>
      </c>
      <c r="G218" s="133">
        <v>1.7250000000000001</v>
      </c>
      <c r="H218" s="133">
        <v>0.58399999999999996</v>
      </c>
      <c r="I218" s="133">
        <v>2.4820000000000002</v>
      </c>
      <c r="J218" s="133">
        <v>6.27</v>
      </c>
      <c r="M218" s="143">
        <v>42282</v>
      </c>
      <c r="N218" s="142">
        <v>1987.05</v>
      </c>
    </row>
    <row r="219" spans="6:14" x14ac:dyDescent="0.55000000000000004">
      <c r="F219" s="133">
        <v>6.71</v>
      </c>
      <c r="G219" s="133">
        <v>1.7429999999999999</v>
      </c>
      <c r="H219" s="133">
        <v>0.58899999999999997</v>
      </c>
      <c r="I219" s="133">
        <v>2.4929999999999999</v>
      </c>
      <c r="J219" s="133">
        <v>6.18</v>
      </c>
      <c r="M219" s="143">
        <v>42283</v>
      </c>
      <c r="N219" s="142">
        <v>1979.92</v>
      </c>
    </row>
    <row r="220" spans="6:14" x14ac:dyDescent="0.55000000000000004">
      <c r="F220" s="133">
        <v>6.6079999999999997</v>
      </c>
      <c r="G220" s="133">
        <v>1.7290000000000001</v>
      </c>
      <c r="H220" s="133">
        <v>0.58899999999999997</v>
      </c>
      <c r="I220" s="133">
        <v>2.4950000000000001</v>
      </c>
      <c r="J220" s="133">
        <v>6.06</v>
      </c>
      <c r="M220" s="143">
        <v>42284</v>
      </c>
      <c r="N220" s="142">
        <v>1995.83</v>
      </c>
    </row>
    <row r="221" spans="6:14" x14ac:dyDescent="0.55000000000000004">
      <c r="F221" s="133">
        <v>6.5449999999999999</v>
      </c>
      <c r="G221" s="133">
        <v>1.69</v>
      </c>
      <c r="H221" s="133">
        <v>0.58199999999999996</v>
      </c>
      <c r="I221" s="133">
        <v>2.4580000000000002</v>
      </c>
      <c r="J221" s="133">
        <v>5.91</v>
      </c>
      <c r="M221" s="143">
        <v>42285</v>
      </c>
      <c r="N221" s="142">
        <v>2013.43</v>
      </c>
    </row>
    <row r="222" spans="6:14" x14ac:dyDescent="0.55000000000000004">
      <c r="F222" s="133">
        <v>6.5570000000000004</v>
      </c>
      <c r="G222" s="133">
        <v>1.6779999999999999</v>
      </c>
      <c r="H222" s="133">
        <v>0.57299999999999995</v>
      </c>
      <c r="I222" s="133">
        <v>2.4550000000000001</v>
      </c>
      <c r="J222" s="133">
        <v>5.89</v>
      </c>
      <c r="M222" s="143">
        <v>42286</v>
      </c>
      <c r="N222" s="142">
        <v>2014.89</v>
      </c>
    </row>
    <row r="223" spans="6:14" x14ac:dyDescent="0.55000000000000004">
      <c r="F223" s="133">
        <v>6.5350000000000001</v>
      </c>
      <c r="G223" s="133">
        <v>1.716</v>
      </c>
      <c r="H223" s="133">
        <v>0.59099999999999997</v>
      </c>
      <c r="I223" s="133">
        <v>2.4889999999999999</v>
      </c>
      <c r="J223" s="133">
        <v>5.82</v>
      </c>
      <c r="M223" s="143">
        <v>42289</v>
      </c>
      <c r="N223" s="142">
        <v>2017.46</v>
      </c>
    </row>
    <row r="224" spans="6:14" x14ac:dyDescent="0.55000000000000004">
      <c r="F224" s="133">
        <v>6.3010000000000002</v>
      </c>
      <c r="G224" s="133">
        <v>1.6800000000000002</v>
      </c>
      <c r="H224" s="133">
        <v>0.57899999999999996</v>
      </c>
      <c r="I224" s="133">
        <v>2.4420000000000002</v>
      </c>
      <c r="J224" s="133">
        <v>5.7</v>
      </c>
      <c r="M224" s="143">
        <v>42290</v>
      </c>
      <c r="N224" s="142">
        <v>2003.69</v>
      </c>
    </row>
    <row r="225" spans="6:14" x14ac:dyDescent="0.55000000000000004">
      <c r="F225" s="133">
        <v>6.2889999999999997</v>
      </c>
      <c r="G225" s="133">
        <v>1.65</v>
      </c>
      <c r="H225" s="133">
        <v>0.58199999999999996</v>
      </c>
      <c r="I225" s="133">
        <v>2.44</v>
      </c>
      <c r="J225" s="133">
        <v>5.64</v>
      </c>
      <c r="M225" s="143">
        <v>42291</v>
      </c>
      <c r="N225" s="142">
        <v>1994.24</v>
      </c>
    </row>
    <row r="226" spans="6:14" x14ac:dyDescent="0.55000000000000004">
      <c r="F226" s="133">
        <v>6.2830000000000004</v>
      </c>
      <c r="G226" s="133">
        <v>1.6339999999999999</v>
      </c>
      <c r="H226" s="133">
        <v>0.57699999999999996</v>
      </c>
      <c r="I226" s="133">
        <v>2.431</v>
      </c>
      <c r="J226" s="133">
        <v>5.64</v>
      </c>
      <c r="M226" s="143">
        <v>42292</v>
      </c>
      <c r="N226" s="142">
        <v>2023.86</v>
      </c>
    </row>
    <row r="227" spans="6:14" x14ac:dyDescent="0.55000000000000004">
      <c r="F227" s="133">
        <v>6.24</v>
      </c>
      <c r="G227" s="133">
        <v>1.6280000000000001</v>
      </c>
      <c r="H227" s="133">
        <v>0.57399999999999995</v>
      </c>
      <c r="I227" s="133">
        <v>2.419</v>
      </c>
      <c r="J227" s="133">
        <v>5.65</v>
      </c>
      <c r="M227" s="143">
        <v>42293</v>
      </c>
      <c r="N227" s="142">
        <v>2033.11</v>
      </c>
    </row>
    <row r="228" spans="6:14" x14ac:dyDescent="0.55000000000000004">
      <c r="F228" s="133">
        <v>6.2460000000000004</v>
      </c>
      <c r="G228" s="133">
        <v>1.65</v>
      </c>
      <c r="H228" s="133">
        <v>0.57299999999999995</v>
      </c>
      <c r="I228" s="133">
        <v>2.3959999999999999</v>
      </c>
      <c r="J228" s="133">
        <v>5.6</v>
      </c>
      <c r="M228" s="143">
        <v>42296</v>
      </c>
      <c r="N228" s="142">
        <v>2033.66</v>
      </c>
    </row>
    <row r="229" spans="6:14" x14ac:dyDescent="0.55000000000000004">
      <c r="F229" s="133">
        <v>6.181</v>
      </c>
      <c r="G229" s="133">
        <v>1.65</v>
      </c>
      <c r="H229" s="133">
        <v>0.56999999999999995</v>
      </c>
      <c r="I229" s="133">
        <v>2.375</v>
      </c>
      <c r="J229" s="133">
        <v>5.48</v>
      </c>
      <c r="M229" s="143">
        <v>42297</v>
      </c>
      <c r="N229" s="142">
        <v>2030.77</v>
      </c>
    </row>
    <row r="230" spans="6:14" x14ac:dyDescent="0.55000000000000004">
      <c r="F230" s="133">
        <v>6.2039999999999997</v>
      </c>
      <c r="G230" s="133">
        <v>1.6339999999999999</v>
      </c>
      <c r="H230" s="133">
        <v>0.56100000000000005</v>
      </c>
      <c r="I230" s="133">
        <v>2.3540000000000001</v>
      </c>
      <c r="J230" s="133">
        <v>5.46</v>
      </c>
      <c r="M230" s="143">
        <v>42298</v>
      </c>
      <c r="N230" s="142">
        <v>2018.94</v>
      </c>
    </row>
    <row r="231" spans="6:14" x14ac:dyDescent="0.55000000000000004">
      <c r="F231" s="133">
        <v>6.2409999999999997</v>
      </c>
      <c r="G231" s="133">
        <v>1.653</v>
      </c>
      <c r="H231" s="133">
        <v>0.56399999999999995</v>
      </c>
      <c r="I231" s="133">
        <v>2.35</v>
      </c>
      <c r="J231" s="133">
        <v>5.4</v>
      </c>
      <c r="M231" s="143">
        <v>42299</v>
      </c>
      <c r="N231" s="142">
        <v>2052.5100000000002</v>
      </c>
    </row>
    <row r="232" spans="6:14" x14ac:dyDescent="0.55000000000000004">
      <c r="F232" s="133">
        <v>6.0670000000000002</v>
      </c>
      <c r="G232" s="133">
        <v>1.6579999999999999</v>
      </c>
      <c r="H232" s="133">
        <v>0.56399999999999995</v>
      </c>
      <c r="I232" s="133">
        <v>2.3279999999999998</v>
      </c>
      <c r="J232" s="133">
        <v>5.29</v>
      </c>
      <c r="M232" s="143">
        <v>42300</v>
      </c>
      <c r="N232" s="142">
        <v>2075.15</v>
      </c>
    </row>
    <row r="233" spans="6:14" x14ac:dyDescent="0.55000000000000004">
      <c r="F233" s="133">
        <v>6.008</v>
      </c>
      <c r="G233" s="133">
        <v>1.7069999999999999</v>
      </c>
      <c r="H233" s="133">
        <v>0.56699999999999995</v>
      </c>
      <c r="I233" s="133">
        <v>2.3069999999999999</v>
      </c>
      <c r="J233" s="133">
        <v>5.2</v>
      </c>
      <c r="M233" s="143">
        <v>42303</v>
      </c>
      <c r="N233" s="142">
        <v>2071.1799999999998</v>
      </c>
    </row>
    <row r="234" spans="6:14" x14ac:dyDescent="0.55000000000000004">
      <c r="F234" s="133">
        <v>6.0940000000000003</v>
      </c>
      <c r="G234" s="133">
        <v>1.7210000000000001</v>
      </c>
      <c r="H234" s="133">
        <v>0.57699999999999996</v>
      </c>
      <c r="I234" s="133">
        <v>2.3449999999999998</v>
      </c>
      <c r="J234" s="133">
        <v>5.25</v>
      </c>
      <c r="M234" s="143">
        <v>42304</v>
      </c>
      <c r="N234" s="142">
        <v>2065.89</v>
      </c>
    </row>
    <row r="235" spans="6:14" x14ac:dyDescent="0.55000000000000004">
      <c r="F235" s="133">
        <v>6.05</v>
      </c>
      <c r="G235" s="133">
        <v>1.681</v>
      </c>
      <c r="H235" s="133">
        <v>0.56799999999999995</v>
      </c>
      <c r="I235" s="133">
        <v>2.2490000000000001</v>
      </c>
      <c r="J235" s="133">
        <v>5.23</v>
      </c>
      <c r="M235" s="143">
        <v>42305</v>
      </c>
      <c r="N235" s="142">
        <v>2090.35</v>
      </c>
    </row>
    <row r="236" spans="6:14" x14ac:dyDescent="0.55000000000000004">
      <c r="F236" s="133">
        <v>6.3380000000000001</v>
      </c>
      <c r="G236" s="133">
        <v>1.73</v>
      </c>
      <c r="H236" s="133">
        <v>0.57199999999999995</v>
      </c>
      <c r="I236" s="133">
        <v>2.3010000000000002</v>
      </c>
      <c r="J236" s="133">
        <v>5.36</v>
      </c>
      <c r="M236" s="143">
        <v>42306</v>
      </c>
      <c r="N236" s="142">
        <v>2089.41</v>
      </c>
    </row>
    <row r="237" spans="6:14" x14ac:dyDescent="0.55000000000000004">
      <c r="F237" s="133">
        <v>6.3680000000000003</v>
      </c>
      <c r="G237" s="133">
        <v>1.7</v>
      </c>
      <c r="H237" s="133">
        <v>0.56799999999999995</v>
      </c>
      <c r="I237" s="133">
        <v>2.3279999999999998</v>
      </c>
      <c r="J237" s="133">
        <v>5.33</v>
      </c>
      <c r="M237" s="143">
        <v>42307</v>
      </c>
      <c r="N237" s="142">
        <v>2079.36</v>
      </c>
    </row>
    <row r="238" spans="6:14" x14ac:dyDescent="0.55000000000000004">
      <c r="F238" s="133">
        <v>6.4489999999999998</v>
      </c>
      <c r="G238" s="133">
        <v>1.7250000000000001</v>
      </c>
      <c r="H238" s="133">
        <v>0.57199999999999995</v>
      </c>
      <c r="I238" s="133">
        <v>2.3639999999999999</v>
      </c>
      <c r="J238" s="133">
        <v>5.5</v>
      </c>
      <c r="M238" s="143">
        <v>42310</v>
      </c>
      <c r="N238" s="142">
        <v>2104.0500000000002</v>
      </c>
    </row>
    <row r="239" spans="6:14" x14ac:dyDescent="0.55000000000000004">
      <c r="F239" s="133">
        <v>6.3879999999999999</v>
      </c>
      <c r="G239" s="133">
        <v>1.7549999999999999</v>
      </c>
      <c r="H239" s="133">
        <v>0.58899999999999997</v>
      </c>
      <c r="I239" s="133">
        <v>2.407</v>
      </c>
      <c r="J239" s="133">
        <v>5.57</v>
      </c>
      <c r="M239" s="143">
        <v>42311</v>
      </c>
      <c r="N239" s="142">
        <v>2109.79</v>
      </c>
    </row>
    <row r="240" spans="6:14" x14ac:dyDescent="0.55000000000000004">
      <c r="F240" s="133">
        <v>6.4610000000000003</v>
      </c>
      <c r="G240" s="133">
        <v>1.7570000000000001</v>
      </c>
      <c r="H240" s="133">
        <v>0.59499999999999997</v>
      </c>
      <c r="I240" s="133">
        <v>2.4390000000000001</v>
      </c>
      <c r="J240" s="133">
        <v>5.79</v>
      </c>
      <c r="M240" s="143">
        <v>42312</v>
      </c>
      <c r="N240" s="142">
        <v>2102.31</v>
      </c>
    </row>
    <row r="241" spans="6:14" x14ac:dyDescent="0.55000000000000004">
      <c r="F241" s="133">
        <v>6.4080000000000004</v>
      </c>
      <c r="G241" s="133">
        <v>1.7490000000000001</v>
      </c>
      <c r="H241" s="133">
        <v>0.58599999999999997</v>
      </c>
      <c r="I241" s="133">
        <v>2.4279999999999999</v>
      </c>
      <c r="J241" s="133">
        <v>5.73</v>
      </c>
      <c r="M241" s="143">
        <v>42313</v>
      </c>
      <c r="N241" s="142">
        <v>2099.9299999999998</v>
      </c>
    </row>
    <row r="242" spans="6:14" x14ac:dyDescent="0.55000000000000004">
      <c r="F242" s="133">
        <v>6.37</v>
      </c>
      <c r="G242" s="133">
        <v>1.73</v>
      </c>
      <c r="H242" s="133">
        <v>0.57699999999999996</v>
      </c>
      <c r="I242" s="133">
        <v>2.4500000000000002</v>
      </c>
      <c r="J242" s="133">
        <v>5.65</v>
      </c>
      <c r="M242" s="143">
        <v>42314</v>
      </c>
      <c r="N242" s="142">
        <v>2099.1999999999998</v>
      </c>
    </row>
    <row r="243" spans="6:14" x14ac:dyDescent="0.55000000000000004">
      <c r="F243" s="133">
        <v>6.3810000000000002</v>
      </c>
      <c r="G243" s="133">
        <v>1.754</v>
      </c>
      <c r="H243" s="133">
        <v>0.58299999999999996</v>
      </c>
      <c r="I243" s="133">
        <v>2.4820000000000002</v>
      </c>
      <c r="J243" s="133">
        <v>5.7</v>
      </c>
      <c r="M243" s="143">
        <v>42317</v>
      </c>
      <c r="N243" s="142">
        <v>2078.58</v>
      </c>
    </row>
    <row r="244" spans="6:14" x14ac:dyDescent="0.55000000000000004">
      <c r="F244" s="133">
        <v>6.4420000000000002</v>
      </c>
      <c r="G244" s="133">
        <v>1.7890000000000001</v>
      </c>
      <c r="H244" s="133">
        <v>0.59699999999999998</v>
      </c>
      <c r="I244" s="133">
        <v>2.5289999999999999</v>
      </c>
      <c r="J244" s="133">
        <v>5.79</v>
      </c>
      <c r="M244" s="143">
        <v>42318</v>
      </c>
      <c r="N244" s="142">
        <v>2081.7199999999998</v>
      </c>
    </row>
    <row r="245" spans="6:14" x14ac:dyDescent="0.55000000000000004">
      <c r="F245" s="133">
        <v>6.3380000000000001</v>
      </c>
      <c r="G245" s="133">
        <v>1.768</v>
      </c>
      <c r="H245" s="133">
        <v>0.6</v>
      </c>
      <c r="I245" s="133">
        <v>2.5190000000000001</v>
      </c>
      <c r="J245" s="133">
        <v>5.6899999999999995</v>
      </c>
      <c r="M245" s="143">
        <v>42319</v>
      </c>
      <c r="N245" s="142">
        <v>2075</v>
      </c>
    </row>
    <row r="246" spans="6:14" x14ac:dyDescent="0.55000000000000004">
      <c r="F246" s="133">
        <v>6.3490000000000002</v>
      </c>
      <c r="G246" s="133">
        <v>1.7069999999999999</v>
      </c>
      <c r="H246" s="133">
        <v>0.57899999999999996</v>
      </c>
      <c r="I246" s="133">
        <v>2.4470000000000001</v>
      </c>
      <c r="J246" s="133">
        <v>5.67</v>
      </c>
      <c r="M246" s="143">
        <v>42320</v>
      </c>
      <c r="N246" s="142">
        <v>2045.97</v>
      </c>
    </row>
    <row r="247" spans="6:14" x14ac:dyDescent="0.55000000000000004">
      <c r="F247" s="133">
        <v>6.4450000000000003</v>
      </c>
      <c r="G247" s="133">
        <v>1.7549999999999999</v>
      </c>
      <c r="H247" s="133">
        <v>0.58799999999999997</v>
      </c>
      <c r="I247" s="133">
        <v>2.5009999999999999</v>
      </c>
      <c r="J247" s="133">
        <v>5.85</v>
      </c>
      <c r="M247" s="143">
        <v>42321</v>
      </c>
      <c r="N247" s="142">
        <v>2023.04</v>
      </c>
    </row>
    <row r="248" spans="6:14" x14ac:dyDescent="0.55000000000000004">
      <c r="F248" s="133">
        <v>6.4420000000000002</v>
      </c>
      <c r="G248" s="133">
        <v>1.736</v>
      </c>
      <c r="H248" s="133">
        <v>0.58399999999999996</v>
      </c>
      <c r="I248" s="133">
        <v>2.4809999999999999</v>
      </c>
      <c r="J248" s="133">
        <v>5.87</v>
      </c>
      <c r="M248" s="143">
        <v>42324</v>
      </c>
      <c r="N248" s="142">
        <v>2053.19</v>
      </c>
    </row>
    <row r="249" spans="6:14" x14ac:dyDescent="0.55000000000000004">
      <c r="F249" s="133">
        <v>6.5780000000000003</v>
      </c>
      <c r="G249" s="133">
        <v>1.6640000000000001</v>
      </c>
      <c r="H249" s="133">
        <v>0.55500000000000005</v>
      </c>
      <c r="I249" s="133">
        <v>2.242</v>
      </c>
      <c r="J249" s="133">
        <v>5.97</v>
      </c>
      <c r="M249" s="143">
        <v>42325</v>
      </c>
      <c r="N249" s="142">
        <v>2050.44</v>
      </c>
    </row>
    <row r="250" spans="6:14" x14ac:dyDescent="0.55000000000000004">
      <c r="F250" s="133">
        <v>6.5389999999999997</v>
      </c>
      <c r="G250" s="133">
        <v>1.65</v>
      </c>
      <c r="H250" s="133">
        <v>0.54500000000000004</v>
      </c>
      <c r="I250" s="133">
        <v>2.169</v>
      </c>
      <c r="J250" s="133">
        <v>5.91</v>
      </c>
      <c r="M250" s="143">
        <v>42326</v>
      </c>
      <c r="N250" s="142">
        <v>2083.58</v>
      </c>
    </row>
    <row r="251" spans="6:14" x14ac:dyDescent="0.55000000000000004">
      <c r="F251" s="133">
        <v>6.5140000000000002</v>
      </c>
      <c r="G251" s="133">
        <v>1.661</v>
      </c>
      <c r="H251" s="133">
        <v>0.55800000000000005</v>
      </c>
      <c r="I251" s="133">
        <v>2.1720000000000002</v>
      </c>
      <c r="J251" s="133">
        <v>5.97</v>
      </c>
      <c r="M251" s="143">
        <v>42327</v>
      </c>
      <c r="N251" s="142">
        <v>2081.2399999999998</v>
      </c>
    </row>
    <row r="252" spans="6:14" x14ac:dyDescent="0.55000000000000004">
      <c r="F252" s="133">
        <v>6.4260000000000002</v>
      </c>
      <c r="G252" s="133">
        <v>1.615</v>
      </c>
      <c r="H252" s="133">
        <v>0.55400000000000005</v>
      </c>
      <c r="I252" s="133">
        <v>2.1080000000000001</v>
      </c>
      <c r="J252" s="133">
        <v>5.78</v>
      </c>
      <c r="M252" s="143">
        <v>42328</v>
      </c>
      <c r="N252" s="142">
        <v>2089.17</v>
      </c>
    </row>
    <row r="253" spans="6:14" x14ac:dyDescent="0.55000000000000004">
      <c r="F253" s="133">
        <v>6.601</v>
      </c>
      <c r="G253" s="133">
        <v>1.6659999999999999</v>
      </c>
      <c r="H253" s="133">
        <v>0.56200000000000006</v>
      </c>
      <c r="I253" s="133">
        <v>2.165</v>
      </c>
      <c r="J253" s="133">
        <v>5.95</v>
      </c>
      <c r="M253" s="143">
        <v>42331</v>
      </c>
      <c r="N253" s="142">
        <v>2086.59</v>
      </c>
    </row>
    <row r="254" spans="6:14" x14ac:dyDescent="0.55000000000000004">
      <c r="F254" s="133">
        <v>6.5019999999999998</v>
      </c>
      <c r="G254" s="133">
        <v>1.655</v>
      </c>
      <c r="H254" s="133">
        <v>0.56000000000000005</v>
      </c>
      <c r="I254" s="133">
        <v>2.21</v>
      </c>
      <c r="J254" s="133">
        <v>5.98</v>
      </c>
      <c r="M254" s="143">
        <v>42332</v>
      </c>
      <c r="N254" s="142">
        <v>2089.14</v>
      </c>
    </row>
    <row r="255" spans="6:14" x14ac:dyDescent="0.55000000000000004">
      <c r="F255" s="133">
        <v>6.54</v>
      </c>
      <c r="G255" s="133">
        <v>1.645</v>
      </c>
      <c r="H255" s="133">
        <v>0.57199999999999995</v>
      </c>
      <c r="I255" s="133">
        <v>2.2109999999999999</v>
      </c>
      <c r="J255" s="133">
        <v>6</v>
      </c>
      <c r="M255" s="143">
        <v>42333</v>
      </c>
      <c r="N255" s="142">
        <v>2088.87</v>
      </c>
    </row>
    <row r="256" spans="6:14" x14ac:dyDescent="0.55000000000000004">
      <c r="F256" s="133">
        <v>6.7379999999999995</v>
      </c>
      <c r="G256" s="133">
        <v>1.6870000000000001</v>
      </c>
      <c r="H256" s="133">
        <v>0.57299999999999995</v>
      </c>
      <c r="I256" s="133">
        <v>2.2530000000000001</v>
      </c>
      <c r="J256" s="133">
        <v>6.16</v>
      </c>
      <c r="M256" s="143">
        <v>42335</v>
      </c>
      <c r="N256" s="142">
        <v>2090.11</v>
      </c>
    </row>
    <row r="257" spans="6:14" x14ac:dyDescent="0.55000000000000004">
      <c r="F257" s="133">
        <v>6.7290000000000001</v>
      </c>
      <c r="G257" s="133">
        <v>1.6840000000000002</v>
      </c>
      <c r="H257" s="133">
        <v>0.56399999999999995</v>
      </c>
      <c r="I257" s="133">
        <v>2.2160000000000002</v>
      </c>
      <c r="J257" s="133">
        <v>6.11</v>
      </c>
      <c r="M257" s="143">
        <v>42338</v>
      </c>
      <c r="N257" s="142">
        <v>2080.41</v>
      </c>
    </row>
    <row r="258" spans="6:14" x14ac:dyDescent="0.55000000000000004">
      <c r="F258" s="133">
        <v>6.6950000000000003</v>
      </c>
      <c r="G258" s="133">
        <v>1.6680000000000001</v>
      </c>
      <c r="H258" s="133">
        <v>0.56299999999999994</v>
      </c>
      <c r="I258" s="133">
        <v>2.2010000000000001</v>
      </c>
      <c r="J258" s="133">
        <v>6.13</v>
      </c>
      <c r="M258" s="143">
        <v>42339</v>
      </c>
      <c r="N258" s="142">
        <v>2102.63</v>
      </c>
    </row>
    <row r="259" spans="6:14" x14ac:dyDescent="0.55000000000000004">
      <c r="F259" s="133">
        <v>6.6920000000000002</v>
      </c>
      <c r="G259" s="133">
        <v>1.6720000000000002</v>
      </c>
      <c r="H259" s="133">
        <v>0.56100000000000005</v>
      </c>
      <c r="I259" s="133">
        <v>2.214</v>
      </c>
      <c r="J259" s="133">
        <v>6.15</v>
      </c>
      <c r="M259" s="143">
        <v>42340</v>
      </c>
      <c r="N259" s="142">
        <v>2079.5100000000002</v>
      </c>
    </row>
    <row r="260" spans="6:14" x14ac:dyDescent="0.55000000000000004">
      <c r="F260" s="133">
        <v>6.6429999999999998</v>
      </c>
      <c r="G260" s="133">
        <v>1.629</v>
      </c>
      <c r="H260" s="133">
        <v>0.55400000000000005</v>
      </c>
      <c r="I260" s="133">
        <v>2.1819999999999999</v>
      </c>
      <c r="J260" s="133">
        <v>6.09</v>
      </c>
      <c r="M260" s="143">
        <v>42341</v>
      </c>
      <c r="N260" s="142">
        <v>2049.62</v>
      </c>
    </row>
    <row r="261" spans="6:14" x14ac:dyDescent="0.55000000000000004">
      <c r="F261" s="133">
        <v>6.7990000000000004</v>
      </c>
      <c r="G261" s="133">
        <v>1.6339999999999999</v>
      </c>
      <c r="H261" s="133">
        <v>0.56000000000000005</v>
      </c>
      <c r="I261" s="133">
        <v>2.2130000000000001</v>
      </c>
      <c r="J261" s="133">
        <v>6.27</v>
      </c>
      <c r="M261" s="143">
        <v>42342</v>
      </c>
      <c r="N261" s="142">
        <v>2091.69</v>
      </c>
    </row>
    <row r="262" spans="6:14" x14ac:dyDescent="0.55000000000000004">
      <c r="F262" s="133">
        <v>6.7560000000000002</v>
      </c>
      <c r="G262" s="133">
        <v>1.591</v>
      </c>
      <c r="H262" s="133">
        <v>0.55400000000000005</v>
      </c>
      <c r="I262" s="133">
        <v>2.1680000000000001</v>
      </c>
      <c r="J262" s="133">
        <v>6.08</v>
      </c>
      <c r="M262" s="143">
        <v>42345</v>
      </c>
      <c r="N262" s="142">
        <v>2077.0700000000002</v>
      </c>
    </row>
    <row r="263" spans="6:14" x14ac:dyDescent="0.55000000000000004">
      <c r="F263" s="133">
        <v>6.5990000000000002</v>
      </c>
      <c r="G263" s="133">
        <v>1.585</v>
      </c>
      <c r="H263" s="133">
        <v>0.56200000000000006</v>
      </c>
      <c r="I263" s="133">
        <v>2.2200000000000002</v>
      </c>
      <c r="J263" s="133">
        <v>6.02</v>
      </c>
      <c r="M263" s="143">
        <v>42346</v>
      </c>
      <c r="N263" s="142">
        <v>2063.59</v>
      </c>
    </row>
    <row r="264" spans="6:14" x14ac:dyDescent="0.55000000000000004">
      <c r="F264" s="133">
        <v>6.3639999999999999</v>
      </c>
      <c r="G264" s="133">
        <v>1.5329999999999999</v>
      </c>
      <c r="H264" s="133">
        <v>0.54700000000000004</v>
      </c>
      <c r="I264" s="133">
        <v>2.12</v>
      </c>
      <c r="J264" s="133">
        <v>5.85</v>
      </c>
      <c r="M264" s="143">
        <v>42347</v>
      </c>
      <c r="N264" s="142">
        <v>2047.62</v>
      </c>
    </row>
    <row r="265" spans="6:14" x14ac:dyDescent="0.55000000000000004">
      <c r="F265" s="133">
        <v>6.4379999999999997</v>
      </c>
      <c r="G265" s="133">
        <v>1.544</v>
      </c>
      <c r="H265" s="133">
        <v>0.54100000000000004</v>
      </c>
      <c r="I265" s="133">
        <v>2.1</v>
      </c>
      <c r="J265" s="133">
        <v>5.93</v>
      </c>
      <c r="M265" s="143">
        <v>42348</v>
      </c>
      <c r="N265" s="142">
        <v>2052.23</v>
      </c>
    </row>
    <row r="266" spans="6:14" x14ac:dyDescent="0.55000000000000004">
      <c r="F266" s="133">
        <v>6.3860000000000001</v>
      </c>
      <c r="G266" s="133">
        <v>1.534</v>
      </c>
      <c r="H266" s="133">
        <v>0.52900000000000003</v>
      </c>
      <c r="I266" s="133">
        <v>2.036</v>
      </c>
      <c r="J266" s="133">
        <v>5.8100000000000005</v>
      </c>
      <c r="M266" s="143">
        <v>42349</v>
      </c>
      <c r="N266" s="142">
        <v>2012.37</v>
      </c>
    </row>
    <row r="267" spans="6:14" x14ac:dyDescent="0.55000000000000004">
      <c r="F267" s="133">
        <v>6.4429999999999996</v>
      </c>
      <c r="G267" s="133">
        <v>1.54</v>
      </c>
      <c r="H267" s="133">
        <v>0.52300000000000002</v>
      </c>
      <c r="I267" s="133">
        <v>2.0299999999999998</v>
      </c>
      <c r="J267" s="133">
        <v>5.9</v>
      </c>
      <c r="M267" s="143">
        <v>42352</v>
      </c>
      <c r="N267" s="142">
        <v>2021.94</v>
      </c>
    </row>
    <row r="268" spans="6:14" x14ac:dyDescent="0.55000000000000004">
      <c r="F268" s="133">
        <v>6.5670000000000002</v>
      </c>
      <c r="G268" s="133">
        <v>1.5899999999999999</v>
      </c>
      <c r="H268" s="133">
        <v>0.53400000000000003</v>
      </c>
      <c r="I268" s="133">
        <v>2.085</v>
      </c>
      <c r="J268" s="133">
        <v>6.1</v>
      </c>
      <c r="M268" s="143">
        <v>42353</v>
      </c>
      <c r="N268" s="142">
        <v>2043.41</v>
      </c>
    </row>
    <row r="269" spans="6:14" x14ac:dyDescent="0.55000000000000004">
      <c r="F269" s="133">
        <v>6.5590000000000002</v>
      </c>
      <c r="G269" s="133">
        <v>1.5899999999999999</v>
      </c>
      <c r="H269" s="133">
        <v>0.53100000000000003</v>
      </c>
      <c r="I269" s="133">
        <v>2.109</v>
      </c>
      <c r="J269" s="133">
        <v>6.07</v>
      </c>
      <c r="M269" s="143">
        <v>42354</v>
      </c>
      <c r="N269" s="142">
        <v>2073.0700000000002</v>
      </c>
    </row>
    <row r="270" spans="6:14" x14ac:dyDescent="0.55000000000000004">
      <c r="F270" s="133">
        <v>6.5350000000000001</v>
      </c>
      <c r="G270" s="133">
        <v>1.5840000000000001</v>
      </c>
      <c r="H270" s="133">
        <v>0.52700000000000002</v>
      </c>
      <c r="I270" s="133">
        <v>2.1160000000000001</v>
      </c>
      <c r="J270" s="133">
        <v>6.05</v>
      </c>
      <c r="M270" s="143">
        <v>42355</v>
      </c>
      <c r="N270" s="142">
        <v>2041.89</v>
      </c>
    </row>
    <row r="271" spans="6:14" x14ac:dyDescent="0.55000000000000004">
      <c r="F271" s="133">
        <v>6.4879999999999995</v>
      </c>
      <c r="G271" s="133">
        <v>1.528</v>
      </c>
      <c r="H271" s="133">
        <v>0.51900000000000002</v>
      </c>
      <c r="I271" s="133">
        <v>2.0819999999999999</v>
      </c>
      <c r="J271" s="133">
        <v>5.9</v>
      </c>
      <c r="M271" s="143">
        <v>42356</v>
      </c>
      <c r="N271" s="142">
        <v>2005.55</v>
      </c>
    </row>
    <row r="272" spans="6:14" x14ac:dyDescent="0.55000000000000004">
      <c r="F272" s="133">
        <v>6.4879999999999995</v>
      </c>
      <c r="G272" s="133">
        <v>1.522</v>
      </c>
      <c r="H272" s="133">
        <v>0.52</v>
      </c>
      <c r="I272" s="133">
        <v>2.093</v>
      </c>
      <c r="J272" s="133">
        <v>5.91</v>
      </c>
      <c r="M272" s="143">
        <v>42359</v>
      </c>
      <c r="N272" s="142">
        <v>2021.15</v>
      </c>
    </row>
    <row r="273" spans="6:14" x14ac:dyDescent="0.55000000000000004">
      <c r="F273" s="133">
        <v>6.5270000000000001</v>
      </c>
      <c r="G273" s="133">
        <v>1.5150000000000001</v>
      </c>
      <c r="H273" s="133">
        <v>0.52300000000000002</v>
      </c>
      <c r="I273" s="133">
        <v>2.0990000000000002</v>
      </c>
      <c r="J273" s="133">
        <v>5.93</v>
      </c>
      <c r="M273" s="143">
        <v>42360</v>
      </c>
      <c r="N273" s="142">
        <v>2038.97</v>
      </c>
    </row>
    <row r="274" spans="6:14" x14ac:dyDescent="0.55000000000000004">
      <c r="F274" s="133">
        <v>6.5019999999999998</v>
      </c>
      <c r="G274" s="133">
        <v>1.478</v>
      </c>
      <c r="H274" s="133">
        <v>0.51</v>
      </c>
      <c r="I274" s="133">
        <v>2.077</v>
      </c>
      <c r="J274" s="133">
        <v>5.9</v>
      </c>
      <c r="M274" s="143">
        <v>42361</v>
      </c>
      <c r="N274" s="142">
        <v>2064.29</v>
      </c>
    </row>
    <row r="275" spans="6:14" x14ac:dyDescent="0.55000000000000004">
      <c r="F275" s="133">
        <v>6.54</v>
      </c>
      <c r="G275" s="133">
        <v>1.49</v>
      </c>
      <c r="H275" s="133">
        <v>0.51500000000000001</v>
      </c>
      <c r="I275" s="133">
        <v>2.0870000000000002</v>
      </c>
      <c r="J275" s="133">
        <v>5.95</v>
      </c>
      <c r="M275" s="143">
        <v>42362</v>
      </c>
      <c r="N275" s="142">
        <v>2060.9899999999998</v>
      </c>
    </row>
    <row r="276" spans="6:14" x14ac:dyDescent="0.55000000000000004">
      <c r="F276" s="133">
        <v>6.47</v>
      </c>
      <c r="G276" s="133">
        <v>1.464</v>
      </c>
      <c r="H276" s="133">
        <v>0.50900000000000001</v>
      </c>
      <c r="I276" s="133">
        <v>2.06</v>
      </c>
      <c r="J276" s="133">
        <v>5.92</v>
      </c>
      <c r="M276" s="143">
        <v>42366</v>
      </c>
      <c r="N276" s="142">
        <v>2056.5</v>
      </c>
    </row>
    <row r="277" spans="6:14" x14ac:dyDescent="0.55000000000000004">
      <c r="F277" s="133">
        <v>6.38</v>
      </c>
      <c r="G277" s="133">
        <v>1.4610000000000001</v>
      </c>
      <c r="H277" s="133">
        <v>0.5</v>
      </c>
      <c r="I277" s="133">
        <v>2.0609999999999999</v>
      </c>
      <c r="J277" s="133">
        <v>5.82</v>
      </c>
      <c r="M277" s="143">
        <v>42367</v>
      </c>
      <c r="N277" s="142">
        <v>2078.36</v>
      </c>
    </row>
    <row r="278" spans="6:14" x14ac:dyDescent="0.55000000000000004">
      <c r="F278" s="133">
        <v>6.5019999999999998</v>
      </c>
      <c r="G278" s="133">
        <v>1.5009999999999999</v>
      </c>
      <c r="H278" s="133">
        <v>0.51200000000000001</v>
      </c>
      <c r="I278" s="133">
        <v>2.141</v>
      </c>
      <c r="J278" s="133">
        <v>6.01</v>
      </c>
      <c r="M278" s="143">
        <v>42368</v>
      </c>
      <c r="N278" s="142">
        <v>2063.36</v>
      </c>
    </row>
    <row r="279" spans="6:14" x14ac:dyDescent="0.55000000000000004">
      <c r="F279" s="133">
        <v>6.4690000000000003</v>
      </c>
      <c r="G279" s="133">
        <v>1.5049999999999999</v>
      </c>
      <c r="H279" s="133">
        <v>0.51900000000000002</v>
      </c>
      <c r="I279" s="133">
        <v>2.1669999999999998</v>
      </c>
      <c r="J279" s="133">
        <v>6.09</v>
      </c>
      <c r="M279" s="143">
        <v>42369</v>
      </c>
      <c r="N279" s="142">
        <v>2043.94</v>
      </c>
    </row>
    <row r="280" spans="6:14" x14ac:dyDescent="0.55000000000000004">
      <c r="F280" s="133">
        <v>6.4660000000000002</v>
      </c>
      <c r="G280" s="133">
        <v>1.5070000000000001</v>
      </c>
      <c r="H280" s="133">
        <v>0.51</v>
      </c>
      <c r="I280" s="133">
        <v>2.1659999999999999</v>
      </c>
      <c r="J280" s="133">
        <v>6.06</v>
      </c>
      <c r="M280" s="143">
        <v>42373</v>
      </c>
      <c r="N280" s="142">
        <v>2012.66</v>
      </c>
    </row>
    <row r="281" spans="6:14" x14ac:dyDescent="0.55000000000000004">
      <c r="F281" s="133">
        <v>6.4139999999999997</v>
      </c>
      <c r="G281" s="133">
        <v>1.5030000000000001</v>
      </c>
      <c r="H281" s="133">
        <v>0.51200000000000001</v>
      </c>
      <c r="I281" s="133">
        <v>2.1310000000000002</v>
      </c>
      <c r="J281" s="133">
        <v>5.87</v>
      </c>
      <c r="M281" s="143">
        <v>42374</v>
      </c>
      <c r="N281" s="142">
        <v>2016.71</v>
      </c>
    </row>
    <row r="282" spans="6:14" x14ac:dyDescent="0.55000000000000004">
      <c r="F282" s="133">
        <v>6.5649999999999995</v>
      </c>
      <c r="G282" s="133">
        <v>1.5510000000000002</v>
      </c>
      <c r="H282" s="133">
        <v>0.52800000000000002</v>
      </c>
      <c r="I282" s="133">
        <v>2.2120000000000002</v>
      </c>
      <c r="J282" s="133">
        <v>6.08</v>
      </c>
      <c r="M282" s="143">
        <v>42375</v>
      </c>
      <c r="N282" s="142">
        <v>1990.26</v>
      </c>
    </row>
    <row r="283" spans="6:14" x14ac:dyDescent="0.55000000000000004">
      <c r="F283" s="133">
        <v>6.4210000000000003</v>
      </c>
      <c r="G283" s="133">
        <v>1.554</v>
      </c>
      <c r="H283" s="133">
        <v>0.53400000000000003</v>
      </c>
      <c r="I283" s="133">
        <v>2.2400000000000002</v>
      </c>
      <c r="J283" s="133">
        <v>5.95</v>
      </c>
      <c r="M283" s="143">
        <v>42376</v>
      </c>
      <c r="N283" s="142">
        <v>1943.09</v>
      </c>
    </row>
    <row r="284" spans="6:14" x14ac:dyDescent="0.55000000000000004">
      <c r="F284" s="133">
        <v>6.4909999999999997</v>
      </c>
      <c r="G284" s="133">
        <v>1.573</v>
      </c>
      <c r="H284" s="133">
        <v>0.53700000000000003</v>
      </c>
      <c r="I284" s="133">
        <v>2.258</v>
      </c>
      <c r="J284" s="133">
        <v>6.13</v>
      </c>
      <c r="M284" s="143">
        <v>42377</v>
      </c>
      <c r="N284" s="142">
        <v>1922.03</v>
      </c>
    </row>
    <row r="285" spans="6:14" x14ac:dyDescent="0.55000000000000004">
      <c r="F285" s="133">
        <v>6.4610000000000003</v>
      </c>
      <c r="G285" s="133">
        <v>1.5680000000000001</v>
      </c>
      <c r="H285" s="133">
        <v>0.53800000000000003</v>
      </c>
      <c r="I285" s="133">
        <v>2.2090000000000001</v>
      </c>
      <c r="J285" s="133">
        <v>6.15</v>
      </c>
      <c r="M285" s="143">
        <v>42380</v>
      </c>
      <c r="N285" s="142">
        <v>1923.67</v>
      </c>
    </row>
    <row r="286" spans="6:14" x14ac:dyDescent="0.55000000000000004">
      <c r="F286" s="133">
        <v>6.5140000000000002</v>
      </c>
      <c r="G286" s="133">
        <v>1.593</v>
      </c>
      <c r="H286" s="133">
        <v>0.54800000000000004</v>
      </c>
      <c r="I286" s="133">
        <v>2.2410000000000001</v>
      </c>
      <c r="J286" s="133">
        <v>6.21</v>
      </c>
      <c r="M286" s="143">
        <v>42381</v>
      </c>
      <c r="N286" s="142">
        <v>1938.68</v>
      </c>
    </row>
    <row r="287" spans="6:14" x14ac:dyDescent="0.55000000000000004">
      <c r="F287" s="133">
        <v>6.476</v>
      </c>
      <c r="G287" s="133">
        <v>1.5720000000000001</v>
      </c>
      <c r="H287" s="133">
        <v>0.54700000000000004</v>
      </c>
      <c r="I287" s="133">
        <v>2.2570000000000001</v>
      </c>
      <c r="J287" s="133">
        <v>6.17</v>
      </c>
      <c r="M287" s="143">
        <v>42382</v>
      </c>
      <c r="N287" s="142">
        <v>1890.28</v>
      </c>
    </row>
    <row r="288" spans="6:14" x14ac:dyDescent="0.55000000000000004">
      <c r="F288" s="133">
        <v>6.3940000000000001</v>
      </c>
      <c r="G288" s="133">
        <v>1.591</v>
      </c>
      <c r="H288" s="133">
        <v>0.55500000000000005</v>
      </c>
      <c r="I288" s="133">
        <v>2.3250000000000002</v>
      </c>
      <c r="J288" s="133">
        <v>6.13</v>
      </c>
      <c r="M288" s="143">
        <v>42383</v>
      </c>
      <c r="N288" s="142">
        <v>1921.84</v>
      </c>
    </row>
    <row r="289" spans="6:14" x14ac:dyDescent="0.55000000000000004">
      <c r="F289" s="133">
        <v>6.4180000000000001</v>
      </c>
      <c r="G289" s="133">
        <v>1.591</v>
      </c>
      <c r="H289" s="133">
        <v>0.55500000000000005</v>
      </c>
      <c r="I289" s="133">
        <v>2.2989999999999999</v>
      </c>
      <c r="J289" s="133">
        <v>6.14</v>
      </c>
      <c r="M289" s="143">
        <v>42384</v>
      </c>
      <c r="N289" s="142">
        <v>1880.33</v>
      </c>
    </row>
    <row r="290" spans="6:14" x14ac:dyDescent="0.55000000000000004">
      <c r="F290" s="133">
        <v>6.4719999999999995</v>
      </c>
      <c r="G290" s="133">
        <v>1.6139999999999999</v>
      </c>
      <c r="H290" s="133">
        <v>0.56100000000000005</v>
      </c>
      <c r="I290" s="133">
        <v>2.3380000000000001</v>
      </c>
      <c r="J290" s="133">
        <v>6.12</v>
      </c>
      <c r="M290" s="143">
        <v>42388</v>
      </c>
      <c r="N290" s="142">
        <v>1881.33</v>
      </c>
    </row>
    <row r="291" spans="6:14" x14ac:dyDescent="0.55000000000000004">
      <c r="F291" s="133">
        <v>6.3890000000000002</v>
      </c>
      <c r="G291" s="133">
        <v>1.6040000000000001</v>
      </c>
      <c r="H291" s="133">
        <v>0.56100000000000005</v>
      </c>
      <c r="I291" s="133">
        <v>2.37</v>
      </c>
      <c r="J291" s="133">
        <v>6.03</v>
      </c>
      <c r="M291" s="143">
        <v>42389</v>
      </c>
      <c r="N291" s="142">
        <v>1859.33</v>
      </c>
    </row>
    <row r="292" spans="6:14" x14ac:dyDescent="0.55000000000000004">
      <c r="F292" s="133">
        <v>6.5179999999999998</v>
      </c>
      <c r="G292" s="133">
        <v>1.659</v>
      </c>
      <c r="H292" s="133">
        <v>0.57999999999999996</v>
      </c>
      <c r="I292" s="133">
        <v>2.4550000000000001</v>
      </c>
      <c r="J292" s="133">
        <v>6.24</v>
      </c>
      <c r="M292" s="143">
        <v>42390</v>
      </c>
      <c r="N292" s="142">
        <v>1868.99</v>
      </c>
    </row>
    <row r="293" spans="6:14" x14ac:dyDescent="0.55000000000000004">
      <c r="F293" s="133">
        <v>6.5</v>
      </c>
      <c r="G293" s="133">
        <v>1.65</v>
      </c>
      <c r="H293" s="133">
        <v>0.57999999999999996</v>
      </c>
      <c r="I293" s="133">
        <v>2.4180000000000001</v>
      </c>
      <c r="J293" s="133">
        <v>6.26</v>
      </c>
      <c r="M293" s="143">
        <v>42391</v>
      </c>
      <c r="N293" s="142">
        <v>1906.9</v>
      </c>
    </row>
    <row r="294" spans="6:14" x14ac:dyDescent="0.55000000000000004">
      <c r="F294" s="133">
        <v>6.4130000000000003</v>
      </c>
      <c r="G294" s="133">
        <v>1.633</v>
      </c>
      <c r="H294" s="133">
        <v>0.57399999999999995</v>
      </c>
      <c r="I294" s="133">
        <v>2.3959999999999999</v>
      </c>
      <c r="J294" s="133">
        <v>6.23</v>
      </c>
      <c r="M294" s="143">
        <v>42394</v>
      </c>
      <c r="N294" s="142">
        <v>1877.08</v>
      </c>
    </row>
    <row r="295" spans="6:14" x14ac:dyDescent="0.55000000000000004">
      <c r="F295" s="133">
        <v>6.39</v>
      </c>
      <c r="G295" s="133">
        <v>1.629</v>
      </c>
      <c r="H295" s="133">
        <v>0.57299999999999995</v>
      </c>
      <c r="I295" s="133">
        <v>2.391</v>
      </c>
      <c r="J295" s="133">
        <v>6.22</v>
      </c>
      <c r="M295" s="143">
        <v>42395</v>
      </c>
      <c r="N295" s="142">
        <v>1903.63</v>
      </c>
    </row>
    <row r="296" spans="6:14" x14ac:dyDescent="0.55000000000000004">
      <c r="F296" s="133">
        <v>6.3310000000000004</v>
      </c>
      <c r="G296" s="133">
        <v>1.627</v>
      </c>
      <c r="H296" s="133">
        <v>0.57699999999999996</v>
      </c>
      <c r="I296" s="133">
        <v>2.41</v>
      </c>
      <c r="J296" s="133">
        <v>6.2</v>
      </c>
      <c r="M296" s="143">
        <v>42396</v>
      </c>
      <c r="N296" s="142">
        <v>1882.95</v>
      </c>
    </row>
    <row r="297" spans="6:14" x14ac:dyDescent="0.55000000000000004">
      <c r="F297" s="133">
        <v>6.38</v>
      </c>
      <c r="G297" s="133">
        <v>1.641</v>
      </c>
      <c r="H297" s="133">
        <v>0.58599999999999997</v>
      </c>
      <c r="I297" s="133">
        <v>2.4329999999999998</v>
      </c>
      <c r="J297" s="133">
        <v>6.25</v>
      </c>
      <c r="M297" s="143">
        <v>42397</v>
      </c>
      <c r="N297" s="142">
        <v>1893.36</v>
      </c>
    </row>
    <row r="298" spans="6:14" x14ac:dyDescent="0.55000000000000004">
      <c r="F298" s="133">
        <v>6.3109999999999999</v>
      </c>
      <c r="G298" s="133">
        <v>1.601</v>
      </c>
      <c r="H298" s="133">
        <v>0.56999999999999995</v>
      </c>
      <c r="I298" s="133">
        <v>2.3849999999999998</v>
      </c>
      <c r="J298" s="133">
        <v>6.23</v>
      </c>
      <c r="M298" s="143">
        <v>42398</v>
      </c>
      <c r="N298" s="142">
        <v>1940.24</v>
      </c>
    </row>
    <row r="299" spans="6:14" x14ac:dyDescent="0.55000000000000004">
      <c r="F299" s="133">
        <v>6.4210000000000003</v>
      </c>
      <c r="G299" s="133">
        <v>1.613</v>
      </c>
      <c r="H299" s="133">
        <v>0.56799999999999995</v>
      </c>
      <c r="I299" s="133">
        <v>2.3810000000000002</v>
      </c>
      <c r="J299" s="133">
        <v>6.25</v>
      </c>
      <c r="M299" s="143">
        <v>42401</v>
      </c>
      <c r="N299" s="142">
        <v>1939.38</v>
      </c>
    </row>
    <row r="300" spans="6:14" x14ac:dyDescent="0.55000000000000004">
      <c r="F300" s="133">
        <v>6.5190000000000001</v>
      </c>
      <c r="G300" s="133">
        <v>1.6179999999999999</v>
      </c>
      <c r="H300" s="133">
        <v>0.58299999999999996</v>
      </c>
      <c r="I300" s="133">
        <v>2.4319999999999999</v>
      </c>
      <c r="J300" s="133">
        <v>6.32</v>
      </c>
      <c r="M300" s="143">
        <v>42402</v>
      </c>
      <c r="N300" s="142">
        <v>1903.03</v>
      </c>
    </row>
    <row r="301" spans="6:14" x14ac:dyDescent="0.55000000000000004">
      <c r="F301" s="133">
        <v>6.3890000000000002</v>
      </c>
      <c r="G301" s="133">
        <v>1.5819999999999999</v>
      </c>
      <c r="H301" s="133">
        <v>0.57899999999999996</v>
      </c>
      <c r="I301" s="133">
        <v>2.4089999999999998</v>
      </c>
      <c r="J301" s="133">
        <v>6.14</v>
      </c>
      <c r="M301" s="143">
        <v>42403</v>
      </c>
      <c r="N301" s="142">
        <v>1912.53</v>
      </c>
    </row>
    <row r="302" spans="6:14" x14ac:dyDescent="0.55000000000000004">
      <c r="F302" s="133">
        <v>6.39</v>
      </c>
      <c r="G302" s="133">
        <v>1.5859999999999999</v>
      </c>
      <c r="H302" s="133">
        <v>0.58199999999999996</v>
      </c>
      <c r="I302" s="133">
        <v>2.4390000000000001</v>
      </c>
      <c r="J302" s="133">
        <v>6.22</v>
      </c>
      <c r="M302" s="143">
        <v>42404</v>
      </c>
      <c r="N302" s="142">
        <v>1915.45</v>
      </c>
    </row>
    <row r="303" spans="6:14" x14ac:dyDescent="0.55000000000000004">
      <c r="F303" s="133">
        <v>6.4009999999999998</v>
      </c>
      <c r="G303" s="133">
        <v>1.5840000000000001</v>
      </c>
      <c r="H303" s="133">
        <v>0.57799999999999996</v>
      </c>
      <c r="I303" s="133">
        <v>2.4350000000000001</v>
      </c>
      <c r="J303" s="133">
        <v>6.21</v>
      </c>
      <c r="M303" s="143">
        <v>42405</v>
      </c>
      <c r="N303" s="142">
        <v>1880.05</v>
      </c>
    </row>
    <row r="304" spans="6:14" x14ac:dyDescent="0.55000000000000004">
      <c r="F304" s="133">
        <v>6.5350000000000001</v>
      </c>
      <c r="G304" s="133">
        <v>1.605</v>
      </c>
      <c r="H304" s="133">
        <v>0.57999999999999996</v>
      </c>
      <c r="I304" s="133">
        <v>2.4699999999999998</v>
      </c>
      <c r="J304" s="133">
        <v>6.35</v>
      </c>
      <c r="M304" s="143">
        <v>42408</v>
      </c>
      <c r="N304" s="142">
        <v>1853.44</v>
      </c>
    </row>
    <row r="305" spans="6:14" x14ac:dyDescent="0.55000000000000004">
      <c r="F305" s="133">
        <v>6.5060000000000002</v>
      </c>
      <c r="G305" s="133">
        <v>1.6160000000000001</v>
      </c>
      <c r="H305" s="133">
        <v>0.58299999999999996</v>
      </c>
      <c r="I305" s="133">
        <v>2.4980000000000002</v>
      </c>
      <c r="J305" s="133">
        <v>6.39</v>
      </c>
      <c r="M305" s="143">
        <v>42409</v>
      </c>
      <c r="N305" s="142">
        <v>1852.21</v>
      </c>
    </row>
    <row r="306" spans="6:14" x14ac:dyDescent="0.55000000000000004">
      <c r="F306" s="133">
        <v>6.415</v>
      </c>
      <c r="G306" s="133">
        <v>1.5640000000000001</v>
      </c>
      <c r="H306" s="133">
        <v>0.57199999999999995</v>
      </c>
      <c r="I306" s="133">
        <v>2.4</v>
      </c>
      <c r="J306" s="133">
        <v>6.25</v>
      </c>
      <c r="M306" s="143">
        <v>42410</v>
      </c>
      <c r="N306" s="142">
        <v>1851.86</v>
      </c>
    </row>
    <row r="307" spans="6:14" x14ac:dyDescent="0.55000000000000004">
      <c r="F307" s="133">
        <v>6.4189999999999996</v>
      </c>
      <c r="G307" s="133">
        <v>1.5590000000000002</v>
      </c>
      <c r="H307" s="133">
        <v>0.56899999999999995</v>
      </c>
      <c r="I307" s="133">
        <v>2.391</v>
      </c>
      <c r="J307" s="133">
        <v>6.18</v>
      </c>
      <c r="M307" s="143">
        <v>42411</v>
      </c>
      <c r="N307" s="142">
        <v>1829.08</v>
      </c>
    </row>
    <row r="308" spans="6:14" x14ac:dyDescent="0.55000000000000004">
      <c r="F308" s="133">
        <v>6.5049999999999999</v>
      </c>
      <c r="G308" s="133">
        <v>1.5680000000000001</v>
      </c>
      <c r="H308" s="133">
        <v>0.57699999999999996</v>
      </c>
      <c r="I308" s="133">
        <v>2.3780000000000001</v>
      </c>
      <c r="J308" s="133">
        <v>6.27</v>
      </c>
      <c r="M308" s="143">
        <v>42412</v>
      </c>
      <c r="N308" s="142">
        <v>1864.78</v>
      </c>
    </row>
    <row r="309" spans="6:14" x14ac:dyDescent="0.55000000000000004">
      <c r="F309" s="133">
        <v>6.5359999999999996</v>
      </c>
      <c r="G309" s="133">
        <v>1.581</v>
      </c>
      <c r="H309" s="133">
        <v>0.57999999999999996</v>
      </c>
      <c r="I309" s="133">
        <v>2.403</v>
      </c>
      <c r="J309" s="133">
        <v>6.28</v>
      </c>
      <c r="M309" s="143">
        <v>42416</v>
      </c>
      <c r="N309" s="142">
        <v>1895.58</v>
      </c>
    </row>
    <row r="310" spans="6:14" x14ac:dyDescent="0.55000000000000004">
      <c r="F310" s="133">
        <v>6.5890000000000004</v>
      </c>
      <c r="G310" s="133">
        <v>1.58</v>
      </c>
      <c r="H310" s="133">
        <v>0.57899999999999996</v>
      </c>
      <c r="I310" s="133">
        <v>2.4249999999999998</v>
      </c>
      <c r="J310" s="133">
        <v>6.31</v>
      </c>
      <c r="M310" s="143">
        <v>42417</v>
      </c>
      <c r="N310" s="142">
        <v>1926.82</v>
      </c>
    </row>
    <row r="311" spans="6:14" x14ac:dyDescent="0.55000000000000004">
      <c r="F311" s="133">
        <v>6.609</v>
      </c>
      <c r="G311" s="133">
        <v>1.5699999999999998</v>
      </c>
      <c r="H311" s="133">
        <v>0.57399999999999995</v>
      </c>
      <c r="I311" s="133">
        <v>2.4159999999999999</v>
      </c>
      <c r="J311" s="133">
        <v>6.3</v>
      </c>
      <c r="M311" s="143">
        <v>42418</v>
      </c>
      <c r="N311" s="142">
        <v>1917.83</v>
      </c>
    </row>
    <row r="312" spans="6:14" x14ac:dyDescent="0.55000000000000004">
      <c r="F312" s="133">
        <v>6.6589999999999998</v>
      </c>
      <c r="G312" s="133">
        <v>1.595</v>
      </c>
      <c r="H312" s="133">
        <v>0.58399999999999996</v>
      </c>
      <c r="I312" s="133">
        <v>2.4750000000000001</v>
      </c>
      <c r="J312" s="133">
        <v>6.38</v>
      </c>
      <c r="M312" s="143">
        <v>42419</v>
      </c>
      <c r="N312" s="142">
        <v>1917.78</v>
      </c>
    </row>
    <row r="313" spans="6:14" x14ac:dyDescent="0.55000000000000004">
      <c r="F313" s="133">
        <v>6.6370000000000005</v>
      </c>
      <c r="G313" s="133">
        <v>1.581</v>
      </c>
      <c r="H313" s="133">
        <v>0.58299999999999996</v>
      </c>
      <c r="I313" s="133">
        <v>2.52</v>
      </c>
      <c r="J313" s="133">
        <v>6.29</v>
      </c>
      <c r="M313" s="143">
        <v>42422</v>
      </c>
      <c r="N313" s="142">
        <v>1945.5</v>
      </c>
    </row>
    <row r="314" spans="6:14" x14ac:dyDescent="0.55000000000000004">
      <c r="F314" s="133">
        <v>6.3710000000000004</v>
      </c>
      <c r="G314" s="133">
        <v>1.5899999999999999</v>
      </c>
      <c r="H314" s="133">
        <v>0.58399999999999996</v>
      </c>
      <c r="I314" s="133">
        <v>2.5579999999999998</v>
      </c>
      <c r="J314" s="133">
        <v>6.15</v>
      </c>
      <c r="M314" s="143">
        <v>42423</v>
      </c>
      <c r="N314" s="142">
        <v>1921.27</v>
      </c>
    </row>
    <row r="315" spans="6:14" x14ac:dyDescent="0.55000000000000004">
      <c r="F315" s="133">
        <v>6.4340000000000002</v>
      </c>
      <c r="G315" s="133">
        <v>1.609</v>
      </c>
      <c r="H315" s="133">
        <v>0.61099999999999999</v>
      </c>
      <c r="I315" s="133">
        <v>2.58</v>
      </c>
      <c r="J315" s="133">
        <v>6.17</v>
      </c>
      <c r="M315" s="143">
        <v>42424</v>
      </c>
      <c r="N315" s="142">
        <v>1929.8</v>
      </c>
    </row>
    <row r="316" spans="6:14" x14ac:dyDescent="0.55000000000000004">
      <c r="F316" s="133">
        <v>6.2309999999999999</v>
      </c>
      <c r="G316" s="133">
        <v>1.6080000000000001</v>
      </c>
      <c r="H316" s="133">
        <v>0.60299999999999998</v>
      </c>
      <c r="I316" s="133">
        <v>2.552</v>
      </c>
      <c r="J316" s="133">
        <v>6.13</v>
      </c>
      <c r="M316" s="143">
        <v>42425</v>
      </c>
      <c r="N316" s="142">
        <v>1951.7</v>
      </c>
    </row>
    <row r="317" spans="6:14" x14ac:dyDescent="0.55000000000000004">
      <c r="F317" s="133">
        <v>6.2350000000000003</v>
      </c>
      <c r="G317" s="133">
        <v>1.5609999999999999</v>
      </c>
      <c r="H317" s="133">
        <v>0.6</v>
      </c>
      <c r="I317" s="133">
        <v>2.5609999999999999</v>
      </c>
      <c r="J317" s="133">
        <v>6.09</v>
      </c>
      <c r="M317" s="143">
        <v>42426</v>
      </c>
      <c r="N317" s="142">
        <v>1948.05</v>
      </c>
    </row>
    <row r="318" spans="6:14" x14ac:dyDescent="0.55000000000000004">
      <c r="F318" s="133">
        <v>6.2160000000000002</v>
      </c>
      <c r="G318" s="133">
        <v>1.5920000000000001</v>
      </c>
      <c r="H318" s="133">
        <v>0.60499999999999998</v>
      </c>
      <c r="I318" s="133">
        <v>2.5920000000000001</v>
      </c>
      <c r="J318" s="133">
        <v>6.19</v>
      </c>
      <c r="M318" s="143">
        <v>42429</v>
      </c>
      <c r="N318" s="142">
        <v>1932.23</v>
      </c>
    </row>
    <row r="319" spans="6:14" x14ac:dyDescent="0.55000000000000004">
      <c r="F319" s="133">
        <v>6.1440000000000001</v>
      </c>
      <c r="G319" s="133">
        <v>1.649</v>
      </c>
      <c r="H319" s="133">
        <v>0.61899999999999999</v>
      </c>
      <c r="I319" s="133">
        <v>2.6</v>
      </c>
      <c r="J319" s="133">
        <v>6.15</v>
      </c>
      <c r="M319" s="143">
        <v>42430</v>
      </c>
      <c r="N319" s="142">
        <v>1978.35</v>
      </c>
    </row>
    <row r="320" spans="6:14" x14ac:dyDescent="0.55000000000000004">
      <c r="F320" s="133">
        <v>6.1660000000000004</v>
      </c>
      <c r="G320" s="133">
        <v>1.669</v>
      </c>
      <c r="H320" s="133">
        <v>0.629</v>
      </c>
      <c r="I320" s="133">
        <v>2.633</v>
      </c>
      <c r="J320" s="133">
        <v>6.02</v>
      </c>
      <c r="M320" s="143">
        <v>42431</v>
      </c>
      <c r="N320" s="142">
        <v>1986.45</v>
      </c>
    </row>
    <row r="321" spans="6:14" x14ac:dyDescent="0.55000000000000004">
      <c r="F321" s="133">
        <v>6.1289999999999996</v>
      </c>
      <c r="G321" s="133">
        <v>1.6419999999999999</v>
      </c>
      <c r="H321" s="133">
        <v>0.63500000000000001</v>
      </c>
      <c r="I321" s="133">
        <v>2.657</v>
      </c>
      <c r="J321" s="133">
        <v>6.02</v>
      </c>
      <c r="M321" s="143">
        <v>42432</v>
      </c>
      <c r="N321" s="142">
        <v>1993.4</v>
      </c>
    </row>
    <row r="322" spans="6:14" x14ac:dyDescent="0.55000000000000004">
      <c r="F322" s="133">
        <v>6.141</v>
      </c>
      <c r="G322" s="133">
        <v>1.625</v>
      </c>
      <c r="H322" s="133">
        <v>0.629</v>
      </c>
      <c r="I322" s="133">
        <v>2.633</v>
      </c>
      <c r="J322" s="133">
        <v>6.11</v>
      </c>
      <c r="M322" s="143">
        <v>42433</v>
      </c>
      <c r="N322" s="142">
        <v>1999.99</v>
      </c>
    </row>
    <row r="323" spans="6:14" x14ac:dyDescent="0.55000000000000004">
      <c r="F323" s="133">
        <v>6.18</v>
      </c>
      <c r="G323" s="133">
        <v>1.637</v>
      </c>
      <c r="H323" s="133">
        <v>0.63100000000000001</v>
      </c>
      <c r="I323" s="133">
        <v>2.6630000000000003</v>
      </c>
      <c r="J323" s="133">
        <v>6.24</v>
      </c>
      <c r="M323" s="143">
        <v>42436</v>
      </c>
      <c r="N323" s="142">
        <v>2001.76</v>
      </c>
    </row>
    <row r="324" spans="6:14" x14ac:dyDescent="0.55000000000000004">
      <c r="F324" s="133">
        <v>6.234</v>
      </c>
      <c r="G324" s="133">
        <v>1.6459999999999999</v>
      </c>
      <c r="H324" s="133">
        <v>0.629</v>
      </c>
      <c r="I324" s="133">
        <v>2.5990000000000002</v>
      </c>
      <c r="J324" s="133">
        <v>6.33</v>
      </c>
      <c r="M324" s="143">
        <v>42437</v>
      </c>
      <c r="N324" s="142">
        <v>1979.26</v>
      </c>
    </row>
    <row r="325" spans="6:14" x14ac:dyDescent="0.55000000000000004">
      <c r="F325" s="133">
        <v>6.2320000000000002</v>
      </c>
      <c r="G325" s="133">
        <v>1.653</v>
      </c>
      <c r="H325" s="133">
        <v>0.629</v>
      </c>
      <c r="I325" s="133">
        <v>2.6150000000000002</v>
      </c>
      <c r="J325" s="133">
        <v>6.31</v>
      </c>
      <c r="M325" s="143">
        <v>42438</v>
      </c>
      <c r="N325" s="142">
        <v>1989.26</v>
      </c>
    </row>
    <row r="326" spans="6:14" x14ac:dyDescent="0.55000000000000004">
      <c r="F326" s="133">
        <v>6.242</v>
      </c>
      <c r="G326" s="133">
        <v>1.623</v>
      </c>
      <c r="H326" s="133">
        <v>0.622</v>
      </c>
      <c r="I326" s="133">
        <v>2.605</v>
      </c>
      <c r="J326" s="133">
        <v>6.18</v>
      </c>
      <c r="M326" s="143">
        <v>42439</v>
      </c>
      <c r="N326" s="142">
        <v>1989.57</v>
      </c>
    </row>
    <row r="327" spans="6:14" x14ac:dyDescent="0.55000000000000004">
      <c r="F327" s="133">
        <v>6.24</v>
      </c>
      <c r="G327" s="133">
        <v>1.5880000000000001</v>
      </c>
      <c r="H327" s="133">
        <v>0.61899999999999999</v>
      </c>
      <c r="I327" s="133">
        <v>2.57</v>
      </c>
      <c r="J327" s="133">
        <v>6.11</v>
      </c>
      <c r="M327" s="143">
        <v>42440</v>
      </c>
      <c r="N327" s="142">
        <v>2022.19</v>
      </c>
    </row>
    <row r="328" spans="6:14" x14ac:dyDescent="0.55000000000000004">
      <c r="F328" s="133">
        <v>6.2450000000000001</v>
      </c>
      <c r="G328" s="133">
        <v>1.6099999999999999</v>
      </c>
      <c r="H328" s="133">
        <v>0.61799999999999999</v>
      </c>
      <c r="I328" s="133">
        <v>2.5709999999999997</v>
      </c>
      <c r="J328" s="133">
        <v>6.11</v>
      </c>
      <c r="M328" s="143">
        <v>42443</v>
      </c>
      <c r="N328" s="142">
        <v>2019.64</v>
      </c>
    </row>
    <row r="329" spans="6:14" x14ac:dyDescent="0.55000000000000004">
      <c r="F329" s="133">
        <v>6.2649999999999997</v>
      </c>
      <c r="G329" s="133">
        <v>1.629</v>
      </c>
      <c r="H329" s="133">
        <v>0.623</v>
      </c>
      <c r="I329" s="133">
        <v>2.5880000000000001</v>
      </c>
      <c r="J329" s="133">
        <v>6.13</v>
      </c>
      <c r="M329" s="143">
        <v>42444</v>
      </c>
      <c r="N329" s="142">
        <v>2015.93</v>
      </c>
    </row>
    <row r="330" spans="6:14" x14ac:dyDescent="0.55000000000000004">
      <c r="F330" s="133">
        <v>6.2009999999999996</v>
      </c>
      <c r="G330" s="133">
        <v>1.639</v>
      </c>
      <c r="H330" s="133">
        <v>0.626</v>
      </c>
      <c r="I330" s="133">
        <v>2.6120000000000001</v>
      </c>
      <c r="J330" s="133">
        <v>6.13</v>
      </c>
      <c r="M330" s="143">
        <v>42445</v>
      </c>
      <c r="N330" s="142">
        <v>2027.22</v>
      </c>
    </row>
    <row r="331" spans="6:14" x14ac:dyDescent="0.55000000000000004">
      <c r="F331" s="133">
        <v>6.2039999999999997</v>
      </c>
      <c r="G331" s="133">
        <v>1.65</v>
      </c>
      <c r="H331" s="133">
        <v>0.63800000000000001</v>
      </c>
      <c r="I331" s="133">
        <v>2.6589999999999998</v>
      </c>
      <c r="J331" s="133">
        <v>6.09</v>
      </c>
      <c r="M331" s="143">
        <v>42446</v>
      </c>
      <c r="N331" s="142">
        <v>2040.59</v>
      </c>
    </row>
    <row r="332" spans="6:14" x14ac:dyDescent="0.55000000000000004">
      <c r="F332" s="133">
        <v>6.2160000000000002</v>
      </c>
      <c r="G332" s="133">
        <v>1.659</v>
      </c>
      <c r="H332" s="133">
        <v>0.64800000000000002</v>
      </c>
      <c r="I332" s="133">
        <v>2.6879999999999997</v>
      </c>
      <c r="J332" s="133">
        <v>6.1</v>
      </c>
      <c r="M332" s="143">
        <v>42447</v>
      </c>
      <c r="N332" s="142">
        <v>2049.58</v>
      </c>
    </row>
    <row r="333" spans="6:14" x14ac:dyDescent="0.55000000000000004">
      <c r="F333" s="133">
        <v>6.266</v>
      </c>
      <c r="G333" s="133">
        <v>1.6619999999999999</v>
      </c>
      <c r="H333" s="133">
        <v>0.65400000000000003</v>
      </c>
      <c r="I333" s="133">
        <v>2.69</v>
      </c>
      <c r="J333" s="133">
        <v>6.18</v>
      </c>
      <c r="M333" s="143">
        <v>42450</v>
      </c>
      <c r="N333" s="142">
        <v>2051.6</v>
      </c>
    </row>
    <row r="334" spans="6:14" x14ac:dyDescent="0.55000000000000004">
      <c r="F334" s="133">
        <v>6.2359999999999998</v>
      </c>
      <c r="G334" s="133">
        <v>1.6859999999999999</v>
      </c>
      <c r="H334" s="133">
        <v>0.65400000000000003</v>
      </c>
      <c r="I334" s="133">
        <v>2.7039999999999997</v>
      </c>
      <c r="J334" s="133">
        <v>6.11</v>
      </c>
      <c r="M334" s="143">
        <v>42451</v>
      </c>
      <c r="N334" s="142">
        <v>2049.8000000000002</v>
      </c>
    </row>
    <row r="335" spans="6:14" x14ac:dyDescent="0.55000000000000004">
      <c r="F335" s="133">
        <v>6.2389999999999999</v>
      </c>
      <c r="G335" s="133">
        <v>1.6440000000000001</v>
      </c>
      <c r="H335" s="133">
        <v>0.65100000000000002</v>
      </c>
      <c r="I335" s="133">
        <v>2.65</v>
      </c>
      <c r="J335" s="133">
        <v>6.09</v>
      </c>
      <c r="M335" s="143">
        <v>42452</v>
      </c>
      <c r="N335" s="142">
        <v>2036.71</v>
      </c>
    </row>
    <row r="336" spans="6:14" x14ac:dyDescent="0.55000000000000004">
      <c r="F336" s="133">
        <v>6.3</v>
      </c>
      <c r="G336" s="133">
        <v>1.6059999999999999</v>
      </c>
      <c r="H336" s="133">
        <v>0.63200000000000001</v>
      </c>
      <c r="I336" s="133">
        <v>2.4889999999999999</v>
      </c>
      <c r="J336" s="133">
        <v>6.06</v>
      </c>
      <c r="M336" s="143">
        <v>42453</v>
      </c>
      <c r="N336" s="142">
        <v>2035.94</v>
      </c>
    </row>
    <row r="337" spans="6:14" x14ac:dyDescent="0.55000000000000004">
      <c r="F337" s="133">
        <v>6.13</v>
      </c>
      <c r="G337" s="133">
        <v>1.554</v>
      </c>
      <c r="H337" s="133">
        <v>0.623</v>
      </c>
      <c r="I337" s="133">
        <v>2.4820000000000002</v>
      </c>
      <c r="J337" s="133">
        <v>5.79</v>
      </c>
      <c r="M337" s="143">
        <v>42457</v>
      </c>
      <c r="N337" s="142">
        <v>2037.05</v>
      </c>
    </row>
    <row r="338" spans="6:14" x14ac:dyDescent="0.55000000000000004">
      <c r="F338" s="133">
        <v>6.1420000000000003</v>
      </c>
      <c r="G338" s="133">
        <v>1.5550000000000002</v>
      </c>
      <c r="H338" s="133">
        <v>0.62</v>
      </c>
      <c r="I338" s="133">
        <v>2.4790000000000001</v>
      </c>
      <c r="J338" s="133">
        <v>5.8100000000000005</v>
      </c>
      <c r="M338" s="143">
        <v>42458</v>
      </c>
      <c r="N338" s="142">
        <v>2055.0100000000002</v>
      </c>
    </row>
    <row r="339" spans="6:14" x14ac:dyDescent="0.55000000000000004">
      <c r="F339" s="133">
        <v>6.1239999999999997</v>
      </c>
      <c r="G339" s="133">
        <v>1.5329999999999999</v>
      </c>
      <c r="H339" s="133">
        <v>0.61499999999999999</v>
      </c>
      <c r="I339" s="133">
        <v>2.4740000000000002</v>
      </c>
      <c r="J339" s="133">
        <v>5.76</v>
      </c>
      <c r="M339" s="143">
        <v>42459</v>
      </c>
      <c r="N339" s="142">
        <v>2063.9499999999998</v>
      </c>
    </row>
    <row r="340" spans="6:14" x14ac:dyDescent="0.55000000000000004">
      <c r="F340" s="133">
        <v>6.1310000000000002</v>
      </c>
      <c r="G340" s="133">
        <v>1.5550000000000002</v>
      </c>
      <c r="H340" s="133">
        <v>0.624</v>
      </c>
      <c r="I340" s="133">
        <v>2.5140000000000002</v>
      </c>
      <c r="J340" s="133">
        <v>5.8</v>
      </c>
      <c r="M340" s="143">
        <v>42460</v>
      </c>
      <c r="N340" s="142">
        <v>2059.7399999999998</v>
      </c>
    </row>
    <row r="341" spans="6:14" x14ac:dyDescent="0.55000000000000004">
      <c r="F341" s="133">
        <v>6.1779999999999999</v>
      </c>
      <c r="G341" s="133">
        <v>1.5310000000000001</v>
      </c>
      <c r="H341" s="133">
        <v>0.61899999999999999</v>
      </c>
      <c r="I341" s="133">
        <v>2.4750000000000001</v>
      </c>
      <c r="J341" s="133">
        <v>5.84</v>
      </c>
      <c r="M341" s="143">
        <v>42461</v>
      </c>
      <c r="N341" s="142">
        <v>2072.7800000000002</v>
      </c>
    </row>
    <row r="342" spans="6:14" x14ac:dyDescent="0.55000000000000004">
      <c r="F342" s="133">
        <v>6.2329999999999997</v>
      </c>
      <c r="G342" s="133">
        <v>1.5470000000000002</v>
      </c>
      <c r="H342" s="133">
        <v>0.621</v>
      </c>
      <c r="I342" s="133">
        <v>2.4699999999999998</v>
      </c>
      <c r="J342" s="133">
        <v>5.91</v>
      </c>
      <c r="M342" s="143">
        <v>42464</v>
      </c>
      <c r="N342" s="142">
        <v>2066.13</v>
      </c>
    </row>
    <row r="343" spans="6:14" x14ac:dyDescent="0.55000000000000004">
      <c r="F343" s="133">
        <v>6.3579999999999997</v>
      </c>
      <c r="G343" s="133">
        <v>1.583</v>
      </c>
      <c r="H343" s="133">
        <v>0.629</v>
      </c>
      <c r="I343" s="133">
        <v>2.4769999999999999</v>
      </c>
      <c r="J343" s="133">
        <v>6.12</v>
      </c>
      <c r="M343" s="143">
        <v>42465</v>
      </c>
      <c r="N343" s="142">
        <v>2045.17</v>
      </c>
    </row>
    <row r="344" spans="6:14" x14ac:dyDescent="0.55000000000000004">
      <c r="F344" s="133">
        <v>6.4589999999999996</v>
      </c>
      <c r="G344" s="133">
        <v>1.6</v>
      </c>
      <c r="H344" s="133">
        <v>0.63400000000000001</v>
      </c>
      <c r="I344" s="133">
        <v>2.4830000000000001</v>
      </c>
      <c r="J344" s="133">
        <v>6.33</v>
      </c>
      <c r="M344" s="143">
        <v>42466</v>
      </c>
      <c r="N344" s="142">
        <v>2066.66</v>
      </c>
    </row>
    <row r="345" spans="6:14" x14ac:dyDescent="0.55000000000000004">
      <c r="F345" s="133">
        <v>6.4889999999999999</v>
      </c>
      <c r="G345" s="133">
        <v>1.6400000000000001</v>
      </c>
      <c r="H345" s="133">
        <v>0.64900000000000002</v>
      </c>
      <c r="I345" s="133">
        <v>2.5390000000000001</v>
      </c>
      <c r="J345" s="133">
        <v>6.44</v>
      </c>
      <c r="M345" s="143">
        <v>42467</v>
      </c>
      <c r="N345" s="142">
        <v>2041.91</v>
      </c>
    </row>
    <row r="346" spans="6:14" x14ac:dyDescent="0.55000000000000004">
      <c r="F346" s="133">
        <v>6.4859999999999998</v>
      </c>
      <c r="G346" s="133">
        <v>1.647</v>
      </c>
      <c r="H346" s="133">
        <v>0.626</v>
      </c>
      <c r="I346" s="133">
        <v>2.5409999999999999</v>
      </c>
      <c r="J346" s="133">
        <v>6.4</v>
      </c>
      <c r="M346" s="143">
        <v>42468</v>
      </c>
      <c r="N346" s="142">
        <v>2047.6</v>
      </c>
    </row>
    <row r="347" spans="6:14" x14ac:dyDescent="0.55000000000000004">
      <c r="F347" s="133">
        <v>6.5309999999999997</v>
      </c>
      <c r="G347" s="133">
        <v>1.6280000000000001</v>
      </c>
      <c r="H347" s="133">
        <v>0.622</v>
      </c>
      <c r="I347" s="133">
        <v>2.5169999999999999</v>
      </c>
      <c r="J347" s="133">
        <v>6.46</v>
      </c>
      <c r="M347" s="143">
        <v>42471</v>
      </c>
      <c r="N347" s="142">
        <v>2041.99</v>
      </c>
    </row>
    <row r="348" spans="6:14" x14ac:dyDescent="0.55000000000000004">
      <c r="F348" s="133">
        <v>6.5220000000000002</v>
      </c>
      <c r="G348" s="133">
        <v>1.621</v>
      </c>
      <c r="H348" s="133">
        <v>0.626</v>
      </c>
      <c r="I348" s="133">
        <v>2.5249999999999999</v>
      </c>
      <c r="J348" s="133">
        <v>6.46</v>
      </c>
      <c r="M348" s="143">
        <v>42472</v>
      </c>
      <c r="N348" s="142">
        <v>2061.7199999999998</v>
      </c>
    </row>
    <row r="349" spans="6:14" x14ac:dyDescent="0.55000000000000004">
      <c r="F349" s="133">
        <v>6.5529999999999999</v>
      </c>
      <c r="G349" s="133">
        <v>1.6139999999999999</v>
      </c>
      <c r="H349" s="133">
        <v>0.629</v>
      </c>
      <c r="I349" s="133">
        <v>2.5430000000000001</v>
      </c>
      <c r="J349" s="133">
        <v>6.47</v>
      </c>
      <c r="M349" s="143">
        <v>42473</v>
      </c>
      <c r="N349" s="142">
        <v>2082.42</v>
      </c>
    </row>
    <row r="350" spans="6:14" x14ac:dyDescent="0.55000000000000004">
      <c r="F350" s="133">
        <v>6.5270000000000001</v>
      </c>
      <c r="G350" s="133">
        <v>1.611</v>
      </c>
      <c r="H350" s="133">
        <v>0.628</v>
      </c>
      <c r="I350" s="133">
        <v>2.532</v>
      </c>
      <c r="J350" s="133">
        <v>6.48</v>
      </c>
      <c r="M350" s="143">
        <v>42474</v>
      </c>
      <c r="N350" s="142">
        <v>2082.7800000000002</v>
      </c>
    </row>
    <row r="351" spans="6:14" x14ac:dyDescent="0.55000000000000004">
      <c r="F351" s="133">
        <v>6.5140000000000002</v>
      </c>
      <c r="G351" s="133">
        <v>1.637</v>
      </c>
      <c r="H351" s="133">
        <v>0.64100000000000001</v>
      </c>
      <c r="I351" s="133">
        <v>2.5789999999999997</v>
      </c>
      <c r="J351" s="133">
        <v>6.49</v>
      </c>
      <c r="M351" s="143">
        <v>42475</v>
      </c>
      <c r="N351" s="142">
        <v>2080.73</v>
      </c>
    </row>
    <row r="352" spans="6:14" x14ac:dyDescent="0.55000000000000004">
      <c r="F352" s="133">
        <v>6.5869999999999997</v>
      </c>
      <c r="G352" s="133">
        <v>1.6600000000000001</v>
      </c>
      <c r="H352" s="133">
        <v>0.64800000000000002</v>
      </c>
      <c r="I352" s="133">
        <v>2.6059999999999999</v>
      </c>
      <c r="J352" s="133">
        <v>6.72</v>
      </c>
      <c r="M352" s="143">
        <v>42478</v>
      </c>
      <c r="N352" s="142">
        <v>2094.34</v>
      </c>
    </row>
    <row r="353" spans="6:14" x14ac:dyDescent="0.55000000000000004">
      <c r="F353" s="133">
        <v>6.5590000000000002</v>
      </c>
      <c r="G353" s="133">
        <v>1.677</v>
      </c>
      <c r="H353" s="133">
        <v>0.65200000000000002</v>
      </c>
      <c r="I353" s="133">
        <v>2.625</v>
      </c>
      <c r="J353" s="133">
        <v>6.71</v>
      </c>
      <c r="M353" s="143">
        <v>42479</v>
      </c>
      <c r="N353" s="142">
        <v>2100.8000000000002</v>
      </c>
    </row>
    <row r="354" spans="6:14" x14ac:dyDescent="0.55000000000000004">
      <c r="F354" s="133">
        <v>6.6280000000000001</v>
      </c>
      <c r="G354" s="133">
        <v>1.6739999999999999</v>
      </c>
      <c r="H354" s="133">
        <v>0.65800000000000003</v>
      </c>
      <c r="I354" s="133">
        <v>2.625</v>
      </c>
      <c r="J354" s="133">
        <v>6.73</v>
      </c>
      <c r="M354" s="143">
        <v>42480</v>
      </c>
      <c r="N354" s="142">
        <v>2102.4</v>
      </c>
    </row>
    <row r="355" spans="6:14" x14ac:dyDescent="0.55000000000000004">
      <c r="F355" s="133">
        <v>6.6530000000000005</v>
      </c>
      <c r="G355" s="133">
        <v>1.6890000000000001</v>
      </c>
      <c r="H355" s="133">
        <v>0.66600000000000004</v>
      </c>
      <c r="I355" s="133">
        <v>2.633</v>
      </c>
      <c r="J355" s="133">
        <v>6.73</v>
      </c>
      <c r="M355" s="143">
        <v>42481</v>
      </c>
      <c r="N355" s="142">
        <v>2091.48</v>
      </c>
    </row>
    <row r="356" spans="6:14" x14ac:dyDescent="0.55000000000000004">
      <c r="F356" s="133">
        <v>6.665</v>
      </c>
      <c r="G356" s="133">
        <v>1.694</v>
      </c>
      <c r="H356" s="133">
        <v>0.65900000000000003</v>
      </c>
      <c r="I356" s="133">
        <v>2.6240000000000001</v>
      </c>
      <c r="J356" s="133">
        <v>6.72</v>
      </c>
      <c r="M356" s="143">
        <v>42482</v>
      </c>
      <c r="N356" s="142">
        <v>2091.58</v>
      </c>
    </row>
    <row r="357" spans="6:14" x14ac:dyDescent="0.55000000000000004">
      <c r="F357" s="133">
        <v>6.6760000000000002</v>
      </c>
      <c r="G357" s="133">
        <v>1.6659999999999999</v>
      </c>
      <c r="H357" s="133">
        <v>0.65600000000000003</v>
      </c>
      <c r="I357" s="133">
        <v>2.5979999999999999</v>
      </c>
      <c r="J357" s="133">
        <v>6.72</v>
      </c>
      <c r="M357" s="143">
        <v>42485</v>
      </c>
      <c r="N357" s="142">
        <v>2087.79</v>
      </c>
    </row>
    <row r="358" spans="6:14" x14ac:dyDescent="0.55000000000000004">
      <c r="F358" s="133">
        <v>6.6269999999999998</v>
      </c>
      <c r="G358" s="133">
        <v>1.6640000000000001</v>
      </c>
      <c r="H358" s="133">
        <v>0.64800000000000002</v>
      </c>
      <c r="I358" s="133">
        <v>2.5670000000000002</v>
      </c>
      <c r="J358" s="133">
        <v>6.6</v>
      </c>
      <c r="M358" s="143">
        <v>42486</v>
      </c>
      <c r="N358" s="142">
        <v>2091.6999999999998</v>
      </c>
    </row>
    <row r="359" spans="6:14" x14ac:dyDescent="0.55000000000000004">
      <c r="F359" s="133">
        <v>6.6189999999999998</v>
      </c>
      <c r="G359" s="133">
        <v>1.6040000000000001</v>
      </c>
      <c r="H359" s="133">
        <v>0.63600000000000001</v>
      </c>
      <c r="I359" s="133">
        <v>2.5</v>
      </c>
      <c r="J359" s="133">
        <v>6.52</v>
      </c>
      <c r="M359" s="143">
        <v>42487</v>
      </c>
      <c r="N359" s="142">
        <v>2095.15</v>
      </c>
    </row>
    <row r="360" spans="6:14" x14ac:dyDescent="0.55000000000000004">
      <c r="F360" s="133">
        <v>6.6539999999999999</v>
      </c>
      <c r="G360" s="133">
        <v>1.6099999999999999</v>
      </c>
      <c r="H360" s="133">
        <v>0.63</v>
      </c>
      <c r="I360" s="133">
        <v>2.4</v>
      </c>
      <c r="J360" s="133">
        <v>6.62</v>
      </c>
      <c r="M360" s="143">
        <v>42488</v>
      </c>
      <c r="N360" s="142">
        <v>2075.81</v>
      </c>
    </row>
    <row r="361" spans="6:14" x14ac:dyDescent="0.55000000000000004">
      <c r="F361" s="133">
        <v>6.6950000000000003</v>
      </c>
      <c r="G361" s="133">
        <v>1.647</v>
      </c>
      <c r="H361" s="133">
        <v>0.63600000000000001</v>
      </c>
      <c r="I361" s="133">
        <v>2.41</v>
      </c>
      <c r="J361" s="133">
        <v>6.6899999999999995</v>
      </c>
      <c r="M361" s="143">
        <v>42489</v>
      </c>
      <c r="N361" s="142">
        <v>2065.3000000000002</v>
      </c>
    </row>
    <row r="362" spans="6:14" x14ac:dyDescent="0.55000000000000004">
      <c r="F362" s="133">
        <v>6.6710000000000003</v>
      </c>
      <c r="G362" s="133">
        <v>1.643</v>
      </c>
      <c r="H362" s="133">
        <v>0.626</v>
      </c>
      <c r="I362" s="133">
        <v>2.3959999999999999</v>
      </c>
      <c r="J362" s="133">
        <v>7</v>
      </c>
      <c r="M362" s="143">
        <v>42492</v>
      </c>
      <c r="N362" s="142">
        <v>2081.4299999999998</v>
      </c>
    </row>
    <row r="363" spans="6:14" x14ac:dyDescent="0.55000000000000004">
      <c r="F363" s="133">
        <v>6.649</v>
      </c>
      <c r="G363" s="133">
        <v>1.635</v>
      </c>
      <c r="H363" s="133">
        <v>0.63600000000000001</v>
      </c>
      <c r="I363" s="133">
        <v>2.3919999999999999</v>
      </c>
      <c r="J363" s="133">
        <v>7.11</v>
      </c>
      <c r="M363" s="143">
        <v>42493</v>
      </c>
      <c r="N363" s="142">
        <v>2063.37</v>
      </c>
    </row>
    <row r="364" spans="6:14" x14ac:dyDescent="0.55000000000000004">
      <c r="F364" s="133">
        <v>6.6769999999999996</v>
      </c>
      <c r="G364" s="133">
        <v>1.645</v>
      </c>
      <c r="H364" s="133">
        <v>0.628</v>
      </c>
      <c r="I364" s="133">
        <v>2.3620000000000001</v>
      </c>
      <c r="J364" s="133">
        <v>7.08</v>
      </c>
      <c r="M364" s="143">
        <v>42494</v>
      </c>
      <c r="N364" s="142">
        <v>2051.12</v>
      </c>
    </row>
    <row r="365" spans="6:14" x14ac:dyDescent="0.55000000000000004">
      <c r="F365" s="133">
        <v>6.806</v>
      </c>
      <c r="G365" s="133">
        <v>1.637</v>
      </c>
      <c r="H365" s="133">
        <v>0.626</v>
      </c>
      <c r="I365" s="133">
        <v>2.3769999999999998</v>
      </c>
      <c r="J365" s="133">
        <v>7.1</v>
      </c>
      <c r="M365" s="143">
        <v>42495</v>
      </c>
      <c r="N365" s="142">
        <v>2050.63</v>
      </c>
    </row>
    <row r="366" spans="6:14" x14ac:dyDescent="0.55000000000000004">
      <c r="F366" s="133">
        <v>6.6219999999999999</v>
      </c>
      <c r="G366" s="133">
        <v>1.5939999999999999</v>
      </c>
      <c r="H366" s="133">
        <v>0.61799999999999999</v>
      </c>
      <c r="I366" s="133">
        <v>2.35</v>
      </c>
      <c r="J366" s="133">
        <v>6.93</v>
      </c>
      <c r="M366" s="143">
        <v>42496</v>
      </c>
      <c r="N366" s="142">
        <v>2057.14</v>
      </c>
    </row>
    <row r="367" spans="6:14" x14ac:dyDescent="0.55000000000000004">
      <c r="F367" s="133">
        <v>6.59</v>
      </c>
      <c r="G367" s="133">
        <v>1.5960000000000001</v>
      </c>
      <c r="H367" s="133">
        <v>0.61799999999999999</v>
      </c>
      <c r="I367" s="133">
        <v>2.3519999999999999</v>
      </c>
      <c r="J367" s="133">
        <v>6.88</v>
      </c>
      <c r="M367" s="143">
        <v>42499</v>
      </c>
      <c r="N367" s="142">
        <v>2058.69</v>
      </c>
    </row>
    <row r="368" spans="6:14" x14ac:dyDescent="0.55000000000000004">
      <c r="F368" s="133">
        <v>6.5190000000000001</v>
      </c>
      <c r="G368" s="133">
        <v>1.569</v>
      </c>
      <c r="H368" s="133">
        <v>0.60899999999999999</v>
      </c>
      <c r="I368" s="133">
        <v>2.3220000000000001</v>
      </c>
      <c r="J368" s="133">
        <v>6.8</v>
      </c>
      <c r="M368" s="143">
        <v>42500</v>
      </c>
      <c r="N368" s="142">
        <v>2084.39</v>
      </c>
    </row>
    <row r="369" spans="6:14" x14ac:dyDescent="0.55000000000000004">
      <c r="F369" s="133">
        <v>6.52</v>
      </c>
      <c r="G369" s="133">
        <v>1.575</v>
      </c>
      <c r="H369" s="133">
        <v>0.61099999999999999</v>
      </c>
      <c r="I369" s="133">
        <v>2.3290000000000002</v>
      </c>
      <c r="J369" s="133">
        <v>6.8</v>
      </c>
      <c r="M369" s="143">
        <v>42501</v>
      </c>
      <c r="N369" s="142">
        <v>2064.46</v>
      </c>
    </row>
    <row r="370" spans="6:14" x14ac:dyDescent="0.55000000000000004">
      <c r="F370" s="133">
        <v>6.5</v>
      </c>
      <c r="G370" s="133">
        <v>1.5510000000000002</v>
      </c>
      <c r="H370" s="133">
        <v>0.59799999999999998</v>
      </c>
      <c r="I370" s="133">
        <v>2.2629999999999999</v>
      </c>
      <c r="J370" s="133">
        <v>6.68</v>
      </c>
      <c r="M370" s="143">
        <v>42502</v>
      </c>
      <c r="N370" s="142">
        <v>2064.11</v>
      </c>
    </row>
    <row r="371" spans="6:14" x14ac:dyDescent="0.55000000000000004">
      <c r="F371" s="133">
        <v>6.5359999999999996</v>
      </c>
      <c r="G371" s="133">
        <v>1.5760000000000001</v>
      </c>
      <c r="H371" s="133">
        <v>0.60599999999999998</v>
      </c>
      <c r="I371" s="133">
        <v>2.2989999999999999</v>
      </c>
      <c r="J371" s="133">
        <v>6.79</v>
      </c>
      <c r="M371" s="143">
        <v>42503</v>
      </c>
      <c r="N371" s="142">
        <v>2046.61</v>
      </c>
    </row>
    <row r="372" spans="6:14" x14ac:dyDescent="0.55000000000000004">
      <c r="F372" s="133">
        <v>6.633</v>
      </c>
      <c r="G372" s="133">
        <v>1.6</v>
      </c>
      <c r="H372" s="133">
        <v>0.61</v>
      </c>
      <c r="I372" s="133">
        <v>2.302</v>
      </c>
      <c r="J372" s="133">
        <v>6.78</v>
      </c>
      <c r="M372" s="143">
        <v>42506</v>
      </c>
      <c r="N372" s="142">
        <v>2066.66</v>
      </c>
    </row>
    <row r="373" spans="6:14" x14ac:dyDescent="0.55000000000000004">
      <c r="F373" s="133">
        <v>6.61</v>
      </c>
      <c r="G373" s="133">
        <v>1.607</v>
      </c>
      <c r="H373" s="133">
        <v>0.61499999999999999</v>
      </c>
      <c r="I373" s="133">
        <v>2.319</v>
      </c>
      <c r="J373" s="133">
        <v>6.93</v>
      </c>
      <c r="M373" s="143">
        <v>42507</v>
      </c>
      <c r="N373" s="142">
        <v>2047.21</v>
      </c>
    </row>
    <row r="374" spans="6:14" x14ac:dyDescent="0.55000000000000004">
      <c r="F374" s="133">
        <v>6.5469999999999997</v>
      </c>
      <c r="G374" s="133">
        <v>1.587</v>
      </c>
      <c r="H374" s="133">
        <v>0.60299999999999998</v>
      </c>
      <c r="I374" s="133">
        <v>2.2759999999999998</v>
      </c>
      <c r="J374" s="133">
        <v>6.77</v>
      </c>
      <c r="M374" s="143">
        <v>42508</v>
      </c>
      <c r="N374" s="142">
        <v>2047.63</v>
      </c>
    </row>
    <row r="375" spans="6:14" x14ac:dyDescent="0.55000000000000004">
      <c r="F375" s="133">
        <v>6.5010000000000003</v>
      </c>
      <c r="G375" s="133">
        <v>1.5640000000000001</v>
      </c>
      <c r="H375" s="133">
        <v>0.59499999999999997</v>
      </c>
      <c r="I375" s="133">
        <v>2.222</v>
      </c>
      <c r="J375" s="133">
        <v>6.77</v>
      </c>
      <c r="M375" s="143">
        <v>42509</v>
      </c>
      <c r="N375" s="142">
        <v>2040.04</v>
      </c>
    </row>
    <row r="376" spans="6:14" x14ac:dyDescent="0.55000000000000004">
      <c r="F376" s="133">
        <v>6.5250000000000004</v>
      </c>
      <c r="G376" s="133">
        <v>1.5699999999999998</v>
      </c>
      <c r="H376" s="133">
        <v>0.60499999999999998</v>
      </c>
      <c r="I376" s="133">
        <v>2.2549999999999999</v>
      </c>
      <c r="J376" s="133">
        <v>6.87</v>
      </c>
      <c r="M376" s="143">
        <v>42510</v>
      </c>
      <c r="N376" s="142">
        <v>2052.3200000000002</v>
      </c>
    </row>
    <row r="377" spans="6:14" x14ac:dyDescent="0.55000000000000004">
      <c r="F377" s="133">
        <v>6.5750000000000002</v>
      </c>
      <c r="G377" s="133">
        <v>1.528</v>
      </c>
      <c r="H377" s="133">
        <v>0.59199999999999997</v>
      </c>
      <c r="I377" s="133">
        <v>2.173</v>
      </c>
      <c r="J377" s="133">
        <v>6.88</v>
      </c>
      <c r="M377" s="143">
        <v>42513</v>
      </c>
      <c r="N377" s="142">
        <v>2048.04</v>
      </c>
    </row>
    <row r="378" spans="6:14" x14ac:dyDescent="0.55000000000000004">
      <c r="F378" s="133">
        <v>6.593</v>
      </c>
      <c r="G378" s="133">
        <v>1.4950000000000001</v>
      </c>
      <c r="H378" s="133">
        <v>0.57899999999999996</v>
      </c>
      <c r="I378" s="133">
        <v>2.1749999999999998</v>
      </c>
      <c r="J378" s="133">
        <v>6.75</v>
      </c>
      <c r="M378" s="143">
        <v>42514</v>
      </c>
      <c r="N378" s="142">
        <v>2076.06</v>
      </c>
    </row>
    <row r="379" spans="6:14" x14ac:dyDescent="0.55000000000000004">
      <c r="F379" s="133">
        <v>6.5940000000000003</v>
      </c>
      <c r="G379" s="133">
        <v>1.4929999999999999</v>
      </c>
      <c r="H379" s="133">
        <v>0.58499999999999996</v>
      </c>
      <c r="I379" s="133">
        <v>2.1669999999999998</v>
      </c>
      <c r="J379" s="133">
        <v>6.85</v>
      </c>
      <c r="M379" s="143">
        <v>42515</v>
      </c>
      <c r="N379" s="142">
        <v>2090.54</v>
      </c>
    </row>
    <row r="380" spans="6:14" x14ac:dyDescent="0.55000000000000004">
      <c r="F380" s="133">
        <v>6.585</v>
      </c>
      <c r="G380" s="133">
        <v>1.5070000000000001</v>
      </c>
      <c r="H380" s="133">
        <v>0.57599999999999996</v>
      </c>
      <c r="I380" s="133">
        <v>2.1659999999999999</v>
      </c>
      <c r="J380" s="133">
        <v>6.91</v>
      </c>
      <c r="M380" s="143">
        <v>42516</v>
      </c>
      <c r="N380" s="142">
        <v>2090.1</v>
      </c>
    </row>
    <row r="381" spans="6:14" x14ac:dyDescent="0.55000000000000004">
      <c r="F381" s="133">
        <v>6.5549999999999997</v>
      </c>
      <c r="G381" s="133">
        <v>1.508</v>
      </c>
      <c r="H381" s="133">
        <v>0.57499999999999996</v>
      </c>
      <c r="I381" s="133">
        <v>2.1509999999999998</v>
      </c>
      <c r="J381" s="133">
        <v>6.79</v>
      </c>
      <c r="M381" s="143">
        <v>42517</v>
      </c>
      <c r="N381" s="142">
        <v>2099.06</v>
      </c>
    </row>
    <row r="382" spans="6:14" x14ac:dyDescent="0.55000000000000004">
      <c r="F382" s="133">
        <v>6.5359999999999996</v>
      </c>
      <c r="G382" s="133">
        <v>1.5089999999999999</v>
      </c>
      <c r="H382" s="133">
        <v>0.57599999999999996</v>
      </c>
      <c r="I382" s="133">
        <v>2.1720000000000002</v>
      </c>
      <c r="J382" s="133">
        <v>6.9399999999999995</v>
      </c>
      <c r="M382" s="143">
        <v>42521</v>
      </c>
      <c r="N382" s="142">
        <v>2096.96</v>
      </c>
    </row>
    <row r="383" spans="6:14" x14ac:dyDescent="0.55000000000000004">
      <c r="F383" s="133">
        <v>6.4509999999999996</v>
      </c>
      <c r="G383" s="133">
        <v>1.4929999999999999</v>
      </c>
      <c r="H383" s="133">
        <v>0.57299999999999995</v>
      </c>
      <c r="I383" s="133">
        <v>2.137</v>
      </c>
      <c r="J383" s="133">
        <v>6.87</v>
      </c>
      <c r="M383" s="143">
        <v>42522</v>
      </c>
      <c r="N383" s="142">
        <v>2099.33</v>
      </c>
    </row>
    <row r="384" spans="6:14" x14ac:dyDescent="0.55000000000000004">
      <c r="F384" s="133">
        <v>6.4690000000000003</v>
      </c>
      <c r="G384" s="133">
        <v>1.4950000000000001</v>
      </c>
      <c r="H384" s="133">
        <v>0.57099999999999995</v>
      </c>
      <c r="I384" s="133">
        <v>2.1219999999999999</v>
      </c>
      <c r="J384" s="133">
        <v>6.75</v>
      </c>
      <c r="M384" s="143">
        <v>42523</v>
      </c>
      <c r="N384" s="142">
        <v>2105.2600000000002</v>
      </c>
    </row>
    <row r="385" spans="6:14" x14ac:dyDescent="0.55000000000000004">
      <c r="F385" s="133">
        <v>6.4770000000000003</v>
      </c>
      <c r="G385" s="133">
        <v>1.5409999999999999</v>
      </c>
      <c r="H385" s="133">
        <v>0.57899999999999996</v>
      </c>
      <c r="I385" s="133">
        <v>2.1840000000000002</v>
      </c>
      <c r="J385" s="133">
        <v>6.83</v>
      </c>
      <c r="M385" s="143">
        <v>42524</v>
      </c>
      <c r="N385" s="142">
        <v>2099.13</v>
      </c>
    </row>
    <row r="386" spans="6:14" x14ac:dyDescent="0.55000000000000004">
      <c r="F386" s="133">
        <v>6.4630000000000001</v>
      </c>
      <c r="G386" s="133">
        <v>1.5249999999999999</v>
      </c>
      <c r="H386" s="133">
        <v>0.57799999999999996</v>
      </c>
      <c r="I386" s="133">
        <v>2.1440000000000001</v>
      </c>
      <c r="J386" s="133">
        <v>6.85</v>
      </c>
      <c r="M386" s="143">
        <v>42527</v>
      </c>
      <c r="N386" s="142">
        <v>2109.41</v>
      </c>
    </row>
    <row r="387" spans="6:14" x14ac:dyDescent="0.55000000000000004">
      <c r="F387" s="133">
        <v>6.4409999999999998</v>
      </c>
      <c r="G387" s="133">
        <v>1.512</v>
      </c>
      <c r="H387" s="133">
        <v>0.57199999999999995</v>
      </c>
      <c r="I387" s="133">
        <v>2.1339999999999999</v>
      </c>
      <c r="J387" s="133">
        <v>6.83</v>
      </c>
      <c r="M387" s="143">
        <v>42528</v>
      </c>
      <c r="N387" s="142">
        <v>2112.13</v>
      </c>
    </row>
    <row r="388" spans="6:14" x14ac:dyDescent="0.55000000000000004">
      <c r="F388" s="133">
        <v>6.5090000000000003</v>
      </c>
      <c r="G388" s="133">
        <v>1.5110000000000001</v>
      </c>
      <c r="H388" s="133">
        <v>0.57599999999999996</v>
      </c>
      <c r="I388" s="133">
        <v>2.145</v>
      </c>
      <c r="J388" s="133">
        <v>6.92</v>
      </c>
      <c r="M388" s="143">
        <v>42529</v>
      </c>
      <c r="N388" s="142">
        <v>2119.12</v>
      </c>
    </row>
    <row r="389" spans="6:14" x14ac:dyDescent="0.55000000000000004">
      <c r="F389" s="133">
        <v>6.5839999999999996</v>
      </c>
      <c r="G389" s="133">
        <v>1.5310000000000001</v>
      </c>
      <c r="H389" s="133">
        <v>0.58399999999999996</v>
      </c>
      <c r="I389" s="133">
        <v>2.161</v>
      </c>
      <c r="J389" s="133">
        <v>7.07</v>
      </c>
      <c r="M389" s="143">
        <v>42530</v>
      </c>
      <c r="N389" s="142">
        <v>2115.48</v>
      </c>
    </row>
    <row r="390" spans="6:14" x14ac:dyDescent="0.55000000000000004">
      <c r="F390" s="133">
        <v>6.5590000000000002</v>
      </c>
      <c r="G390" s="133">
        <v>1.522</v>
      </c>
      <c r="H390" s="133">
        <v>0.58099999999999996</v>
      </c>
      <c r="I390" s="133">
        <v>2.1619999999999999</v>
      </c>
      <c r="J390" s="133">
        <v>7.02</v>
      </c>
      <c r="M390" s="143">
        <v>42531</v>
      </c>
      <c r="N390" s="142">
        <v>2096.0700000000002</v>
      </c>
    </row>
    <row r="391" spans="6:14" x14ac:dyDescent="0.55000000000000004">
      <c r="F391" s="133">
        <v>6.4889999999999999</v>
      </c>
      <c r="G391" s="133">
        <v>1.5049999999999999</v>
      </c>
      <c r="H391" s="133">
        <v>0.57999999999999996</v>
      </c>
      <c r="I391" s="133">
        <v>2.1390000000000002</v>
      </c>
      <c r="J391" s="133">
        <v>6.84</v>
      </c>
      <c r="M391" s="143">
        <v>42534</v>
      </c>
      <c r="N391" s="142">
        <v>2079.06</v>
      </c>
    </row>
    <row r="392" spans="6:14" x14ac:dyDescent="0.55000000000000004">
      <c r="F392" s="133">
        <v>6.4790000000000001</v>
      </c>
      <c r="G392" s="133">
        <v>1.4950000000000001</v>
      </c>
      <c r="H392" s="133">
        <v>0.58099999999999996</v>
      </c>
      <c r="I392" s="133">
        <v>2.1469999999999998</v>
      </c>
      <c r="J392" s="133">
        <v>6.84</v>
      </c>
      <c r="M392" s="143">
        <v>42535</v>
      </c>
      <c r="N392" s="142">
        <v>2075.3200000000002</v>
      </c>
    </row>
    <row r="393" spans="6:14" x14ac:dyDescent="0.55000000000000004">
      <c r="F393" s="133">
        <v>6.4560000000000004</v>
      </c>
      <c r="G393" s="133">
        <v>1.49</v>
      </c>
      <c r="H393" s="133">
        <v>0.57699999999999996</v>
      </c>
      <c r="I393" s="133">
        <v>2.1240000000000001</v>
      </c>
      <c r="J393" s="133">
        <v>6.76</v>
      </c>
      <c r="M393" s="143">
        <v>42536</v>
      </c>
      <c r="N393" s="142">
        <v>2071.5</v>
      </c>
    </row>
    <row r="394" spans="6:14" x14ac:dyDescent="0.55000000000000004">
      <c r="F394" s="133">
        <v>6.5110000000000001</v>
      </c>
      <c r="G394" s="133">
        <v>1.5070000000000001</v>
      </c>
      <c r="H394" s="133">
        <v>0.57899999999999996</v>
      </c>
      <c r="I394" s="133">
        <v>2.1419999999999999</v>
      </c>
      <c r="J394" s="133">
        <v>6.89</v>
      </c>
      <c r="M394" s="143">
        <v>42537</v>
      </c>
      <c r="N394" s="142">
        <v>2077.9899999999998</v>
      </c>
    </row>
    <row r="395" spans="6:14" x14ac:dyDescent="0.55000000000000004">
      <c r="F395" s="133">
        <v>6.5759999999999996</v>
      </c>
      <c r="G395" s="133">
        <v>1.516</v>
      </c>
      <c r="H395" s="133">
        <v>0.58099999999999996</v>
      </c>
      <c r="I395" s="133">
        <v>2.15</v>
      </c>
      <c r="J395" s="133">
        <v>7.1</v>
      </c>
      <c r="M395" s="143">
        <v>42538</v>
      </c>
      <c r="N395" s="142">
        <v>2071.2199999999998</v>
      </c>
    </row>
    <row r="396" spans="6:14" x14ac:dyDescent="0.55000000000000004">
      <c r="F396" s="133">
        <v>6.5730000000000004</v>
      </c>
      <c r="G396" s="133">
        <v>1.532</v>
      </c>
      <c r="H396" s="133">
        <v>0.59199999999999997</v>
      </c>
      <c r="I396" s="133">
        <v>2.2250000000000001</v>
      </c>
      <c r="J396" s="133">
        <v>7.11</v>
      </c>
      <c r="M396" s="143">
        <v>42541</v>
      </c>
      <c r="N396" s="142">
        <v>2083.25</v>
      </c>
    </row>
    <row r="397" spans="6:14" x14ac:dyDescent="0.55000000000000004">
      <c r="F397" s="133">
        <v>6.54</v>
      </c>
      <c r="G397" s="133">
        <v>1.5049999999999999</v>
      </c>
      <c r="H397" s="133">
        <v>0.58399999999999996</v>
      </c>
      <c r="I397" s="133">
        <v>2.177</v>
      </c>
      <c r="J397" s="133">
        <v>7.08</v>
      </c>
      <c r="M397" s="143">
        <v>42542</v>
      </c>
      <c r="N397" s="142">
        <v>2088.9</v>
      </c>
    </row>
    <row r="398" spans="6:14" x14ac:dyDescent="0.55000000000000004">
      <c r="F398" s="133">
        <v>6.4960000000000004</v>
      </c>
      <c r="G398" s="133">
        <v>1.4870000000000001</v>
      </c>
      <c r="H398" s="133">
        <v>0.58099999999999996</v>
      </c>
      <c r="I398" s="133">
        <v>2.157</v>
      </c>
      <c r="J398" s="133">
        <v>7.03</v>
      </c>
      <c r="M398" s="143">
        <v>42543</v>
      </c>
      <c r="N398" s="142">
        <v>2085.4499999999998</v>
      </c>
    </row>
    <row r="399" spans="6:14" x14ac:dyDescent="0.55000000000000004">
      <c r="F399" s="133">
        <v>6.4580000000000002</v>
      </c>
      <c r="G399" s="133">
        <v>1.4849999999999999</v>
      </c>
      <c r="H399" s="133">
        <v>0.56999999999999995</v>
      </c>
      <c r="I399" s="133">
        <v>2.1520000000000001</v>
      </c>
      <c r="J399" s="133">
        <v>6.95</v>
      </c>
      <c r="M399" s="143">
        <v>42544</v>
      </c>
      <c r="N399" s="142">
        <v>2113.3200000000002</v>
      </c>
    </row>
    <row r="400" spans="6:14" x14ac:dyDescent="0.55000000000000004">
      <c r="F400" s="133">
        <v>6.4779999999999998</v>
      </c>
      <c r="G400" s="133">
        <v>1.4689999999999999</v>
      </c>
      <c r="H400" s="133">
        <v>0.56699999999999995</v>
      </c>
      <c r="I400" s="133">
        <v>2.161</v>
      </c>
      <c r="J400" s="133">
        <v>7.02</v>
      </c>
      <c r="M400" s="143">
        <v>42545</v>
      </c>
      <c r="N400" s="142">
        <v>2037.41</v>
      </c>
    </row>
    <row r="401" spans="6:14" x14ac:dyDescent="0.55000000000000004">
      <c r="F401" s="133">
        <v>6.4969999999999999</v>
      </c>
      <c r="G401" s="133">
        <v>1.4929999999999999</v>
      </c>
      <c r="H401" s="133">
        <v>0.56899999999999995</v>
      </c>
      <c r="I401" s="133">
        <v>2.181</v>
      </c>
      <c r="J401" s="133">
        <v>7.07</v>
      </c>
      <c r="M401" s="143">
        <v>42548</v>
      </c>
      <c r="N401" s="142">
        <v>2000.54</v>
      </c>
    </row>
    <row r="402" spans="6:14" x14ac:dyDescent="0.55000000000000004">
      <c r="F402" s="133">
        <v>6.548</v>
      </c>
      <c r="G402" s="133">
        <v>1.5</v>
      </c>
      <c r="H402" s="133">
        <v>0.56899999999999995</v>
      </c>
      <c r="I402" s="133">
        <v>2.1829999999999998</v>
      </c>
      <c r="J402" s="133">
        <v>7.11</v>
      </c>
      <c r="M402" s="143">
        <v>42549</v>
      </c>
      <c r="N402" s="142">
        <v>2036.09</v>
      </c>
    </row>
    <row r="403" spans="6:14" x14ac:dyDescent="0.55000000000000004">
      <c r="F403" s="133">
        <v>6.569</v>
      </c>
      <c r="G403" s="133">
        <v>1.498</v>
      </c>
      <c r="H403" s="133">
        <v>0.56599999999999995</v>
      </c>
      <c r="I403" s="133">
        <v>2.198</v>
      </c>
      <c r="J403" s="133">
        <v>7.14</v>
      </c>
      <c r="M403" s="143">
        <v>42550</v>
      </c>
      <c r="N403" s="142">
        <v>2070.77</v>
      </c>
    </row>
    <row r="404" spans="6:14" x14ac:dyDescent="0.55000000000000004">
      <c r="F404" s="133">
        <v>6.6180000000000003</v>
      </c>
      <c r="G404" s="133">
        <v>1.5249999999999999</v>
      </c>
      <c r="H404" s="133">
        <v>0.57199999999999995</v>
      </c>
      <c r="I404" s="133">
        <v>2.2200000000000002</v>
      </c>
      <c r="J404" s="133">
        <v>7.13</v>
      </c>
      <c r="M404" s="143">
        <v>42551</v>
      </c>
      <c r="N404" s="142">
        <v>2098.86</v>
      </c>
    </row>
    <row r="405" spans="6:14" x14ac:dyDescent="0.55000000000000004">
      <c r="F405" s="133">
        <v>6.6890000000000001</v>
      </c>
      <c r="G405" s="133">
        <v>1.538</v>
      </c>
      <c r="H405" s="133">
        <v>0.57599999999999996</v>
      </c>
      <c r="I405" s="133">
        <v>2.2250000000000001</v>
      </c>
      <c r="J405" s="133">
        <v>7.22</v>
      </c>
      <c r="M405" s="143">
        <v>42552</v>
      </c>
      <c r="N405" s="142">
        <v>2102.9499999999998</v>
      </c>
    </row>
    <row r="406" spans="6:14" x14ac:dyDescent="0.55000000000000004">
      <c r="F406" s="133">
        <v>6.7149999999999999</v>
      </c>
      <c r="G406" s="133">
        <v>1.55</v>
      </c>
      <c r="H406" s="133">
        <v>0.58299999999999996</v>
      </c>
      <c r="I406" s="133">
        <v>2.2359999999999998</v>
      </c>
      <c r="J406" s="133">
        <v>7.34</v>
      </c>
      <c r="M406" s="143">
        <v>42556</v>
      </c>
      <c r="N406" s="142">
        <v>2088.5500000000002</v>
      </c>
    </row>
    <row r="407" spans="6:14" x14ac:dyDescent="0.55000000000000004">
      <c r="F407" s="133">
        <v>6.7160000000000002</v>
      </c>
      <c r="G407" s="133">
        <v>1.56</v>
      </c>
      <c r="H407" s="133">
        <v>0.58299999999999996</v>
      </c>
      <c r="I407" s="133">
        <v>2.2450000000000001</v>
      </c>
      <c r="J407" s="133">
        <v>7.35</v>
      </c>
      <c r="M407" s="143">
        <v>42557</v>
      </c>
      <c r="N407" s="142">
        <v>2099.73</v>
      </c>
    </row>
    <row r="408" spans="6:14" x14ac:dyDescent="0.55000000000000004">
      <c r="F408" s="133">
        <v>6.7249999999999996</v>
      </c>
      <c r="G408" s="133">
        <v>1.5720000000000001</v>
      </c>
      <c r="H408" s="133">
        <v>0.57799999999999996</v>
      </c>
      <c r="I408" s="133">
        <v>2.2610000000000001</v>
      </c>
      <c r="J408" s="133">
        <v>7.35</v>
      </c>
      <c r="M408" s="143">
        <v>42558</v>
      </c>
      <c r="N408" s="142">
        <v>2097.9</v>
      </c>
    </row>
    <row r="409" spans="6:14" x14ac:dyDescent="0.55000000000000004">
      <c r="F409" s="133">
        <v>6.6850000000000005</v>
      </c>
      <c r="G409" s="133">
        <v>1.569</v>
      </c>
      <c r="H409" s="133">
        <v>0.57699999999999996</v>
      </c>
      <c r="I409" s="133">
        <v>2.258</v>
      </c>
      <c r="J409" s="133">
        <v>7.33</v>
      </c>
      <c r="M409" s="143">
        <v>42559</v>
      </c>
      <c r="N409" s="142">
        <v>2129.9</v>
      </c>
    </row>
    <row r="410" spans="6:14" x14ac:dyDescent="0.55000000000000004">
      <c r="F410" s="133">
        <v>6.7069999999999999</v>
      </c>
      <c r="G410" s="133">
        <v>1.5640000000000001</v>
      </c>
      <c r="H410" s="133">
        <v>0.57799999999999996</v>
      </c>
      <c r="I410" s="133">
        <v>2.282</v>
      </c>
      <c r="J410" s="133">
        <v>7.37</v>
      </c>
      <c r="M410" s="143">
        <v>42562</v>
      </c>
      <c r="N410" s="142">
        <v>2137.16</v>
      </c>
    </row>
    <row r="411" spans="6:14" x14ac:dyDescent="0.55000000000000004">
      <c r="F411" s="133">
        <v>6.6669999999999998</v>
      </c>
      <c r="G411" s="133">
        <v>1.5649999999999999</v>
      </c>
      <c r="H411" s="133">
        <v>0.57999999999999996</v>
      </c>
      <c r="I411" s="133">
        <v>2.2800000000000002</v>
      </c>
      <c r="J411" s="133">
        <v>7.34</v>
      </c>
      <c r="M411" s="143">
        <v>42563</v>
      </c>
      <c r="N411" s="142">
        <v>2152.14</v>
      </c>
    </row>
    <row r="412" spans="6:14" x14ac:dyDescent="0.55000000000000004">
      <c r="F412" s="133">
        <v>6.6449999999999996</v>
      </c>
      <c r="G412" s="133">
        <v>1.579</v>
      </c>
      <c r="H412" s="133">
        <v>0.57799999999999996</v>
      </c>
      <c r="I412" s="133">
        <v>2.2970000000000002</v>
      </c>
      <c r="J412" s="133">
        <v>7.21</v>
      </c>
      <c r="M412" s="143">
        <v>42564</v>
      </c>
      <c r="N412" s="142">
        <v>2152.4299999999998</v>
      </c>
    </row>
    <row r="413" spans="6:14" x14ac:dyDescent="0.55000000000000004">
      <c r="F413" s="133">
        <v>6.6340000000000003</v>
      </c>
      <c r="G413" s="133">
        <v>1.5720000000000001</v>
      </c>
      <c r="H413" s="133">
        <v>0.57699999999999996</v>
      </c>
      <c r="I413" s="133">
        <v>2.2999999999999998</v>
      </c>
      <c r="J413" s="133">
        <v>7.15</v>
      </c>
      <c r="M413" s="143">
        <v>42565</v>
      </c>
      <c r="N413" s="142">
        <v>2163.75</v>
      </c>
    </row>
    <row r="414" spans="6:14" x14ac:dyDescent="0.55000000000000004">
      <c r="F414" s="133">
        <v>6.6719999999999997</v>
      </c>
      <c r="G414" s="133">
        <v>1.5680000000000001</v>
      </c>
      <c r="H414" s="133">
        <v>0.57899999999999996</v>
      </c>
      <c r="I414" s="133">
        <v>2.2930000000000001</v>
      </c>
      <c r="J414" s="133">
        <v>7.17</v>
      </c>
      <c r="M414" s="143">
        <v>42566</v>
      </c>
      <c r="N414" s="142">
        <v>2161.7399999999998</v>
      </c>
    </row>
    <row r="415" spans="6:14" x14ac:dyDescent="0.55000000000000004">
      <c r="F415" s="133">
        <v>6.7050000000000001</v>
      </c>
      <c r="G415" s="133">
        <v>1.581</v>
      </c>
      <c r="H415" s="133">
        <v>0.57999999999999996</v>
      </c>
      <c r="I415" s="133">
        <v>2.2989999999999999</v>
      </c>
      <c r="J415" s="133">
        <v>7.21</v>
      </c>
      <c r="M415" s="143">
        <v>42569</v>
      </c>
      <c r="N415" s="142">
        <v>2166.89</v>
      </c>
    </row>
    <row r="416" spans="6:14" x14ac:dyDescent="0.55000000000000004">
      <c r="F416" s="133">
        <v>6.6429999999999998</v>
      </c>
      <c r="G416" s="133">
        <v>1.5580000000000001</v>
      </c>
      <c r="H416" s="133">
        <v>0.57699999999999996</v>
      </c>
      <c r="I416" s="133">
        <v>2.29</v>
      </c>
      <c r="J416" s="133">
        <v>7.11</v>
      </c>
      <c r="M416" s="143">
        <v>42570</v>
      </c>
      <c r="N416" s="142">
        <v>2163.7800000000002</v>
      </c>
    </row>
    <row r="417" spans="6:14" x14ac:dyDescent="0.55000000000000004">
      <c r="F417" s="133">
        <v>6.6139999999999999</v>
      </c>
      <c r="G417" s="133">
        <v>1.5629999999999999</v>
      </c>
      <c r="H417" s="133">
        <v>0.57399999999999995</v>
      </c>
      <c r="I417" s="133">
        <v>2.3069999999999999</v>
      </c>
      <c r="J417" s="133">
        <v>7.14</v>
      </c>
      <c r="M417" s="143">
        <v>42571</v>
      </c>
      <c r="N417" s="142">
        <v>2173.02</v>
      </c>
    </row>
    <row r="418" spans="6:14" x14ac:dyDescent="0.55000000000000004">
      <c r="F418" s="133">
        <v>6.6269999999999998</v>
      </c>
      <c r="G418" s="133">
        <v>1.556</v>
      </c>
      <c r="H418" s="133">
        <v>0.56799999999999995</v>
      </c>
      <c r="I418" s="133">
        <v>2.2810000000000001</v>
      </c>
      <c r="J418" s="133">
        <v>7.13</v>
      </c>
      <c r="M418" s="143">
        <v>42572</v>
      </c>
      <c r="N418" s="142">
        <v>2165.17</v>
      </c>
    </row>
    <row r="419" spans="6:14" x14ac:dyDescent="0.55000000000000004">
      <c r="F419" s="133">
        <v>6.6260000000000003</v>
      </c>
      <c r="G419" s="133">
        <v>1.5659999999999998</v>
      </c>
      <c r="H419" s="133">
        <v>0.56699999999999995</v>
      </c>
      <c r="I419" s="133">
        <v>2.2850000000000001</v>
      </c>
      <c r="J419" s="133">
        <v>7.04</v>
      </c>
      <c r="M419" s="143">
        <v>42573</v>
      </c>
      <c r="N419" s="142">
        <v>2175.0300000000002</v>
      </c>
    </row>
    <row r="420" spans="6:14" x14ac:dyDescent="0.55000000000000004">
      <c r="F420" s="133">
        <v>6.7089999999999996</v>
      </c>
      <c r="G420" s="133">
        <v>1.601</v>
      </c>
      <c r="H420" s="133">
        <v>0.56999999999999995</v>
      </c>
      <c r="I420" s="133">
        <v>2.286</v>
      </c>
      <c r="J420" s="133">
        <v>7.15</v>
      </c>
      <c r="M420" s="143">
        <v>42576</v>
      </c>
      <c r="N420" s="142">
        <v>2168.48</v>
      </c>
    </row>
    <row r="421" spans="6:14" x14ac:dyDescent="0.55000000000000004">
      <c r="F421" s="133">
        <v>6.5640000000000001</v>
      </c>
      <c r="G421" s="133">
        <v>1.599</v>
      </c>
      <c r="H421" s="133">
        <v>0.56999999999999995</v>
      </c>
      <c r="I421" s="133">
        <v>2.282</v>
      </c>
      <c r="J421" s="133">
        <v>6.82</v>
      </c>
      <c r="M421" s="143">
        <v>42577</v>
      </c>
      <c r="N421" s="142">
        <v>2169.1799999999998</v>
      </c>
    </row>
    <row r="422" spans="6:14" x14ac:dyDescent="0.55000000000000004">
      <c r="F422" s="133">
        <v>6.5510000000000002</v>
      </c>
      <c r="G422" s="133">
        <v>1.595</v>
      </c>
      <c r="H422" s="133">
        <v>0.56799999999999995</v>
      </c>
      <c r="I422" s="133">
        <v>2.2810000000000001</v>
      </c>
      <c r="J422" s="133">
        <v>6.87</v>
      </c>
      <c r="M422" s="143">
        <v>42578</v>
      </c>
      <c r="N422" s="142">
        <v>2166.58</v>
      </c>
    </row>
    <row r="423" spans="6:14" x14ac:dyDescent="0.55000000000000004">
      <c r="F423" s="133">
        <v>6.6239999999999997</v>
      </c>
      <c r="G423" s="133">
        <v>1.601</v>
      </c>
      <c r="H423" s="133">
        <v>0.56000000000000005</v>
      </c>
      <c r="I423" s="133">
        <v>2.2789999999999999</v>
      </c>
      <c r="J423" s="133">
        <v>6.9</v>
      </c>
      <c r="M423" s="143">
        <v>42579</v>
      </c>
      <c r="N423" s="142">
        <v>2170.06</v>
      </c>
    </row>
    <row r="424" spans="6:14" x14ac:dyDescent="0.55000000000000004">
      <c r="F424" s="133">
        <v>6.6639999999999997</v>
      </c>
      <c r="G424" s="133">
        <v>1.6080000000000001</v>
      </c>
      <c r="H424" s="133">
        <v>0.56200000000000006</v>
      </c>
      <c r="I424" s="133">
        <v>2.2949999999999999</v>
      </c>
      <c r="J424" s="133">
        <v>6.9</v>
      </c>
      <c r="M424" s="143">
        <v>42580</v>
      </c>
      <c r="N424" s="142">
        <v>2173.6</v>
      </c>
    </row>
    <row r="425" spans="6:14" x14ac:dyDescent="0.55000000000000004">
      <c r="F425" s="133">
        <v>6.6479999999999997</v>
      </c>
      <c r="G425" s="133">
        <v>1.577</v>
      </c>
      <c r="H425" s="133">
        <v>0.55100000000000005</v>
      </c>
      <c r="I425" s="133">
        <v>2.2029999999999998</v>
      </c>
      <c r="J425" s="133">
        <v>6.83</v>
      </c>
      <c r="M425" s="143">
        <v>42583</v>
      </c>
      <c r="N425" s="142">
        <v>2170.84</v>
      </c>
    </row>
    <row r="426" spans="6:14" x14ac:dyDescent="0.55000000000000004">
      <c r="F426" s="133">
        <v>6.5670000000000002</v>
      </c>
      <c r="G426" s="133">
        <v>1.5409999999999999</v>
      </c>
      <c r="H426" s="133">
        <v>0.53300000000000003</v>
      </c>
      <c r="I426" s="133">
        <v>2.17</v>
      </c>
      <c r="J426" s="133">
        <v>6.77</v>
      </c>
      <c r="M426" s="143">
        <v>42584</v>
      </c>
      <c r="N426" s="142">
        <v>2157.0300000000002</v>
      </c>
    </row>
    <row r="427" spans="6:14" x14ac:dyDescent="0.55000000000000004">
      <c r="F427" s="133">
        <v>6.66</v>
      </c>
      <c r="G427" s="133">
        <v>1.5590000000000002</v>
      </c>
      <c r="H427" s="133">
        <v>0.52800000000000002</v>
      </c>
      <c r="I427" s="133">
        <v>2.1709999999999998</v>
      </c>
      <c r="J427" s="133">
        <v>6.99</v>
      </c>
      <c r="M427" s="143">
        <v>42585</v>
      </c>
      <c r="N427" s="142">
        <v>2163.79</v>
      </c>
    </row>
    <row r="428" spans="6:14" x14ac:dyDescent="0.55000000000000004">
      <c r="F428" s="133">
        <v>6.4610000000000003</v>
      </c>
      <c r="G428" s="133">
        <v>1.532</v>
      </c>
      <c r="H428" s="133">
        <v>0.51300000000000001</v>
      </c>
      <c r="I428" s="133">
        <v>2.0289999999999999</v>
      </c>
      <c r="J428" s="133">
        <v>6.73</v>
      </c>
      <c r="M428" s="143">
        <v>42586</v>
      </c>
      <c r="N428" s="142">
        <v>2164.25</v>
      </c>
    </row>
    <row r="429" spans="6:14" x14ac:dyDescent="0.55000000000000004">
      <c r="F429" s="133">
        <v>6.2679999999999998</v>
      </c>
      <c r="G429" s="133">
        <v>1.4729999999999999</v>
      </c>
      <c r="H429" s="133">
        <v>0.502</v>
      </c>
      <c r="I429" s="133">
        <v>1.9750000000000001</v>
      </c>
      <c r="J429" s="133">
        <v>6.38</v>
      </c>
      <c r="M429" s="143">
        <v>42587</v>
      </c>
      <c r="N429" s="142">
        <v>2182.87</v>
      </c>
    </row>
    <row r="430" spans="6:14" x14ac:dyDescent="0.55000000000000004">
      <c r="F430" s="133">
        <v>6.2789999999999999</v>
      </c>
      <c r="G430" s="133">
        <v>1.472</v>
      </c>
      <c r="H430" s="133">
        <v>0.502</v>
      </c>
      <c r="I430" s="133">
        <v>2.008</v>
      </c>
      <c r="J430" s="133">
        <v>6.31</v>
      </c>
      <c r="M430" s="143">
        <v>42590</v>
      </c>
      <c r="N430" s="142">
        <v>2180.89</v>
      </c>
    </row>
    <row r="431" spans="6:14" x14ac:dyDescent="0.55000000000000004">
      <c r="F431" s="133">
        <v>6.274</v>
      </c>
      <c r="G431" s="133">
        <v>1.4750000000000001</v>
      </c>
      <c r="H431" s="133">
        <v>0.502</v>
      </c>
      <c r="I431" s="133">
        <v>2.044</v>
      </c>
      <c r="J431" s="133">
        <v>6.27</v>
      </c>
      <c r="M431" s="143">
        <v>42591</v>
      </c>
      <c r="N431" s="142">
        <v>2181.7399999999998</v>
      </c>
    </row>
    <row r="432" spans="6:14" x14ac:dyDescent="0.55000000000000004">
      <c r="F432" s="133">
        <v>6.343</v>
      </c>
      <c r="G432" s="133">
        <v>1.4590000000000001</v>
      </c>
      <c r="H432" s="133">
        <v>0.498</v>
      </c>
      <c r="I432" s="133">
        <v>2.0750000000000002</v>
      </c>
      <c r="J432" s="133">
        <v>6.35</v>
      </c>
      <c r="M432" s="143">
        <v>42592</v>
      </c>
      <c r="N432" s="142">
        <v>2175.4899999999998</v>
      </c>
    </row>
    <row r="433" spans="6:14" x14ac:dyDescent="0.55000000000000004">
      <c r="F433" s="133">
        <v>6.22</v>
      </c>
      <c r="G433" s="133">
        <v>1.4379999999999999</v>
      </c>
      <c r="H433" s="133">
        <v>0.495</v>
      </c>
      <c r="I433" s="133">
        <v>2.0459999999999998</v>
      </c>
      <c r="J433" s="133">
        <v>6.26</v>
      </c>
      <c r="M433" s="143">
        <v>42593</v>
      </c>
      <c r="N433" s="142">
        <v>2185.79</v>
      </c>
    </row>
    <row r="434" spans="6:14" x14ac:dyDescent="0.55000000000000004">
      <c r="F434" s="133">
        <v>6.11</v>
      </c>
      <c r="G434" s="133">
        <v>1.415</v>
      </c>
      <c r="H434" s="133">
        <v>0.48699999999999999</v>
      </c>
      <c r="I434" s="133">
        <v>2.0099999999999998</v>
      </c>
      <c r="J434" s="133">
        <v>6.14</v>
      </c>
      <c r="M434" s="143">
        <v>42594</v>
      </c>
      <c r="N434" s="142">
        <v>2184.0500000000002</v>
      </c>
    </row>
    <row r="435" spans="6:14" x14ac:dyDescent="0.55000000000000004">
      <c r="F435" s="133">
        <v>6.1429999999999998</v>
      </c>
      <c r="G435" s="133">
        <v>1.411</v>
      </c>
      <c r="H435" s="133">
        <v>0.49</v>
      </c>
      <c r="I435" s="133">
        <v>2.028</v>
      </c>
      <c r="J435" s="133">
        <v>6.22</v>
      </c>
      <c r="M435" s="143">
        <v>42597</v>
      </c>
      <c r="N435" s="142">
        <v>2190.15</v>
      </c>
    </row>
    <row r="436" spans="6:14" x14ac:dyDescent="0.55000000000000004">
      <c r="F436" s="133">
        <v>6.0220000000000002</v>
      </c>
      <c r="G436" s="133">
        <v>1.3879999999999999</v>
      </c>
      <c r="H436" s="133">
        <v>0.48699999999999999</v>
      </c>
      <c r="I436" s="133">
        <v>1.9849999999999999</v>
      </c>
      <c r="J436" s="133">
        <v>6.08</v>
      </c>
      <c r="M436" s="143">
        <v>42598</v>
      </c>
      <c r="N436" s="142">
        <v>2178.15</v>
      </c>
    </row>
    <row r="437" spans="6:14" x14ac:dyDescent="0.55000000000000004">
      <c r="F437" s="133">
        <v>5.9130000000000003</v>
      </c>
      <c r="G437" s="133">
        <v>1.3719999999999999</v>
      </c>
      <c r="H437" s="133">
        <v>0.48599999999999999</v>
      </c>
      <c r="I437" s="133">
        <v>1.7770000000000001</v>
      </c>
      <c r="J437" s="133">
        <v>6.02</v>
      </c>
      <c r="M437" s="143">
        <v>42599</v>
      </c>
      <c r="N437" s="142">
        <v>2182.2199999999998</v>
      </c>
    </row>
    <row r="438" spans="6:14" x14ac:dyDescent="0.55000000000000004">
      <c r="F438" s="133">
        <v>5.9719999999999995</v>
      </c>
      <c r="G438" s="133">
        <v>1.3980000000000001</v>
      </c>
      <c r="H438" s="133">
        <v>0.497</v>
      </c>
      <c r="I438" s="133">
        <v>1.8220000000000001</v>
      </c>
      <c r="J438" s="133">
        <v>6.12</v>
      </c>
      <c r="M438" s="143">
        <v>42600</v>
      </c>
      <c r="N438" s="142">
        <v>2187.02</v>
      </c>
    </row>
    <row r="439" spans="6:14" x14ac:dyDescent="0.55000000000000004">
      <c r="F439" s="133">
        <v>6.0369999999999999</v>
      </c>
      <c r="G439" s="133">
        <v>1.4060000000000001</v>
      </c>
      <c r="H439" s="133">
        <v>0.499</v>
      </c>
      <c r="I439" s="133">
        <v>1.847</v>
      </c>
      <c r="J439" s="133">
        <v>6.18</v>
      </c>
      <c r="M439" s="143">
        <v>42601</v>
      </c>
      <c r="N439" s="142">
        <v>2183.87</v>
      </c>
    </row>
    <row r="440" spans="6:14" x14ac:dyDescent="0.55000000000000004">
      <c r="F440" s="133">
        <v>5.9690000000000003</v>
      </c>
      <c r="G440" s="133">
        <v>1.385</v>
      </c>
      <c r="H440" s="133">
        <v>0.497</v>
      </c>
      <c r="I440" s="133">
        <v>1.845</v>
      </c>
      <c r="J440" s="133">
        <v>6.17</v>
      </c>
      <c r="M440" s="143">
        <v>42604</v>
      </c>
      <c r="N440" s="142">
        <v>2182.64</v>
      </c>
    </row>
    <row r="441" spans="6:14" x14ac:dyDescent="0.55000000000000004">
      <c r="F441" s="133">
        <v>5.9829999999999997</v>
      </c>
      <c r="G441" s="133">
        <v>1.3919999999999999</v>
      </c>
      <c r="H441" s="133">
        <v>0.495</v>
      </c>
      <c r="I441" s="133">
        <v>1.819</v>
      </c>
      <c r="J441" s="133">
        <v>6.23</v>
      </c>
      <c r="M441" s="143">
        <v>42605</v>
      </c>
      <c r="N441" s="142">
        <v>2186.9</v>
      </c>
    </row>
    <row r="442" spans="6:14" x14ac:dyDescent="0.55000000000000004">
      <c r="F442" s="133">
        <v>5.9370000000000003</v>
      </c>
      <c r="G442" s="133">
        <v>1.393</v>
      </c>
      <c r="H442" s="133">
        <v>0.497</v>
      </c>
      <c r="I442" s="133">
        <v>1.835</v>
      </c>
      <c r="J442" s="133">
        <v>6.2</v>
      </c>
      <c r="M442" s="143">
        <v>42606</v>
      </c>
      <c r="N442" s="142">
        <v>2175.44</v>
      </c>
    </row>
    <row r="443" spans="6:14" x14ac:dyDescent="0.55000000000000004">
      <c r="F443" s="133">
        <v>5.8639999999999999</v>
      </c>
      <c r="G443" s="133">
        <v>1.38</v>
      </c>
      <c r="H443" s="133">
        <v>0.5</v>
      </c>
      <c r="I443" s="133">
        <v>1.83</v>
      </c>
      <c r="J443" s="133">
        <v>6.14</v>
      </c>
      <c r="M443" s="143">
        <v>42607</v>
      </c>
      <c r="N443" s="142">
        <v>2172.4699999999998</v>
      </c>
    </row>
    <row r="444" spans="6:14" x14ac:dyDescent="0.55000000000000004">
      <c r="F444" s="133">
        <v>5.8090000000000002</v>
      </c>
      <c r="G444" s="133">
        <v>1.367</v>
      </c>
      <c r="H444" s="133">
        <v>0.498</v>
      </c>
      <c r="I444" s="133">
        <v>1.8420000000000001</v>
      </c>
      <c r="J444" s="133">
        <v>6.07</v>
      </c>
      <c r="M444" s="143">
        <v>42608</v>
      </c>
      <c r="N444" s="142">
        <v>2169.04</v>
      </c>
    </row>
    <row r="445" spans="6:14" x14ac:dyDescent="0.55000000000000004">
      <c r="F445" s="133">
        <v>5.8179999999999996</v>
      </c>
      <c r="G445" s="133">
        <v>1.3620000000000001</v>
      </c>
      <c r="H445" s="133">
        <v>0.495</v>
      </c>
      <c r="I445" s="133">
        <v>1.8260000000000001</v>
      </c>
      <c r="J445" s="133">
        <v>6.11</v>
      </c>
      <c r="M445" s="143">
        <v>42611</v>
      </c>
      <c r="N445" s="142">
        <v>2180.38</v>
      </c>
    </row>
    <row r="446" spans="6:14" x14ac:dyDescent="0.55000000000000004">
      <c r="F446" s="133">
        <v>5.915</v>
      </c>
      <c r="G446" s="133">
        <v>1.375</v>
      </c>
      <c r="H446" s="133">
        <v>0.498</v>
      </c>
      <c r="I446" s="133">
        <v>1.835</v>
      </c>
      <c r="J446" s="133">
        <v>6.21</v>
      </c>
      <c r="M446" s="143">
        <v>42612</v>
      </c>
      <c r="N446" s="142">
        <v>2176.12</v>
      </c>
    </row>
    <row r="447" spans="6:14" x14ac:dyDescent="0.55000000000000004">
      <c r="F447" s="133">
        <v>5.9139999999999997</v>
      </c>
      <c r="G447" s="133">
        <v>1.3660000000000001</v>
      </c>
      <c r="H447" s="133">
        <v>0.498</v>
      </c>
      <c r="I447" s="133">
        <v>1.855</v>
      </c>
      <c r="J447" s="133">
        <v>6.22</v>
      </c>
      <c r="M447" s="143">
        <v>42613</v>
      </c>
      <c r="N447" s="142">
        <v>2170.9499999999998</v>
      </c>
    </row>
    <row r="448" spans="6:14" x14ac:dyDescent="0.55000000000000004">
      <c r="F448" s="133">
        <v>5.9489999999999998</v>
      </c>
      <c r="G448" s="133">
        <v>1.375</v>
      </c>
      <c r="H448" s="133">
        <v>0.503</v>
      </c>
      <c r="I448" s="133">
        <v>1.863</v>
      </c>
      <c r="J448" s="133">
        <v>6.28</v>
      </c>
      <c r="M448" s="143">
        <v>42614</v>
      </c>
      <c r="N448" s="142">
        <v>2170.86</v>
      </c>
    </row>
    <row r="449" spans="6:14" x14ac:dyDescent="0.55000000000000004">
      <c r="F449" s="133">
        <v>5.9370000000000003</v>
      </c>
      <c r="G449" s="133">
        <v>1.373</v>
      </c>
      <c r="H449" s="133">
        <v>0.496</v>
      </c>
      <c r="I449" s="133">
        <v>1.8399999999999999</v>
      </c>
      <c r="J449" s="133">
        <v>6.25</v>
      </c>
      <c r="M449" s="143">
        <v>42615</v>
      </c>
      <c r="N449" s="142">
        <v>2179.98</v>
      </c>
    </row>
    <row r="450" spans="6:14" x14ac:dyDescent="0.55000000000000004">
      <c r="F450" s="133">
        <v>6.0410000000000004</v>
      </c>
      <c r="G450" s="133">
        <v>1.3740000000000001</v>
      </c>
      <c r="H450" s="133">
        <v>0.496</v>
      </c>
      <c r="I450" s="133">
        <v>1.841</v>
      </c>
      <c r="J450" s="133">
        <v>6.43</v>
      </c>
      <c r="M450" s="143">
        <v>42619</v>
      </c>
      <c r="N450" s="142">
        <v>2186.48</v>
      </c>
    </row>
    <row r="451" spans="6:14" x14ac:dyDescent="0.55000000000000004">
      <c r="F451" s="133">
        <v>5.9879999999999995</v>
      </c>
      <c r="G451" s="133">
        <v>1.3980000000000001</v>
      </c>
      <c r="H451" s="133">
        <v>0.5</v>
      </c>
      <c r="I451" s="133">
        <v>1.905</v>
      </c>
      <c r="J451" s="133">
        <v>6.46</v>
      </c>
      <c r="M451" s="143">
        <v>42620</v>
      </c>
      <c r="N451" s="142">
        <v>2186.16</v>
      </c>
    </row>
    <row r="452" spans="6:14" x14ac:dyDescent="0.55000000000000004">
      <c r="F452" s="133">
        <v>6.01</v>
      </c>
      <c r="G452" s="133">
        <v>1.401</v>
      </c>
      <c r="H452" s="133">
        <v>0.5</v>
      </c>
      <c r="I452" s="133">
        <v>1.881</v>
      </c>
      <c r="J452" s="133">
        <v>6.49</v>
      </c>
      <c r="M452" s="143">
        <v>42621</v>
      </c>
      <c r="N452" s="142">
        <v>2181.3000000000002</v>
      </c>
    </row>
    <row r="453" spans="6:14" x14ac:dyDescent="0.55000000000000004">
      <c r="F453" s="133">
        <v>6.07</v>
      </c>
      <c r="G453" s="133">
        <v>1.4079999999999999</v>
      </c>
      <c r="H453" s="133">
        <v>0.502</v>
      </c>
      <c r="I453" s="133">
        <v>1.9279999999999999</v>
      </c>
      <c r="J453" s="133">
        <v>6.59</v>
      </c>
      <c r="M453" s="143">
        <v>42622</v>
      </c>
      <c r="N453" s="142">
        <v>2127.81</v>
      </c>
    </row>
    <row r="454" spans="6:14" x14ac:dyDescent="0.55000000000000004">
      <c r="F454" s="133">
        <v>6.1360000000000001</v>
      </c>
      <c r="G454" s="133">
        <v>1.4769999999999999</v>
      </c>
      <c r="H454" s="133">
        <v>0.52300000000000002</v>
      </c>
      <c r="I454" s="133">
        <v>1.978</v>
      </c>
      <c r="J454" s="133">
        <v>6.83</v>
      </c>
      <c r="M454" s="143">
        <v>42625</v>
      </c>
      <c r="N454" s="142">
        <v>2159.04</v>
      </c>
    </row>
    <row r="455" spans="6:14" x14ac:dyDescent="0.55000000000000004">
      <c r="F455" s="133">
        <v>6.2549999999999999</v>
      </c>
      <c r="G455" s="133">
        <v>1.4870000000000001</v>
      </c>
      <c r="H455" s="133">
        <v>0.52600000000000002</v>
      </c>
      <c r="I455" s="133">
        <v>1.998</v>
      </c>
      <c r="J455" s="133">
        <v>6.82</v>
      </c>
      <c r="M455" s="143">
        <v>42626</v>
      </c>
      <c r="N455" s="142">
        <v>2127.02</v>
      </c>
    </row>
    <row r="456" spans="6:14" x14ac:dyDescent="0.55000000000000004">
      <c r="F456" s="133">
        <v>6.2620000000000005</v>
      </c>
      <c r="G456" s="133">
        <v>1.4870000000000001</v>
      </c>
      <c r="H456" s="133">
        <v>0.51900000000000002</v>
      </c>
      <c r="I456" s="133">
        <v>1.9790000000000001</v>
      </c>
      <c r="J456" s="133">
        <v>6.82</v>
      </c>
      <c r="M456" s="143">
        <v>42627</v>
      </c>
      <c r="N456" s="142">
        <v>2125.77</v>
      </c>
    </row>
    <row r="457" spans="6:14" x14ac:dyDescent="0.55000000000000004">
      <c r="F457" s="133">
        <v>6.3070000000000004</v>
      </c>
      <c r="G457" s="133">
        <v>1.5659999999999998</v>
      </c>
      <c r="H457" s="133">
        <v>0.54600000000000004</v>
      </c>
      <c r="I457" s="133">
        <v>2.0880000000000001</v>
      </c>
      <c r="J457" s="133">
        <v>7.01</v>
      </c>
      <c r="M457" s="143">
        <v>42628</v>
      </c>
      <c r="N457" s="142">
        <v>2147.2600000000002</v>
      </c>
    </row>
    <row r="458" spans="6:14" x14ac:dyDescent="0.55000000000000004">
      <c r="F458" s="133">
        <v>6.1859999999999999</v>
      </c>
      <c r="G458" s="133">
        <v>1.5350000000000001</v>
      </c>
      <c r="H458" s="133">
        <v>0.54100000000000004</v>
      </c>
      <c r="I458" s="133">
        <v>2.073</v>
      </c>
      <c r="J458" s="133">
        <v>6.91</v>
      </c>
      <c r="M458" s="143">
        <v>42629</v>
      </c>
      <c r="N458" s="142">
        <v>2139.16</v>
      </c>
    </row>
    <row r="459" spans="6:14" x14ac:dyDescent="0.55000000000000004">
      <c r="F459" s="133">
        <v>6.12</v>
      </c>
      <c r="G459" s="133">
        <v>1.492</v>
      </c>
      <c r="H459" s="133">
        <v>0.53200000000000003</v>
      </c>
      <c r="I459" s="133">
        <v>2.0419999999999998</v>
      </c>
      <c r="J459" s="133">
        <v>6.9</v>
      </c>
      <c r="M459" s="143">
        <v>42632</v>
      </c>
      <c r="N459" s="142">
        <v>2139.12</v>
      </c>
    </row>
    <row r="460" spans="6:14" x14ac:dyDescent="0.55000000000000004">
      <c r="F460" s="133">
        <v>6.0960000000000001</v>
      </c>
      <c r="G460" s="133">
        <v>1.48</v>
      </c>
      <c r="H460" s="133">
        <v>0.53</v>
      </c>
      <c r="I460" s="133">
        <v>2.0449999999999999</v>
      </c>
      <c r="J460" s="133">
        <v>6.8</v>
      </c>
      <c r="M460" s="143">
        <v>42633</v>
      </c>
      <c r="N460" s="142">
        <v>2139.7600000000002</v>
      </c>
    </row>
    <row r="461" spans="6:14" x14ac:dyDescent="0.55000000000000004">
      <c r="F461" s="133">
        <v>6.16</v>
      </c>
      <c r="G461" s="133">
        <v>1.5049999999999999</v>
      </c>
      <c r="H461" s="133">
        <v>0.54100000000000004</v>
      </c>
      <c r="I461" s="133">
        <v>2.08</v>
      </c>
      <c r="J461" s="133">
        <v>6.91</v>
      </c>
      <c r="M461" s="143">
        <v>42634</v>
      </c>
      <c r="N461" s="142">
        <v>2163.12</v>
      </c>
    </row>
    <row r="462" spans="6:14" x14ac:dyDescent="0.55000000000000004">
      <c r="F462" s="133">
        <v>6.1559999999999997</v>
      </c>
      <c r="G462" s="133">
        <v>1.5150000000000001</v>
      </c>
      <c r="H462" s="133">
        <v>0.55500000000000005</v>
      </c>
      <c r="I462" s="133">
        <v>2.1349999999999998</v>
      </c>
      <c r="J462" s="133">
        <v>6.88</v>
      </c>
      <c r="M462" s="143">
        <v>42635</v>
      </c>
      <c r="N462" s="142">
        <v>2177.1799999999998</v>
      </c>
    </row>
    <row r="463" spans="6:14" x14ac:dyDescent="0.55000000000000004">
      <c r="F463" s="133">
        <v>6.1289999999999996</v>
      </c>
      <c r="G463" s="133">
        <v>1.4929999999999999</v>
      </c>
      <c r="H463" s="133">
        <v>0.54300000000000004</v>
      </c>
      <c r="I463" s="133">
        <v>2.089</v>
      </c>
      <c r="J463" s="133">
        <v>6.85</v>
      </c>
      <c r="M463" s="143">
        <v>42636</v>
      </c>
      <c r="N463" s="142">
        <v>2164.69</v>
      </c>
    </row>
    <row r="464" spans="6:14" x14ac:dyDescent="0.55000000000000004">
      <c r="F464" s="133">
        <v>6.1130000000000004</v>
      </c>
      <c r="G464" s="133">
        <v>1.47</v>
      </c>
      <c r="H464" s="133">
        <v>0.53500000000000003</v>
      </c>
      <c r="I464" s="133">
        <v>2.0499999999999998</v>
      </c>
      <c r="J464" s="133">
        <v>6.75</v>
      </c>
      <c r="M464" s="143">
        <v>42639</v>
      </c>
      <c r="N464" s="142">
        <v>2146.1</v>
      </c>
    </row>
    <row r="465" spans="6:14" x14ac:dyDescent="0.55000000000000004">
      <c r="F465" s="133">
        <v>6.1580000000000004</v>
      </c>
      <c r="G465" s="133">
        <v>1.4809999999999999</v>
      </c>
      <c r="H465" s="133">
        <v>0.53400000000000003</v>
      </c>
      <c r="I465" s="133">
        <v>2.0350000000000001</v>
      </c>
      <c r="J465" s="133">
        <v>6.75</v>
      </c>
      <c r="M465" s="143">
        <v>42640</v>
      </c>
      <c r="N465" s="142">
        <v>2159.9299999999998</v>
      </c>
    </row>
    <row r="466" spans="6:14" x14ac:dyDescent="0.55000000000000004">
      <c r="F466" s="133">
        <v>6.1920000000000002</v>
      </c>
      <c r="G466" s="133">
        <v>1.4910000000000001</v>
      </c>
      <c r="H466" s="133">
        <v>0.53600000000000003</v>
      </c>
      <c r="I466" s="133">
        <v>2.0489999999999999</v>
      </c>
      <c r="J466" s="133">
        <v>6.8</v>
      </c>
      <c r="M466" s="143">
        <v>42641</v>
      </c>
      <c r="N466" s="142">
        <v>2171.37</v>
      </c>
    </row>
    <row r="467" spans="6:14" x14ac:dyDescent="0.55000000000000004">
      <c r="F467" s="133">
        <v>6.2430000000000003</v>
      </c>
      <c r="G467" s="133">
        <v>1.5089999999999999</v>
      </c>
      <c r="H467" s="133">
        <v>0.54900000000000004</v>
      </c>
      <c r="I467" s="133">
        <v>2.09</v>
      </c>
      <c r="J467" s="133">
        <v>6.83</v>
      </c>
      <c r="M467" s="143">
        <v>42642</v>
      </c>
      <c r="N467" s="142">
        <v>2151.13</v>
      </c>
    </row>
    <row r="468" spans="6:14" x14ac:dyDescent="0.55000000000000004">
      <c r="F468" s="133">
        <v>6.2460000000000004</v>
      </c>
      <c r="G468" s="133">
        <v>1.504</v>
      </c>
      <c r="H468" s="133">
        <v>0.54100000000000004</v>
      </c>
      <c r="I468" s="133">
        <v>2.0760000000000001</v>
      </c>
      <c r="J468" s="133">
        <v>6.84</v>
      </c>
      <c r="M468" s="143">
        <v>42643</v>
      </c>
      <c r="N468" s="142">
        <v>2168.27</v>
      </c>
    </row>
    <row r="469" spans="6:14" x14ac:dyDescent="0.55000000000000004">
      <c r="F469" s="133">
        <v>6.1989999999999998</v>
      </c>
      <c r="G469" s="133">
        <v>1.496</v>
      </c>
      <c r="H469" s="133">
        <v>0.53400000000000003</v>
      </c>
      <c r="I469" s="133">
        <v>2.0150000000000001</v>
      </c>
      <c r="J469" s="133">
        <v>6.67</v>
      </c>
      <c r="M469" s="143">
        <v>42646</v>
      </c>
      <c r="N469" s="142">
        <v>2161.1999999999998</v>
      </c>
    </row>
    <row r="470" spans="6:14" x14ac:dyDescent="0.55000000000000004">
      <c r="F470" s="133">
        <v>6.03</v>
      </c>
      <c r="G470" s="133">
        <v>1.4430000000000001</v>
      </c>
      <c r="H470" s="133">
        <v>0.51600000000000001</v>
      </c>
      <c r="I470" s="133">
        <v>1.948</v>
      </c>
      <c r="J470" s="133">
        <v>6.53</v>
      </c>
      <c r="M470" s="143">
        <v>42647</v>
      </c>
      <c r="N470" s="142">
        <v>2150.4899999999998</v>
      </c>
    </row>
    <row r="471" spans="6:14" x14ac:dyDescent="0.55000000000000004">
      <c r="F471" s="133">
        <v>6.0309999999999997</v>
      </c>
      <c r="G471" s="133">
        <v>1.421</v>
      </c>
      <c r="H471" s="133">
        <v>0.51600000000000001</v>
      </c>
      <c r="I471" s="133">
        <v>1.9350000000000001</v>
      </c>
      <c r="J471" s="133">
        <v>6.41</v>
      </c>
      <c r="M471" s="143">
        <v>42648</v>
      </c>
      <c r="N471" s="142">
        <v>2159.73</v>
      </c>
    </row>
    <row r="472" spans="6:14" x14ac:dyDescent="0.55000000000000004">
      <c r="F472" s="133">
        <v>6.0190000000000001</v>
      </c>
      <c r="G472" s="133">
        <v>1.429</v>
      </c>
      <c r="H472" s="133">
        <v>0.52</v>
      </c>
      <c r="I472" s="133">
        <v>1.9510000000000001</v>
      </c>
      <c r="J472" s="133">
        <v>6.39</v>
      </c>
      <c r="M472" s="143">
        <v>42649</v>
      </c>
      <c r="N472" s="142">
        <v>2160.77</v>
      </c>
    </row>
    <row r="473" spans="6:14" x14ac:dyDescent="0.55000000000000004">
      <c r="F473" s="133">
        <v>6.0430000000000001</v>
      </c>
      <c r="G473" s="133">
        <v>1.4430000000000001</v>
      </c>
      <c r="H473" s="133">
        <v>0.51700000000000002</v>
      </c>
      <c r="I473" s="133">
        <v>1.9510000000000001</v>
      </c>
      <c r="J473" s="133">
        <v>6.37</v>
      </c>
      <c r="M473" s="143">
        <v>42650</v>
      </c>
      <c r="N473" s="142">
        <v>2153.7399999999998</v>
      </c>
    </row>
    <row r="474" spans="6:14" x14ac:dyDescent="0.55000000000000004">
      <c r="F474" s="133">
        <v>5.992</v>
      </c>
      <c r="G474" s="133">
        <v>1.4390000000000001</v>
      </c>
      <c r="H474" s="133">
        <v>0.51</v>
      </c>
      <c r="I474" s="133">
        <v>1.893</v>
      </c>
      <c r="J474" s="133">
        <v>6.32</v>
      </c>
      <c r="M474" s="143">
        <v>42653</v>
      </c>
      <c r="N474" s="142">
        <v>2163.66</v>
      </c>
    </row>
    <row r="475" spans="6:14" x14ac:dyDescent="0.55000000000000004">
      <c r="F475" s="133">
        <v>6.0460000000000003</v>
      </c>
      <c r="G475" s="133">
        <v>1.45</v>
      </c>
      <c r="H475" s="133">
        <v>0.50700000000000001</v>
      </c>
      <c r="I475" s="133">
        <v>1.901</v>
      </c>
      <c r="J475" s="133">
        <v>6.35</v>
      </c>
      <c r="M475" s="143">
        <v>42654</v>
      </c>
      <c r="N475" s="142">
        <v>2136.73</v>
      </c>
    </row>
    <row r="476" spans="6:14" x14ac:dyDescent="0.55000000000000004">
      <c r="F476" s="133">
        <v>5.98</v>
      </c>
      <c r="G476" s="133">
        <v>1.492</v>
      </c>
      <c r="H476" s="133">
        <v>0.52700000000000002</v>
      </c>
      <c r="I476" s="133">
        <v>1.9590000000000001</v>
      </c>
      <c r="J476" s="133">
        <v>6.47</v>
      </c>
      <c r="M476" s="143">
        <v>42655</v>
      </c>
      <c r="N476" s="142">
        <v>2139.1799999999998</v>
      </c>
    </row>
    <row r="477" spans="6:14" x14ac:dyDescent="0.55000000000000004">
      <c r="F477" s="133">
        <v>6.0739999999999998</v>
      </c>
      <c r="G477" s="133">
        <v>1.605</v>
      </c>
      <c r="H477" s="133">
        <v>0.59099999999999997</v>
      </c>
      <c r="I477" s="133">
        <v>2.1829999999999998</v>
      </c>
      <c r="J477" s="133">
        <v>6.55</v>
      </c>
      <c r="M477" s="143">
        <v>42656</v>
      </c>
      <c r="N477" s="142">
        <v>2132.5500000000002</v>
      </c>
    </row>
    <row r="478" spans="6:14" x14ac:dyDescent="0.55000000000000004">
      <c r="F478" s="133">
        <v>6.0730000000000004</v>
      </c>
      <c r="G478" s="133">
        <v>1.5760000000000001</v>
      </c>
      <c r="H478" s="133">
        <v>0.57799999999999996</v>
      </c>
      <c r="I478" s="133">
        <v>2.1520000000000001</v>
      </c>
      <c r="J478" s="133">
        <v>6.55</v>
      </c>
      <c r="M478" s="143">
        <v>42657</v>
      </c>
      <c r="N478" s="142">
        <v>2132.98</v>
      </c>
    </row>
    <row r="479" spans="6:14" x14ac:dyDescent="0.55000000000000004">
      <c r="F479" s="133">
        <v>6.0590000000000002</v>
      </c>
      <c r="G479" s="133">
        <v>1.6400000000000001</v>
      </c>
      <c r="H479" s="133">
        <v>0.60799999999999998</v>
      </c>
      <c r="I479" s="133">
        <v>2.2610000000000001</v>
      </c>
      <c r="J479" s="133">
        <v>6.63</v>
      </c>
      <c r="M479" s="143">
        <v>42660</v>
      </c>
      <c r="N479" s="142">
        <v>2126.5</v>
      </c>
    </row>
    <row r="480" spans="6:14" x14ac:dyDescent="0.55000000000000004">
      <c r="F480" s="133">
        <v>6.0359999999999996</v>
      </c>
      <c r="G480" s="133">
        <v>1.643</v>
      </c>
      <c r="H480" s="133">
        <v>0.61</v>
      </c>
      <c r="I480" s="133">
        <v>2.2970000000000002</v>
      </c>
      <c r="J480" s="133">
        <v>6.58</v>
      </c>
      <c r="M480" s="143">
        <v>42661</v>
      </c>
      <c r="N480" s="142">
        <v>2139.6</v>
      </c>
    </row>
    <row r="481" spans="6:14" x14ac:dyDescent="0.55000000000000004">
      <c r="F481" s="133">
        <v>6.0640000000000001</v>
      </c>
      <c r="G481" s="133">
        <v>1.6400000000000001</v>
      </c>
      <c r="H481" s="133">
        <v>0.61</v>
      </c>
      <c r="I481" s="133">
        <v>2.3220000000000001</v>
      </c>
      <c r="J481" s="133">
        <v>6.59</v>
      </c>
      <c r="M481" s="143">
        <v>42662</v>
      </c>
      <c r="N481" s="142">
        <v>2144.29</v>
      </c>
    </row>
    <row r="482" spans="6:14" x14ac:dyDescent="0.55000000000000004">
      <c r="F482" s="133">
        <v>6.016</v>
      </c>
      <c r="G482" s="133">
        <v>1.65</v>
      </c>
      <c r="H482" s="133">
        <v>0.60199999999999998</v>
      </c>
      <c r="I482" s="133">
        <v>2.383</v>
      </c>
      <c r="J482" s="133">
        <v>6.51</v>
      </c>
      <c r="M482" s="143">
        <v>42663</v>
      </c>
      <c r="N482" s="142">
        <v>2141.34</v>
      </c>
    </row>
    <row r="483" spans="6:14" x14ac:dyDescent="0.55000000000000004">
      <c r="F483" s="133">
        <v>6.0469999999999997</v>
      </c>
      <c r="G483" s="133">
        <v>1.6560000000000001</v>
      </c>
      <c r="H483" s="133">
        <v>0.61399999999999999</v>
      </c>
      <c r="I483" s="133">
        <v>2.4260000000000002</v>
      </c>
      <c r="J483" s="133">
        <v>6.65</v>
      </c>
      <c r="M483" s="143">
        <v>42664</v>
      </c>
      <c r="N483" s="142">
        <v>2141.16</v>
      </c>
    </row>
    <row r="484" spans="6:14" x14ac:dyDescent="0.55000000000000004">
      <c r="F484" s="133">
        <v>6.1040000000000001</v>
      </c>
      <c r="G484" s="133">
        <v>1.653</v>
      </c>
      <c r="H484" s="133">
        <v>0.60399999999999998</v>
      </c>
      <c r="I484" s="133">
        <v>2.407</v>
      </c>
      <c r="J484" s="133">
        <v>6.84</v>
      </c>
      <c r="M484" s="143">
        <v>42667</v>
      </c>
      <c r="N484" s="142">
        <v>2151.33</v>
      </c>
    </row>
    <row r="485" spans="6:14" x14ac:dyDescent="0.55000000000000004">
      <c r="F485" s="133">
        <v>6.1070000000000002</v>
      </c>
      <c r="G485" s="133">
        <v>1.6579999999999999</v>
      </c>
      <c r="H485" s="133">
        <v>0.60299999999999998</v>
      </c>
      <c r="I485" s="133">
        <v>2.3370000000000002</v>
      </c>
      <c r="J485" s="133">
        <v>6.89</v>
      </c>
      <c r="M485" s="143">
        <v>42668</v>
      </c>
      <c r="N485" s="142">
        <v>2143.16</v>
      </c>
    </row>
    <row r="486" spans="6:14" x14ac:dyDescent="0.55000000000000004">
      <c r="F486" s="133">
        <v>6.1740000000000004</v>
      </c>
      <c r="G486" s="133">
        <v>1.6640000000000001</v>
      </c>
      <c r="H486" s="133">
        <v>0.59899999999999998</v>
      </c>
      <c r="I486" s="133">
        <v>2.2589999999999999</v>
      </c>
      <c r="J486" s="133">
        <v>7.02</v>
      </c>
      <c r="M486" s="143">
        <v>42669</v>
      </c>
      <c r="N486" s="142">
        <v>2139.4299999999998</v>
      </c>
    </row>
    <row r="487" spans="6:14" x14ac:dyDescent="0.55000000000000004">
      <c r="F487" s="133">
        <v>6.1740000000000004</v>
      </c>
      <c r="G487" s="133">
        <v>1.704</v>
      </c>
      <c r="H487" s="133">
        <v>0.6</v>
      </c>
      <c r="I487" s="133">
        <v>2.258</v>
      </c>
      <c r="J487" s="133">
        <v>6.92</v>
      </c>
      <c r="M487" s="143">
        <v>42670</v>
      </c>
      <c r="N487" s="142">
        <v>2133.04</v>
      </c>
    </row>
    <row r="488" spans="6:14" x14ac:dyDescent="0.55000000000000004">
      <c r="F488" s="133">
        <v>5.944</v>
      </c>
      <c r="G488" s="133">
        <v>1.7050000000000001</v>
      </c>
      <c r="H488" s="133">
        <v>0.58899999999999997</v>
      </c>
      <c r="I488" s="133">
        <v>2.2359999999999998</v>
      </c>
      <c r="J488" s="133">
        <v>6.92</v>
      </c>
      <c r="M488" s="143">
        <v>42671</v>
      </c>
      <c r="N488" s="142">
        <v>2126.41</v>
      </c>
    </row>
    <row r="489" spans="6:14" x14ac:dyDescent="0.55000000000000004">
      <c r="F489" s="133">
        <v>5.88</v>
      </c>
      <c r="G489" s="133">
        <v>1.7170000000000001</v>
      </c>
      <c r="H489" s="133">
        <v>0.58299999999999996</v>
      </c>
      <c r="I489" s="133">
        <v>2.1920000000000002</v>
      </c>
      <c r="J489" s="133">
        <v>6.95</v>
      </c>
      <c r="M489" s="143">
        <v>42674</v>
      </c>
      <c r="N489" s="142">
        <v>2126.15</v>
      </c>
    </row>
    <row r="490" spans="6:14" x14ac:dyDescent="0.55000000000000004">
      <c r="F490" s="133">
        <v>5.88</v>
      </c>
      <c r="G490" s="133">
        <v>1.6840000000000002</v>
      </c>
      <c r="H490" s="133">
        <v>0.57599999999999996</v>
      </c>
      <c r="I490" s="133">
        <v>2.137</v>
      </c>
      <c r="J490" s="133">
        <v>7.13</v>
      </c>
      <c r="M490" s="143">
        <v>42675</v>
      </c>
      <c r="N490" s="142">
        <v>2111.7199999999998</v>
      </c>
    </row>
    <row r="491" spans="6:14" x14ac:dyDescent="0.55000000000000004">
      <c r="F491" s="133">
        <v>5.83</v>
      </c>
      <c r="G491" s="133">
        <v>1.6779999999999999</v>
      </c>
      <c r="H491" s="133">
        <v>0.56799999999999995</v>
      </c>
      <c r="I491" s="133">
        <v>2.1269999999999998</v>
      </c>
      <c r="J491" s="133">
        <v>7.01</v>
      </c>
      <c r="M491" s="143">
        <v>42676</v>
      </c>
      <c r="N491" s="142">
        <v>2097.94</v>
      </c>
    </row>
    <row r="492" spans="6:14" x14ac:dyDescent="0.55000000000000004">
      <c r="F492" s="133">
        <v>5.8879999999999999</v>
      </c>
      <c r="G492" s="133">
        <v>1.6720000000000002</v>
      </c>
      <c r="H492" s="133">
        <v>0.57299999999999995</v>
      </c>
      <c r="I492" s="133">
        <v>2.1469999999999998</v>
      </c>
      <c r="J492" s="133">
        <v>7.06</v>
      </c>
      <c r="M492" s="143">
        <v>42677</v>
      </c>
      <c r="N492" s="142">
        <v>2088.66</v>
      </c>
    </row>
    <row r="493" spans="6:14" x14ac:dyDescent="0.55000000000000004">
      <c r="F493" s="133">
        <v>5.96</v>
      </c>
      <c r="G493" s="133">
        <v>1.681</v>
      </c>
      <c r="H493" s="133">
        <v>0.57799999999999996</v>
      </c>
      <c r="I493" s="133">
        <v>2.1669999999999998</v>
      </c>
      <c r="J493" s="133">
        <v>7.18</v>
      </c>
      <c r="M493" s="143">
        <v>42678</v>
      </c>
      <c r="N493" s="142">
        <v>2085.1799999999998</v>
      </c>
    </row>
    <row r="494" spans="6:14" x14ac:dyDescent="0.55000000000000004">
      <c r="F494" s="133">
        <v>5.9790000000000001</v>
      </c>
      <c r="G494" s="133">
        <v>1.6919999999999999</v>
      </c>
      <c r="H494" s="133">
        <v>0.58099999999999996</v>
      </c>
      <c r="I494" s="133">
        <v>2.165</v>
      </c>
      <c r="J494" s="133">
        <v>7.37</v>
      </c>
      <c r="M494" s="143">
        <v>42681</v>
      </c>
      <c r="N494" s="142">
        <v>2131.52</v>
      </c>
    </row>
    <row r="495" spans="6:14" x14ac:dyDescent="0.55000000000000004">
      <c r="F495" s="133">
        <v>5.9809999999999999</v>
      </c>
      <c r="G495" s="133">
        <v>1.6830000000000001</v>
      </c>
      <c r="H495" s="133">
        <v>0.57399999999999995</v>
      </c>
      <c r="I495" s="133">
        <v>2.161</v>
      </c>
      <c r="J495" s="133">
        <v>7.35</v>
      </c>
      <c r="M495" s="143">
        <v>42682</v>
      </c>
      <c r="N495" s="142">
        <v>2139.56</v>
      </c>
    </row>
    <row r="496" spans="6:14" x14ac:dyDescent="0.55000000000000004">
      <c r="F496" s="133">
        <v>6.008</v>
      </c>
      <c r="G496" s="133">
        <v>1.7</v>
      </c>
      <c r="H496" s="133">
        <v>0.57199999999999995</v>
      </c>
      <c r="I496" s="133">
        <v>2.157</v>
      </c>
      <c r="J496" s="133">
        <v>7.34</v>
      </c>
      <c r="M496" s="143">
        <v>42683</v>
      </c>
      <c r="N496" s="142">
        <v>2163.2600000000002</v>
      </c>
    </row>
    <row r="497" spans="6:14" x14ac:dyDescent="0.55000000000000004">
      <c r="F497" s="133">
        <v>5.9559999999999995</v>
      </c>
      <c r="G497" s="133">
        <v>1.6640000000000001</v>
      </c>
      <c r="H497" s="133">
        <v>0.56299999999999994</v>
      </c>
      <c r="I497" s="133">
        <v>2.13</v>
      </c>
      <c r="J497" s="133">
        <v>7.26</v>
      </c>
      <c r="M497" s="143">
        <v>42684</v>
      </c>
      <c r="N497" s="142">
        <v>2167.48</v>
      </c>
    </row>
    <row r="498" spans="6:14" x14ac:dyDescent="0.55000000000000004">
      <c r="F498" s="133">
        <v>5.8659999999999997</v>
      </c>
      <c r="G498" s="133">
        <v>1.716</v>
      </c>
      <c r="H498" s="133">
        <v>0.58499999999999996</v>
      </c>
      <c r="I498" s="133">
        <v>2.2160000000000002</v>
      </c>
      <c r="J498" s="133">
        <v>7.13</v>
      </c>
      <c r="M498" s="143">
        <v>42685</v>
      </c>
      <c r="N498" s="142">
        <v>2164.4499999999998</v>
      </c>
    </row>
    <row r="499" spans="6:14" x14ac:dyDescent="0.55000000000000004">
      <c r="F499" s="133">
        <v>5.8870000000000005</v>
      </c>
      <c r="G499" s="133">
        <v>1.728</v>
      </c>
      <c r="H499" s="133">
        <v>0.59599999999999997</v>
      </c>
      <c r="I499" s="133">
        <v>2.2229999999999999</v>
      </c>
      <c r="J499" s="133">
        <v>7.13</v>
      </c>
      <c r="M499" s="143">
        <v>42688</v>
      </c>
      <c r="N499" s="142">
        <v>2164.1999999999998</v>
      </c>
    </row>
    <row r="500" spans="6:14" x14ac:dyDescent="0.55000000000000004">
      <c r="F500" s="133">
        <v>5.742</v>
      </c>
      <c r="G500" s="133">
        <v>1.7090000000000001</v>
      </c>
      <c r="H500" s="133">
        <v>0.59599999999999997</v>
      </c>
      <c r="I500" s="133">
        <v>2.2229999999999999</v>
      </c>
      <c r="J500" s="133">
        <v>7.09</v>
      </c>
      <c r="M500" s="143">
        <v>42689</v>
      </c>
      <c r="N500" s="142">
        <v>2180.39</v>
      </c>
    </row>
    <row r="501" spans="6:14" x14ac:dyDescent="0.55000000000000004">
      <c r="F501" s="133">
        <v>5.7030000000000003</v>
      </c>
      <c r="G501" s="133">
        <v>1.7010000000000001</v>
      </c>
      <c r="H501" s="133">
        <v>0.58699999999999997</v>
      </c>
      <c r="I501" s="133">
        <v>2.2130000000000001</v>
      </c>
      <c r="J501" s="133">
        <v>7.04</v>
      </c>
      <c r="M501" s="143">
        <v>42690</v>
      </c>
      <c r="N501" s="142">
        <v>2176.94</v>
      </c>
    </row>
    <row r="502" spans="6:14" x14ac:dyDescent="0.55000000000000004">
      <c r="F502" s="133">
        <v>5.7370000000000001</v>
      </c>
      <c r="G502" s="133">
        <v>1.7069999999999999</v>
      </c>
      <c r="H502" s="133">
        <v>0.59199999999999997</v>
      </c>
      <c r="I502" s="133">
        <v>2.2469999999999999</v>
      </c>
      <c r="J502" s="133">
        <v>7.03</v>
      </c>
      <c r="M502" s="143">
        <v>42691</v>
      </c>
      <c r="N502" s="142">
        <v>2187.12</v>
      </c>
    </row>
    <row r="503" spans="6:14" x14ac:dyDescent="0.55000000000000004">
      <c r="F503" s="133">
        <v>5.75</v>
      </c>
      <c r="G503" s="133">
        <v>1.7029999999999998</v>
      </c>
      <c r="H503" s="133">
        <v>0.59699999999999998</v>
      </c>
      <c r="I503" s="133">
        <v>2.2490000000000001</v>
      </c>
      <c r="J503" s="133">
        <v>6.98</v>
      </c>
      <c r="M503" s="143">
        <v>42692</v>
      </c>
      <c r="N503" s="142">
        <v>2181.9</v>
      </c>
    </row>
    <row r="504" spans="6:14" x14ac:dyDescent="0.55000000000000004">
      <c r="F504" s="133">
        <v>5.8070000000000004</v>
      </c>
      <c r="G504" s="133">
        <v>1.704</v>
      </c>
      <c r="H504" s="133">
        <v>0.59499999999999997</v>
      </c>
      <c r="I504" s="133">
        <v>2.2269999999999999</v>
      </c>
      <c r="J504" s="133">
        <v>6.97</v>
      </c>
      <c r="M504" s="143">
        <v>42695</v>
      </c>
      <c r="N504" s="142">
        <v>2198.1799999999998</v>
      </c>
    </row>
    <row r="505" spans="6:14" x14ac:dyDescent="0.55000000000000004">
      <c r="F505" s="133">
        <v>5.7640000000000002</v>
      </c>
      <c r="G505" s="133">
        <v>1.6919999999999999</v>
      </c>
      <c r="H505" s="133">
        <v>0.59099999999999997</v>
      </c>
      <c r="I505" s="133">
        <v>2.226</v>
      </c>
      <c r="J505" s="133">
        <v>6.86</v>
      </c>
      <c r="M505" s="143">
        <v>42696</v>
      </c>
      <c r="N505" s="142">
        <v>2202.94</v>
      </c>
    </row>
    <row r="506" spans="6:14" x14ac:dyDescent="0.55000000000000004">
      <c r="F506" s="133">
        <v>5.6970000000000001</v>
      </c>
      <c r="G506" s="133">
        <v>1.6819999999999999</v>
      </c>
      <c r="H506" s="133">
        <v>0.58699999999999997</v>
      </c>
      <c r="I506" s="133">
        <v>2.2080000000000002</v>
      </c>
      <c r="J506" s="133">
        <v>6.79</v>
      </c>
      <c r="M506" s="143">
        <v>42697</v>
      </c>
      <c r="N506" s="142">
        <v>2204.7199999999998</v>
      </c>
    </row>
    <row r="507" spans="6:14" x14ac:dyDescent="0.55000000000000004">
      <c r="F507" s="133">
        <v>5.798</v>
      </c>
      <c r="G507" s="133">
        <v>1.6930000000000001</v>
      </c>
      <c r="H507" s="133">
        <v>0.59799999999999998</v>
      </c>
      <c r="I507" s="133">
        <v>2.2490000000000001</v>
      </c>
      <c r="J507" s="133">
        <v>6.9</v>
      </c>
      <c r="M507" s="143">
        <v>42699</v>
      </c>
      <c r="N507" s="142">
        <v>2213.35</v>
      </c>
    </row>
    <row r="508" spans="6:14" x14ac:dyDescent="0.55000000000000004">
      <c r="F508" s="133">
        <v>5.8280000000000003</v>
      </c>
      <c r="G508" s="133">
        <v>1.72</v>
      </c>
      <c r="H508" s="133">
        <v>0.60899999999999999</v>
      </c>
      <c r="I508" s="133">
        <v>2.2949999999999999</v>
      </c>
      <c r="J508" s="133">
        <v>7.01</v>
      </c>
      <c r="M508" s="143">
        <v>42702</v>
      </c>
      <c r="N508" s="142">
        <v>2201.7199999999998</v>
      </c>
    </row>
    <row r="509" spans="6:14" x14ac:dyDescent="0.55000000000000004">
      <c r="F509" s="133">
        <v>5.8280000000000003</v>
      </c>
      <c r="G509" s="133">
        <v>1.7170000000000001</v>
      </c>
      <c r="H509" s="133">
        <v>0.61199999999999999</v>
      </c>
      <c r="I509" s="133">
        <v>2.3079999999999998</v>
      </c>
      <c r="J509" s="133">
        <v>7.05</v>
      </c>
      <c r="M509" s="143">
        <v>42703</v>
      </c>
      <c r="N509" s="142">
        <v>2204.66</v>
      </c>
    </row>
    <row r="510" spans="6:14" x14ac:dyDescent="0.55000000000000004">
      <c r="F510" s="133">
        <v>5.851</v>
      </c>
      <c r="G510" s="133">
        <v>1.744</v>
      </c>
      <c r="H510" s="133">
        <v>0.61699999999999999</v>
      </c>
      <c r="I510" s="133">
        <v>2.3119999999999998</v>
      </c>
      <c r="J510" s="133">
        <v>7.04</v>
      </c>
      <c r="M510" s="143">
        <v>42704</v>
      </c>
      <c r="N510" s="142">
        <v>2198.81</v>
      </c>
    </row>
    <row r="511" spans="6:14" x14ac:dyDescent="0.55000000000000004">
      <c r="F511" s="133">
        <v>5.8079999999999998</v>
      </c>
      <c r="G511" s="133">
        <v>1.742</v>
      </c>
      <c r="H511" s="133">
        <v>0.627</v>
      </c>
      <c r="I511" s="133">
        <v>2.3210000000000002</v>
      </c>
      <c r="J511" s="133">
        <v>6.96</v>
      </c>
      <c r="M511" s="143">
        <v>42705</v>
      </c>
      <c r="N511" s="142">
        <v>2191.08</v>
      </c>
    </row>
    <row r="512" spans="6:14" x14ac:dyDescent="0.55000000000000004">
      <c r="F512" s="133">
        <v>5.7629999999999999</v>
      </c>
      <c r="G512" s="133">
        <v>1.7149999999999999</v>
      </c>
      <c r="H512" s="133">
        <v>0.61199999999999999</v>
      </c>
      <c r="I512" s="133">
        <v>2.262</v>
      </c>
      <c r="J512" s="133">
        <v>6.97</v>
      </c>
      <c r="M512" s="143">
        <v>42706</v>
      </c>
      <c r="N512" s="142">
        <v>2191.9499999999998</v>
      </c>
    </row>
    <row r="513" spans="6:14" x14ac:dyDescent="0.55000000000000004">
      <c r="F513" s="133">
        <v>5.6920000000000002</v>
      </c>
      <c r="G513" s="133">
        <v>1.6919999999999999</v>
      </c>
      <c r="H513" s="133">
        <v>0.59899999999999998</v>
      </c>
      <c r="I513" s="133">
        <v>2.2200000000000002</v>
      </c>
      <c r="J513" s="133">
        <v>6.9399999999999995</v>
      </c>
      <c r="M513" s="143">
        <v>42709</v>
      </c>
      <c r="N513" s="142">
        <v>2204.71</v>
      </c>
    </row>
    <row r="514" spans="6:14" x14ac:dyDescent="0.55000000000000004">
      <c r="F514" s="133">
        <v>5.5620000000000003</v>
      </c>
      <c r="G514" s="133">
        <v>1.663</v>
      </c>
      <c r="H514" s="133">
        <v>0.59199999999999997</v>
      </c>
      <c r="I514" s="133">
        <v>2.1800000000000002</v>
      </c>
      <c r="J514" s="133">
        <v>6.77</v>
      </c>
      <c r="M514" s="143">
        <v>42710</v>
      </c>
      <c r="N514" s="142">
        <v>2212.23</v>
      </c>
    </row>
    <row r="515" spans="6:14" x14ac:dyDescent="0.55000000000000004">
      <c r="F515" s="133">
        <v>5.5880000000000001</v>
      </c>
      <c r="G515" s="133">
        <v>1.6720000000000002</v>
      </c>
      <c r="H515" s="133">
        <v>0.60599999999999998</v>
      </c>
      <c r="I515" s="133">
        <v>2.2250000000000001</v>
      </c>
      <c r="J515" s="133">
        <v>6.79</v>
      </c>
      <c r="M515" s="143">
        <v>42711</v>
      </c>
      <c r="N515" s="142">
        <v>2241.35</v>
      </c>
    </row>
    <row r="516" spans="6:14" x14ac:dyDescent="0.55000000000000004">
      <c r="F516" s="133">
        <v>5.5229999999999997</v>
      </c>
      <c r="G516" s="133">
        <v>1.6720000000000002</v>
      </c>
      <c r="H516" s="133">
        <v>0.60499999999999998</v>
      </c>
      <c r="I516" s="133">
        <v>2.2509999999999999</v>
      </c>
      <c r="J516" s="133">
        <v>6.72</v>
      </c>
      <c r="M516" s="143">
        <v>42712</v>
      </c>
      <c r="N516" s="142">
        <v>2246.19</v>
      </c>
    </row>
    <row r="517" spans="6:14" x14ac:dyDescent="0.55000000000000004">
      <c r="F517" s="133">
        <v>5.6189999999999998</v>
      </c>
      <c r="G517" s="133">
        <v>1.694</v>
      </c>
      <c r="H517" s="133">
        <v>0.61499999999999999</v>
      </c>
      <c r="I517" s="133">
        <v>2.2800000000000002</v>
      </c>
      <c r="J517" s="133">
        <v>6.76</v>
      </c>
      <c r="M517" s="143">
        <v>42713</v>
      </c>
      <c r="N517" s="142">
        <v>2259.5300000000002</v>
      </c>
    </row>
    <row r="518" spans="6:14" x14ac:dyDescent="0.55000000000000004">
      <c r="F518" s="133">
        <v>5.6040000000000001</v>
      </c>
      <c r="G518" s="133">
        <v>1.7170000000000001</v>
      </c>
      <c r="H518" s="133">
        <v>0.621</v>
      </c>
      <c r="I518" s="133">
        <v>2.2999999999999998</v>
      </c>
      <c r="J518" s="133">
        <v>6.78</v>
      </c>
      <c r="M518" s="143">
        <v>42716</v>
      </c>
      <c r="N518" s="142">
        <v>2256.96</v>
      </c>
    </row>
    <row r="519" spans="6:14" x14ac:dyDescent="0.55000000000000004">
      <c r="F519" s="133">
        <v>5.5890000000000004</v>
      </c>
      <c r="G519" s="133">
        <v>1.7010000000000001</v>
      </c>
      <c r="H519" s="133">
        <v>0.61499999999999999</v>
      </c>
      <c r="I519" s="133">
        <v>2.2930000000000001</v>
      </c>
      <c r="J519" s="133">
        <v>6.83</v>
      </c>
      <c r="M519" s="143">
        <v>42717</v>
      </c>
      <c r="N519" s="142">
        <v>2271.7199999999998</v>
      </c>
    </row>
    <row r="520" spans="6:14" x14ac:dyDescent="0.55000000000000004">
      <c r="F520" s="133">
        <v>5.617</v>
      </c>
      <c r="G520" s="133">
        <v>1.6870000000000001</v>
      </c>
      <c r="H520" s="133">
        <v>0.60399999999999998</v>
      </c>
      <c r="I520" s="133">
        <v>2.2789999999999999</v>
      </c>
      <c r="J520" s="133">
        <v>6.91</v>
      </c>
      <c r="M520" s="143">
        <v>42718</v>
      </c>
      <c r="N520" s="142">
        <v>2253.2800000000002</v>
      </c>
    </row>
    <row r="521" spans="6:14" x14ac:dyDescent="0.55000000000000004">
      <c r="F521" s="133">
        <v>5.7649999999999997</v>
      </c>
      <c r="G521" s="133">
        <v>1.7189999999999999</v>
      </c>
      <c r="H521" s="133">
        <v>0.61099999999999999</v>
      </c>
      <c r="I521" s="133">
        <v>2.323</v>
      </c>
      <c r="J521" s="133">
        <v>7.18</v>
      </c>
      <c r="M521" s="143">
        <v>42719</v>
      </c>
      <c r="N521" s="142">
        <v>2262.0300000000002</v>
      </c>
    </row>
    <row r="522" spans="6:14" x14ac:dyDescent="0.55000000000000004">
      <c r="F522" s="133">
        <v>5.7460000000000004</v>
      </c>
      <c r="G522" s="133">
        <v>1.825</v>
      </c>
      <c r="H522" s="133">
        <v>0.64300000000000002</v>
      </c>
      <c r="I522" s="133">
        <v>2.5179999999999998</v>
      </c>
      <c r="J522" s="133">
        <v>7.05</v>
      </c>
      <c r="M522" s="143">
        <v>42720</v>
      </c>
      <c r="N522" s="142">
        <v>2258.0700000000002</v>
      </c>
    </row>
    <row r="523" spans="6:14" x14ac:dyDescent="0.55000000000000004">
      <c r="F523" s="133">
        <v>5.8550000000000004</v>
      </c>
      <c r="G523" s="133">
        <v>1.925</v>
      </c>
      <c r="H523" s="133">
        <v>0.67300000000000004</v>
      </c>
      <c r="I523" s="133">
        <v>2.61</v>
      </c>
      <c r="J523" s="133">
        <v>7.21</v>
      </c>
      <c r="M523" s="143">
        <v>42723</v>
      </c>
      <c r="N523" s="142">
        <v>2262.5300000000002</v>
      </c>
    </row>
    <row r="524" spans="6:14" x14ac:dyDescent="0.55000000000000004">
      <c r="F524" s="133">
        <v>5.9359999999999999</v>
      </c>
      <c r="G524" s="133">
        <v>1.8740000000000001</v>
      </c>
      <c r="H524" s="133">
        <v>0.63300000000000001</v>
      </c>
      <c r="I524" s="133">
        <v>2.5329999999999999</v>
      </c>
      <c r="J524" s="133">
        <v>7.29</v>
      </c>
      <c r="M524" s="143">
        <v>42724</v>
      </c>
      <c r="N524" s="142">
        <v>2270.7600000000002</v>
      </c>
    </row>
    <row r="525" spans="6:14" x14ac:dyDescent="0.55000000000000004">
      <c r="F525" s="133">
        <v>5.9909999999999997</v>
      </c>
      <c r="G525" s="133">
        <v>1.851</v>
      </c>
      <c r="H525" s="133">
        <v>0.63400000000000001</v>
      </c>
      <c r="I525" s="133">
        <v>2.4870000000000001</v>
      </c>
      <c r="J525" s="133">
        <v>7.33</v>
      </c>
      <c r="M525" s="143">
        <v>42725</v>
      </c>
      <c r="N525" s="142">
        <v>2265.1799999999998</v>
      </c>
    </row>
    <row r="526" spans="6:14" x14ac:dyDescent="0.55000000000000004">
      <c r="F526" s="133">
        <v>6</v>
      </c>
      <c r="G526" s="133">
        <v>1.8340000000000001</v>
      </c>
      <c r="H526" s="133">
        <v>0.63900000000000001</v>
      </c>
      <c r="I526" s="133">
        <v>2.4740000000000002</v>
      </c>
      <c r="J526" s="133">
        <v>7.39</v>
      </c>
      <c r="M526" s="143">
        <v>42726</v>
      </c>
      <c r="N526" s="142">
        <v>2260.96</v>
      </c>
    </row>
    <row r="527" spans="6:14" x14ac:dyDescent="0.55000000000000004">
      <c r="F527" s="133">
        <v>6.0019999999999998</v>
      </c>
      <c r="G527" s="133">
        <v>1.784</v>
      </c>
      <c r="H527" s="133">
        <v>0.623</v>
      </c>
      <c r="I527" s="133">
        <v>2.431</v>
      </c>
      <c r="J527" s="133">
        <v>7.23</v>
      </c>
      <c r="M527" s="143">
        <v>42727</v>
      </c>
      <c r="N527" s="142">
        <v>2263.79</v>
      </c>
    </row>
    <row r="528" spans="6:14" x14ac:dyDescent="0.55000000000000004">
      <c r="F528" s="133">
        <v>5.99</v>
      </c>
      <c r="G528" s="133">
        <v>1.7949999999999999</v>
      </c>
      <c r="H528" s="133">
        <v>0.622</v>
      </c>
      <c r="I528" s="133">
        <v>2.4169999999999998</v>
      </c>
      <c r="J528" s="133">
        <v>7.26</v>
      </c>
      <c r="M528" s="143">
        <v>42731</v>
      </c>
      <c r="N528" s="142">
        <v>2268.88</v>
      </c>
    </row>
    <row r="529" spans="6:14" x14ac:dyDescent="0.55000000000000004">
      <c r="F529" s="133">
        <v>5.9939999999999998</v>
      </c>
      <c r="G529" s="133">
        <v>1.8</v>
      </c>
      <c r="H529" s="133">
        <v>0.63400000000000001</v>
      </c>
      <c r="I529" s="133">
        <v>2.427</v>
      </c>
      <c r="J529" s="133">
        <v>7.27</v>
      </c>
      <c r="M529" s="143">
        <v>42732</v>
      </c>
      <c r="N529" s="142">
        <v>2249.92</v>
      </c>
    </row>
    <row r="530" spans="6:14" x14ac:dyDescent="0.55000000000000004">
      <c r="F530" s="133">
        <v>5.9779999999999998</v>
      </c>
      <c r="G530" s="133">
        <v>1.8149999999999999</v>
      </c>
      <c r="H530" s="133">
        <v>0.63200000000000001</v>
      </c>
      <c r="I530" s="133">
        <v>2.4260000000000002</v>
      </c>
      <c r="J530" s="133">
        <v>7.23</v>
      </c>
      <c r="M530" s="143">
        <v>42733</v>
      </c>
      <c r="N530" s="142">
        <v>2249.2600000000002</v>
      </c>
    </row>
    <row r="531" spans="6:14" x14ac:dyDescent="0.55000000000000004">
      <c r="F531" s="133">
        <v>5.9630000000000001</v>
      </c>
      <c r="G531" s="133">
        <v>1.802</v>
      </c>
      <c r="H531" s="133">
        <v>0.63100000000000001</v>
      </c>
      <c r="I531" s="133">
        <v>2.419</v>
      </c>
      <c r="J531" s="133">
        <v>7.18</v>
      </c>
      <c r="M531" s="143">
        <v>42734</v>
      </c>
      <c r="N531" s="142">
        <v>2238.83</v>
      </c>
    </row>
    <row r="532" spans="6:14" x14ac:dyDescent="0.55000000000000004">
      <c r="F532" s="133">
        <v>5.9190000000000005</v>
      </c>
      <c r="G532" s="133">
        <v>1.796</v>
      </c>
      <c r="H532" s="133">
        <v>0.625</v>
      </c>
      <c r="I532" s="133">
        <v>2.403</v>
      </c>
      <c r="J532" s="133">
        <v>7.12</v>
      </c>
      <c r="M532" s="143">
        <v>42738</v>
      </c>
      <c r="N532" s="142">
        <v>2257.83</v>
      </c>
    </row>
    <row r="533" spans="6:14" x14ac:dyDescent="0.55000000000000004">
      <c r="M533" s="143">
        <v>42739</v>
      </c>
      <c r="N533" s="142">
        <v>2270.75</v>
      </c>
    </row>
    <row r="534" spans="6:14" x14ac:dyDescent="0.55000000000000004">
      <c r="M534" s="143">
        <v>42740</v>
      </c>
      <c r="N534" s="142">
        <v>2269</v>
      </c>
    </row>
    <row r="535" spans="6:14" x14ac:dyDescent="0.55000000000000004">
      <c r="M535" s="143">
        <v>42741</v>
      </c>
      <c r="N535" s="142">
        <v>2276.98</v>
      </c>
    </row>
    <row r="536" spans="6:14" x14ac:dyDescent="0.55000000000000004">
      <c r="M536" s="143">
        <v>42744</v>
      </c>
      <c r="N536" s="142">
        <v>2268.9</v>
      </c>
    </row>
    <row r="537" spans="6:14" x14ac:dyDescent="0.55000000000000004">
      <c r="M537" s="143">
        <v>42745</v>
      </c>
      <c r="N537" s="142">
        <v>2268.9</v>
      </c>
    </row>
    <row r="538" spans="6:14" x14ac:dyDescent="0.55000000000000004">
      <c r="M538" s="143">
        <v>42746</v>
      </c>
      <c r="N538" s="142">
        <v>2275.3200000000002</v>
      </c>
    </row>
    <row r="539" spans="6:14" x14ac:dyDescent="0.55000000000000004">
      <c r="M539" s="143">
        <v>42747</v>
      </c>
      <c r="N539" s="142">
        <v>2270.44</v>
      </c>
    </row>
    <row r="540" spans="6:14" x14ac:dyDescent="0.55000000000000004">
      <c r="M540" s="143">
        <v>42748</v>
      </c>
      <c r="N540" s="142">
        <v>2274.64</v>
      </c>
    </row>
    <row r="541" spans="6:14" x14ac:dyDescent="0.55000000000000004">
      <c r="M541" s="143">
        <v>42752</v>
      </c>
      <c r="N541" s="142">
        <v>2267.89</v>
      </c>
    </row>
    <row r="542" spans="6:14" x14ac:dyDescent="0.55000000000000004">
      <c r="M542" s="143">
        <v>42753</v>
      </c>
      <c r="N542" s="142">
        <v>2271.89</v>
      </c>
    </row>
    <row r="543" spans="6:14" x14ac:dyDescent="0.55000000000000004">
      <c r="M543" s="143">
        <v>42754</v>
      </c>
      <c r="N543" s="142">
        <v>2263.69</v>
      </c>
    </row>
    <row r="544" spans="6:14" x14ac:dyDescent="0.55000000000000004">
      <c r="M544" s="143">
        <v>42755</v>
      </c>
      <c r="N544" s="142">
        <v>2271.31</v>
      </c>
    </row>
    <row r="545" spans="13:14" x14ac:dyDescent="0.55000000000000004">
      <c r="M545" s="143">
        <v>42758</v>
      </c>
      <c r="N545" s="142">
        <v>2265.1999999999998</v>
      </c>
    </row>
    <row r="546" spans="13:14" x14ac:dyDescent="0.55000000000000004">
      <c r="M546" s="143">
        <v>42759</v>
      </c>
      <c r="N546" s="142">
        <v>2280.0700000000002</v>
      </c>
    </row>
    <row r="547" spans="13:14" x14ac:dyDescent="0.55000000000000004">
      <c r="M547" s="143">
        <v>42760</v>
      </c>
      <c r="N547" s="142">
        <v>2298.37</v>
      </c>
    </row>
    <row r="548" spans="13:14" x14ac:dyDescent="0.55000000000000004">
      <c r="M548" s="143">
        <v>42761</v>
      </c>
      <c r="N548" s="142">
        <v>2296.6799999999998</v>
      </c>
    </row>
    <row r="549" spans="13:14" x14ac:dyDescent="0.55000000000000004">
      <c r="M549" s="143">
        <v>42762</v>
      </c>
      <c r="N549" s="142">
        <v>2294.69</v>
      </c>
    </row>
    <row r="550" spans="13:14" x14ac:dyDescent="0.55000000000000004">
      <c r="M550" s="143">
        <v>42765</v>
      </c>
      <c r="N550" s="142">
        <v>2280.9</v>
      </c>
    </row>
    <row r="551" spans="13:14" x14ac:dyDescent="0.55000000000000004">
      <c r="M551" s="143">
        <v>42766</v>
      </c>
      <c r="N551" s="142">
        <v>2278.87</v>
      </c>
    </row>
    <row r="552" spans="13:14" x14ac:dyDescent="0.55000000000000004">
      <c r="M552" s="143">
        <v>42767</v>
      </c>
      <c r="N552" s="142">
        <v>2279.5500000000002</v>
      </c>
    </row>
    <row r="553" spans="13:14" x14ac:dyDescent="0.55000000000000004">
      <c r="M553" s="143">
        <v>42768</v>
      </c>
      <c r="N553" s="142">
        <v>2280.85</v>
      </c>
    </row>
    <row r="554" spans="13:14" x14ac:dyDescent="0.55000000000000004">
      <c r="M554" s="143">
        <v>42769</v>
      </c>
      <c r="N554" s="142">
        <v>2297.42</v>
      </c>
    </row>
    <row r="555" spans="13:14" x14ac:dyDescent="0.55000000000000004">
      <c r="M555" s="143">
        <v>42772</v>
      </c>
      <c r="N555" s="142">
        <v>2292.56</v>
      </c>
    </row>
    <row r="556" spans="13:14" x14ac:dyDescent="0.55000000000000004">
      <c r="M556" s="143">
        <v>42773</v>
      </c>
      <c r="N556" s="142">
        <v>2293.08</v>
      </c>
    </row>
    <row r="557" spans="13:14" x14ac:dyDescent="0.55000000000000004">
      <c r="M557" s="143">
        <v>42774</v>
      </c>
      <c r="N557" s="142">
        <v>2294.67</v>
      </c>
    </row>
    <row r="558" spans="13:14" x14ac:dyDescent="0.55000000000000004">
      <c r="M558" s="143">
        <v>42775</v>
      </c>
      <c r="N558" s="142">
        <v>2307.87</v>
      </c>
    </row>
    <row r="559" spans="13:14" x14ac:dyDescent="0.55000000000000004">
      <c r="M559" s="143">
        <v>42776</v>
      </c>
      <c r="N559" s="142">
        <v>2316.1</v>
      </c>
    </row>
    <row r="560" spans="13:14" x14ac:dyDescent="0.55000000000000004">
      <c r="M560" s="143">
        <v>42779</v>
      </c>
      <c r="N560" s="142">
        <v>2328.25</v>
      </c>
    </row>
    <row r="561" spans="13:14" x14ac:dyDescent="0.55000000000000004">
      <c r="M561" s="143">
        <v>42780</v>
      </c>
      <c r="N561" s="142">
        <v>2337.58</v>
      </c>
    </row>
    <row r="562" spans="13:14" x14ac:dyDescent="0.55000000000000004">
      <c r="M562" s="143">
        <v>42781</v>
      </c>
      <c r="N562" s="142">
        <v>2349.25</v>
      </c>
    </row>
    <row r="563" spans="13:14" x14ac:dyDescent="0.55000000000000004">
      <c r="M563" s="143">
        <v>42782</v>
      </c>
      <c r="N563" s="142">
        <v>2347.2199999999998</v>
      </c>
    </row>
    <row r="564" spans="13:14" x14ac:dyDescent="0.55000000000000004">
      <c r="M564" s="143">
        <v>42783</v>
      </c>
      <c r="N564" s="142">
        <v>2351.16</v>
      </c>
    </row>
    <row r="565" spans="13:14" x14ac:dyDescent="0.55000000000000004">
      <c r="M565" s="143">
        <v>42787</v>
      </c>
      <c r="N565" s="142">
        <v>2365.38</v>
      </c>
    </row>
    <row r="566" spans="13:14" x14ac:dyDescent="0.55000000000000004">
      <c r="M566" s="143">
        <v>42788</v>
      </c>
      <c r="N566" s="142">
        <v>2362.8200000000002</v>
      </c>
    </row>
    <row r="567" spans="13:14" x14ac:dyDescent="0.55000000000000004">
      <c r="M567" s="143">
        <v>42789</v>
      </c>
      <c r="N567" s="142">
        <v>2363.81</v>
      </c>
    </row>
    <row r="568" spans="13:14" x14ac:dyDescent="0.55000000000000004">
      <c r="M568" s="143">
        <v>42790</v>
      </c>
      <c r="N568" s="142">
        <v>2367.34</v>
      </c>
    </row>
    <row r="569" spans="13:14" x14ac:dyDescent="0.55000000000000004">
      <c r="M569" s="143">
        <v>42793</v>
      </c>
      <c r="N569" s="142">
        <v>2369.75</v>
      </c>
    </row>
    <row r="570" spans="13:14" x14ac:dyDescent="0.55000000000000004">
      <c r="M570" s="143">
        <v>42794</v>
      </c>
      <c r="N570" s="142">
        <v>2363.64</v>
      </c>
    </row>
    <row r="571" spans="13:14" x14ac:dyDescent="0.55000000000000004">
      <c r="M571" s="143">
        <v>42795</v>
      </c>
      <c r="N571" s="142">
        <v>2395.96</v>
      </c>
    </row>
    <row r="572" spans="13:14" x14ac:dyDescent="0.55000000000000004">
      <c r="M572" s="143">
        <v>42796</v>
      </c>
      <c r="N572" s="142">
        <v>2381.92</v>
      </c>
    </row>
    <row r="573" spans="13:14" x14ac:dyDescent="0.55000000000000004">
      <c r="M573" s="143">
        <v>42797</v>
      </c>
      <c r="N573" s="142">
        <v>2383.12</v>
      </c>
    </row>
    <row r="574" spans="13:14" x14ac:dyDescent="0.55000000000000004">
      <c r="M574" s="143">
        <v>42800</v>
      </c>
      <c r="N574" s="142">
        <v>2375.31</v>
      </c>
    </row>
    <row r="575" spans="13:14" x14ac:dyDescent="0.55000000000000004">
      <c r="M575" s="143">
        <v>42801</v>
      </c>
      <c r="N575" s="142">
        <v>2368.39</v>
      </c>
    </row>
    <row r="576" spans="13:14" x14ac:dyDescent="0.55000000000000004">
      <c r="M576" s="143">
        <v>42802</v>
      </c>
      <c r="N576" s="142">
        <v>2362.98</v>
      </c>
    </row>
    <row r="577" spans="13:14" x14ac:dyDescent="0.55000000000000004">
      <c r="M577" s="143">
        <v>42803</v>
      </c>
      <c r="N577" s="142">
        <v>2364.87</v>
      </c>
    </row>
    <row r="578" spans="13:14" x14ac:dyDescent="0.55000000000000004">
      <c r="M578" s="143">
        <v>42804</v>
      </c>
      <c r="N578" s="142">
        <v>2372.6</v>
      </c>
    </row>
    <row r="579" spans="13:14" x14ac:dyDescent="0.55000000000000004">
      <c r="M579" s="143">
        <v>42807</v>
      </c>
      <c r="N579" s="142">
        <v>2373.4699999999998</v>
      </c>
    </row>
    <row r="580" spans="13:14" x14ac:dyDescent="0.55000000000000004">
      <c r="M580" s="143">
        <v>42808</v>
      </c>
      <c r="N580" s="142">
        <v>2365.4499999999998</v>
      </c>
    </row>
    <row r="581" spans="13:14" x14ac:dyDescent="0.55000000000000004">
      <c r="M581" s="143">
        <v>42809</v>
      </c>
      <c r="N581" s="142">
        <v>2385.2600000000002</v>
      </c>
    </row>
    <row r="582" spans="13:14" x14ac:dyDescent="0.55000000000000004">
      <c r="M582" s="143">
        <v>42810</v>
      </c>
      <c r="N582" s="142">
        <v>2381.38</v>
      </c>
    </row>
    <row r="583" spans="13:14" x14ac:dyDescent="0.55000000000000004">
      <c r="M583" s="143">
        <v>42811</v>
      </c>
      <c r="N583" s="142">
        <v>2378.25</v>
      </c>
    </row>
    <row r="584" spans="13:14" x14ac:dyDescent="0.55000000000000004">
      <c r="M584" s="143">
        <v>42814</v>
      </c>
      <c r="N584" s="142">
        <v>2373.4699999999998</v>
      </c>
    </row>
    <row r="585" spans="13:14" x14ac:dyDescent="0.55000000000000004">
      <c r="M585" s="143">
        <v>42815</v>
      </c>
      <c r="N585" s="142">
        <v>2344.02</v>
      </c>
    </row>
    <row r="586" spans="13:14" x14ac:dyDescent="0.55000000000000004">
      <c r="M586" s="143">
        <v>42816</v>
      </c>
      <c r="N586" s="142">
        <v>2348.4499999999998</v>
      </c>
    </row>
    <row r="587" spans="13:14" x14ac:dyDescent="0.55000000000000004">
      <c r="M587" s="143">
        <v>42817</v>
      </c>
      <c r="N587" s="142">
        <v>2345.96</v>
      </c>
    </row>
    <row r="588" spans="13:14" x14ac:dyDescent="0.55000000000000004">
      <c r="M588" s="143">
        <v>42818</v>
      </c>
      <c r="N588" s="142">
        <v>2343.98</v>
      </c>
    </row>
    <row r="589" spans="13:14" x14ac:dyDescent="0.55000000000000004">
      <c r="M589" s="143">
        <v>42821</v>
      </c>
      <c r="N589" s="142">
        <v>2341.59</v>
      </c>
    </row>
    <row r="590" spans="13:14" x14ac:dyDescent="0.55000000000000004">
      <c r="M590" s="143">
        <v>42822</v>
      </c>
      <c r="N590" s="142">
        <v>2358.5700000000002</v>
      </c>
    </row>
    <row r="591" spans="13:14" x14ac:dyDescent="0.55000000000000004">
      <c r="M591" s="143">
        <v>42823</v>
      </c>
      <c r="N591" s="142">
        <v>2361.13</v>
      </c>
    </row>
    <row r="592" spans="13:14" x14ac:dyDescent="0.55000000000000004">
      <c r="M592" s="143">
        <v>42824</v>
      </c>
      <c r="N592" s="142">
        <v>2368.06</v>
      </c>
    </row>
    <row r="593" spans="13:14" x14ac:dyDescent="0.55000000000000004">
      <c r="M593" s="143">
        <v>42825</v>
      </c>
      <c r="N593" s="142">
        <v>2362.7199999999998</v>
      </c>
    </row>
    <row r="594" spans="13:14" x14ac:dyDescent="0.55000000000000004">
      <c r="M594" s="143">
        <v>42828</v>
      </c>
      <c r="N594" s="142">
        <v>2358.84</v>
      </c>
    </row>
    <row r="595" spans="13:14" x14ac:dyDescent="0.55000000000000004">
      <c r="M595" s="143">
        <v>42829</v>
      </c>
      <c r="N595" s="142">
        <v>2360.16</v>
      </c>
    </row>
    <row r="596" spans="13:14" x14ac:dyDescent="0.55000000000000004">
      <c r="M596" s="143">
        <v>42830</v>
      </c>
      <c r="N596" s="142">
        <v>2352.9499999999998</v>
      </c>
    </row>
    <row r="597" spans="13:14" x14ac:dyDescent="0.55000000000000004">
      <c r="M597" s="143">
        <v>42831</v>
      </c>
      <c r="N597" s="142">
        <v>2357.4899999999998</v>
      </c>
    </row>
    <row r="598" spans="13:14" x14ac:dyDescent="0.55000000000000004">
      <c r="M598" s="143">
        <v>42832</v>
      </c>
      <c r="N598" s="142">
        <v>2355.54</v>
      </c>
    </row>
    <row r="599" spans="13:14" x14ac:dyDescent="0.55000000000000004">
      <c r="M599" s="143">
        <v>42835</v>
      </c>
      <c r="N599" s="142">
        <v>2357.16</v>
      </c>
    </row>
    <row r="600" spans="13:14" x14ac:dyDescent="0.55000000000000004">
      <c r="M600" s="143">
        <v>42836</v>
      </c>
      <c r="N600" s="142">
        <v>2353.7800000000002</v>
      </c>
    </row>
    <row r="601" spans="13:14" x14ac:dyDescent="0.55000000000000004">
      <c r="M601" s="143">
        <v>42837</v>
      </c>
      <c r="N601" s="142">
        <v>2344.9299999999998</v>
      </c>
    </row>
    <row r="602" spans="13:14" x14ac:dyDescent="0.55000000000000004">
      <c r="M602" s="143">
        <v>42838</v>
      </c>
      <c r="N602" s="142">
        <v>2328.9499999999998</v>
      </c>
    </row>
    <row r="603" spans="13:14" x14ac:dyDescent="0.55000000000000004">
      <c r="M603" s="143">
        <v>42842</v>
      </c>
      <c r="N603" s="142">
        <v>2349.0100000000002</v>
      </c>
    </row>
    <row r="604" spans="13:14" x14ac:dyDescent="0.55000000000000004">
      <c r="M604" s="143">
        <v>42843</v>
      </c>
      <c r="N604" s="142">
        <v>2342.19</v>
      </c>
    </row>
    <row r="605" spans="13:14" x14ac:dyDescent="0.55000000000000004">
      <c r="M605" s="143">
        <v>42844</v>
      </c>
      <c r="N605" s="142">
        <v>2338.17</v>
      </c>
    </row>
    <row r="606" spans="13:14" x14ac:dyDescent="0.55000000000000004">
      <c r="M606" s="143">
        <v>42845</v>
      </c>
      <c r="N606" s="142">
        <v>2355.84</v>
      </c>
    </row>
    <row r="607" spans="13:14" x14ac:dyDescent="0.55000000000000004">
      <c r="M607" s="143">
        <v>42846</v>
      </c>
      <c r="N607" s="142">
        <v>2348.69</v>
      </c>
    </row>
    <row r="608" spans="13:14" x14ac:dyDescent="0.55000000000000004">
      <c r="M608" s="143">
        <v>42849</v>
      </c>
      <c r="N608" s="142">
        <v>2374.15</v>
      </c>
    </row>
    <row r="609" spans="13:14" x14ac:dyDescent="0.55000000000000004">
      <c r="M609" s="143">
        <v>42850</v>
      </c>
      <c r="N609" s="142">
        <v>2388.61</v>
      </c>
    </row>
    <row r="610" spans="13:14" x14ac:dyDescent="0.55000000000000004">
      <c r="M610" s="143">
        <v>42851</v>
      </c>
      <c r="N610" s="142">
        <v>2387.4499999999998</v>
      </c>
    </row>
    <row r="611" spans="13:14" x14ac:dyDescent="0.55000000000000004">
      <c r="M611" s="143">
        <v>42852</v>
      </c>
      <c r="N611" s="142">
        <v>2388.77</v>
      </c>
    </row>
    <row r="612" spans="13:14" x14ac:dyDescent="0.55000000000000004">
      <c r="M612" s="143">
        <v>42853</v>
      </c>
      <c r="N612" s="142">
        <v>2384.1999999999998</v>
      </c>
    </row>
    <row r="613" spans="13:14" x14ac:dyDescent="0.55000000000000004">
      <c r="M613" s="143">
        <v>42856</v>
      </c>
      <c r="N613" s="142">
        <v>2388.33</v>
      </c>
    </row>
    <row r="614" spans="13:14" x14ac:dyDescent="0.55000000000000004">
      <c r="M614" s="143">
        <v>42857</v>
      </c>
      <c r="N614" s="142">
        <v>2391.17</v>
      </c>
    </row>
    <row r="615" spans="13:14" x14ac:dyDescent="0.55000000000000004">
      <c r="M615" s="143">
        <v>42858</v>
      </c>
      <c r="N615" s="142">
        <v>2388.13</v>
      </c>
    </row>
    <row r="616" spans="13:14" x14ac:dyDescent="0.55000000000000004">
      <c r="M616" s="143">
        <v>42859</v>
      </c>
      <c r="N616" s="142">
        <v>2389.52</v>
      </c>
    </row>
    <row r="617" spans="13:14" x14ac:dyDescent="0.55000000000000004">
      <c r="M617" s="143">
        <v>42860</v>
      </c>
      <c r="N617" s="142">
        <v>2399.29</v>
      </c>
    </row>
    <row r="618" spans="13:14" x14ac:dyDescent="0.55000000000000004">
      <c r="M618" s="143">
        <v>42863</v>
      </c>
      <c r="N618" s="142">
        <v>2399.38</v>
      </c>
    </row>
    <row r="619" spans="13:14" x14ac:dyDescent="0.55000000000000004">
      <c r="M619" s="143">
        <v>42864</v>
      </c>
      <c r="N619" s="142">
        <v>2396.92</v>
      </c>
    </row>
    <row r="620" spans="13:14" x14ac:dyDescent="0.55000000000000004">
      <c r="M620" s="143">
        <v>42865</v>
      </c>
      <c r="N620" s="142">
        <v>2399.63</v>
      </c>
    </row>
    <row r="621" spans="13:14" x14ac:dyDescent="0.55000000000000004">
      <c r="M621" s="143">
        <v>42866</v>
      </c>
      <c r="N621" s="142">
        <v>2394.44</v>
      </c>
    </row>
    <row r="622" spans="13:14" x14ac:dyDescent="0.55000000000000004">
      <c r="M622" s="143">
        <v>42867</v>
      </c>
      <c r="N622" s="142">
        <v>2390.9</v>
      </c>
    </row>
    <row r="623" spans="13:14" x14ac:dyDescent="0.55000000000000004">
      <c r="M623" s="143">
        <v>42870</v>
      </c>
      <c r="N623" s="142">
        <v>2402.3200000000002</v>
      </c>
    </row>
    <row r="624" spans="13:14" x14ac:dyDescent="0.55000000000000004">
      <c r="M624" s="143">
        <v>42871</v>
      </c>
      <c r="N624" s="142">
        <v>2400.67</v>
      </c>
    </row>
    <row r="625" spans="13:14" x14ac:dyDescent="0.55000000000000004">
      <c r="M625" s="143">
        <v>42872</v>
      </c>
      <c r="N625" s="142">
        <v>2357.0300000000002</v>
      </c>
    </row>
    <row r="626" spans="13:14" x14ac:dyDescent="0.55000000000000004">
      <c r="M626" s="143">
        <v>42873</v>
      </c>
      <c r="N626" s="142">
        <v>2365.7199999999998</v>
      </c>
    </row>
    <row r="627" spans="13:14" x14ac:dyDescent="0.55000000000000004">
      <c r="M627" s="143">
        <v>42874</v>
      </c>
      <c r="N627" s="142">
        <v>2381.73</v>
      </c>
    </row>
    <row r="628" spans="13:14" x14ac:dyDescent="0.55000000000000004">
      <c r="M628" s="143">
        <v>42877</v>
      </c>
      <c r="N628" s="142">
        <v>2394.02</v>
      </c>
    </row>
    <row r="629" spans="13:14" x14ac:dyDescent="0.55000000000000004">
      <c r="M629" s="143">
        <v>42878</v>
      </c>
      <c r="N629" s="142">
        <v>2398.42</v>
      </c>
    </row>
    <row r="630" spans="13:14" x14ac:dyDescent="0.55000000000000004">
      <c r="M630" s="143">
        <v>42879</v>
      </c>
      <c r="N630" s="142">
        <v>2404.39</v>
      </c>
    </row>
    <row r="631" spans="13:14" x14ac:dyDescent="0.55000000000000004">
      <c r="M631" s="143">
        <v>42880</v>
      </c>
      <c r="N631" s="142">
        <v>2415.0700000000002</v>
      </c>
    </row>
    <row r="632" spans="13:14" x14ac:dyDescent="0.55000000000000004">
      <c r="M632" s="143">
        <v>42881</v>
      </c>
      <c r="N632" s="142">
        <v>2415.8200000000002</v>
      </c>
    </row>
    <row r="633" spans="13:14" x14ac:dyDescent="0.55000000000000004">
      <c r="M633" s="143">
        <v>42885</v>
      </c>
      <c r="N633" s="142">
        <v>2412.91</v>
      </c>
    </row>
    <row r="634" spans="13:14" x14ac:dyDescent="0.55000000000000004">
      <c r="M634" s="143">
        <v>42886</v>
      </c>
      <c r="N634" s="142">
        <v>2411.8000000000002</v>
      </c>
    </row>
    <row r="635" spans="13:14" x14ac:dyDescent="0.55000000000000004">
      <c r="M635" s="143">
        <v>42887</v>
      </c>
      <c r="N635" s="142">
        <v>2430.06</v>
      </c>
    </row>
    <row r="636" spans="13:14" x14ac:dyDescent="0.55000000000000004">
      <c r="M636" s="143">
        <v>42888</v>
      </c>
      <c r="N636" s="142">
        <v>2439.0700000000002</v>
      </c>
    </row>
    <row r="637" spans="13:14" x14ac:dyDescent="0.55000000000000004">
      <c r="M637" s="143">
        <v>42891</v>
      </c>
      <c r="N637" s="142">
        <v>2436.1</v>
      </c>
    </row>
    <row r="638" spans="13:14" x14ac:dyDescent="0.55000000000000004">
      <c r="M638" s="143">
        <v>42892</v>
      </c>
      <c r="N638" s="142">
        <v>2429.33</v>
      </c>
    </row>
    <row r="639" spans="13:14" x14ac:dyDescent="0.55000000000000004">
      <c r="M639" s="143">
        <v>42893</v>
      </c>
      <c r="N639" s="142">
        <v>2433.14</v>
      </c>
    </row>
    <row r="640" spans="13:14" x14ac:dyDescent="0.55000000000000004">
      <c r="M640" s="143">
        <v>42894</v>
      </c>
      <c r="N640" s="142">
        <v>2433.79</v>
      </c>
    </row>
    <row r="641" spans="13:14" x14ac:dyDescent="0.55000000000000004">
      <c r="M641" s="143">
        <v>42895</v>
      </c>
      <c r="N641" s="142">
        <v>2431.77</v>
      </c>
    </row>
    <row r="642" spans="13:14" x14ac:dyDescent="0.55000000000000004">
      <c r="M642" s="143">
        <v>42898</v>
      </c>
      <c r="N642" s="142">
        <v>2429.39</v>
      </c>
    </row>
    <row r="643" spans="13:14" x14ac:dyDescent="0.55000000000000004">
      <c r="M643" s="143">
        <v>42899</v>
      </c>
      <c r="N643" s="142">
        <v>2440.35</v>
      </c>
    </row>
    <row r="644" spans="13:14" x14ac:dyDescent="0.55000000000000004">
      <c r="M644" s="143">
        <v>42900</v>
      </c>
      <c r="N644" s="142">
        <v>2437.92</v>
      </c>
    </row>
    <row r="645" spans="13:14" x14ac:dyDescent="0.55000000000000004">
      <c r="M645" s="143">
        <v>42901</v>
      </c>
      <c r="N645" s="142">
        <v>2432.46</v>
      </c>
    </row>
    <row r="646" spans="13:14" x14ac:dyDescent="0.55000000000000004">
      <c r="M646" s="143">
        <v>42902</v>
      </c>
      <c r="N646" s="142">
        <v>2433.15</v>
      </c>
    </row>
    <row r="647" spans="13:14" x14ac:dyDescent="0.55000000000000004">
      <c r="M647" s="143">
        <v>42905</v>
      </c>
      <c r="N647" s="142">
        <v>2453.46</v>
      </c>
    </row>
    <row r="648" spans="13:14" x14ac:dyDescent="0.55000000000000004">
      <c r="M648" s="143">
        <v>42906</v>
      </c>
      <c r="N648" s="142">
        <v>2437.0300000000002</v>
      </c>
    </row>
    <row r="649" spans="13:14" x14ac:dyDescent="0.55000000000000004">
      <c r="M649" s="143">
        <v>42907</v>
      </c>
      <c r="N649" s="142">
        <v>2435.61</v>
      </c>
    </row>
    <row r="650" spans="13:14" x14ac:dyDescent="0.55000000000000004">
      <c r="M650" s="143">
        <v>42908</v>
      </c>
      <c r="N650" s="142">
        <v>2434.5</v>
      </c>
    </row>
    <row r="651" spans="13:14" x14ac:dyDescent="0.55000000000000004">
      <c r="M651" s="143">
        <v>42909</v>
      </c>
      <c r="N651" s="142">
        <v>2438.3000000000002</v>
      </c>
    </row>
    <row r="652" spans="13:14" x14ac:dyDescent="0.55000000000000004">
      <c r="M652" s="143">
        <v>42912</v>
      </c>
      <c r="N652" s="142">
        <v>2439.0700000000002</v>
      </c>
    </row>
    <row r="653" spans="13:14" x14ac:dyDescent="0.55000000000000004">
      <c r="M653" s="143">
        <v>42913</v>
      </c>
      <c r="N653" s="142">
        <v>2419.38</v>
      </c>
    </row>
    <row r="654" spans="13:14" x14ac:dyDescent="0.55000000000000004">
      <c r="M654" s="143">
        <v>42914</v>
      </c>
      <c r="N654" s="142">
        <v>2440.69</v>
      </c>
    </row>
    <row r="655" spans="13:14" x14ac:dyDescent="0.55000000000000004">
      <c r="M655" s="143">
        <v>42915</v>
      </c>
      <c r="N655" s="142">
        <v>2419.6999999999998</v>
      </c>
    </row>
    <row r="656" spans="13:14" x14ac:dyDescent="0.55000000000000004">
      <c r="M656" s="143">
        <v>42916</v>
      </c>
      <c r="N656" s="142">
        <v>2423.41</v>
      </c>
    </row>
    <row r="657" spans="13:14" x14ac:dyDescent="0.55000000000000004">
      <c r="M657" s="143">
        <v>42919</v>
      </c>
      <c r="N657" s="142">
        <v>2429.0100000000002</v>
      </c>
    </row>
    <row r="658" spans="13:14" x14ac:dyDescent="0.55000000000000004">
      <c r="M658" s="143">
        <v>42921</v>
      </c>
      <c r="N658" s="142">
        <v>2432.54</v>
      </c>
    </row>
    <row r="659" spans="13:14" x14ac:dyDescent="0.55000000000000004">
      <c r="M659" s="143">
        <v>42922</v>
      </c>
      <c r="N659" s="142">
        <v>2409.75</v>
      </c>
    </row>
    <row r="660" spans="13:14" x14ac:dyDescent="0.55000000000000004">
      <c r="M660" s="143">
        <v>42923</v>
      </c>
      <c r="N660" s="142">
        <v>2425.1799999999998</v>
      </c>
    </row>
    <row r="661" spans="13:14" x14ac:dyDescent="0.55000000000000004">
      <c r="M661" s="143">
        <v>42926</v>
      </c>
      <c r="N661" s="142">
        <v>2427.4299999999998</v>
      </c>
    </row>
    <row r="662" spans="13:14" x14ac:dyDescent="0.55000000000000004">
      <c r="M662" s="143">
        <v>42927</v>
      </c>
      <c r="N662" s="142">
        <v>2425.5300000000002</v>
      </c>
    </row>
    <row r="663" spans="13:14" x14ac:dyDescent="0.55000000000000004">
      <c r="M663" s="143">
        <v>42928</v>
      </c>
      <c r="N663" s="142">
        <v>2443.25</v>
      </c>
    </row>
    <row r="664" spans="13:14" x14ac:dyDescent="0.55000000000000004">
      <c r="M664" s="143">
        <v>42929</v>
      </c>
      <c r="N664" s="142">
        <v>2447.83</v>
      </c>
    </row>
    <row r="665" spans="13:14" x14ac:dyDescent="0.55000000000000004">
      <c r="M665" s="143">
        <v>42930</v>
      </c>
      <c r="N665" s="142">
        <v>2459.27</v>
      </c>
    </row>
    <row r="666" spans="13:14" x14ac:dyDescent="0.55000000000000004">
      <c r="M666" s="143">
        <v>42933</v>
      </c>
      <c r="N666" s="142">
        <v>2459.14</v>
      </c>
    </row>
    <row r="667" spans="13:14" x14ac:dyDescent="0.55000000000000004">
      <c r="M667" s="143">
        <v>42934</v>
      </c>
      <c r="N667" s="142">
        <v>2460.61</v>
      </c>
    </row>
    <row r="668" spans="13:14" x14ac:dyDescent="0.55000000000000004">
      <c r="M668" s="143">
        <v>42935</v>
      </c>
      <c r="N668" s="142">
        <v>2473.83</v>
      </c>
    </row>
    <row r="669" spans="13:14" x14ac:dyDescent="0.55000000000000004">
      <c r="M669" s="143">
        <v>42936</v>
      </c>
      <c r="N669" s="142">
        <v>2473.4499999999998</v>
      </c>
    </row>
    <row r="670" spans="13:14" x14ac:dyDescent="0.55000000000000004">
      <c r="M670" s="143">
        <v>42937</v>
      </c>
      <c r="N670" s="142">
        <v>2472.54</v>
      </c>
    </row>
    <row r="671" spans="13:14" x14ac:dyDescent="0.55000000000000004">
      <c r="M671" s="143">
        <v>42940</v>
      </c>
      <c r="N671" s="142">
        <v>2469.91</v>
      </c>
    </row>
    <row r="672" spans="13:14" x14ac:dyDescent="0.55000000000000004">
      <c r="M672" s="143">
        <v>42941</v>
      </c>
      <c r="N672" s="142">
        <v>2477.13</v>
      </c>
    </row>
    <row r="673" spans="13:14" x14ac:dyDescent="0.55000000000000004">
      <c r="M673" s="143">
        <v>42942</v>
      </c>
      <c r="N673" s="142">
        <v>2477.83</v>
      </c>
    </row>
    <row r="674" spans="13:14" x14ac:dyDescent="0.55000000000000004">
      <c r="M674" s="143">
        <v>42943</v>
      </c>
      <c r="N674" s="142">
        <v>2475.42</v>
      </c>
    </row>
    <row r="675" spans="13:14" x14ac:dyDescent="0.55000000000000004">
      <c r="M675" s="143">
        <v>42944</v>
      </c>
      <c r="N675" s="142">
        <v>2472.1</v>
      </c>
    </row>
    <row r="676" spans="13:14" x14ac:dyDescent="0.55000000000000004">
      <c r="M676" s="143">
        <v>42947</v>
      </c>
      <c r="N676" s="142">
        <v>2470.3000000000002</v>
      </c>
    </row>
    <row r="677" spans="13:14" x14ac:dyDescent="0.55000000000000004">
      <c r="M677" s="143">
        <v>42948</v>
      </c>
      <c r="N677" s="142">
        <v>2476.35</v>
      </c>
    </row>
    <row r="678" spans="13:14" x14ac:dyDescent="0.55000000000000004">
      <c r="M678" s="143">
        <v>42949</v>
      </c>
      <c r="N678" s="142">
        <v>2477.5700000000002</v>
      </c>
    </row>
    <row r="679" spans="13:14" x14ac:dyDescent="0.55000000000000004">
      <c r="M679" s="143">
        <v>42950</v>
      </c>
      <c r="N679" s="142">
        <v>2472.16</v>
      </c>
    </row>
    <row r="680" spans="13:14" x14ac:dyDescent="0.55000000000000004">
      <c r="M680" s="143">
        <v>42951</v>
      </c>
      <c r="N680" s="142">
        <v>2476.83</v>
      </c>
    </row>
    <row r="681" spans="13:14" x14ac:dyDescent="0.55000000000000004">
      <c r="M681" s="143">
        <v>42954</v>
      </c>
      <c r="N681" s="142">
        <v>2480.91</v>
      </c>
    </row>
    <row r="682" spans="13:14" x14ac:dyDescent="0.55000000000000004">
      <c r="M682" s="143">
        <v>42955</v>
      </c>
      <c r="N682" s="142">
        <v>2474.92</v>
      </c>
    </row>
    <row r="683" spans="13:14" x14ac:dyDescent="0.55000000000000004">
      <c r="M683" s="143">
        <v>42956</v>
      </c>
      <c r="N683" s="142">
        <v>2474.02</v>
      </c>
    </row>
    <row r="684" spans="13:14" x14ac:dyDescent="0.55000000000000004">
      <c r="M684" s="143">
        <v>42957</v>
      </c>
      <c r="N684" s="142">
        <v>2438.21</v>
      </c>
    </row>
    <row r="685" spans="13:14" x14ac:dyDescent="0.55000000000000004">
      <c r="M685" s="143">
        <v>42958</v>
      </c>
      <c r="N685" s="142">
        <v>2441.3200000000002</v>
      </c>
    </row>
    <row r="686" spans="13:14" x14ac:dyDescent="0.55000000000000004">
      <c r="M686" s="143">
        <v>42961</v>
      </c>
      <c r="N686" s="142">
        <v>2465.84</v>
      </c>
    </row>
    <row r="687" spans="13:14" x14ac:dyDescent="0.55000000000000004">
      <c r="M687" s="143">
        <v>42962</v>
      </c>
      <c r="N687" s="142">
        <v>2464.61</v>
      </c>
    </row>
    <row r="688" spans="13:14" x14ac:dyDescent="0.55000000000000004">
      <c r="M688" s="143">
        <v>42963</v>
      </c>
      <c r="N688" s="142">
        <v>2468.11</v>
      </c>
    </row>
    <row r="689" spans="13:14" x14ac:dyDescent="0.55000000000000004">
      <c r="M689" s="143">
        <v>42964</v>
      </c>
      <c r="N689" s="142">
        <v>2430.0100000000002</v>
      </c>
    </row>
    <row r="690" spans="13:14" x14ac:dyDescent="0.55000000000000004">
      <c r="M690" s="143">
        <v>42965</v>
      </c>
      <c r="N690" s="142">
        <v>2425.5500000000002</v>
      </c>
    </row>
    <row r="691" spans="13:14" x14ac:dyDescent="0.55000000000000004">
      <c r="M691" s="143">
        <v>42968</v>
      </c>
      <c r="N691" s="142">
        <v>2428.37</v>
      </c>
    </row>
    <row r="692" spans="13:14" x14ac:dyDescent="0.55000000000000004">
      <c r="M692" s="143">
        <v>42969</v>
      </c>
      <c r="N692" s="142">
        <v>2452.5100000000002</v>
      </c>
    </row>
    <row r="693" spans="13:14" x14ac:dyDescent="0.55000000000000004">
      <c r="M693" s="143">
        <v>42970</v>
      </c>
      <c r="N693" s="142">
        <v>2444.04</v>
      </c>
    </row>
    <row r="694" spans="13:14" x14ac:dyDescent="0.55000000000000004">
      <c r="M694" s="143">
        <v>42971</v>
      </c>
      <c r="N694" s="142">
        <v>2438.9699999999998</v>
      </c>
    </row>
    <row r="695" spans="13:14" x14ac:dyDescent="0.55000000000000004">
      <c r="M695" s="143">
        <v>42972</v>
      </c>
      <c r="N695" s="142">
        <v>2443.0500000000002</v>
      </c>
    </row>
    <row r="696" spans="13:14" x14ac:dyDescent="0.55000000000000004">
      <c r="M696" s="143">
        <v>42975</v>
      </c>
      <c r="N696" s="142">
        <v>2444.2399999999998</v>
      </c>
    </row>
    <row r="697" spans="13:14" x14ac:dyDescent="0.55000000000000004">
      <c r="M697" s="143">
        <v>42976</v>
      </c>
      <c r="N697" s="142">
        <v>2446.3000000000002</v>
      </c>
    </row>
    <row r="698" spans="13:14" x14ac:dyDescent="0.55000000000000004">
      <c r="M698" s="143">
        <v>42977</v>
      </c>
      <c r="N698" s="142">
        <v>2457.59</v>
      </c>
    </row>
    <row r="699" spans="13:14" x14ac:dyDescent="0.55000000000000004">
      <c r="M699" s="143">
        <v>42978</v>
      </c>
      <c r="N699" s="142">
        <v>2471.65</v>
      </c>
    </row>
    <row r="700" spans="13:14" x14ac:dyDescent="0.55000000000000004">
      <c r="M700" s="143">
        <v>42979</v>
      </c>
      <c r="N700" s="142">
        <v>2476.5500000000002</v>
      </c>
    </row>
    <row r="701" spans="13:14" x14ac:dyDescent="0.55000000000000004">
      <c r="M701" s="143">
        <v>42983</v>
      </c>
      <c r="N701" s="142">
        <v>2457.85</v>
      </c>
    </row>
    <row r="702" spans="13:14" x14ac:dyDescent="0.55000000000000004">
      <c r="M702" s="143">
        <v>42984</v>
      </c>
      <c r="N702" s="142">
        <v>2465.54</v>
      </c>
    </row>
    <row r="703" spans="13:14" x14ac:dyDescent="0.55000000000000004">
      <c r="M703" s="143">
        <v>42985</v>
      </c>
      <c r="N703" s="142">
        <v>2465.1</v>
      </c>
    </row>
    <row r="704" spans="13:14" x14ac:dyDescent="0.55000000000000004">
      <c r="M704" s="143">
        <v>42986</v>
      </c>
      <c r="N704" s="142">
        <v>2461.4299999999998</v>
      </c>
    </row>
    <row r="705" spans="13:14" x14ac:dyDescent="0.55000000000000004">
      <c r="M705" s="143">
        <v>42989</v>
      </c>
      <c r="N705" s="142">
        <v>2488.11</v>
      </c>
    </row>
    <row r="706" spans="13:14" x14ac:dyDescent="0.55000000000000004">
      <c r="M706" s="143">
        <v>42990</v>
      </c>
      <c r="N706" s="142">
        <v>2496.48</v>
      </c>
    </row>
    <row r="707" spans="13:14" x14ac:dyDescent="0.55000000000000004">
      <c r="M707" s="143">
        <v>42991</v>
      </c>
      <c r="N707" s="142">
        <v>2498.37</v>
      </c>
    </row>
    <row r="708" spans="13:14" x14ac:dyDescent="0.55000000000000004">
      <c r="M708" s="143">
        <v>42992</v>
      </c>
      <c r="N708" s="142">
        <v>2495.62</v>
      </c>
    </row>
    <row r="709" spans="13:14" x14ac:dyDescent="0.55000000000000004">
      <c r="M709" s="143">
        <v>42993</v>
      </c>
      <c r="N709" s="142">
        <v>2500.23</v>
      </c>
    </row>
    <row r="710" spans="13:14" x14ac:dyDescent="0.55000000000000004">
      <c r="M710" s="143">
        <v>42996</v>
      </c>
      <c r="N710" s="142">
        <v>2503.87</v>
      </c>
    </row>
    <row r="711" spans="13:14" x14ac:dyDescent="0.55000000000000004">
      <c r="M711" s="143">
        <v>42997</v>
      </c>
      <c r="N711" s="142">
        <v>2506.65</v>
      </c>
    </row>
    <row r="712" spans="13:14" x14ac:dyDescent="0.55000000000000004">
      <c r="M712" s="143">
        <v>42998</v>
      </c>
      <c r="N712" s="142">
        <v>2508.2399999999998</v>
      </c>
    </row>
    <row r="713" spans="13:14" x14ac:dyDescent="0.55000000000000004">
      <c r="M713" s="143">
        <v>42999</v>
      </c>
      <c r="N713" s="142">
        <v>2500.6</v>
      </c>
    </row>
    <row r="714" spans="13:14" x14ac:dyDescent="0.55000000000000004">
      <c r="M714" s="143">
        <v>43000</v>
      </c>
      <c r="N714" s="142">
        <v>2502.2199999999998</v>
      </c>
    </row>
    <row r="715" spans="13:14" x14ac:dyDescent="0.55000000000000004">
      <c r="M715" s="143">
        <v>43003</v>
      </c>
      <c r="N715" s="142">
        <v>2496.66</v>
      </c>
    </row>
    <row r="716" spans="13:14" x14ac:dyDescent="0.55000000000000004">
      <c r="M716" s="143">
        <v>43004</v>
      </c>
      <c r="N716" s="142">
        <v>2496.84</v>
      </c>
    </row>
    <row r="717" spans="13:14" x14ac:dyDescent="0.55000000000000004">
      <c r="M717" s="143">
        <v>43005</v>
      </c>
      <c r="N717" s="142">
        <v>2507.04</v>
      </c>
    </row>
    <row r="718" spans="13:14" x14ac:dyDescent="0.55000000000000004">
      <c r="M718" s="143">
        <v>43006</v>
      </c>
      <c r="N718" s="142">
        <v>2510.06</v>
      </c>
    </row>
    <row r="719" spans="13:14" x14ac:dyDescent="0.55000000000000004">
      <c r="M719" s="143">
        <v>43007</v>
      </c>
      <c r="N719" s="142">
        <v>2519.36</v>
      </c>
    </row>
    <row r="720" spans="13:14" x14ac:dyDescent="0.55000000000000004">
      <c r="M720" s="143">
        <v>43010</v>
      </c>
      <c r="N720" s="142">
        <v>2529.12</v>
      </c>
    </row>
    <row r="721" spans="13:14" x14ac:dyDescent="0.55000000000000004">
      <c r="M721" s="143">
        <v>43011</v>
      </c>
      <c r="N721" s="142">
        <v>2534.58</v>
      </c>
    </row>
    <row r="722" spans="13:14" x14ac:dyDescent="0.55000000000000004">
      <c r="M722" s="143">
        <v>43012</v>
      </c>
      <c r="N722" s="142">
        <v>2537.7399999999998</v>
      </c>
    </row>
    <row r="723" spans="13:14" x14ac:dyDescent="0.55000000000000004">
      <c r="M723" s="143">
        <v>43013</v>
      </c>
      <c r="N723" s="142">
        <v>2552.0700000000002</v>
      </c>
    </row>
    <row r="724" spans="13:14" x14ac:dyDescent="0.55000000000000004">
      <c r="M724" s="143">
        <v>43014</v>
      </c>
      <c r="N724" s="142">
        <v>2549.33</v>
      </c>
    </row>
    <row r="725" spans="13:14" x14ac:dyDescent="0.55000000000000004">
      <c r="M725" s="143">
        <v>43017</v>
      </c>
      <c r="N725" s="142">
        <v>2544.73</v>
      </c>
    </row>
    <row r="726" spans="13:14" x14ac:dyDescent="0.55000000000000004">
      <c r="M726" s="143">
        <v>43018</v>
      </c>
      <c r="N726" s="142">
        <v>2550.64</v>
      </c>
    </row>
    <row r="727" spans="13:14" x14ac:dyDescent="0.55000000000000004">
      <c r="M727" s="143">
        <v>43019</v>
      </c>
      <c r="N727" s="142">
        <v>2555.2399999999998</v>
      </c>
    </row>
    <row r="728" spans="13:14" x14ac:dyDescent="0.55000000000000004">
      <c r="M728" s="143">
        <v>43020</v>
      </c>
      <c r="N728" s="142">
        <v>2550.9299999999998</v>
      </c>
    </row>
    <row r="729" spans="13:14" x14ac:dyDescent="0.55000000000000004">
      <c r="M729" s="143">
        <v>43021</v>
      </c>
      <c r="N729" s="142">
        <v>2553.17</v>
      </c>
    </row>
    <row r="730" spans="13:14" x14ac:dyDescent="0.55000000000000004">
      <c r="M730" s="143">
        <v>43024</v>
      </c>
      <c r="N730" s="142">
        <v>2557.64</v>
      </c>
    </row>
    <row r="731" spans="13:14" x14ac:dyDescent="0.55000000000000004">
      <c r="M731" s="143">
        <v>43025</v>
      </c>
      <c r="N731" s="142">
        <v>2559.36</v>
      </c>
    </row>
    <row r="732" spans="13:14" x14ac:dyDescent="0.55000000000000004">
      <c r="M732" s="143">
        <v>43026</v>
      </c>
      <c r="N732" s="142">
        <v>2561.2600000000002</v>
      </c>
    </row>
    <row r="733" spans="13:14" x14ac:dyDescent="0.55000000000000004">
      <c r="M733" s="143">
        <v>43027</v>
      </c>
      <c r="N733" s="142">
        <v>2562.1</v>
      </c>
    </row>
    <row r="734" spans="13:14" x14ac:dyDescent="0.55000000000000004">
      <c r="M734" s="143">
        <v>43028</v>
      </c>
      <c r="N734" s="142">
        <v>2575.21</v>
      </c>
    </row>
    <row r="735" spans="13:14" x14ac:dyDescent="0.55000000000000004">
      <c r="M735" s="143">
        <v>43031</v>
      </c>
      <c r="N735" s="142">
        <v>2564.98</v>
      </c>
    </row>
    <row r="736" spans="13:14" x14ac:dyDescent="0.55000000000000004">
      <c r="M736" s="143">
        <v>43032</v>
      </c>
      <c r="N736" s="142">
        <v>2569.13</v>
      </c>
    </row>
    <row r="737" spans="13:14" x14ac:dyDescent="0.55000000000000004">
      <c r="M737" s="143">
        <v>43033</v>
      </c>
      <c r="N737" s="142">
        <v>2557.15</v>
      </c>
    </row>
    <row r="738" spans="13:14" x14ac:dyDescent="0.55000000000000004">
      <c r="M738" s="143">
        <v>43034</v>
      </c>
      <c r="N738" s="142">
        <v>2560.4</v>
      </c>
    </row>
    <row r="739" spans="13:14" x14ac:dyDescent="0.55000000000000004">
      <c r="M739" s="143">
        <v>43035</v>
      </c>
      <c r="N739" s="142">
        <v>2581.0700000000002</v>
      </c>
    </row>
    <row r="740" spans="13:14" x14ac:dyDescent="0.55000000000000004">
      <c r="M740" s="143">
        <v>43038</v>
      </c>
      <c r="N740" s="142">
        <v>2572.83</v>
      </c>
    </row>
    <row r="741" spans="13:14" x14ac:dyDescent="0.55000000000000004">
      <c r="M741" s="143">
        <v>43039</v>
      </c>
      <c r="N741" s="142">
        <v>2575.2600000000002</v>
      </c>
    </row>
    <row r="742" spans="13:14" x14ac:dyDescent="0.55000000000000004">
      <c r="M742" s="143">
        <v>43040</v>
      </c>
      <c r="N742" s="142">
        <v>2579.36</v>
      </c>
    </row>
    <row r="743" spans="13:14" x14ac:dyDescent="0.55000000000000004">
      <c r="M743" s="143">
        <v>43041</v>
      </c>
      <c r="N743" s="142">
        <v>2579.85</v>
      </c>
    </row>
    <row r="744" spans="13:14" x14ac:dyDescent="0.55000000000000004">
      <c r="M744" s="143">
        <v>43042</v>
      </c>
      <c r="N744" s="142">
        <v>2587.84</v>
      </c>
    </row>
    <row r="745" spans="13:14" x14ac:dyDescent="0.55000000000000004">
      <c r="M745" s="143">
        <v>43045</v>
      </c>
      <c r="N745" s="142">
        <v>2591.13</v>
      </c>
    </row>
    <row r="746" spans="13:14" x14ac:dyDescent="0.55000000000000004">
      <c r="M746" s="143">
        <v>43046</v>
      </c>
      <c r="N746" s="142">
        <v>2590.64</v>
      </c>
    </row>
    <row r="747" spans="13:14" x14ac:dyDescent="0.55000000000000004">
      <c r="M747" s="143">
        <v>43047</v>
      </c>
      <c r="N747" s="142">
        <v>2594.38</v>
      </c>
    </row>
    <row r="748" spans="13:14" x14ac:dyDescent="0.55000000000000004">
      <c r="M748" s="143">
        <v>43048</v>
      </c>
      <c r="N748" s="142">
        <v>2584.62</v>
      </c>
    </row>
    <row r="749" spans="13:14" x14ac:dyDescent="0.55000000000000004">
      <c r="M749" s="143">
        <v>43049</v>
      </c>
      <c r="N749" s="142">
        <v>2582.3000000000002</v>
      </c>
    </row>
    <row r="750" spans="13:14" x14ac:dyDescent="0.55000000000000004">
      <c r="M750" s="143">
        <v>43052</v>
      </c>
      <c r="N750" s="142">
        <v>2584.84</v>
      </c>
    </row>
    <row r="751" spans="13:14" x14ac:dyDescent="0.55000000000000004">
      <c r="M751" s="143">
        <v>43053</v>
      </c>
      <c r="N751" s="142">
        <v>2578.87</v>
      </c>
    </row>
    <row r="752" spans="13:14" x14ac:dyDescent="0.55000000000000004">
      <c r="M752" s="143">
        <v>43054</v>
      </c>
      <c r="N752" s="142">
        <v>2564.62</v>
      </c>
    </row>
    <row r="753" spans="13:14" x14ac:dyDescent="0.55000000000000004">
      <c r="M753" s="143">
        <v>43055</v>
      </c>
      <c r="N753" s="142">
        <v>2585.64</v>
      </c>
    </row>
    <row r="754" spans="13:14" x14ac:dyDescent="0.55000000000000004">
      <c r="M754" s="143">
        <v>43056</v>
      </c>
      <c r="N754" s="142">
        <v>2578.85</v>
      </c>
    </row>
    <row r="755" spans="13:14" x14ac:dyDescent="0.55000000000000004">
      <c r="M755" s="143">
        <v>43059</v>
      </c>
      <c r="N755" s="142">
        <v>2582.14</v>
      </c>
    </row>
    <row r="756" spans="13:14" x14ac:dyDescent="0.55000000000000004">
      <c r="M756" s="143">
        <v>43060</v>
      </c>
      <c r="N756" s="142">
        <v>2599.0300000000002</v>
      </c>
    </row>
    <row r="757" spans="13:14" x14ac:dyDescent="0.55000000000000004">
      <c r="M757" s="143">
        <v>43061</v>
      </c>
      <c r="N757" s="142">
        <v>2597.08</v>
      </c>
    </row>
    <row r="758" spans="13:14" x14ac:dyDescent="0.55000000000000004">
      <c r="M758" s="143">
        <v>43063</v>
      </c>
      <c r="N758" s="142">
        <v>2602.42</v>
      </c>
    </row>
    <row r="759" spans="13:14" x14ac:dyDescent="0.55000000000000004">
      <c r="M759" s="143">
        <v>43066</v>
      </c>
      <c r="N759" s="142">
        <v>2601.42</v>
      </c>
    </row>
    <row r="760" spans="13:14" x14ac:dyDescent="0.55000000000000004">
      <c r="M760" s="143">
        <v>43067</v>
      </c>
      <c r="N760" s="142">
        <v>2627.04</v>
      </c>
    </row>
    <row r="761" spans="13:14" x14ac:dyDescent="0.55000000000000004">
      <c r="M761" s="143">
        <v>43068</v>
      </c>
      <c r="N761" s="142">
        <v>2626.07</v>
      </c>
    </row>
    <row r="762" spans="13:14" x14ac:dyDescent="0.55000000000000004">
      <c r="M762" s="143">
        <v>43069</v>
      </c>
      <c r="N762" s="142">
        <v>2647.58</v>
      </c>
    </row>
    <row r="763" spans="13:14" x14ac:dyDescent="0.55000000000000004">
      <c r="M763" s="143">
        <v>43070</v>
      </c>
      <c r="N763" s="142">
        <v>2642.22</v>
      </c>
    </row>
    <row r="764" spans="13:14" x14ac:dyDescent="0.55000000000000004">
      <c r="M764" s="143">
        <v>43073</v>
      </c>
      <c r="N764" s="142">
        <v>2639.44</v>
      </c>
    </row>
    <row r="765" spans="13:14" x14ac:dyDescent="0.55000000000000004">
      <c r="M765" s="143">
        <v>43074</v>
      </c>
      <c r="N765" s="142">
        <v>2629.57</v>
      </c>
    </row>
    <row r="766" spans="13:14" x14ac:dyDescent="0.55000000000000004">
      <c r="M766" s="143">
        <v>43075</v>
      </c>
      <c r="N766" s="142">
        <v>2629.27</v>
      </c>
    </row>
    <row r="767" spans="13:14" x14ac:dyDescent="0.55000000000000004">
      <c r="M767" s="143">
        <v>43076</v>
      </c>
      <c r="N767" s="142">
        <v>2636.98</v>
      </c>
    </row>
    <row r="768" spans="13:14" x14ac:dyDescent="0.55000000000000004">
      <c r="M768" s="143">
        <v>43077</v>
      </c>
      <c r="N768" s="142">
        <v>2651.5</v>
      </c>
    </row>
    <row r="769" spans="13:14" x14ac:dyDescent="0.55000000000000004">
      <c r="M769" s="143">
        <v>43080</v>
      </c>
      <c r="N769" s="142">
        <v>2659.99</v>
      </c>
    </row>
    <row r="770" spans="13:14" x14ac:dyDescent="0.55000000000000004">
      <c r="M770" s="143">
        <v>43081</v>
      </c>
      <c r="N770" s="142">
        <v>2664.11</v>
      </c>
    </row>
    <row r="771" spans="13:14" x14ac:dyDescent="0.55000000000000004">
      <c r="M771" s="143">
        <v>43082</v>
      </c>
      <c r="N771" s="142">
        <v>2662.85</v>
      </c>
    </row>
    <row r="772" spans="13:14" x14ac:dyDescent="0.55000000000000004">
      <c r="M772" s="143">
        <v>43083</v>
      </c>
      <c r="N772" s="142">
        <v>2652.01</v>
      </c>
    </row>
    <row r="773" spans="13:14" x14ac:dyDescent="0.55000000000000004">
      <c r="M773" s="143">
        <v>43084</v>
      </c>
      <c r="N773" s="142">
        <v>2675.81</v>
      </c>
    </row>
    <row r="774" spans="13:14" x14ac:dyDescent="0.55000000000000004">
      <c r="M774" s="143">
        <v>43087</v>
      </c>
      <c r="N774" s="142">
        <v>2690.16</v>
      </c>
    </row>
    <row r="775" spans="13:14" x14ac:dyDescent="0.55000000000000004">
      <c r="M775" s="143">
        <v>43088</v>
      </c>
      <c r="N775" s="142">
        <v>2681.47</v>
      </c>
    </row>
    <row r="776" spans="13:14" x14ac:dyDescent="0.55000000000000004">
      <c r="M776" s="143">
        <v>43089</v>
      </c>
      <c r="N776" s="142">
        <v>2679.25</v>
      </c>
    </row>
    <row r="777" spans="13:14" x14ac:dyDescent="0.55000000000000004">
      <c r="M777" s="143">
        <v>43090</v>
      </c>
      <c r="N777" s="142">
        <v>2684.57</v>
      </c>
    </row>
    <row r="778" spans="13:14" x14ac:dyDescent="0.55000000000000004">
      <c r="M778" s="143">
        <v>43091</v>
      </c>
      <c r="N778" s="142">
        <v>2683.34</v>
      </c>
    </row>
    <row r="779" spans="13:14" x14ac:dyDescent="0.55000000000000004">
      <c r="M779" s="143">
        <v>43095</v>
      </c>
      <c r="N779" s="142">
        <v>2680.5</v>
      </c>
    </row>
    <row r="780" spans="13:14" x14ac:dyDescent="0.55000000000000004">
      <c r="M780" s="143">
        <v>43096</v>
      </c>
      <c r="N780" s="142">
        <v>2682.62</v>
      </c>
    </row>
    <row r="781" spans="13:14" x14ac:dyDescent="0.55000000000000004">
      <c r="M781" s="143">
        <v>43097</v>
      </c>
      <c r="N781" s="142">
        <v>2687.54</v>
      </c>
    </row>
    <row r="782" spans="13:14" x14ac:dyDescent="0.55000000000000004">
      <c r="M782" s="143">
        <v>43098</v>
      </c>
      <c r="N782" s="142">
        <v>2673.61</v>
      </c>
    </row>
    <row r="783" spans="13:14" x14ac:dyDescent="0.55000000000000004">
      <c r="M783" s="143">
        <v>43102</v>
      </c>
      <c r="N783" s="142">
        <v>2695.81</v>
      </c>
    </row>
    <row r="784" spans="13:14" x14ac:dyDescent="0.55000000000000004">
      <c r="M784" s="143">
        <v>43103</v>
      </c>
      <c r="N784" s="142">
        <v>2713.06</v>
      </c>
    </row>
    <row r="785" spans="13:14" x14ac:dyDescent="0.55000000000000004">
      <c r="M785" s="143">
        <v>43104</v>
      </c>
      <c r="N785" s="142">
        <v>2723.99</v>
      </c>
    </row>
    <row r="786" spans="13:14" x14ac:dyDescent="0.55000000000000004">
      <c r="M786" s="143">
        <v>43105</v>
      </c>
      <c r="N786" s="142">
        <v>2743.15</v>
      </c>
    </row>
    <row r="787" spans="13:14" x14ac:dyDescent="0.55000000000000004">
      <c r="M787" s="143">
        <v>43108</v>
      </c>
      <c r="N787" s="142">
        <v>2747.71</v>
      </c>
    </row>
    <row r="788" spans="13:14" x14ac:dyDescent="0.55000000000000004">
      <c r="M788" s="143">
        <v>43109</v>
      </c>
      <c r="N788" s="142">
        <v>2751.29</v>
      </c>
    </row>
    <row r="789" spans="13:14" x14ac:dyDescent="0.55000000000000004">
      <c r="M789" s="143">
        <v>43110</v>
      </c>
      <c r="N789" s="142">
        <v>2748.23</v>
      </c>
    </row>
    <row r="790" spans="13:14" x14ac:dyDescent="0.55000000000000004">
      <c r="M790" s="143">
        <v>43111</v>
      </c>
      <c r="N790" s="142">
        <v>2767.56</v>
      </c>
    </row>
    <row r="791" spans="13:14" x14ac:dyDescent="0.55000000000000004">
      <c r="M791" s="143">
        <v>43112</v>
      </c>
      <c r="N791" s="142">
        <v>2786.24</v>
      </c>
    </row>
    <row r="792" spans="13:14" x14ac:dyDescent="0.55000000000000004">
      <c r="M792" s="143">
        <v>43116</v>
      </c>
      <c r="N792" s="142">
        <v>2776.42</v>
      </c>
    </row>
    <row r="793" spans="13:14" x14ac:dyDescent="0.55000000000000004">
      <c r="M793" s="143">
        <v>43117</v>
      </c>
      <c r="N793" s="142">
        <v>2802.56</v>
      </c>
    </row>
    <row r="794" spans="13:14" x14ac:dyDescent="0.55000000000000004">
      <c r="M794" s="143">
        <v>43118</v>
      </c>
      <c r="N794" s="142">
        <v>2798.03</v>
      </c>
    </row>
    <row r="795" spans="13:14" x14ac:dyDescent="0.55000000000000004">
      <c r="M795" s="143">
        <v>43119</v>
      </c>
      <c r="N795" s="142">
        <v>2810.3</v>
      </c>
    </row>
    <row r="796" spans="13:14" x14ac:dyDescent="0.55000000000000004">
      <c r="M796" s="143">
        <v>43122</v>
      </c>
      <c r="N796" s="142">
        <v>2832.97</v>
      </c>
    </row>
    <row r="797" spans="13:14" x14ac:dyDescent="0.55000000000000004">
      <c r="M797" s="143">
        <v>43123</v>
      </c>
      <c r="N797" s="142">
        <v>2839.13</v>
      </c>
    </row>
    <row r="798" spans="13:14" x14ac:dyDescent="0.55000000000000004">
      <c r="M798" s="143">
        <v>43124</v>
      </c>
      <c r="N798" s="142">
        <v>2837.54</v>
      </c>
    </row>
    <row r="799" spans="13:14" x14ac:dyDescent="0.55000000000000004">
      <c r="M799" s="143">
        <v>43125</v>
      </c>
      <c r="N799" s="142">
        <v>2839.25</v>
      </c>
    </row>
    <row r="800" spans="13:14" x14ac:dyDescent="0.55000000000000004">
      <c r="M800" s="143">
        <v>43126</v>
      </c>
      <c r="N800" s="142">
        <v>2872.87</v>
      </c>
    </row>
    <row r="801" spans="13:14" x14ac:dyDescent="0.55000000000000004">
      <c r="M801" s="143">
        <v>43129</v>
      </c>
      <c r="N801" s="142">
        <v>2853.53</v>
      </c>
    </row>
    <row r="802" spans="13:14" x14ac:dyDescent="0.55000000000000004">
      <c r="M802" s="143">
        <v>43130</v>
      </c>
      <c r="N802" s="142">
        <v>2822.43</v>
      </c>
    </row>
    <row r="803" spans="13:14" x14ac:dyDescent="0.55000000000000004">
      <c r="M803" s="143">
        <v>43131</v>
      </c>
      <c r="N803" s="142">
        <v>2823.81</v>
      </c>
    </row>
    <row r="804" spans="13:14" x14ac:dyDescent="0.55000000000000004">
      <c r="M804" s="143">
        <v>43132</v>
      </c>
      <c r="N804" s="142">
        <v>2821.98</v>
      </c>
    </row>
    <row r="805" spans="13:14" x14ac:dyDescent="0.55000000000000004">
      <c r="M805" s="143">
        <v>43133</v>
      </c>
      <c r="N805" s="142">
        <v>2762.13</v>
      </c>
    </row>
    <row r="806" spans="13:14" x14ac:dyDescent="0.55000000000000004">
      <c r="M806" s="143">
        <v>43136</v>
      </c>
      <c r="N806" s="142">
        <v>2648.94</v>
      </c>
    </row>
    <row r="807" spans="13:14" x14ac:dyDescent="0.55000000000000004">
      <c r="M807" s="143">
        <v>43137</v>
      </c>
      <c r="N807" s="142">
        <v>2695.14</v>
      </c>
    </row>
    <row r="808" spans="13:14" x14ac:dyDescent="0.55000000000000004">
      <c r="M808" s="143">
        <v>43138</v>
      </c>
      <c r="N808" s="142">
        <v>2681.66</v>
      </c>
    </row>
    <row r="809" spans="13:14" x14ac:dyDescent="0.55000000000000004">
      <c r="M809" s="143">
        <v>43139</v>
      </c>
      <c r="N809" s="142">
        <v>2581</v>
      </c>
    </row>
    <row r="810" spans="13:14" x14ac:dyDescent="0.55000000000000004">
      <c r="M810" s="143">
        <v>43140</v>
      </c>
      <c r="N810" s="142">
        <v>2619.5500000000002</v>
      </c>
    </row>
    <row r="811" spans="13:14" x14ac:dyDescent="0.55000000000000004">
      <c r="M811" s="143">
        <v>43143</v>
      </c>
      <c r="N811" s="142">
        <v>2656</v>
      </c>
    </row>
    <row r="812" spans="13:14" x14ac:dyDescent="0.55000000000000004">
      <c r="M812" s="143">
        <v>43144</v>
      </c>
      <c r="N812" s="142">
        <v>2662.94</v>
      </c>
    </row>
    <row r="813" spans="13:14" x14ac:dyDescent="0.55000000000000004">
      <c r="M813" s="143">
        <v>43145</v>
      </c>
      <c r="N813" s="142">
        <v>2698.63</v>
      </c>
    </row>
    <row r="814" spans="13:14" x14ac:dyDescent="0.55000000000000004">
      <c r="M814" s="143">
        <v>43146</v>
      </c>
      <c r="N814" s="142">
        <v>2731.2</v>
      </c>
    </row>
    <row r="815" spans="13:14" x14ac:dyDescent="0.55000000000000004">
      <c r="M815" s="143">
        <v>43147</v>
      </c>
      <c r="N815" s="142">
        <v>2732.22</v>
      </c>
    </row>
    <row r="816" spans="13:14" x14ac:dyDescent="0.55000000000000004">
      <c r="M816" s="143">
        <v>43151</v>
      </c>
      <c r="N816" s="142">
        <v>2716.26</v>
      </c>
    </row>
    <row r="817" spans="13:14" x14ac:dyDescent="0.55000000000000004">
      <c r="M817" s="143">
        <v>43152</v>
      </c>
      <c r="N817" s="142">
        <v>2701.33</v>
      </c>
    </row>
    <row r="818" spans="13:14" x14ac:dyDescent="0.55000000000000004">
      <c r="M818" s="143">
        <v>43153</v>
      </c>
      <c r="N818" s="142">
        <v>2703.96</v>
      </c>
    </row>
    <row r="819" spans="13:14" x14ac:dyDescent="0.55000000000000004">
      <c r="M819" s="143">
        <v>43154</v>
      </c>
      <c r="N819" s="142">
        <v>2747.3</v>
      </c>
    </row>
    <row r="820" spans="13:14" x14ac:dyDescent="0.55000000000000004">
      <c r="M820" s="143">
        <v>43157</v>
      </c>
      <c r="N820" s="142">
        <v>2779.6</v>
      </c>
    </row>
    <row r="821" spans="13:14" x14ac:dyDescent="0.55000000000000004">
      <c r="M821" s="143">
        <v>43158</v>
      </c>
      <c r="N821" s="142">
        <v>2744.28</v>
      </c>
    </row>
    <row r="822" spans="13:14" x14ac:dyDescent="0.55000000000000004">
      <c r="M822" s="143">
        <v>43159</v>
      </c>
      <c r="N822" s="142">
        <v>2713.83</v>
      </c>
    </row>
    <row r="823" spans="13:14" x14ac:dyDescent="0.55000000000000004">
      <c r="M823" s="143">
        <v>43160</v>
      </c>
      <c r="N823" s="142">
        <v>2677.67</v>
      </c>
    </row>
    <row r="824" spans="13:14" x14ac:dyDescent="0.55000000000000004">
      <c r="M824" s="143">
        <v>43161</v>
      </c>
      <c r="N824" s="142">
        <v>2691.25</v>
      </c>
    </row>
    <row r="825" spans="13:14" x14ac:dyDescent="0.55000000000000004">
      <c r="M825" s="143">
        <v>43164</v>
      </c>
      <c r="N825" s="142">
        <v>2720.94</v>
      </c>
    </row>
    <row r="826" spans="13:14" x14ac:dyDescent="0.55000000000000004">
      <c r="M826" s="143">
        <v>43165</v>
      </c>
      <c r="N826" s="142">
        <v>2728.12</v>
      </c>
    </row>
    <row r="827" spans="13:14" x14ac:dyDescent="0.55000000000000004">
      <c r="M827" s="143">
        <v>43166</v>
      </c>
      <c r="N827" s="142">
        <v>2726.8</v>
      </c>
    </row>
    <row r="828" spans="13:14" x14ac:dyDescent="0.55000000000000004">
      <c r="M828" s="143">
        <v>43167</v>
      </c>
      <c r="N828" s="142">
        <v>2738.97</v>
      </c>
    </row>
    <row r="829" spans="13:14" x14ac:dyDescent="0.55000000000000004">
      <c r="M829" s="143">
        <v>43168</v>
      </c>
      <c r="N829" s="142">
        <v>2786.57</v>
      </c>
    </row>
    <row r="830" spans="13:14" x14ac:dyDescent="0.55000000000000004">
      <c r="M830" s="143">
        <v>43171</v>
      </c>
      <c r="N830" s="142">
        <v>2783.02</v>
      </c>
    </row>
    <row r="831" spans="13:14" x14ac:dyDescent="0.55000000000000004">
      <c r="M831" s="143">
        <v>43172</v>
      </c>
      <c r="N831" s="142">
        <v>2765.31</v>
      </c>
    </row>
    <row r="832" spans="13:14" x14ac:dyDescent="0.55000000000000004">
      <c r="M832" s="143">
        <v>43173</v>
      </c>
      <c r="N832" s="142">
        <v>2749.48</v>
      </c>
    </row>
    <row r="833" spans="13:14" x14ac:dyDescent="0.55000000000000004">
      <c r="M833" s="143">
        <v>43174</v>
      </c>
      <c r="N833" s="142">
        <v>2747.33</v>
      </c>
    </row>
    <row r="834" spans="13:14" x14ac:dyDescent="0.55000000000000004">
      <c r="M834" s="143">
        <v>43175</v>
      </c>
      <c r="N834" s="142">
        <v>2752.01</v>
      </c>
    </row>
    <row r="835" spans="13:14" x14ac:dyDescent="0.55000000000000004">
      <c r="M835" s="143">
        <v>43178</v>
      </c>
      <c r="N835" s="142">
        <v>2712.92</v>
      </c>
    </row>
    <row r="836" spans="13:14" x14ac:dyDescent="0.55000000000000004">
      <c r="M836" s="143">
        <v>43179</v>
      </c>
      <c r="N836" s="142">
        <v>2716.94</v>
      </c>
    </row>
    <row r="837" spans="13:14" x14ac:dyDescent="0.55000000000000004">
      <c r="M837" s="143">
        <v>43180</v>
      </c>
      <c r="N837" s="142">
        <v>2711.93</v>
      </c>
    </row>
    <row r="838" spans="13:14" x14ac:dyDescent="0.55000000000000004">
      <c r="M838" s="143">
        <v>43181</v>
      </c>
      <c r="N838" s="142">
        <v>2643.69</v>
      </c>
    </row>
    <row r="839" spans="13:14" x14ac:dyDescent="0.55000000000000004">
      <c r="M839" s="143">
        <v>43182</v>
      </c>
      <c r="N839" s="142">
        <v>2588.2600000000002</v>
      </c>
    </row>
    <row r="840" spans="13:14" x14ac:dyDescent="0.55000000000000004">
      <c r="M840" s="143">
        <v>43185</v>
      </c>
      <c r="N840" s="142">
        <v>2658.55</v>
      </c>
    </row>
    <row r="841" spans="13:14" x14ac:dyDescent="0.55000000000000004">
      <c r="M841" s="143">
        <v>43186</v>
      </c>
      <c r="N841" s="142">
        <v>2612.62</v>
      </c>
    </row>
    <row r="842" spans="13:14" x14ac:dyDescent="0.55000000000000004">
      <c r="M842" s="143">
        <v>43187</v>
      </c>
      <c r="N842" s="142">
        <v>2605</v>
      </c>
    </row>
    <row r="843" spans="13:14" x14ac:dyDescent="0.55000000000000004">
      <c r="M843" s="143">
        <v>43188</v>
      </c>
      <c r="N843" s="142">
        <v>2640.87</v>
      </c>
    </row>
    <row r="844" spans="13:14" x14ac:dyDescent="0.55000000000000004">
      <c r="M844" s="143">
        <v>43192</v>
      </c>
      <c r="N844" s="142">
        <v>2581.88</v>
      </c>
    </row>
    <row r="845" spans="13:14" x14ac:dyDescent="0.55000000000000004">
      <c r="M845" s="143">
        <v>43193</v>
      </c>
      <c r="N845" s="142">
        <v>2614.4499999999998</v>
      </c>
    </row>
    <row r="846" spans="13:14" x14ac:dyDescent="0.55000000000000004">
      <c r="M846" s="143">
        <v>43194</v>
      </c>
      <c r="N846" s="142">
        <v>2644.69</v>
      </c>
    </row>
    <row r="847" spans="13:14" x14ac:dyDescent="0.55000000000000004">
      <c r="M847" s="143">
        <v>43195</v>
      </c>
      <c r="N847" s="142">
        <v>2662.84</v>
      </c>
    </row>
    <row r="848" spans="13:14" x14ac:dyDescent="0.55000000000000004">
      <c r="M848" s="143">
        <v>43196</v>
      </c>
      <c r="N848" s="142">
        <v>2604.4699999999998</v>
      </c>
    </row>
    <row r="849" spans="13:14" x14ac:dyDescent="0.55000000000000004">
      <c r="M849" s="143">
        <v>43199</v>
      </c>
      <c r="N849" s="142">
        <v>2613.16</v>
      </c>
    </row>
    <row r="850" spans="13:14" x14ac:dyDescent="0.55000000000000004">
      <c r="M850" s="143">
        <v>43200</v>
      </c>
      <c r="N850" s="142">
        <v>2656.87</v>
      </c>
    </row>
    <row r="851" spans="13:14" x14ac:dyDescent="0.55000000000000004">
      <c r="M851" s="143">
        <v>43201</v>
      </c>
      <c r="N851" s="142">
        <v>2642.19</v>
      </c>
    </row>
    <row r="852" spans="13:14" x14ac:dyDescent="0.55000000000000004">
      <c r="M852" s="143">
        <v>43202</v>
      </c>
      <c r="N852" s="142">
        <v>2663.99</v>
      </c>
    </row>
    <row r="853" spans="13:14" x14ac:dyDescent="0.55000000000000004">
      <c r="M853" s="143">
        <v>43203</v>
      </c>
      <c r="N853" s="142">
        <v>2656.3</v>
      </c>
    </row>
    <row r="854" spans="13:14" x14ac:dyDescent="0.55000000000000004">
      <c r="M854" s="143">
        <v>43206</v>
      </c>
      <c r="N854" s="142">
        <v>2677.84</v>
      </c>
    </row>
    <row r="855" spans="13:14" x14ac:dyDescent="0.55000000000000004">
      <c r="M855" s="143">
        <v>43207</v>
      </c>
      <c r="N855" s="142">
        <v>2706.39</v>
      </c>
    </row>
    <row r="856" spans="13:14" x14ac:dyDescent="0.55000000000000004">
      <c r="M856" s="143">
        <v>43208</v>
      </c>
      <c r="N856" s="142">
        <v>2708.64</v>
      </c>
    </row>
    <row r="857" spans="13:14" x14ac:dyDescent="0.55000000000000004">
      <c r="M857" s="143">
        <v>43209</v>
      </c>
      <c r="N857" s="142">
        <v>2693.13</v>
      </c>
    </row>
    <row r="858" spans="13:14" x14ac:dyDescent="0.55000000000000004">
      <c r="M858" s="143">
        <v>43210</v>
      </c>
      <c r="N858" s="142">
        <v>2670.14</v>
      </c>
    </row>
    <row r="859" spans="13:14" x14ac:dyDescent="0.55000000000000004">
      <c r="M859" s="143">
        <v>43213</v>
      </c>
      <c r="N859" s="142">
        <v>2670.29</v>
      </c>
    </row>
    <row r="860" spans="13:14" x14ac:dyDescent="0.55000000000000004">
      <c r="M860" s="143">
        <v>43214</v>
      </c>
      <c r="N860" s="142">
        <v>2634.56</v>
      </c>
    </row>
    <row r="861" spans="13:14" x14ac:dyDescent="0.55000000000000004">
      <c r="M861" s="143">
        <v>43215</v>
      </c>
      <c r="N861" s="142">
        <v>2639.4</v>
      </c>
    </row>
    <row r="862" spans="13:14" x14ac:dyDescent="0.55000000000000004">
      <c r="M862" s="143">
        <v>43216</v>
      </c>
      <c r="N862" s="142">
        <v>2666.94</v>
      </c>
    </row>
    <row r="863" spans="13:14" x14ac:dyDescent="0.55000000000000004">
      <c r="M863" s="143">
        <v>43217</v>
      </c>
      <c r="N863" s="142">
        <v>2669.91</v>
      </c>
    </row>
    <row r="864" spans="13:14" x14ac:dyDescent="0.55000000000000004">
      <c r="M864" s="143">
        <v>43220</v>
      </c>
      <c r="N864" s="142">
        <v>2648.05</v>
      </c>
    </row>
    <row r="865" spans="13:14" x14ac:dyDescent="0.55000000000000004">
      <c r="M865" s="143">
        <v>43221</v>
      </c>
      <c r="N865" s="142">
        <v>2654.8</v>
      </c>
    </row>
    <row r="866" spans="13:14" x14ac:dyDescent="0.55000000000000004">
      <c r="M866" s="143">
        <v>43222</v>
      </c>
      <c r="N866" s="142">
        <v>2635.67</v>
      </c>
    </row>
    <row r="867" spans="13:14" x14ac:dyDescent="0.55000000000000004">
      <c r="M867" s="143">
        <v>43223</v>
      </c>
      <c r="N867" s="142">
        <v>2629.73</v>
      </c>
    </row>
    <row r="868" spans="13:14" x14ac:dyDescent="0.55000000000000004">
      <c r="M868" s="143">
        <v>43224</v>
      </c>
      <c r="N868" s="142">
        <v>2663.42</v>
      </c>
    </row>
    <row r="869" spans="13:14" x14ac:dyDescent="0.55000000000000004">
      <c r="M869" s="143">
        <v>43227</v>
      </c>
      <c r="N869" s="142">
        <v>2672.63</v>
      </c>
    </row>
    <row r="870" spans="13:14" x14ac:dyDescent="0.55000000000000004">
      <c r="M870" s="143">
        <v>43228</v>
      </c>
      <c r="N870" s="142">
        <v>2671.92</v>
      </c>
    </row>
    <row r="871" spans="13:14" x14ac:dyDescent="0.55000000000000004">
      <c r="M871" s="143">
        <v>43229</v>
      </c>
      <c r="N871" s="142">
        <v>2697.79</v>
      </c>
    </row>
    <row r="872" spans="13:14" x14ac:dyDescent="0.55000000000000004">
      <c r="M872" s="143">
        <v>43230</v>
      </c>
      <c r="N872" s="142">
        <v>2723.07</v>
      </c>
    </row>
    <row r="873" spans="13:14" x14ac:dyDescent="0.55000000000000004">
      <c r="M873" s="143">
        <v>43231</v>
      </c>
      <c r="N873" s="142">
        <v>2727.72</v>
      </c>
    </row>
    <row r="874" spans="13:14" x14ac:dyDescent="0.55000000000000004">
      <c r="M874" s="143">
        <v>43234</v>
      </c>
      <c r="N874" s="142">
        <v>2730.13</v>
      </c>
    </row>
    <row r="875" spans="13:14" x14ac:dyDescent="0.55000000000000004">
      <c r="M875" s="143">
        <v>43235</v>
      </c>
      <c r="N875" s="142">
        <v>2711.45</v>
      </c>
    </row>
    <row r="876" spans="13:14" x14ac:dyDescent="0.55000000000000004">
      <c r="M876" s="143">
        <v>43236</v>
      </c>
      <c r="N876" s="142">
        <v>2722.46</v>
      </c>
    </row>
    <row r="877" spans="13:14" x14ac:dyDescent="0.55000000000000004">
      <c r="M877" s="143">
        <v>43237</v>
      </c>
      <c r="N877" s="142">
        <v>2720.13</v>
      </c>
    </row>
    <row r="878" spans="13:14" x14ac:dyDescent="0.55000000000000004">
      <c r="M878" s="143">
        <v>43238</v>
      </c>
      <c r="N878" s="142">
        <v>2712.97</v>
      </c>
    </row>
    <row r="879" spans="13:14" x14ac:dyDescent="0.55000000000000004">
      <c r="M879" s="143">
        <v>43241</v>
      </c>
      <c r="N879" s="142">
        <v>2733.01</v>
      </c>
    </row>
    <row r="880" spans="13:14" x14ac:dyDescent="0.55000000000000004">
      <c r="M880" s="143">
        <v>43242</v>
      </c>
      <c r="N880" s="142">
        <v>2724.44</v>
      </c>
    </row>
    <row r="881" spans="13:14" x14ac:dyDescent="0.55000000000000004">
      <c r="M881" s="143">
        <v>43243</v>
      </c>
      <c r="N881" s="142">
        <v>2733.29</v>
      </c>
    </row>
    <row r="882" spans="13:14" x14ac:dyDescent="0.55000000000000004">
      <c r="M882" s="143">
        <v>43244</v>
      </c>
      <c r="N882" s="142">
        <v>2727.76</v>
      </c>
    </row>
    <row r="883" spans="13:14" x14ac:dyDescent="0.55000000000000004">
      <c r="M883" s="143">
        <v>43245</v>
      </c>
      <c r="N883" s="142">
        <v>2721.33</v>
      </c>
    </row>
    <row r="884" spans="13:14" x14ac:dyDescent="0.55000000000000004">
      <c r="M884" s="143">
        <v>43249</v>
      </c>
      <c r="N884" s="142">
        <v>2689.86</v>
      </c>
    </row>
    <row r="885" spans="13:14" x14ac:dyDescent="0.55000000000000004">
      <c r="M885" s="143">
        <v>43250</v>
      </c>
      <c r="N885" s="142">
        <v>2724.01</v>
      </c>
    </row>
    <row r="886" spans="13:14" x14ac:dyDescent="0.55000000000000004">
      <c r="M886" s="143">
        <v>43251</v>
      </c>
      <c r="N886" s="142">
        <v>2705.27</v>
      </c>
    </row>
    <row r="887" spans="13:14" x14ac:dyDescent="0.55000000000000004">
      <c r="M887" s="143">
        <v>43252</v>
      </c>
      <c r="N887" s="142">
        <v>2734.62</v>
      </c>
    </row>
    <row r="888" spans="13:14" x14ac:dyDescent="0.55000000000000004">
      <c r="M888" s="143">
        <v>43255</v>
      </c>
      <c r="N888" s="142">
        <v>2746.87</v>
      </c>
    </row>
    <row r="889" spans="13:14" x14ac:dyDescent="0.55000000000000004">
      <c r="M889" s="143">
        <v>43256</v>
      </c>
      <c r="N889" s="142">
        <v>2748.8</v>
      </c>
    </row>
    <row r="890" spans="13:14" x14ac:dyDescent="0.55000000000000004">
      <c r="M890" s="143">
        <v>43257</v>
      </c>
      <c r="N890" s="142">
        <v>2772.35</v>
      </c>
    </row>
    <row r="891" spans="13:14" x14ac:dyDescent="0.55000000000000004">
      <c r="M891" s="143">
        <v>43258</v>
      </c>
      <c r="N891" s="142">
        <v>2770.37</v>
      </c>
    </row>
    <row r="892" spans="13:14" x14ac:dyDescent="0.55000000000000004">
      <c r="M892" s="143">
        <v>43259</v>
      </c>
      <c r="N892" s="142">
        <v>2779.03</v>
      </c>
    </row>
    <row r="893" spans="13:14" x14ac:dyDescent="0.55000000000000004">
      <c r="M893" s="143">
        <v>43262</v>
      </c>
      <c r="N893" s="142">
        <v>2782</v>
      </c>
    </row>
    <row r="894" spans="13:14" x14ac:dyDescent="0.55000000000000004">
      <c r="M894" s="143">
        <v>43263</v>
      </c>
      <c r="N894" s="142">
        <v>2786.85</v>
      </c>
    </row>
    <row r="895" spans="13:14" x14ac:dyDescent="0.55000000000000004">
      <c r="M895" s="143">
        <v>43264</v>
      </c>
      <c r="N895" s="142">
        <v>2775.63</v>
      </c>
    </row>
    <row r="896" spans="13:14" x14ac:dyDescent="0.55000000000000004">
      <c r="M896" s="143">
        <v>43265</v>
      </c>
      <c r="N896" s="142">
        <v>2782.49</v>
      </c>
    </row>
    <row r="897" spans="13:14" x14ac:dyDescent="0.55000000000000004">
      <c r="M897" s="143">
        <v>43266</v>
      </c>
      <c r="N897" s="142">
        <v>2779.66</v>
      </c>
    </row>
    <row r="898" spans="13:14" x14ac:dyDescent="0.55000000000000004">
      <c r="M898" s="143">
        <v>43269</v>
      </c>
      <c r="N898" s="142">
        <v>2773.75</v>
      </c>
    </row>
    <row r="899" spans="13:14" x14ac:dyDescent="0.55000000000000004">
      <c r="M899" s="143">
        <v>43270</v>
      </c>
      <c r="N899" s="142">
        <v>2762.59</v>
      </c>
    </row>
    <row r="900" spans="13:14" x14ac:dyDescent="0.55000000000000004">
      <c r="M900" s="143">
        <v>43271</v>
      </c>
      <c r="N900" s="142">
        <v>2767.32</v>
      </c>
    </row>
    <row r="901" spans="13:14" x14ac:dyDescent="0.55000000000000004">
      <c r="M901" s="143">
        <v>43272</v>
      </c>
      <c r="N901" s="142">
        <v>2749.76</v>
      </c>
    </row>
    <row r="902" spans="13:14" x14ac:dyDescent="0.55000000000000004">
      <c r="M902" s="143">
        <v>43273</v>
      </c>
      <c r="N902" s="142">
        <v>2754.88</v>
      </c>
    </row>
    <row r="903" spans="13:14" x14ac:dyDescent="0.55000000000000004">
      <c r="M903" s="143">
        <v>43276</v>
      </c>
      <c r="N903" s="142">
        <v>2717.07</v>
      </c>
    </row>
    <row r="904" spans="13:14" x14ac:dyDescent="0.55000000000000004">
      <c r="M904" s="143">
        <v>43277</v>
      </c>
      <c r="N904" s="142">
        <v>2723.06</v>
      </c>
    </row>
    <row r="905" spans="13:14" x14ac:dyDescent="0.55000000000000004">
      <c r="M905" s="143">
        <v>43278</v>
      </c>
      <c r="N905" s="142">
        <v>2699.63</v>
      </c>
    </row>
    <row r="906" spans="13:14" x14ac:dyDescent="0.55000000000000004">
      <c r="M906" s="143">
        <v>43279</v>
      </c>
      <c r="N906" s="142">
        <v>2716.31</v>
      </c>
    </row>
    <row r="907" spans="13:14" x14ac:dyDescent="0.55000000000000004">
      <c r="M907" s="143">
        <v>43280</v>
      </c>
      <c r="N907" s="142">
        <v>2718.37</v>
      </c>
    </row>
    <row r="908" spans="13:14" x14ac:dyDescent="0.55000000000000004">
      <c r="M908" s="143">
        <v>43283</v>
      </c>
      <c r="N908" s="142">
        <v>2726.71</v>
      </c>
    </row>
    <row r="909" spans="13:14" x14ac:dyDescent="0.55000000000000004">
      <c r="M909" s="143">
        <v>43284</v>
      </c>
      <c r="N909" s="142">
        <v>2713.22</v>
      </c>
    </row>
    <row r="910" spans="13:14" x14ac:dyDescent="0.55000000000000004">
      <c r="M910" s="143">
        <v>43286</v>
      </c>
      <c r="N910" s="142">
        <v>2736.61</v>
      </c>
    </row>
    <row r="911" spans="13:14" x14ac:dyDescent="0.55000000000000004">
      <c r="M911" s="143">
        <v>43287</v>
      </c>
      <c r="N911" s="142">
        <v>2759.82</v>
      </c>
    </row>
    <row r="912" spans="13:14" x14ac:dyDescent="0.55000000000000004">
      <c r="M912" s="143">
        <v>43290</v>
      </c>
      <c r="N912" s="142">
        <v>2784.17</v>
      </c>
    </row>
    <row r="913" spans="13:14" x14ac:dyDescent="0.55000000000000004">
      <c r="M913" s="143">
        <v>43291</v>
      </c>
      <c r="N913" s="142">
        <v>2793.84</v>
      </c>
    </row>
    <row r="914" spans="13:14" x14ac:dyDescent="0.55000000000000004">
      <c r="M914" s="143">
        <v>43292</v>
      </c>
      <c r="N914" s="142">
        <v>2774.02</v>
      </c>
    </row>
    <row r="915" spans="13:14" x14ac:dyDescent="0.55000000000000004">
      <c r="M915" s="143">
        <v>43293</v>
      </c>
      <c r="N915" s="142">
        <v>2798.29</v>
      </c>
    </row>
    <row r="916" spans="13:14" x14ac:dyDescent="0.55000000000000004">
      <c r="M916" s="143">
        <v>43294</v>
      </c>
      <c r="N916" s="142">
        <v>2801.31</v>
      </c>
    </row>
    <row r="917" spans="13:14" x14ac:dyDescent="0.55000000000000004">
      <c r="M917" s="143">
        <v>43297</v>
      </c>
      <c r="N917" s="142">
        <v>2798.43</v>
      </c>
    </row>
    <row r="918" spans="13:14" x14ac:dyDescent="0.55000000000000004">
      <c r="M918" s="143">
        <v>43298</v>
      </c>
      <c r="N918" s="142">
        <v>2809.55</v>
      </c>
    </row>
    <row r="919" spans="13:14" x14ac:dyDescent="0.55000000000000004">
      <c r="M919" s="143">
        <v>43299</v>
      </c>
      <c r="N919" s="142">
        <v>2815.62</v>
      </c>
    </row>
    <row r="920" spans="13:14" x14ac:dyDescent="0.55000000000000004">
      <c r="M920" s="143">
        <v>43300</v>
      </c>
      <c r="N920" s="142">
        <v>2804.49</v>
      </c>
    </row>
    <row r="921" spans="13:14" x14ac:dyDescent="0.55000000000000004">
      <c r="M921" s="143">
        <v>43301</v>
      </c>
      <c r="N921" s="142">
        <v>2801.83</v>
      </c>
    </row>
    <row r="922" spans="13:14" x14ac:dyDescent="0.55000000000000004">
      <c r="M922" s="143">
        <v>43304</v>
      </c>
      <c r="N922" s="142">
        <v>2806.98</v>
      </c>
    </row>
    <row r="923" spans="13:14" x14ac:dyDescent="0.55000000000000004">
      <c r="M923" s="143">
        <v>43305</v>
      </c>
      <c r="N923" s="142">
        <v>2820.4</v>
      </c>
    </row>
    <row r="924" spans="13:14" x14ac:dyDescent="0.55000000000000004">
      <c r="M924" s="143">
        <v>43306</v>
      </c>
      <c r="N924" s="142">
        <v>2846.07</v>
      </c>
    </row>
    <row r="925" spans="13:14" x14ac:dyDescent="0.55000000000000004">
      <c r="M925" s="143">
        <v>43307</v>
      </c>
      <c r="N925" s="142">
        <v>2837.44</v>
      </c>
    </row>
    <row r="926" spans="13:14" x14ac:dyDescent="0.55000000000000004">
      <c r="M926" s="143">
        <v>43308</v>
      </c>
      <c r="N926" s="142">
        <v>2818.82</v>
      </c>
    </row>
    <row r="927" spans="13:14" x14ac:dyDescent="0.55000000000000004">
      <c r="M927" s="143">
        <v>43311</v>
      </c>
      <c r="N927" s="142">
        <v>2802.6</v>
      </c>
    </row>
    <row r="928" spans="13:14" x14ac:dyDescent="0.55000000000000004">
      <c r="M928" s="143">
        <v>43312</v>
      </c>
      <c r="N928" s="142">
        <v>2816.29</v>
      </c>
    </row>
    <row r="929" spans="13:14" x14ac:dyDescent="0.55000000000000004">
      <c r="M929" s="143">
        <v>43313</v>
      </c>
      <c r="N929" s="142">
        <v>2813.36</v>
      </c>
    </row>
    <row r="930" spans="13:14" x14ac:dyDescent="0.55000000000000004">
      <c r="M930" s="143">
        <v>43314</v>
      </c>
      <c r="N930" s="142">
        <v>2827.22</v>
      </c>
    </row>
    <row r="931" spans="13:14" x14ac:dyDescent="0.55000000000000004">
      <c r="M931" s="143">
        <v>43315</v>
      </c>
      <c r="N931" s="142">
        <v>2840.35</v>
      </c>
    </row>
    <row r="932" spans="13:14" x14ac:dyDescent="0.55000000000000004">
      <c r="M932" s="143">
        <v>43318</v>
      </c>
      <c r="N932" s="142">
        <v>2850.4</v>
      </c>
    </row>
    <row r="933" spans="13:14" x14ac:dyDescent="0.55000000000000004">
      <c r="M933" s="143">
        <v>43319</v>
      </c>
      <c r="N933" s="142">
        <v>2858.45</v>
      </c>
    </row>
    <row r="934" spans="13:14" x14ac:dyDescent="0.55000000000000004">
      <c r="M934" s="143">
        <v>43320</v>
      </c>
      <c r="N934" s="142">
        <v>2857.7</v>
      </c>
    </row>
    <row r="935" spans="13:14" x14ac:dyDescent="0.55000000000000004">
      <c r="M935" s="143">
        <v>43321</v>
      </c>
      <c r="N935" s="142">
        <v>2853.58</v>
      </c>
    </row>
    <row r="936" spans="13:14" x14ac:dyDescent="0.55000000000000004">
      <c r="M936" s="143">
        <v>43322</v>
      </c>
      <c r="N936" s="142">
        <v>2833.28</v>
      </c>
    </row>
    <row r="937" spans="13:14" x14ac:dyDescent="0.55000000000000004">
      <c r="M937" s="143">
        <v>43325</v>
      </c>
      <c r="N937" s="142">
        <v>2821.93</v>
      </c>
    </row>
    <row r="938" spans="13:14" x14ac:dyDescent="0.55000000000000004">
      <c r="M938" s="143">
        <v>43326</v>
      </c>
      <c r="N938" s="142">
        <v>2839.96</v>
      </c>
    </row>
    <row r="939" spans="13:14" x14ac:dyDescent="0.55000000000000004">
      <c r="M939" s="143">
        <v>43327</v>
      </c>
      <c r="N939" s="142">
        <v>2818.37</v>
      </c>
    </row>
    <row r="940" spans="13:14" x14ac:dyDescent="0.55000000000000004">
      <c r="M940" s="143">
        <v>43328</v>
      </c>
      <c r="N940" s="142">
        <v>2840.69</v>
      </c>
    </row>
    <row r="941" spans="13:14" x14ac:dyDescent="0.55000000000000004">
      <c r="M941" s="143">
        <v>43329</v>
      </c>
      <c r="N941" s="142">
        <v>2850.13</v>
      </c>
    </row>
    <row r="942" spans="13:14" x14ac:dyDescent="0.55000000000000004">
      <c r="M942" s="143">
        <v>43332</v>
      </c>
      <c r="N942" s="142">
        <v>2857.05</v>
      </c>
    </row>
    <row r="943" spans="13:14" x14ac:dyDescent="0.55000000000000004">
      <c r="M943" s="143">
        <v>43333</v>
      </c>
      <c r="N943" s="142">
        <v>2862.96</v>
      </c>
    </row>
    <row r="944" spans="13:14" x14ac:dyDescent="0.55000000000000004">
      <c r="M944" s="143">
        <v>43334</v>
      </c>
      <c r="N944" s="142">
        <v>2861.82</v>
      </c>
    </row>
    <row r="945" spans="13:14" x14ac:dyDescent="0.55000000000000004">
      <c r="M945" s="143">
        <v>43335</v>
      </c>
      <c r="N945" s="142">
        <v>2856.98</v>
      </c>
    </row>
    <row r="946" spans="13:14" x14ac:dyDescent="0.55000000000000004">
      <c r="M946" s="143">
        <v>43336</v>
      </c>
      <c r="N946" s="142">
        <v>2874.69</v>
      </c>
    </row>
    <row r="947" spans="13:14" x14ac:dyDescent="0.55000000000000004">
      <c r="M947" s="143">
        <v>43339</v>
      </c>
      <c r="N947" s="142">
        <v>2896.74</v>
      </c>
    </row>
    <row r="948" spans="13:14" x14ac:dyDescent="0.55000000000000004">
      <c r="M948" s="143">
        <v>43340</v>
      </c>
      <c r="N948" s="142">
        <v>2897.52</v>
      </c>
    </row>
    <row r="949" spans="13:14" x14ac:dyDescent="0.55000000000000004">
      <c r="M949" s="143">
        <v>43341</v>
      </c>
      <c r="N949" s="142">
        <v>2914.04</v>
      </c>
    </row>
    <row r="950" spans="13:14" x14ac:dyDescent="0.55000000000000004">
      <c r="M950" s="143">
        <v>43342</v>
      </c>
      <c r="N950" s="142">
        <v>2901.13</v>
      </c>
    </row>
    <row r="951" spans="13:14" x14ac:dyDescent="0.55000000000000004">
      <c r="M951" s="143">
        <v>43343</v>
      </c>
      <c r="N951" s="142">
        <v>2901.52</v>
      </c>
    </row>
    <row r="952" spans="13:14" x14ac:dyDescent="0.55000000000000004">
      <c r="M952" s="143">
        <v>43347</v>
      </c>
      <c r="N952" s="142">
        <v>2896.72</v>
      </c>
    </row>
    <row r="953" spans="13:14" x14ac:dyDescent="0.55000000000000004">
      <c r="M953" s="143">
        <v>43348</v>
      </c>
      <c r="N953" s="142">
        <v>2888.6</v>
      </c>
    </row>
    <row r="954" spans="13:14" x14ac:dyDescent="0.55000000000000004">
      <c r="M954" s="143">
        <v>43349</v>
      </c>
      <c r="N954" s="142">
        <v>2878.05</v>
      </c>
    </row>
    <row r="955" spans="13:14" x14ac:dyDescent="0.55000000000000004">
      <c r="M955" s="143">
        <v>43350</v>
      </c>
      <c r="N955" s="142">
        <v>2871.68</v>
      </c>
    </row>
    <row r="956" spans="13:14" x14ac:dyDescent="0.55000000000000004">
      <c r="M956" s="143">
        <v>43353</v>
      </c>
      <c r="N956" s="142">
        <v>2877.13</v>
      </c>
    </row>
    <row r="957" spans="13:14" x14ac:dyDescent="0.55000000000000004">
      <c r="M957" s="143">
        <v>43354</v>
      </c>
      <c r="N957" s="142">
        <v>2887.89</v>
      </c>
    </row>
    <row r="958" spans="13:14" x14ac:dyDescent="0.55000000000000004">
      <c r="M958" s="143">
        <v>43355</v>
      </c>
      <c r="N958" s="142">
        <v>2888.92</v>
      </c>
    </row>
    <row r="959" spans="13:14" x14ac:dyDescent="0.55000000000000004">
      <c r="M959" s="143">
        <v>43356</v>
      </c>
      <c r="N959" s="142">
        <v>2904.18</v>
      </c>
    </row>
    <row r="960" spans="13:14" x14ac:dyDescent="0.55000000000000004">
      <c r="M960" s="143">
        <v>43357</v>
      </c>
      <c r="N960" s="142">
        <v>2904.98</v>
      </c>
    </row>
    <row r="961" spans="13:14" x14ac:dyDescent="0.55000000000000004">
      <c r="M961" s="143">
        <v>43360</v>
      </c>
      <c r="N961" s="142">
        <v>2888.8</v>
      </c>
    </row>
    <row r="962" spans="13:14" x14ac:dyDescent="0.55000000000000004">
      <c r="M962" s="143">
        <v>43361</v>
      </c>
      <c r="N962" s="142">
        <v>2904.31</v>
      </c>
    </row>
    <row r="963" spans="13:14" x14ac:dyDescent="0.55000000000000004">
      <c r="M963" s="143">
        <v>43362</v>
      </c>
      <c r="N963" s="142">
        <v>2907.95</v>
      </c>
    </row>
    <row r="964" spans="13:14" x14ac:dyDescent="0.55000000000000004">
      <c r="M964" s="143">
        <v>43363</v>
      </c>
      <c r="N964" s="142">
        <v>2930.75</v>
      </c>
    </row>
    <row r="965" spans="13:14" x14ac:dyDescent="0.55000000000000004">
      <c r="M965" s="143">
        <v>43364</v>
      </c>
      <c r="N965" s="142">
        <v>2929.67</v>
      </c>
    </row>
    <row r="966" spans="13:14" x14ac:dyDescent="0.55000000000000004">
      <c r="M966" s="143">
        <v>43367</v>
      </c>
      <c r="N966" s="142">
        <v>2919.37</v>
      </c>
    </row>
    <row r="967" spans="13:14" x14ac:dyDescent="0.55000000000000004">
      <c r="M967" s="143">
        <v>43368</v>
      </c>
      <c r="N967" s="142">
        <v>2915.56</v>
      </c>
    </row>
    <row r="968" spans="13:14" x14ac:dyDescent="0.55000000000000004">
      <c r="M968" s="143">
        <v>43369</v>
      </c>
      <c r="N968" s="142">
        <v>2905.97</v>
      </c>
    </row>
    <row r="969" spans="13:14" x14ac:dyDescent="0.55000000000000004">
      <c r="M969" s="143">
        <v>43370</v>
      </c>
      <c r="N969" s="142">
        <v>2914</v>
      </c>
    </row>
    <row r="970" spans="13:14" x14ac:dyDescent="0.55000000000000004">
      <c r="M970" s="143">
        <v>43371</v>
      </c>
      <c r="N970" s="142">
        <v>2913.98</v>
      </c>
    </row>
    <row r="971" spans="13:14" x14ac:dyDescent="0.55000000000000004">
      <c r="M971" s="143">
        <v>43374</v>
      </c>
      <c r="N971" s="142">
        <v>2924.59</v>
      </c>
    </row>
    <row r="972" spans="13:14" x14ac:dyDescent="0.55000000000000004">
      <c r="M972" s="143">
        <v>43375</v>
      </c>
      <c r="N972" s="142">
        <v>2923.43</v>
      </c>
    </row>
    <row r="973" spans="13:14" x14ac:dyDescent="0.55000000000000004">
      <c r="M973" s="143">
        <v>43376</v>
      </c>
      <c r="N973" s="142">
        <v>2925.51</v>
      </c>
    </row>
    <row r="974" spans="13:14" x14ac:dyDescent="0.55000000000000004">
      <c r="M974" s="143">
        <v>43377</v>
      </c>
      <c r="N974" s="142">
        <v>2901.61</v>
      </c>
    </row>
    <row r="975" spans="13:14" x14ac:dyDescent="0.55000000000000004">
      <c r="M975" s="143">
        <v>43378</v>
      </c>
      <c r="N975" s="142">
        <v>2885.57</v>
      </c>
    </row>
    <row r="976" spans="13:14" x14ac:dyDescent="0.55000000000000004">
      <c r="M976" s="143">
        <v>43381</v>
      </c>
      <c r="N976" s="142">
        <v>2884.43</v>
      </c>
    </row>
    <row r="977" spans="13:14" x14ac:dyDescent="0.55000000000000004">
      <c r="M977" s="143">
        <v>43382</v>
      </c>
      <c r="N977" s="142">
        <v>2880.34</v>
      </c>
    </row>
    <row r="978" spans="13:14" x14ac:dyDescent="0.55000000000000004">
      <c r="M978" s="143">
        <v>43383</v>
      </c>
      <c r="N978" s="142">
        <v>2785.68</v>
      </c>
    </row>
    <row r="979" spans="13:14" x14ac:dyDescent="0.55000000000000004">
      <c r="M979" s="143">
        <v>43384</v>
      </c>
      <c r="N979" s="142">
        <v>2728.37</v>
      </c>
    </row>
    <row r="980" spans="13:14" x14ac:dyDescent="0.55000000000000004">
      <c r="M980" s="143">
        <v>43385</v>
      </c>
      <c r="N980" s="142">
        <v>2767.13</v>
      </c>
    </row>
    <row r="981" spans="13:14" x14ac:dyDescent="0.55000000000000004">
      <c r="M981" s="143">
        <v>43388</v>
      </c>
      <c r="N981" s="142">
        <v>2750.79</v>
      </c>
    </row>
    <row r="982" spans="13:14" x14ac:dyDescent="0.55000000000000004">
      <c r="M982" s="143">
        <v>43389</v>
      </c>
      <c r="N982" s="142">
        <v>2809.92</v>
      </c>
    </row>
    <row r="983" spans="13:14" x14ac:dyDescent="0.55000000000000004">
      <c r="M983" s="143">
        <v>43390</v>
      </c>
      <c r="N983" s="142">
        <v>2809.21</v>
      </c>
    </row>
    <row r="984" spans="13:14" x14ac:dyDescent="0.55000000000000004">
      <c r="M984" s="143">
        <v>43391</v>
      </c>
      <c r="N984" s="142">
        <v>2768.78</v>
      </c>
    </row>
    <row r="985" spans="13:14" x14ac:dyDescent="0.55000000000000004">
      <c r="M985" s="143">
        <v>43392</v>
      </c>
      <c r="N985" s="142">
        <v>2767.78</v>
      </c>
    </row>
    <row r="986" spans="13:14" x14ac:dyDescent="0.55000000000000004">
      <c r="M986" s="143">
        <v>43395</v>
      </c>
      <c r="N986" s="142">
        <v>2755.88</v>
      </c>
    </row>
    <row r="987" spans="13:14" x14ac:dyDescent="0.55000000000000004">
      <c r="M987" s="143">
        <v>43396</v>
      </c>
      <c r="N987" s="142">
        <v>2740.69</v>
      </c>
    </row>
    <row r="988" spans="13:14" x14ac:dyDescent="0.55000000000000004">
      <c r="M988" s="143">
        <v>43397</v>
      </c>
      <c r="N988" s="142">
        <v>2656.1</v>
      </c>
    </row>
    <row r="989" spans="13:14" x14ac:dyDescent="0.55000000000000004">
      <c r="M989" s="143">
        <v>43398</v>
      </c>
      <c r="N989" s="142">
        <v>2705.57</v>
      </c>
    </row>
    <row r="990" spans="13:14" x14ac:dyDescent="0.55000000000000004">
      <c r="M990" s="143">
        <v>43399</v>
      </c>
      <c r="N990" s="142">
        <v>2658.69</v>
      </c>
    </row>
    <row r="991" spans="13:14" x14ac:dyDescent="0.55000000000000004">
      <c r="M991" s="143">
        <v>43402</v>
      </c>
      <c r="N991" s="142">
        <v>2641.25</v>
      </c>
    </row>
    <row r="992" spans="13:14" x14ac:dyDescent="0.55000000000000004">
      <c r="M992" s="143">
        <v>43403</v>
      </c>
      <c r="N992" s="142">
        <v>2682.63</v>
      </c>
    </row>
    <row r="993" spans="13:14" x14ac:dyDescent="0.55000000000000004">
      <c r="M993" s="143">
        <v>43404</v>
      </c>
      <c r="N993" s="142">
        <v>2711.74</v>
      </c>
    </row>
    <row r="994" spans="13:14" x14ac:dyDescent="0.55000000000000004">
      <c r="M994" s="143">
        <v>43405</v>
      </c>
      <c r="N994" s="142">
        <v>2740.37</v>
      </c>
    </row>
    <row r="995" spans="13:14" x14ac:dyDescent="0.55000000000000004">
      <c r="M995" s="143">
        <v>43406</v>
      </c>
      <c r="N995" s="142">
        <v>2723.06</v>
      </c>
    </row>
    <row r="996" spans="13:14" x14ac:dyDescent="0.55000000000000004">
      <c r="M996" s="143">
        <v>43409</v>
      </c>
      <c r="N996" s="142">
        <v>2738.31</v>
      </c>
    </row>
    <row r="997" spans="13:14" x14ac:dyDescent="0.55000000000000004">
      <c r="M997" s="143">
        <v>43410</v>
      </c>
      <c r="N997" s="142">
        <v>2755.45</v>
      </c>
    </row>
    <row r="998" spans="13:14" x14ac:dyDescent="0.55000000000000004">
      <c r="M998" s="143">
        <v>43411</v>
      </c>
      <c r="N998" s="142">
        <v>2813.89</v>
      </c>
    </row>
    <row r="999" spans="13:14" x14ac:dyDescent="0.55000000000000004">
      <c r="M999" s="143">
        <v>43412</v>
      </c>
      <c r="N999" s="142">
        <v>2806.83</v>
      </c>
    </row>
    <row r="1000" spans="13:14" x14ac:dyDescent="0.55000000000000004">
      <c r="M1000" s="143">
        <v>43413</v>
      </c>
      <c r="N1000" s="142">
        <v>2781.01</v>
      </c>
    </row>
    <row r="1001" spans="13:14" x14ac:dyDescent="0.55000000000000004">
      <c r="M1001" s="143">
        <v>43416</v>
      </c>
      <c r="N1001" s="142">
        <v>2726.22</v>
      </c>
    </row>
    <row r="1002" spans="13:14" x14ac:dyDescent="0.55000000000000004">
      <c r="M1002" s="143">
        <v>43417</v>
      </c>
      <c r="N1002" s="142">
        <v>2722.18</v>
      </c>
    </row>
    <row r="1003" spans="13:14" x14ac:dyDescent="0.55000000000000004">
      <c r="M1003" s="143">
        <v>43418</v>
      </c>
      <c r="N1003" s="142">
        <v>2701.58</v>
      </c>
    </row>
    <row r="1004" spans="13:14" x14ac:dyDescent="0.55000000000000004">
      <c r="M1004" s="143">
        <v>43419</v>
      </c>
      <c r="N1004" s="142">
        <v>2730.2</v>
      </c>
    </row>
    <row r="1005" spans="13:14" x14ac:dyDescent="0.55000000000000004">
      <c r="M1005" s="143">
        <v>43420</v>
      </c>
      <c r="N1005" s="142">
        <v>2736.27</v>
      </c>
    </row>
    <row r="1006" spans="13:14" x14ac:dyDescent="0.55000000000000004">
      <c r="M1006" s="143">
        <v>43423</v>
      </c>
      <c r="N1006" s="142">
        <v>2690.73</v>
      </c>
    </row>
    <row r="1007" spans="13:14" x14ac:dyDescent="0.55000000000000004">
      <c r="M1007" s="143">
        <v>43424</v>
      </c>
      <c r="N1007" s="142">
        <v>2641.89</v>
      </c>
    </row>
    <row r="1008" spans="13:14" x14ac:dyDescent="0.55000000000000004">
      <c r="M1008" s="143">
        <v>43425</v>
      </c>
      <c r="N1008" s="142">
        <v>2649.93</v>
      </c>
    </row>
    <row r="1009" spans="13:14" x14ac:dyDescent="0.55000000000000004">
      <c r="M1009" s="143">
        <v>43427</v>
      </c>
      <c r="N1009" s="142">
        <v>2632.56</v>
      </c>
    </row>
    <row r="1010" spans="13:14" x14ac:dyDescent="0.55000000000000004">
      <c r="M1010" s="143">
        <v>43430</v>
      </c>
      <c r="N1010" s="142">
        <v>2673.45</v>
      </c>
    </row>
    <row r="1011" spans="13:14" x14ac:dyDescent="0.55000000000000004">
      <c r="M1011" s="143">
        <v>43431</v>
      </c>
      <c r="N1011" s="142">
        <v>2682.17</v>
      </c>
    </row>
    <row r="1012" spans="13:14" x14ac:dyDescent="0.55000000000000004">
      <c r="M1012" s="143">
        <v>43432</v>
      </c>
      <c r="N1012" s="142">
        <v>2743.79</v>
      </c>
    </row>
    <row r="1013" spans="13:14" x14ac:dyDescent="0.55000000000000004">
      <c r="M1013" s="143">
        <v>43433</v>
      </c>
      <c r="N1013" s="142">
        <v>2737.76</v>
      </c>
    </row>
    <row r="1014" spans="13:14" x14ac:dyDescent="0.55000000000000004">
      <c r="M1014" s="143">
        <v>43434</v>
      </c>
      <c r="N1014" s="142">
        <v>2760.17</v>
      </c>
    </row>
    <row r="1015" spans="13:14" x14ac:dyDescent="0.55000000000000004">
      <c r="M1015" s="143">
        <v>43437</v>
      </c>
      <c r="N1015" s="142">
        <v>2790.37</v>
      </c>
    </row>
    <row r="1016" spans="13:14" x14ac:dyDescent="0.55000000000000004">
      <c r="M1016" s="143">
        <v>43438</v>
      </c>
      <c r="N1016" s="142">
        <v>2700.06</v>
      </c>
    </row>
    <row r="1017" spans="13:14" x14ac:dyDescent="0.55000000000000004">
      <c r="M1017" s="143">
        <v>43440</v>
      </c>
      <c r="N1017" s="142">
        <v>2695.95</v>
      </c>
    </row>
    <row r="1018" spans="13:14" x14ac:dyDescent="0.55000000000000004">
      <c r="M1018" s="143">
        <v>43441</v>
      </c>
      <c r="N1018" s="142">
        <v>2633.08</v>
      </c>
    </row>
    <row r="1019" spans="13:14" x14ac:dyDescent="0.55000000000000004">
      <c r="M1019" s="143">
        <v>43444</v>
      </c>
      <c r="N1019" s="142">
        <v>2637.72</v>
      </c>
    </row>
    <row r="1020" spans="13:14" x14ac:dyDescent="0.55000000000000004">
      <c r="M1020" s="143">
        <v>43445</v>
      </c>
      <c r="N1020" s="142">
        <v>2636.78</v>
      </c>
    </row>
    <row r="1021" spans="13:14" x14ac:dyDescent="0.55000000000000004">
      <c r="M1021" s="143">
        <v>43446</v>
      </c>
      <c r="N1021" s="142">
        <v>2651.07</v>
      </c>
    </row>
    <row r="1022" spans="13:14" x14ac:dyDescent="0.55000000000000004">
      <c r="M1022" s="143">
        <v>43447</v>
      </c>
      <c r="N1022" s="142">
        <v>2650.54</v>
      </c>
    </row>
    <row r="1023" spans="13:14" x14ac:dyDescent="0.55000000000000004">
      <c r="M1023" s="143">
        <v>43448</v>
      </c>
      <c r="N1023" s="142">
        <v>2599.9499999999998</v>
      </c>
    </row>
    <row r="1024" spans="13:14" x14ac:dyDescent="0.55000000000000004">
      <c r="M1024" s="143">
        <v>43451</v>
      </c>
      <c r="N1024" s="142">
        <v>2545.94</v>
      </c>
    </row>
    <row r="1025" spans="13:14" x14ac:dyDescent="0.55000000000000004">
      <c r="M1025" s="143">
        <v>43452</v>
      </c>
      <c r="N1025" s="142">
        <v>2546.16</v>
      </c>
    </row>
    <row r="1026" spans="13:14" x14ac:dyDescent="0.55000000000000004">
      <c r="M1026" s="143">
        <v>43453</v>
      </c>
      <c r="N1026" s="142">
        <v>2506.96</v>
      </c>
    </row>
    <row r="1027" spans="13:14" x14ac:dyDescent="0.55000000000000004">
      <c r="M1027" s="143">
        <v>43454</v>
      </c>
      <c r="N1027" s="142">
        <v>2467.42</v>
      </c>
    </row>
    <row r="1028" spans="13:14" x14ac:dyDescent="0.55000000000000004">
      <c r="M1028" s="143">
        <v>43455</v>
      </c>
      <c r="N1028" s="142">
        <v>2416.62</v>
      </c>
    </row>
    <row r="1029" spans="13:14" x14ac:dyDescent="0.55000000000000004">
      <c r="M1029" s="143">
        <v>43458</v>
      </c>
      <c r="N1029" s="142">
        <v>2351.1</v>
      </c>
    </row>
    <row r="1030" spans="13:14" x14ac:dyDescent="0.55000000000000004">
      <c r="M1030" s="143">
        <v>43460</v>
      </c>
      <c r="N1030" s="142">
        <v>2467.6999999999998</v>
      </c>
    </row>
    <row r="1031" spans="13:14" x14ac:dyDescent="0.55000000000000004">
      <c r="M1031" s="143">
        <v>43461</v>
      </c>
      <c r="N1031" s="142">
        <v>2488.83</v>
      </c>
    </row>
    <row r="1032" spans="13:14" x14ac:dyDescent="0.55000000000000004">
      <c r="M1032" s="143">
        <v>43462</v>
      </c>
      <c r="N1032" s="142">
        <v>2485.7399999999998</v>
      </c>
    </row>
    <row r="1033" spans="13:14" x14ac:dyDescent="0.55000000000000004">
      <c r="M1033" s="143">
        <v>43465</v>
      </c>
      <c r="N1033" s="142">
        <v>2506.85</v>
      </c>
    </row>
    <row r="1034" spans="13:14" x14ac:dyDescent="0.55000000000000004">
      <c r="M1034" s="143">
        <v>43467</v>
      </c>
      <c r="N1034" s="142">
        <v>2510.0300000000002</v>
      </c>
    </row>
    <row r="1035" spans="13:14" x14ac:dyDescent="0.55000000000000004">
      <c r="M1035" s="143">
        <v>43468</v>
      </c>
      <c r="N1035" s="142">
        <v>2447.89</v>
      </c>
    </row>
    <row r="1036" spans="13:14" x14ac:dyDescent="0.55000000000000004">
      <c r="M1036" s="143">
        <v>43469</v>
      </c>
      <c r="N1036" s="142">
        <v>2531.94</v>
      </c>
    </row>
    <row r="1037" spans="13:14" x14ac:dyDescent="0.55000000000000004">
      <c r="M1037" s="143">
        <v>43472</v>
      </c>
      <c r="N1037" s="142">
        <v>2549.69</v>
      </c>
    </row>
    <row r="1038" spans="13:14" x14ac:dyDescent="0.55000000000000004">
      <c r="M1038" s="143">
        <v>43473</v>
      </c>
      <c r="N1038" s="142">
        <v>2574.41</v>
      </c>
    </row>
    <row r="1039" spans="13:14" x14ac:dyDescent="0.55000000000000004">
      <c r="M1039" s="143">
        <v>43474</v>
      </c>
      <c r="N1039" s="142">
        <v>2584.96</v>
      </c>
    </row>
    <row r="1040" spans="13:14" x14ac:dyDescent="0.55000000000000004">
      <c r="M1040" s="143">
        <v>43475</v>
      </c>
      <c r="N1040" s="142">
        <v>2596.64</v>
      </c>
    </row>
    <row r="1041" spans="13:14" x14ac:dyDescent="0.55000000000000004">
      <c r="M1041" s="143">
        <v>43476</v>
      </c>
      <c r="N1041" s="142">
        <v>2596.2600000000002</v>
      </c>
    </row>
    <row r="1042" spans="13:14" x14ac:dyDescent="0.55000000000000004">
      <c r="M1042" s="143">
        <v>43479</v>
      </c>
      <c r="N1042" s="142">
        <v>2582.61</v>
      </c>
    </row>
    <row r="1043" spans="13:14" x14ac:dyDescent="0.55000000000000004">
      <c r="M1043" s="143">
        <v>43480</v>
      </c>
      <c r="N1043" s="142">
        <v>2610.3000000000002</v>
      </c>
    </row>
    <row r="1044" spans="13:14" x14ac:dyDescent="0.55000000000000004">
      <c r="M1044" s="143">
        <v>43481</v>
      </c>
      <c r="N1044" s="142">
        <v>2616.1</v>
      </c>
    </row>
    <row r="1045" spans="13:14" x14ac:dyDescent="0.55000000000000004">
      <c r="M1045" s="143">
        <v>43482</v>
      </c>
      <c r="N1045" s="142">
        <v>2635.96</v>
      </c>
    </row>
    <row r="1046" spans="13:14" x14ac:dyDescent="0.55000000000000004">
      <c r="M1046" s="143">
        <v>43483</v>
      </c>
      <c r="N1046" s="142">
        <v>2670.71</v>
      </c>
    </row>
    <row r="1047" spans="13:14" x14ac:dyDescent="0.55000000000000004">
      <c r="M1047" s="143">
        <v>43487</v>
      </c>
      <c r="N1047" s="142">
        <v>2632.9</v>
      </c>
    </row>
    <row r="1048" spans="13:14" x14ac:dyDescent="0.55000000000000004">
      <c r="M1048" s="143">
        <v>43488</v>
      </c>
      <c r="N1048" s="142">
        <v>2638.7</v>
      </c>
    </row>
    <row r="1049" spans="13:14" x14ac:dyDescent="0.55000000000000004">
      <c r="M1049" s="143">
        <v>43489</v>
      </c>
      <c r="N1049" s="142">
        <v>2642.33</v>
      </c>
    </row>
    <row r="1050" spans="13:14" x14ac:dyDescent="0.55000000000000004">
      <c r="M1050" s="143">
        <v>43490</v>
      </c>
      <c r="N1050" s="142">
        <v>2664.76</v>
      </c>
    </row>
    <row r="1051" spans="13:14" x14ac:dyDescent="0.55000000000000004">
      <c r="M1051" s="143">
        <v>43493</v>
      </c>
      <c r="N1051" s="142">
        <v>2643.85</v>
      </c>
    </row>
    <row r="1052" spans="13:14" x14ac:dyDescent="0.55000000000000004">
      <c r="M1052" s="143">
        <v>43494</v>
      </c>
      <c r="N1052" s="142">
        <v>2640</v>
      </c>
    </row>
    <row r="1053" spans="13:14" x14ac:dyDescent="0.55000000000000004">
      <c r="M1053" s="143">
        <v>43495</v>
      </c>
      <c r="N1053" s="142">
        <v>2681.05</v>
      </c>
    </row>
    <row r="1054" spans="13:14" x14ac:dyDescent="0.55000000000000004">
      <c r="M1054" s="143">
        <v>43496</v>
      </c>
      <c r="N1054" s="142">
        <v>2704.1</v>
      </c>
    </row>
    <row r="1055" spans="13:14" x14ac:dyDescent="0.55000000000000004">
      <c r="M1055" s="143">
        <v>43497</v>
      </c>
      <c r="N1055" s="142">
        <v>2706.53</v>
      </c>
    </row>
    <row r="1056" spans="13:14" x14ac:dyDescent="0.55000000000000004">
      <c r="M1056" s="143">
        <v>43500</v>
      </c>
      <c r="N1056" s="142">
        <v>2724.87</v>
      </c>
    </row>
    <row r="1057" spans="13:14" x14ac:dyDescent="0.55000000000000004">
      <c r="M1057" s="143">
        <v>43501</v>
      </c>
      <c r="N1057" s="142">
        <v>2737.7</v>
      </c>
    </row>
    <row r="1058" spans="13:14" x14ac:dyDescent="0.55000000000000004">
      <c r="M1058" s="143">
        <v>43502</v>
      </c>
      <c r="N1058" s="142">
        <v>2731.61</v>
      </c>
    </row>
    <row r="1059" spans="13:14" x14ac:dyDescent="0.55000000000000004">
      <c r="M1059" s="143">
        <v>43503</v>
      </c>
      <c r="N1059" s="142">
        <v>2706.05</v>
      </c>
    </row>
    <row r="1060" spans="13:14" x14ac:dyDescent="0.55000000000000004">
      <c r="M1060" s="143">
        <v>43504</v>
      </c>
      <c r="N1060" s="142">
        <v>2707.88</v>
      </c>
    </row>
    <row r="1061" spans="13:14" x14ac:dyDescent="0.55000000000000004">
      <c r="M1061" s="143">
        <v>43507</v>
      </c>
      <c r="N1061" s="142">
        <v>2709.8</v>
      </c>
    </row>
    <row r="1062" spans="13:14" x14ac:dyDescent="0.55000000000000004">
      <c r="M1062" s="143">
        <v>43508</v>
      </c>
      <c r="N1062" s="142">
        <v>2744.73</v>
      </c>
    </row>
    <row r="1063" spans="13:14" x14ac:dyDescent="0.55000000000000004">
      <c r="M1063" s="143">
        <v>43509</v>
      </c>
      <c r="N1063" s="142">
        <v>2753.03</v>
      </c>
    </row>
    <row r="1064" spans="13:14" x14ac:dyDescent="0.55000000000000004">
      <c r="M1064" s="143">
        <v>43510</v>
      </c>
      <c r="N1064" s="142">
        <v>2745.73</v>
      </c>
    </row>
    <row r="1065" spans="13:14" x14ac:dyDescent="0.55000000000000004">
      <c r="M1065" s="143">
        <v>43511</v>
      </c>
      <c r="N1065" s="142">
        <v>2775.6</v>
      </c>
    </row>
    <row r="1066" spans="13:14" x14ac:dyDescent="0.55000000000000004">
      <c r="M1066" s="143">
        <v>43515</v>
      </c>
      <c r="N1066" s="142">
        <v>2779.76</v>
      </c>
    </row>
    <row r="1067" spans="13:14" x14ac:dyDescent="0.55000000000000004">
      <c r="M1067" s="143">
        <v>43516</v>
      </c>
      <c r="N1067" s="142">
        <v>2784.7</v>
      </c>
    </row>
    <row r="1068" spans="13:14" x14ac:dyDescent="0.55000000000000004">
      <c r="M1068" s="143">
        <v>43517</v>
      </c>
      <c r="N1068" s="142">
        <v>2774.88</v>
      </c>
    </row>
    <row r="1069" spans="13:14" x14ac:dyDescent="0.55000000000000004">
      <c r="M1069" s="143">
        <v>43518</v>
      </c>
      <c r="N1069" s="142">
        <v>2792.67</v>
      </c>
    </row>
    <row r="1070" spans="13:14" x14ac:dyDescent="0.55000000000000004">
      <c r="M1070" s="143">
        <v>43521</v>
      </c>
      <c r="N1070" s="142">
        <v>2796.11</v>
      </c>
    </row>
    <row r="1071" spans="13:14" x14ac:dyDescent="0.55000000000000004">
      <c r="M1071" s="143">
        <v>43522</v>
      </c>
      <c r="N1071" s="142">
        <v>2793.9</v>
      </c>
    </row>
    <row r="1072" spans="13:14" x14ac:dyDescent="0.55000000000000004">
      <c r="M1072" s="143">
        <v>43523</v>
      </c>
      <c r="N1072" s="142">
        <v>2792.38</v>
      </c>
    </row>
    <row r="1073" spans="13:14" x14ac:dyDescent="0.55000000000000004">
      <c r="M1073" s="143">
        <v>43524</v>
      </c>
      <c r="N1073" s="142">
        <v>2784.49</v>
      </c>
    </row>
    <row r="1074" spans="13:14" x14ac:dyDescent="0.55000000000000004">
      <c r="M1074" s="143">
        <v>43525</v>
      </c>
      <c r="N1074" s="142">
        <v>2803.69</v>
      </c>
    </row>
    <row r="1075" spans="13:14" x14ac:dyDescent="0.55000000000000004">
      <c r="M1075" s="143">
        <v>43528</v>
      </c>
      <c r="N1075" s="142">
        <v>2792.81</v>
      </c>
    </row>
    <row r="1076" spans="13:14" x14ac:dyDescent="0.55000000000000004">
      <c r="M1076" s="143">
        <v>43529</v>
      </c>
      <c r="N1076" s="142">
        <v>2789.65</v>
      </c>
    </row>
    <row r="1077" spans="13:14" x14ac:dyDescent="0.55000000000000004">
      <c r="M1077" s="143">
        <v>43530</v>
      </c>
      <c r="N1077" s="142">
        <v>2771.45</v>
      </c>
    </row>
    <row r="1078" spans="13:14" x14ac:dyDescent="0.55000000000000004">
      <c r="M1078" s="143">
        <v>43531</v>
      </c>
      <c r="N1078" s="142">
        <v>2748.93</v>
      </c>
    </row>
    <row r="1079" spans="13:14" x14ac:dyDescent="0.55000000000000004">
      <c r="M1079" s="143">
        <v>43532</v>
      </c>
      <c r="N1079" s="142">
        <v>2743.07</v>
      </c>
    </row>
    <row r="1080" spans="13:14" x14ac:dyDescent="0.55000000000000004">
      <c r="M1080" s="143">
        <v>43535</v>
      </c>
      <c r="N1080" s="142">
        <v>2783.3</v>
      </c>
    </row>
    <row r="1081" spans="13:14" x14ac:dyDescent="0.55000000000000004">
      <c r="M1081" s="143">
        <v>43536</v>
      </c>
      <c r="N1081" s="142">
        <v>2791.52</v>
      </c>
    </row>
    <row r="1082" spans="13:14" x14ac:dyDescent="0.55000000000000004">
      <c r="M1082" s="143">
        <v>43537</v>
      </c>
      <c r="N1082" s="142">
        <v>2810.92</v>
      </c>
    </row>
    <row r="1083" spans="13:14" x14ac:dyDescent="0.55000000000000004">
      <c r="M1083" s="143">
        <v>43538</v>
      </c>
      <c r="N1083" s="142">
        <v>2808.48</v>
      </c>
    </row>
    <row r="1084" spans="13:14" x14ac:dyDescent="0.55000000000000004">
      <c r="M1084" s="143">
        <v>43539</v>
      </c>
      <c r="N1084" s="142">
        <v>2822.48</v>
      </c>
    </row>
    <row r="1085" spans="13:14" x14ac:dyDescent="0.55000000000000004">
      <c r="M1085" s="143">
        <v>43542</v>
      </c>
      <c r="N1085" s="142">
        <v>2832.94</v>
      </c>
    </row>
    <row r="1086" spans="13:14" x14ac:dyDescent="0.55000000000000004">
      <c r="M1086" s="143">
        <v>43543</v>
      </c>
      <c r="N1086" s="142">
        <v>2832.57</v>
      </c>
    </row>
    <row r="1087" spans="13:14" x14ac:dyDescent="0.55000000000000004">
      <c r="M1087" s="143">
        <v>43544</v>
      </c>
      <c r="N1087" s="142">
        <v>2824.23</v>
      </c>
    </row>
    <row r="1088" spans="13:14" x14ac:dyDescent="0.55000000000000004">
      <c r="M1088" s="143">
        <v>43545</v>
      </c>
      <c r="N1088" s="142">
        <v>2854.88</v>
      </c>
    </row>
    <row r="1089" spans="13:14" x14ac:dyDescent="0.55000000000000004">
      <c r="M1089" s="143">
        <v>43546</v>
      </c>
      <c r="N1089" s="142">
        <v>2800.71</v>
      </c>
    </row>
    <row r="1090" spans="13:14" x14ac:dyDescent="0.55000000000000004">
      <c r="M1090" s="143">
        <v>43549</v>
      </c>
      <c r="N1090" s="142">
        <v>2798.36</v>
      </c>
    </row>
    <row r="1091" spans="13:14" x14ac:dyDescent="0.55000000000000004">
      <c r="M1091" s="143">
        <v>43550</v>
      </c>
      <c r="N1091" s="142">
        <v>2818.46</v>
      </c>
    </row>
    <row r="1092" spans="13:14" x14ac:dyDescent="0.55000000000000004">
      <c r="M1092" s="143">
        <v>43551</v>
      </c>
      <c r="N1092" s="142">
        <v>2805.37</v>
      </c>
    </row>
    <row r="1093" spans="13:14" x14ac:dyDescent="0.55000000000000004">
      <c r="M1093" s="143">
        <v>43552</v>
      </c>
      <c r="N1093" s="142">
        <v>2815.44</v>
      </c>
    </row>
    <row r="1094" spans="13:14" x14ac:dyDescent="0.55000000000000004">
      <c r="M1094" s="143">
        <v>43553</v>
      </c>
      <c r="N1094" s="142">
        <v>2834.4</v>
      </c>
    </row>
    <row r="1095" spans="13:14" x14ac:dyDescent="0.55000000000000004">
      <c r="M1095" s="143">
        <v>43556</v>
      </c>
      <c r="N1095" s="142">
        <v>2867.19</v>
      </c>
    </row>
    <row r="1096" spans="13:14" x14ac:dyDescent="0.55000000000000004">
      <c r="M1096" s="143">
        <v>43557</v>
      </c>
      <c r="N1096" s="142">
        <v>2867.24</v>
      </c>
    </row>
    <row r="1097" spans="13:14" x14ac:dyDescent="0.55000000000000004">
      <c r="M1097" s="143">
        <v>43558</v>
      </c>
      <c r="N1097" s="142">
        <v>2873.4</v>
      </c>
    </row>
    <row r="1098" spans="13:14" x14ac:dyDescent="0.55000000000000004">
      <c r="M1098" s="143">
        <v>43559</v>
      </c>
      <c r="N1098" s="142">
        <v>2879.39</v>
      </c>
    </row>
    <row r="1099" spans="13:14" x14ac:dyDescent="0.55000000000000004">
      <c r="M1099" s="143">
        <v>43560</v>
      </c>
      <c r="N1099" s="142">
        <v>2892.74</v>
      </c>
    </row>
    <row r="1100" spans="13:14" x14ac:dyDescent="0.55000000000000004">
      <c r="M1100" s="143">
        <v>43563</v>
      </c>
      <c r="N1100" s="142">
        <v>2895.77</v>
      </c>
    </row>
    <row r="1101" spans="13:14" x14ac:dyDescent="0.55000000000000004">
      <c r="M1101" s="143">
        <v>43564</v>
      </c>
      <c r="N1101" s="142">
        <v>2878.2</v>
      </c>
    </row>
    <row r="1102" spans="13:14" x14ac:dyDescent="0.55000000000000004">
      <c r="M1102" s="143">
        <v>43565</v>
      </c>
      <c r="N1102" s="142">
        <v>2888.21</v>
      </c>
    </row>
    <row r="1103" spans="13:14" x14ac:dyDescent="0.55000000000000004">
      <c r="M1103" s="143">
        <v>43566</v>
      </c>
      <c r="N1103" s="142">
        <v>2888.32</v>
      </c>
    </row>
    <row r="1104" spans="13:14" x14ac:dyDescent="0.55000000000000004">
      <c r="M1104" s="143">
        <v>43567</v>
      </c>
      <c r="N1104" s="142">
        <v>2907.41</v>
      </c>
    </row>
    <row r="1105" spans="13:14" x14ac:dyDescent="0.55000000000000004">
      <c r="M1105" s="143">
        <v>43570</v>
      </c>
      <c r="N1105" s="142">
        <v>2905.58</v>
      </c>
    </row>
    <row r="1106" spans="13:14" x14ac:dyDescent="0.55000000000000004">
      <c r="M1106" s="143">
        <v>43571</v>
      </c>
      <c r="N1106" s="142">
        <v>2907.06</v>
      </c>
    </row>
    <row r="1107" spans="13:14" x14ac:dyDescent="0.55000000000000004">
      <c r="M1107" s="143">
        <v>43572</v>
      </c>
      <c r="N1107" s="142">
        <v>2900.45</v>
      </c>
    </row>
    <row r="1108" spans="13:14" x14ac:dyDescent="0.55000000000000004">
      <c r="M1108" s="143">
        <v>43573</v>
      </c>
      <c r="N1108" s="142">
        <v>2905.03</v>
      </c>
    </row>
    <row r="1109" spans="13:14" x14ac:dyDescent="0.55000000000000004">
      <c r="M1109" s="143">
        <v>43577</v>
      </c>
      <c r="N1109" s="142">
        <v>2907.97</v>
      </c>
    </row>
    <row r="1110" spans="13:14" x14ac:dyDescent="0.55000000000000004">
      <c r="M1110" s="143">
        <v>43578</v>
      </c>
      <c r="N1110" s="142">
        <v>2933.68</v>
      </c>
    </row>
    <row r="1111" spans="13:14" x14ac:dyDescent="0.55000000000000004">
      <c r="M1111" s="143">
        <v>43579</v>
      </c>
      <c r="N1111" s="142">
        <v>2927.25</v>
      </c>
    </row>
    <row r="1112" spans="13:14" x14ac:dyDescent="0.55000000000000004">
      <c r="M1112" s="143">
        <v>43580</v>
      </c>
      <c r="N1112" s="142">
        <v>2926.17</v>
      </c>
    </row>
    <row r="1113" spans="13:14" x14ac:dyDescent="0.55000000000000004">
      <c r="M1113" s="143">
        <v>43581</v>
      </c>
      <c r="N1113" s="142">
        <v>2939.88</v>
      </c>
    </row>
    <row r="1114" spans="13:14" x14ac:dyDescent="0.55000000000000004">
      <c r="M1114" s="143">
        <v>43584</v>
      </c>
      <c r="N1114" s="142">
        <v>2943.03</v>
      </c>
    </row>
    <row r="1115" spans="13:14" x14ac:dyDescent="0.55000000000000004">
      <c r="M1115" s="143">
        <v>43585</v>
      </c>
      <c r="N1115" s="142">
        <v>2945.83</v>
      </c>
    </row>
    <row r="1116" spans="13:14" x14ac:dyDescent="0.55000000000000004">
      <c r="M1116" s="143">
        <v>43586</v>
      </c>
      <c r="N1116" s="142">
        <v>2923.73</v>
      </c>
    </row>
    <row r="1117" spans="13:14" x14ac:dyDescent="0.55000000000000004">
      <c r="M1117" s="143">
        <v>43587</v>
      </c>
      <c r="N1117" s="142">
        <v>2917.52</v>
      </c>
    </row>
    <row r="1118" spans="13:14" x14ac:dyDescent="0.55000000000000004">
      <c r="M1118" s="143">
        <v>43588</v>
      </c>
      <c r="N1118" s="142">
        <v>2945.64</v>
      </c>
    </row>
    <row r="1119" spans="13:14" x14ac:dyDescent="0.55000000000000004">
      <c r="M1119" s="143">
        <v>43591</v>
      </c>
      <c r="N1119" s="142">
        <v>2932.47</v>
      </c>
    </row>
    <row r="1120" spans="13:14" x14ac:dyDescent="0.55000000000000004">
      <c r="M1120" s="143">
        <v>43592</v>
      </c>
      <c r="N1120" s="142">
        <v>2884.05</v>
      </c>
    </row>
    <row r="1121" spans="13:14" x14ac:dyDescent="0.55000000000000004">
      <c r="M1121" s="143">
        <v>43593</v>
      </c>
      <c r="N1121" s="142">
        <v>2879.42</v>
      </c>
    </row>
    <row r="1122" spans="13:14" x14ac:dyDescent="0.55000000000000004">
      <c r="M1122" s="143">
        <v>43594</v>
      </c>
      <c r="N1122" s="142">
        <v>2870.72</v>
      </c>
    </row>
    <row r="1123" spans="13:14" x14ac:dyDescent="0.55000000000000004">
      <c r="M1123" s="143">
        <v>43595</v>
      </c>
      <c r="N1123" s="142">
        <v>2881.4</v>
      </c>
    </row>
    <row r="1124" spans="13:14" x14ac:dyDescent="0.55000000000000004">
      <c r="M1124" s="143">
        <v>43598</v>
      </c>
      <c r="N1124" s="142">
        <v>2811.87</v>
      </c>
    </row>
    <row r="1125" spans="13:14" x14ac:dyDescent="0.55000000000000004">
      <c r="M1125" s="143">
        <v>43599</v>
      </c>
      <c r="N1125" s="142">
        <v>2834.41</v>
      </c>
    </row>
    <row r="1126" spans="13:14" x14ac:dyDescent="0.55000000000000004">
      <c r="M1126" s="143">
        <v>43600</v>
      </c>
      <c r="N1126" s="142">
        <v>2850.96</v>
      </c>
    </row>
    <row r="1127" spans="13:14" x14ac:dyDescent="0.55000000000000004">
      <c r="M1127" s="143">
        <v>43601</v>
      </c>
      <c r="N1127" s="142">
        <v>2876.32</v>
      </c>
    </row>
    <row r="1128" spans="13:14" x14ac:dyDescent="0.55000000000000004">
      <c r="M1128" s="143">
        <v>43602</v>
      </c>
      <c r="N1128" s="142">
        <v>2859.53</v>
      </c>
    </row>
    <row r="1129" spans="13:14" x14ac:dyDescent="0.55000000000000004">
      <c r="M1129" s="143">
        <v>43605</v>
      </c>
      <c r="N1129" s="142">
        <v>2840.23</v>
      </c>
    </row>
    <row r="1130" spans="13:14" x14ac:dyDescent="0.55000000000000004">
      <c r="M1130" s="143">
        <v>43606</v>
      </c>
      <c r="N1130" s="142">
        <v>2864.36</v>
      </c>
    </row>
    <row r="1131" spans="13:14" x14ac:dyDescent="0.55000000000000004">
      <c r="M1131" s="143">
        <v>43607</v>
      </c>
      <c r="N1131" s="142">
        <v>2856.27</v>
      </c>
    </row>
    <row r="1132" spans="13:14" x14ac:dyDescent="0.55000000000000004">
      <c r="M1132" s="143">
        <v>43608</v>
      </c>
      <c r="N1132" s="142">
        <v>2822.24</v>
      </c>
    </row>
    <row r="1133" spans="13:14" x14ac:dyDescent="0.55000000000000004">
      <c r="M1133" s="143">
        <v>43609</v>
      </c>
      <c r="N1133" s="142">
        <v>2826.06</v>
      </c>
    </row>
    <row r="1134" spans="13:14" x14ac:dyDescent="0.55000000000000004">
      <c r="M1134" s="143">
        <v>43613</v>
      </c>
      <c r="N1134" s="142">
        <v>2802.39</v>
      </c>
    </row>
    <row r="1135" spans="13:14" x14ac:dyDescent="0.55000000000000004">
      <c r="M1135" s="143">
        <v>43614</v>
      </c>
      <c r="N1135" s="142">
        <v>2783.02</v>
      </c>
    </row>
    <row r="1136" spans="13:14" x14ac:dyDescent="0.55000000000000004">
      <c r="M1136" s="143">
        <v>43615</v>
      </c>
      <c r="N1136" s="142">
        <v>2788.86</v>
      </c>
    </row>
    <row r="1137" spans="13:14" x14ac:dyDescent="0.55000000000000004">
      <c r="M1137" s="143">
        <v>43616</v>
      </c>
      <c r="N1137" s="142">
        <v>2752.06</v>
      </c>
    </row>
    <row r="1138" spans="13:14" x14ac:dyDescent="0.55000000000000004">
      <c r="M1138" s="143">
        <v>43619</v>
      </c>
      <c r="N1138" s="142">
        <v>2744.45</v>
      </c>
    </row>
    <row r="1139" spans="13:14" x14ac:dyDescent="0.55000000000000004">
      <c r="M1139" s="143">
        <v>43620</v>
      </c>
      <c r="N1139" s="142">
        <v>2803.27</v>
      </c>
    </row>
    <row r="1140" spans="13:14" x14ac:dyDescent="0.55000000000000004">
      <c r="M1140" s="143">
        <v>43621</v>
      </c>
      <c r="N1140" s="142">
        <v>2826.15</v>
      </c>
    </row>
    <row r="1141" spans="13:14" x14ac:dyDescent="0.55000000000000004">
      <c r="M1141" s="143">
        <v>43622</v>
      </c>
      <c r="N1141" s="142">
        <v>2843.49</v>
      </c>
    </row>
    <row r="1142" spans="13:14" x14ac:dyDescent="0.55000000000000004">
      <c r="M1142" s="143">
        <v>43623</v>
      </c>
      <c r="N1142" s="142">
        <v>2873.34</v>
      </c>
    </row>
    <row r="1143" spans="13:14" x14ac:dyDescent="0.55000000000000004">
      <c r="M1143" s="143">
        <v>43626</v>
      </c>
      <c r="N1143" s="142">
        <v>2886.73</v>
      </c>
    </row>
    <row r="1144" spans="13:14" x14ac:dyDescent="0.55000000000000004">
      <c r="M1144" s="143">
        <v>43627</v>
      </c>
      <c r="N1144" s="142">
        <v>2885.72</v>
      </c>
    </row>
    <row r="1145" spans="13:14" x14ac:dyDescent="0.55000000000000004">
      <c r="M1145" s="143">
        <v>43628</v>
      </c>
      <c r="N1145" s="142">
        <v>2879.84</v>
      </c>
    </row>
    <row r="1146" spans="13:14" x14ac:dyDescent="0.55000000000000004">
      <c r="M1146" s="143">
        <v>43629</v>
      </c>
      <c r="N1146" s="142">
        <v>2891.64</v>
      </c>
    </row>
    <row r="1147" spans="13:14" x14ac:dyDescent="0.55000000000000004">
      <c r="M1147" s="143">
        <v>43630</v>
      </c>
      <c r="N1147" s="142">
        <v>2886.98</v>
      </c>
    </row>
    <row r="1148" spans="13:14" x14ac:dyDescent="0.55000000000000004">
      <c r="M1148" s="143">
        <v>43633</v>
      </c>
      <c r="N1148" s="142">
        <v>2889.67</v>
      </c>
    </row>
    <row r="1149" spans="13:14" x14ac:dyDescent="0.55000000000000004">
      <c r="M1149" s="143">
        <v>43634</v>
      </c>
      <c r="N1149" s="142">
        <v>2917.75</v>
      </c>
    </row>
    <row r="1150" spans="13:14" x14ac:dyDescent="0.55000000000000004">
      <c r="M1150" s="143">
        <v>43635</v>
      </c>
      <c r="N1150" s="142">
        <v>2926.46</v>
      </c>
    </row>
    <row r="1151" spans="13:14" x14ac:dyDescent="0.55000000000000004">
      <c r="M1151" s="143">
        <v>43636</v>
      </c>
      <c r="N1151" s="142">
        <v>2954.18</v>
      </c>
    </row>
    <row r="1152" spans="13:14" x14ac:dyDescent="0.55000000000000004">
      <c r="M1152" s="143">
        <v>43637</v>
      </c>
      <c r="N1152" s="142">
        <v>2950.46</v>
      </c>
    </row>
    <row r="1153" spans="13:14" x14ac:dyDescent="0.55000000000000004">
      <c r="M1153" s="143">
        <v>43640</v>
      </c>
      <c r="N1153" s="142">
        <v>2945.35</v>
      </c>
    </row>
    <row r="1154" spans="13:14" x14ac:dyDescent="0.55000000000000004">
      <c r="M1154" s="143">
        <v>43641</v>
      </c>
      <c r="N1154" s="142">
        <v>2917.38</v>
      </c>
    </row>
    <row r="1155" spans="13:14" x14ac:dyDescent="0.55000000000000004">
      <c r="M1155" s="143">
        <v>43642</v>
      </c>
      <c r="N1155" s="142">
        <v>2913.78</v>
      </c>
    </row>
    <row r="1156" spans="13:14" x14ac:dyDescent="0.55000000000000004">
      <c r="M1156" s="143">
        <v>43643</v>
      </c>
      <c r="N1156" s="142">
        <v>2924.92</v>
      </c>
    </row>
    <row r="1157" spans="13:14" x14ac:dyDescent="0.55000000000000004">
      <c r="M1157" s="143">
        <v>43644</v>
      </c>
      <c r="N1157" s="142">
        <v>2941.76</v>
      </c>
    </row>
    <row r="1158" spans="13:14" x14ac:dyDescent="0.55000000000000004">
      <c r="M1158" s="143">
        <v>43647</v>
      </c>
      <c r="N1158" s="142">
        <v>2964.33</v>
      </c>
    </row>
    <row r="1159" spans="13:14" x14ac:dyDescent="0.55000000000000004">
      <c r="M1159" s="143">
        <v>43648</v>
      </c>
      <c r="N1159" s="142">
        <v>2973.01</v>
      </c>
    </row>
    <row r="1160" spans="13:14" x14ac:dyDescent="0.55000000000000004">
      <c r="M1160" s="143">
        <v>43649</v>
      </c>
      <c r="N1160" s="142">
        <v>2995.82</v>
      </c>
    </row>
    <row r="1161" spans="13:14" x14ac:dyDescent="0.55000000000000004">
      <c r="M1161" s="143">
        <v>43651</v>
      </c>
      <c r="N1161" s="142">
        <v>2990.41</v>
      </c>
    </row>
    <row r="1162" spans="13:14" x14ac:dyDescent="0.55000000000000004">
      <c r="M1162" s="143">
        <v>43654</v>
      </c>
      <c r="N1162" s="142">
        <v>2975.95</v>
      </c>
    </row>
    <row r="1163" spans="13:14" x14ac:dyDescent="0.55000000000000004">
      <c r="M1163" s="143">
        <v>43655</v>
      </c>
      <c r="N1163" s="142">
        <v>2979.63</v>
      </c>
    </row>
    <row r="1164" spans="13:14" x14ac:dyDescent="0.55000000000000004">
      <c r="M1164" s="143">
        <v>43656</v>
      </c>
      <c r="N1164" s="142">
        <v>2993.07</v>
      </c>
    </row>
    <row r="1165" spans="13:14" x14ac:dyDescent="0.55000000000000004">
      <c r="M1165" s="143">
        <v>43657</v>
      </c>
      <c r="N1165" s="142">
        <v>2999.91</v>
      </c>
    </row>
    <row r="1166" spans="13:14" x14ac:dyDescent="0.55000000000000004">
      <c r="M1166" s="143">
        <v>43658</v>
      </c>
      <c r="N1166" s="142">
        <v>3013.77</v>
      </c>
    </row>
    <row r="1167" spans="13:14" x14ac:dyDescent="0.55000000000000004">
      <c r="M1167" s="143">
        <v>43661</v>
      </c>
      <c r="N1167" s="142">
        <v>3014.3</v>
      </c>
    </row>
    <row r="1168" spans="13:14" x14ac:dyDescent="0.55000000000000004">
      <c r="M1168" s="143">
        <v>43662</v>
      </c>
      <c r="N1168" s="142">
        <v>3004.04</v>
      </c>
    </row>
    <row r="1169" spans="13:14" x14ac:dyDescent="0.55000000000000004">
      <c r="M1169" s="143">
        <v>43663</v>
      </c>
      <c r="N1169" s="142">
        <v>2984.42</v>
      </c>
    </row>
    <row r="1170" spans="13:14" x14ac:dyDescent="0.55000000000000004">
      <c r="M1170" s="143">
        <v>43664</v>
      </c>
      <c r="N1170" s="142">
        <v>2995.11</v>
      </c>
    </row>
    <row r="1171" spans="13:14" x14ac:dyDescent="0.55000000000000004">
      <c r="M1171" s="143">
        <v>43665</v>
      </c>
      <c r="N1171" s="142">
        <v>2976.61</v>
      </c>
    </row>
    <row r="1172" spans="13:14" x14ac:dyDescent="0.55000000000000004">
      <c r="M1172" s="143">
        <v>43668</v>
      </c>
      <c r="N1172" s="142">
        <v>2985.03</v>
      </c>
    </row>
    <row r="1173" spans="13:14" x14ac:dyDescent="0.55000000000000004">
      <c r="M1173" s="143">
        <v>43669</v>
      </c>
      <c r="N1173" s="142">
        <v>3005.47</v>
      </c>
    </row>
    <row r="1174" spans="13:14" x14ac:dyDescent="0.55000000000000004">
      <c r="M1174" s="143">
        <v>43670</v>
      </c>
      <c r="N1174" s="142">
        <v>3019.56</v>
      </c>
    </row>
    <row r="1175" spans="13:14" x14ac:dyDescent="0.55000000000000004">
      <c r="M1175" s="143">
        <v>43671</v>
      </c>
      <c r="N1175" s="142">
        <v>3003.67</v>
      </c>
    </row>
    <row r="1176" spans="13:14" x14ac:dyDescent="0.55000000000000004">
      <c r="M1176" s="143">
        <v>43672</v>
      </c>
      <c r="N1176" s="142">
        <v>3025.86</v>
      </c>
    </row>
    <row r="1177" spans="13:14" x14ac:dyDescent="0.55000000000000004">
      <c r="M1177" s="143">
        <v>43675</v>
      </c>
      <c r="N1177" s="142">
        <v>3020.97</v>
      </c>
    </row>
    <row r="1178" spans="13:14" x14ac:dyDescent="0.55000000000000004">
      <c r="M1178" s="143">
        <v>43676</v>
      </c>
      <c r="N1178" s="142">
        <v>3013.18</v>
      </c>
    </row>
    <row r="1179" spans="13:14" x14ac:dyDescent="0.55000000000000004">
      <c r="M1179" s="143">
        <v>43677</v>
      </c>
      <c r="N1179" s="142">
        <v>2980.38</v>
      </c>
    </row>
    <row r="1180" spans="13:14" x14ac:dyDescent="0.55000000000000004">
      <c r="M1180" s="143">
        <v>43678</v>
      </c>
      <c r="N1180" s="142">
        <v>2953.56</v>
      </c>
    </row>
    <row r="1181" spans="13:14" x14ac:dyDescent="0.55000000000000004">
      <c r="M1181" s="143">
        <v>43679</v>
      </c>
      <c r="N1181" s="142">
        <v>2932.05</v>
      </c>
    </row>
    <row r="1182" spans="13:14" x14ac:dyDescent="0.55000000000000004">
      <c r="M1182" s="143">
        <v>43682</v>
      </c>
      <c r="N1182" s="142">
        <v>2844.74</v>
      </c>
    </row>
    <row r="1183" spans="13:14" x14ac:dyDescent="0.55000000000000004">
      <c r="M1183" s="143">
        <v>43683</v>
      </c>
      <c r="N1183" s="142">
        <v>2881.77</v>
      </c>
    </row>
    <row r="1184" spans="13:14" x14ac:dyDescent="0.55000000000000004">
      <c r="M1184" s="143">
        <v>43684</v>
      </c>
      <c r="N1184" s="142">
        <v>2883.98</v>
      </c>
    </row>
    <row r="1185" spans="13:14" x14ac:dyDescent="0.55000000000000004">
      <c r="M1185" s="143">
        <v>43685</v>
      </c>
      <c r="N1185" s="142">
        <v>2938.09</v>
      </c>
    </row>
    <row r="1186" spans="13:14" x14ac:dyDescent="0.55000000000000004">
      <c r="M1186" s="143">
        <v>43686</v>
      </c>
      <c r="N1186" s="142">
        <v>2918.65</v>
      </c>
    </row>
    <row r="1187" spans="13:14" x14ac:dyDescent="0.55000000000000004">
      <c r="M1187" s="143">
        <v>43689</v>
      </c>
      <c r="N1187" s="142">
        <v>2883.75</v>
      </c>
    </row>
    <row r="1188" spans="13:14" x14ac:dyDescent="0.55000000000000004">
      <c r="M1188" s="143">
        <v>43690</v>
      </c>
      <c r="N1188" s="142">
        <v>2926.32</v>
      </c>
    </row>
    <row r="1189" spans="13:14" x14ac:dyDescent="0.55000000000000004">
      <c r="M1189" s="143">
        <v>43691</v>
      </c>
      <c r="N1189" s="142">
        <v>2840.6</v>
      </c>
    </row>
    <row r="1190" spans="13:14" x14ac:dyDescent="0.55000000000000004">
      <c r="M1190" s="143">
        <v>43692</v>
      </c>
      <c r="N1190" s="142">
        <v>2847.6</v>
      </c>
    </row>
    <row r="1191" spans="13:14" x14ac:dyDescent="0.55000000000000004">
      <c r="M1191" s="143">
        <v>43693</v>
      </c>
      <c r="N1191" s="142">
        <v>2888.68</v>
      </c>
    </row>
    <row r="1192" spans="13:14" x14ac:dyDescent="0.55000000000000004">
      <c r="M1192" s="143">
        <v>43696</v>
      </c>
      <c r="N1192" s="142">
        <v>2923.65</v>
      </c>
    </row>
    <row r="1193" spans="13:14" x14ac:dyDescent="0.55000000000000004">
      <c r="M1193" s="143">
        <v>43697</v>
      </c>
      <c r="N1193" s="142">
        <v>2900.51</v>
      </c>
    </row>
    <row r="1194" spans="13:14" x14ac:dyDescent="0.55000000000000004">
      <c r="M1194" s="143">
        <v>43698</v>
      </c>
      <c r="N1194" s="142">
        <v>2924.43</v>
      </c>
    </row>
    <row r="1195" spans="13:14" x14ac:dyDescent="0.55000000000000004">
      <c r="M1195" s="143">
        <v>43699</v>
      </c>
      <c r="N1195" s="142">
        <v>2922.95</v>
      </c>
    </row>
    <row r="1196" spans="13:14" x14ac:dyDescent="0.55000000000000004">
      <c r="M1196" s="143">
        <v>43700</v>
      </c>
      <c r="N1196" s="142">
        <v>2847.11</v>
      </c>
    </row>
    <row r="1197" spans="13:14" x14ac:dyDescent="0.55000000000000004">
      <c r="M1197" s="143">
        <v>43703</v>
      </c>
      <c r="N1197" s="142">
        <v>2878.38</v>
      </c>
    </row>
    <row r="1198" spans="13:14" x14ac:dyDescent="0.55000000000000004">
      <c r="M1198" s="143">
        <v>43704</v>
      </c>
      <c r="N1198" s="142">
        <v>2869.16</v>
      </c>
    </row>
    <row r="1199" spans="13:14" x14ac:dyDescent="0.55000000000000004">
      <c r="M1199" s="143">
        <v>43705</v>
      </c>
      <c r="N1199" s="142">
        <v>2887.94</v>
      </c>
    </row>
    <row r="1200" spans="13:14" x14ac:dyDescent="0.55000000000000004">
      <c r="M1200" s="143">
        <v>43706</v>
      </c>
      <c r="N1200" s="142">
        <v>2924.58</v>
      </c>
    </row>
    <row r="1201" spans="13:14" x14ac:dyDescent="0.55000000000000004">
      <c r="M1201" s="143">
        <v>43707</v>
      </c>
      <c r="N1201" s="142">
        <v>2926.46</v>
      </c>
    </row>
    <row r="1202" spans="13:14" x14ac:dyDescent="0.55000000000000004">
      <c r="M1202" s="143">
        <v>43711</v>
      </c>
      <c r="N1202" s="142">
        <v>2906.27</v>
      </c>
    </row>
    <row r="1203" spans="13:14" x14ac:dyDescent="0.55000000000000004">
      <c r="M1203" s="143">
        <v>43712</v>
      </c>
      <c r="N1203" s="142">
        <v>2937.78</v>
      </c>
    </row>
    <row r="1204" spans="13:14" x14ac:dyDescent="0.55000000000000004">
      <c r="M1204" s="143">
        <v>43713</v>
      </c>
      <c r="N1204" s="142">
        <v>2976</v>
      </c>
    </row>
    <row r="1205" spans="13:14" x14ac:dyDescent="0.55000000000000004">
      <c r="M1205" s="143">
        <v>43714</v>
      </c>
      <c r="N1205" s="142">
        <v>2978.71</v>
      </c>
    </row>
    <row r="1206" spans="13:14" x14ac:dyDescent="0.55000000000000004">
      <c r="M1206" s="143">
        <v>43717</v>
      </c>
      <c r="N1206" s="142">
        <v>2978.43</v>
      </c>
    </row>
    <row r="1207" spans="13:14" x14ac:dyDescent="0.55000000000000004">
      <c r="M1207" s="143">
        <v>43718</v>
      </c>
      <c r="N1207" s="142">
        <v>2979.39</v>
      </c>
    </row>
    <row r="1208" spans="13:14" x14ac:dyDescent="0.55000000000000004">
      <c r="M1208" s="143">
        <v>43719</v>
      </c>
      <c r="N1208" s="142">
        <v>3000.93</v>
      </c>
    </row>
    <row r="1209" spans="13:14" x14ac:dyDescent="0.55000000000000004">
      <c r="M1209" s="143">
        <v>43720</v>
      </c>
      <c r="N1209" s="142">
        <v>3009.57</v>
      </c>
    </row>
    <row r="1210" spans="13:14" x14ac:dyDescent="0.55000000000000004">
      <c r="M1210" s="143">
        <v>43721</v>
      </c>
      <c r="N1210" s="142">
        <v>3007.39</v>
      </c>
    </row>
    <row r="1211" spans="13:14" x14ac:dyDescent="0.55000000000000004">
      <c r="M1211" s="143">
        <v>43724</v>
      </c>
      <c r="N1211" s="142">
        <v>2997.96</v>
      </c>
    </row>
    <row r="1212" spans="13:14" x14ac:dyDescent="0.55000000000000004">
      <c r="M1212" s="143">
        <v>43725</v>
      </c>
      <c r="N1212" s="142">
        <v>3005.7</v>
      </c>
    </row>
    <row r="1213" spans="13:14" x14ac:dyDescent="0.55000000000000004">
      <c r="M1213" s="143">
        <v>43726</v>
      </c>
      <c r="N1213" s="142">
        <v>3006.73</v>
      </c>
    </row>
    <row r="1214" spans="13:14" x14ac:dyDescent="0.55000000000000004">
      <c r="M1214" s="143">
        <v>43727</v>
      </c>
      <c r="N1214" s="142">
        <v>3006.79</v>
      </c>
    </row>
    <row r="1215" spans="13:14" x14ac:dyDescent="0.55000000000000004">
      <c r="M1215" s="143">
        <v>43728</v>
      </c>
      <c r="N1215" s="142">
        <v>2992.07</v>
      </c>
    </row>
    <row r="1216" spans="13:14" x14ac:dyDescent="0.55000000000000004">
      <c r="M1216" s="143">
        <v>43731</v>
      </c>
      <c r="N1216" s="142">
        <v>2991.78</v>
      </c>
    </row>
    <row r="1217" spans="13:14" x14ac:dyDescent="0.55000000000000004">
      <c r="M1217" s="143">
        <v>43732</v>
      </c>
      <c r="N1217" s="142">
        <v>2966.6</v>
      </c>
    </row>
    <row r="1218" spans="13:14" x14ac:dyDescent="0.55000000000000004">
      <c r="M1218" s="143">
        <v>43733</v>
      </c>
      <c r="N1218" s="142">
        <v>2984.87</v>
      </c>
    </row>
    <row r="1219" spans="13:14" x14ac:dyDescent="0.55000000000000004">
      <c r="M1219" s="143">
        <v>43734</v>
      </c>
      <c r="N1219" s="142">
        <v>2977.62</v>
      </c>
    </row>
    <row r="1220" spans="13:14" x14ac:dyDescent="0.55000000000000004">
      <c r="M1220" s="143">
        <v>43735</v>
      </c>
      <c r="N1220" s="142">
        <v>2961.79</v>
      </c>
    </row>
    <row r="1221" spans="13:14" x14ac:dyDescent="0.55000000000000004">
      <c r="M1221" s="143">
        <v>43738</v>
      </c>
      <c r="N1221" s="142">
        <v>2976.74</v>
      </c>
    </row>
    <row r="1222" spans="13:14" x14ac:dyDescent="0.55000000000000004">
      <c r="M1222" s="143">
        <v>43739</v>
      </c>
      <c r="N1222" s="142">
        <v>2940.25</v>
      </c>
    </row>
    <row r="1223" spans="13:14" x14ac:dyDescent="0.55000000000000004">
      <c r="M1223" s="143">
        <v>43740</v>
      </c>
      <c r="N1223" s="142">
        <v>2887.61</v>
      </c>
    </row>
    <row r="1224" spans="13:14" x14ac:dyDescent="0.55000000000000004">
      <c r="M1224" s="143">
        <v>43741</v>
      </c>
      <c r="N1224" s="142">
        <v>2910.63</v>
      </c>
    </row>
    <row r="1225" spans="13:14" x14ac:dyDescent="0.55000000000000004">
      <c r="M1225" s="143">
        <v>43742</v>
      </c>
      <c r="N1225" s="142">
        <v>2952.01</v>
      </c>
    </row>
    <row r="1226" spans="13:14" x14ac:dyDescent="0.55000000000000004">
      <c r="M1226" s="143">
        <v>43745</v>
      </c>
      <c r="N1226" s="142">
        <v>2938.79</v>
      </c>
    </row>
    <row r="1227" spans="13:14" x14ac:dyDescent="0.55000000000000004">
      <c r="M1227" s="143">
        <v>43746</v>
      </c>
      <c r="N1227" s="142">
        <v>2893.06</v>
      </c>
    </row>
    <row r="1228" spans="13:14" x14ac:dyDescent="0.55000000000000004">
      <c r="M1228" s="143">
        <v>43747</v>
      </c>
      <c r="N1228" s="142">
        <v>2919.4</v>
      </c>
    </row>
    <row r="1229" spans="13:14" x14ac:dyDescent="0.55000000000000004">
      <c r="M1229" s="143">
        <v>43748</v>
      </c>
      <c r="N1229" s="142">
        <v>2938.13</v>
      </c>
    </row>
    <row r="1230" spans="13:14" x14ac:dyDescent="0.55000000000000004">
      <c r="M1230" s="143">
        <v>43749</v>
      </c>
      <c r="N1230" s="142">
        <v>2970.27</v>
      </c>
    </row>
    <row r="1231" spans="13:14" x14ac:dyDescent="0.55000000000000004">
      <c r="M1231" s="143">
        <v>43752</v>
      </c>
      <c r="N1231" s="142">
        <v>2966.15</v>
      </c>
    </row>
    <row r="1232" spans="13:14" x14ac:dyDescent="0.55000000000000004">
      <c r="M1232" s="143">
        <v>43753</v>
      </c>
      <c r="N1232" s="142">
        <v>2995.68</v>
      </c>
    </row>
    <row r="1233" spans="13:14" x14ac:dyDescent="0.55000000000000004">
      <c r="M1233" s="143">
        <v>43754</v>
      </c>
      <c r="N1233" s="142">
        <v>2989.69</v>
      </c>
    </row>
    <row r="1234" spans="13:14" x14ac:dyDescent="0.55000000000000004">
      <c r="M1234" s="143">
        <v>43755</v>
      </c>
      <c r="N1234" s="142">
        <v>2997.95</v>
      </c>
    </row>
    <row r="1235" spans="13:14" x14ac:dyDescent="0.55000000000000004">
      <c r="M1235" s="143">
        <v>43756</v>
      </c>
      <c r="N1235" s="142">
        <v>2986.2</v>
      </c>
    </row>
    <row r="1236" spans="13:14" x14ac:dyDescent="0.55000000000000004">
      <c r="M1236" s="143">
        <v>43759</v>
      </c>
      <c r="N1236" s="142">
        <v>3006.72</v>
      </c>
    </row>
    <row r="1237" spans="13:14" x14ac:dyDescent="0.55000000000000004">
      <c r="M1237" s="143">
        <v>43760</v>
      </c>
      <c r="N1237" s="142">
        <v>2995.99</v>
      </c>
    </row>
    <row r="1238" spans="13:14" x14ac:dyDescent="0.55000000000000004">
      <c r="M1238" s="143">
        <v>43761</v>
      </c>
      <c r="N1238" s="142">
        <v>3004.52</v>
      </c>
    </row>
    <row r="1239" spans="13:14" x14ac:dyDescent="0.55000000000000004">
      <c r="M1239" s="143">
        <v>43762</v>
      </c>
      <c r="N1239" s="142">
        <v>3010.29</v>
      </c>
    </row>
    <row r="1240" spans="13:14" x14ac:dyDescent="0.55000000000000004">
      <c r="M1240" s="143">
        <v>43763</v>
      </c>
      <c r="N1240" s="142">
        <v>3022.55</v>
      </c>
    </row>
    <row r="1241" spans="13:14" x14ac:dyDescent="0.55000000000000004">
      <c r="M1241" s="143">
        <v>43766</v>
      </c>
      <c r="N1241" s="142">
        <v>3039.42</v>
      </c>
    </row>
    <row r="1242" spans="13:14" x14ac:dyDescent="0.55000000000000004">
      <c r="M1242" s="143">
        <v>43767</v>
      </c>
      <c r="N1242" s="142">
        <v>3036.89</v>
      </c>
    </row>
    <row r="1243" spans="13:14" x14ac:dyDescent="0.55000000000000004">
      <c r="M1243" s="143">
        <v>43768</v>
      </c>
      <c r="N1243" s="142">
        <v>3046.77</v>
      </c>
    </row>
    <row r="1244" spans="13:14" x14ac:dyDescent="0.55000000000000004">
      <c r="M1244" s="143">
        <v>43769</v>
      </c>
      <c r="N1244" s="142">
        <v>3037.56</v>
      </c>
    </row>
    <row r="1245" spans="13:14" x14ac:dyDescent="0.55000000000000004">
      <c r="M1245" s="143">
        <v>43770</v>
      </c>
      <c r="N1245" s="142">
        <v>3066.91</v>
      </c>
    </row>
    <row r="1246" spans="13:14" x14ac:dyDescent="0.55000000000000004">
      <c r="M1246" s="143">
        <v>43773</v>
      </c>
      <c r="N1246" s="142">
        <v>3078.27</v>
      </c>
    </row>
    <row r="1247" spans="13:14" x14ac:dyDescent="0.55000000000000004">
      <c r="M1247" s="143">
        <v>43774</v>
      </c>
      <c r="N1247" s="142">
        <v>3074.62</v>
      </c>
    </row>
    <row r="1248" spans="13:14" x14ac:dyDescent="0.55000000000000004">
      <c r="M1248" s="143">
        <v>43775</v>
      </c>
      <c r="N1248" s="142">
        <v>3076.78</v>
      </c>
    </row>
    <row r="1249" spans="13:14" x14ac:dyDescent="0.55000000000000004">
      <c r="M1249" s="143">
        <v>43776</v>
      </c>
      <c r="N1249" s="142">
        <v>3085.18</v>
      </c>
    </row>
    <row r="1250" spans="13:14" x14ac:dyDescent="0.55000000000000004">
      <c r="M1250" s="143">
        <v>43777</v>
      </c>
      <c r="N1250" s="142">
        <v>3093.08</v>
      </c>
    </row>
    <row r="1251" spans="13:14" x14ac:dyDescent="0.55000000000000004">
      <c r="M1251" s="143">
        <v>43780</v>
      </c>
      <c r="N1251" s="142">
        <v>3087.01</v>
      </c>
    </row>
    <row r="1252" spans="13:14" x14ac:dyDescent="0.55000000000000004">
      <c r="M1252" s="143">
        <v>43781</v>
      </c>
      <c r="N1252" s="142">
        <v>3091.84</v>
      </c>
    </row>
    <row r="1253" spans="13:14" x14ac:dyDescent="0.55000000000000004">
      <c r="M1253" s="143">
        <v>43782</v>
      </c>
      <c r="N1253" s="142">
        <v>3094.04</v>
      </c>
    </row>
    <row r="1254" spans="13:14" x14ac:dyDescent="0.55000000000000004">
      <c r="M1254" s="143">
        <v>43783</v>
      </c>
      <c r="N1254" s="142">
        <v>3096.63</v>
      </c>
    </row>
    <row r="1255" spans="13:14" x14ac:dyDescent="0.55000000000000004">
      <c r="M1255" s="143">
        <v>43784</v>
      </c>
      <c r="N1255" s="142">
        <v>3120.46</v>
      </c>
    </row>
    <row r="1256" spans="13:14" x14ac:dyDescent="0.55000000000000004">
      <c r="M1256" s="143">
        <v>43787</v>
      </c>
      <c r="N1256" s="142">
        <v>3122.03</v>
      </c>
    </row>
    <row r="1257" spans="13:14" x14ac:dyDescent="0.55000000000000004">
      <c r="M1257" s="143">
        <v>43788</v>
      </c>
      <c r="N1257" s="142">
        <v>3120.18</v>
      </c>
    </row>
    <row r="1258" spans="13:14" x14ac:dyDescent="0.55000000000000004">
      <c r="M1258" s="143">
        <v>43789</v>
      </c>
      <c r="N1258" s="142">
        <v>3108.46</v>
      </c>
    </row>
    <row r="1259" spans="13:14" x14ac:dyDescent="0.55000000000000004">
      <c r="M1259" s="143">
        <v>43790</v>
      </c>
      <c r="N1259" s="142">
        <v>3103.54</v>
      </c>
    </row>
    <row r="1260" spans="13:14" x14ac:dyDescent="0.55000000000000004">
      <c r="M1260" s="143">
        <v>43791</v>
      </c>
      <c r="N1260" s="142">
        <v>3110.29</v>
      </c>
    </row>
    <row r="1261" spans="13:14" x14ac:dyDescent="0.55000000000000004">
      <c r="M1261" s="143">
        <v>43794</v>
      </c>
      <c r="N1261" s="142">
        <v>3133.64</v>
      </c>
    </row>
    <row r="1262" spans="13:14" x14ac:dyDescent="0.55000000000000004">
      <c r="M1262" s="143">
        <v>43795</v>
      </c>
      <c r="N1262" s="142">
        <v>3140.52</v>
      </c>
    </row>
    <row r="1263" spans="13:14" x14ac:dyDescent="0.55000000000000004">
      <c r="M1263" s="143">
        <v>43796</v>
      </c>
      <c r="N1263" s="142">
        <v>3153.63</v>
      </c>
    </row>
    <row r="1264" spans="13:14" x14ac:dyDescent="0.55000000000000004">
      <c r="M1264" s="143">
        <v>43798</v>
      </c>
      <c r="N1264" s="142">
        <v>3140.98</v>
      </c>
    </row>
    <row r="1265" spans="13:14" x14ac:dyDescent="0.55000000000000004">
      <c r="M1265" s="143">
        <v>43801</v>
      </c>
      <c r="N1265" s="142">
        <v>3113.87</v>
      </c>
    </row>
    <row r="1266" spans="13:14" x14ac:dyDescent="0.55000000000000004">
      <c r="M1266" s="143">
        <v>43802</v>
      </c>
      <c r="N1266" s="142">
        <v>3093.2</v>
      </c>
    </row>
    <row r="1267" spans="13:14" x14ac:dyDescent="0.55000000000000004">
      <c r="M1267" s="143">
        <v>43803</v>
      </c>
      <c r="N1267" s="142">
        <v>3112.76</v>
      </c>
    </row>
    <row r="1268" spans="13:14" x14ac:dyDescent="0.55000000000000004">
      <c r="M1268" s="143">
        <v>43804</v>
      </c>
      <c r="N1268" s="142">
        <v>3117.43</v>
      </c>
    </row>
    <row r="1269" spans="13:14" x14ac:dyDescent="0.55000000000000004">
      <c r="M1269" s="143">
        <v>43805</v>
      </c>
      <c r="N1269" s="142">
        <v>3145.91</v>
      </c>
    </row>
    <row r="1270" spans="13:14" x14ac:dyDescent="0.55000000000000004">
      <c r="M1270" s="143">
        <v>43808</v>
      </c>
      <c r="N1270" s="142">
        <v>3135.96</v>
      </c>
    </row>
    <row r="1271" spans="13:14" x14ac:dyDescent="0.55000000000000004">
      <c r="M1271" s="143">
        <v>43809</v>
      </c>
      <c r="N1271" s="142">
        <v>3132.52</v>
      </c>
    </row>
    <row r="1272" spans="13:14" x14ac:dyDescent="0.55000000000000004">
      <c r="M1272" s="143">
        <v>43810</v>
      </c>
      <c r="N1272" s="142">
        <v>3141.63</v>
      </c>
    </row>
    <row r="1273" spans="13:14" x14ac:dyDescent="0.55000000000000004">
      <c r="M1273" s="143">
        <v>43811</v>
      </c>
      <c r="N1273" s="142">
        <v>3168.57</v>
      </c>
    </row>
    <row r="1274" spans="13:14" x14ac:dyDescent="0.55000000000000004">
      <c r="M1274" s="143">
        <v>43812</v>
      </c>
      <c r="N1274" s="142">
        <v>3168.8</v>
      </c>
    </row>
    <row r="1275" spans="13:14" x14ac:dyDescent="0.55000000000000004">
      <c r="M1275" s="143">
        <v>43815</v>
      </c>
      <c r="N1275" s="142">
        <v>3191.45</v>
      </c>
    </row>
    <row r="1276" spans="13:14" x14ac:dyDescent="0.55000000000000004">
      <c r="M1276" s="143">
        <v>43816</v>
      </c>
      <c r="N1276" s="142">
        <v>3192.52</v>
      </c>
    </row>
    <row r="1277" spans="13:14" x14ac:dyDescent="0.55000000000000004">
      <c r="M1277" s="143">
        <v>43817</v>
      </c>
      <c r="N1277" s="142">
        <v>3191.14</v>
      </c>
    </row>
    <row r="1278" spans="13:14" x14ac:dyDescent="0.55000000000000004">
      <c r="M1278" s="143">
        <v>43818</v>
      </c>
      <c r="N1278" s="142">
        <v>3205.37</v>
      </c>
    </row>
    <row r="1279" spans="13:14" x14ac:dyDescent="0.55000000000000004">
      <c r="M1279" s="143">
        <v>43819</v>
      </c>
      <c r="N1279" s="142">
        <v>3221.22</v>
      </c>
    </row>
    <row r="1280" spans="13:14" x14ac:dyDescent="0.55000000000000004">
      <c r="M1280" s="143">
        <v>43822</v>
      </c>
      <c r="N1280" s="142">
        <v>3224.01</v>
      </c>
    </row>
    <row r="1281" spans="13:14" x14ac:dyDescent="0.55000000000000004">
      <c r="M1281" s="143">
        <v>43823</v>
      </c>
      <c r="N1281" s="142">
        <v>3223.38</v>
      </c>
    </row>
    <row r="1282" spans="13:14" x14ac:dyDescent="0.55000000000000004">
      <c r="M1282" s="143">
        <v>43825</v>
      </c>
      <c r="N1282" s="142">
        <v>3239.91</v>
      </c>
    </row>
    <row r="1283" spans="13:14" x14ac:dyDescent="0.55000000000000004">
      <c r="M1283" s="143">
        <v>43826</v>
      </c>
      <c r="N1283" s="142">
        <v>3240.02</v>
      </c>
    </row>
    <row r="1284" spans="13:14" x14ac:dyDescent="0.55000000000000004">
      <c r="M1284" s="143">
        <v>43829</v>
      </c>
      <c r="N1284" s="142">
        <v>3221.29</v>
      </c>
    </row>
    <row r="1285" spans="13:14" x14ac:dyDescent="0.55000000000000004">
      <c r="M1285" s="143">
        <v>43830</v>
      </c>
      <c r="N1285" s="142">
        <v>3230.78</v>
      </c>
    </row>
  </sheetData>
  <hyperlinks>
    <hyperlink ref="A6" r:id="rId1" xr:uid="{A0E30009-5286-43EC-B75E-DF64E51054BF}"/>
    <hyperlink ref="A5" r:id="rId2" xr:uid="{136249F7-1ADB-4310-92F2-69D1C7E828DC}"/>
    <hyperlink ref="A7" r:id="rId3" xr:uid="{26B0AC82-2A0B-431F-9104-DA42F335C16D}"/>
    <hyperlink ref="A8" r:id="rId4" xr:uid="{F85BFDFB-F2FE-436A-B72C-300AC03BAB2F}"/>
    <hyperlink ref="A10" r:id="rId5" xr:uid="{2C823D5B-2AE7-437D-87DE-61BA9ADDEB91}"/>
    <hyperlink ref="A11" r:id="rId6" xr:uid="{9694F4AE-03C9-4C78-9B6E-048A2248A3E1}"/>
  </hyperlinks>
  <pageMargins left="0.511811024" right="0.511811024" top="0.78740157499999996" bottom="0.78740157499999996" header="0.31496062000000002" footer="0.3149606200000000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C7C37-BED8-4B76-8E45-B5C4DC0DD335}">
  <sheetPr codeName="Planilha86">
    <tabColor theme="9" tint="0.59999389629810485"/>
  </sheetPr>
  <dimension ref="A1:N1268"/>
  <sheetViews>
    <sheetView showGridLines="0" zoomScale="85" zoomScaleNormal="85" workbookViewId="0">
      <pane ySplit="2" topLeftCell="A3" activePane="bottomLeft" state="frozen"/>
      <selection pane="bottomLeft" activeCell="K10" sqref="K10"/>
    </sheetView>
  </sheetViews>
  <sheetFormatPr defaultColWidth="8.796875" defaultRowHeight="18" x14ac:dyDescent="0.55000000000000004"/>
  <cols>
    <col min="1" max="1" width="22.796875" style="17" customWidth="1"/>
    <col min="2" max="2" width="67.33203125" bestFit="1" customWidth="1"/>
    <col min="3" max="3" width="3.33203125" customWidth="1"/>
    <col min="4" max="4" width="8.796875" customWidth="1"/>
    <col min="5" max="5" width="10.796875" bestFit="1" customWidth="1"/>
    <col min="8" max="8" width="11.33203125" customWidth="1"/>
    <col min="9" max="9" width="12.6640625" bestFit="1" customWidth="1"/>
    <col min="11" max="11" width="18.796875" style="15" bestFit="1" customWidth="1"/>
    <col min="12" max="12" width="8.796875" style="15"/>
    <col min="13" max="13" width="14.33203125" style="15" customWidth="1"/>
    <col min="14" max="14" width="8.796875" style="15"/>
  </cols>
  <sheetData>
    <row r="1" spans="1:14" x14ac:dyDescent="0.55000000000000004">
      <c r="A1" s="83" t="s">
        <v>1039</v>
      </c>
    </row>
    <row r="2" spans="1:14" x14ac:dyDescent="0.55000000000000004">
      <c r="A2" s="17" t="s">
        <v>1040</v>
      </c>
    </row>
    <row r="4" spans="1:14" ht="15.75" x14ac:dyDescent="0.5">
      <c r="A4" s="2" t="s">
        <v>15</v>
      </c>
      <c r="B4" s="2" t="s">
        <v>16</v>
      </c>
      <c r="C4" s="2"/>
    </row>
    <row r="5" spans="1:14" ht="15.75" x14ac:dyDescent="0.45">
      <c r="A5" s="23" t="s">
        <v>165</v>
      </c>
      <c r="B5" s="26" t="s">
        <v>1041</v>
      </c>
      <c r="C5" s="26"/>
    </row>
    <row r="6" spans="1:14" ht="31.5" x14ac:dyDescent="0.45">
      <c r="A6" s="23" t="s">
        <v>1042</v>
      </c>
      <c r="B6" s="26" t="s">
        <v>1043</v>
      </c>
      <c r="C6" s="26"/>
    </row>
    <row r="7" spans="1:14" x14ac:dyDescent="0.55000000000000004">
      <c r="B7" s="26"/>
      <c r="C7" s="26"/>
    </row>
    <row r="8" spans="1:14" x14ac:dyDescent="0.55000000000000004">
      <c r="F8" s="138" t="s">
        <v>1018</v>
      </c>
    </row>
    <row r="9" spans="1:14" x14ac:dyDescent="0.55000000000000004">
      <c r="D9" s="1" t="s">
        <v>17</v>
      </c>
      <c r="E9" s="138" t="s">
        <v>230</v>
      </c>
      <c r="F9" s="13" t="s">
        <v>165</v>
      </c>
      <c r="H9" s="13" t="s">
        <v>1042</v>
      </c>
      <c r="I9" s="142" t="b">
        <v>0</v>
      </c>
      <c r="K9" s="60" t="s">
        <v>249</v>
      </c>
      <c r="L9" s="60"/>
      <c r="M9" s="60" t="s">
        <v>250</v>
      </c>
    </row>
    <row r="10" spans="1:14" x14ac:dyDescent="0.55000000000000004">
      <c r="E10" s="143">
        <v>42004</v>
      </c>
      <c r="F10" s="142">
        <v>2058.9</v>
      </c>
      <c r="K10" s="132" cm="1">
        <f t="array" ref="K10:K1268">_xlfn.LAMBDA(_xlpm.values,_xlop.absolute, _xlfn.LET(
_xlpm.absolute, IF(OR(_xlfn.ISOMITTED(_xlpm.absolute), ISBLANK(_xlpm.absolute)), FALSE, _xlpm.absolute),
_xlpm.maxValues, _xlfn.SCAN(MIN(_xlpm.values), _xlpm.values, _xlfn.LAMBDA(_xlpm.accum,_xlpm.val, MAXA(_xlpm.accum, _xlpm.val))),
IF(_xlpm.absolute, (_xlpm.values - _xlpm.maxValues), -(1 - _xlpm.values/_xlpm.maxValues))
))($F$10:$F$1268,I9)</f>
        <v>0</v>
      </c>
      <c r="L10" s="86"/>
      <c r="M10" s="132" cm="1">
        <f t="array" ref="M10:M1268">DRAWDOWN($F$10:$F$1268)</f>
        <v>0</v>
      </c>
    </row>
    <row r="11" spans="1:14" x14ac:dyDescent="0.55000000000000004">
      <c r="E11" s="143">
        <v>42006</v>
      </c>
      <c r="F11" s="142">
        <v>2058.1999999999998</v>
      </c>
      <c r="K11" s="132">
        <v>-3.3998737189777639E-4</v>
      </c>
      <c r="M11" s="132">
        <v>-3.3998737189777639E-4</v>
      </c>
    </row>
    <row r="12" spans="1:14" x14ac:dyDescent="0.55000000000000004">
      <c r="E12" s="143">
        <v>42009</v>
      </c>
      <c r="F12" s="142">
        <v>2020.58</v>
      </c>
      <c r="K12" s="132">
        <v>-1.861188013016668E-2</v>
      </c>
      <c r="M12" s="132">
        <v>-1.861188013016668E-2</v>
      </c>
    </row>
    <row r="13" spans="1:14" x14ac:dyDescent="0.55000000000000004">
      <c r="E13" s="143">
        <v>42010</v>
      </c>
      <c r="F13" s="142">
        <v>2002.61</v>
      </c>
      <c r="K13" s="132">
        <v>-2.7339841663024056E-2</v>
      </c>
      <c r="M13" s="132">
        <v>-2.7339841663024056E-2</v>
      </c>
    </row>
    <row r="14" spans="1:14" s="21" customFormat="1" ht="14.25" x14ac:dyDescent="0.45">
      <c r="D14"/>
      <c r="E14" s="143">
        <v>42011</v>
      </c>
      <c r="F14" s="142">
        <v>2025.9</v>
      </c>
      <c r="G14"/>
      <c r="H14"/>
      <c r="I14"/>
      <c r="J14"/>
      <c r="K14" s="132">
        <v>-1.6027976103744734E-2</v>
      </c>
      <c r="L14" s="86"/>
      <c r="M14" s="132">
        <v>-1.6027976103744734E-2</v>
      </c>
      <c r="N14" s="15"/>
    </row>
    <row r="15" spans="1:14" s="21" customFormat="1" ht="14.25" x14ac:dyDescent="0.45">
      <c r="D15"/>
      <c r="E15" s="143">
        <v>42012</v>
      </c>
      <c r="F15" s="142">
        <v>2062.14</v>
      </c>
      <c r="G15"/>
      <c r="H15"/>
      <c r="I15"/>
      <c r="J15"/>
      <c r="K15" s="132">
        <v>0</v>
      </c>
      <c r="L15" s="86"/>
      <c r="M15" s="132">
        <v>0</v>
      </c>
      <c r="N15" s="15"/>
    </row>
    <row r="16" spans="1:14" s="21" customFormat="1" ht="14.25" x14ac:dyDescent="0.45">
      <c r="D16"/>
      <c r="E16" s="143">
        <v>42013</v>
      </c>
      <c r="F16" s="142">
        <v>2044.81</v>
      </c>
      <c r="G16"/>
      <c r="H16"/>
      <c r="I16"/>
      <c r="J16"/>
      <c r="K16" s="132">
        <v>-8.4038911034167718E-3</v>
      </c>
      <c r="L16" s="86"/>
      <c r="M16" s="132">
        <v>-8.4038911034167718E-3</v>
      </c>
      <c r="N16" s="15"/>
    </row>
    <row r="17" spans="4:14" s="21" customFormat="1" ht="14.25" x14ac:dyDescent="0.45">
      <c r="D17"/>
      <c r="E17" s="143">
        <v>42016</v>
      </c>
      <c r="F17" s="142">
        <v>2028.26</v>
      </c>
      <c r="G17"/>
      <c r="H17"/>
      <c r="I17"/>
      <c r="J17"/>
      <c r="K17" s="132">
        <v>-1.642953436721073E-2</v>
      </c>
      <c r="L17" s="15"/>
      <c r="M17" s="132">
        <v>-1.642953436721073E-2</v>
      </c>
      <c r="N17" s="15"/>
    </row>
    <row r="18" spans="4:14" s="21" customFormat="1" ht="14.25" x14ac:dyDescent="0.45">
      <c r="D18"/>
      <c r="E18" s="143">
        <v>42017</v>
      </c>
      <c r="F18" s="142">
        <v>2023.03</v>
      </c>
      <c r="G18"/>
      <c r="H18"/>
      <c r="I18"/>
      <c r="J18"/>
      <c r="K18" s="132">
        <v>-1.896573462519513E-2</v>
      </c>
      <c r="L18" s="62"/>
      <c r="M18" s="132">
        <v>-1.896573462519513E-2</v>
      </c>
      <c r="N18" s="15"/>
    </row>
    <row r="19" spans="4:14" s="21" customFormat="1" ht="14.25" x14ac:dyDescent="0.45">
      <c r="D19"/>
      <c r="E19" s="143">
        <v>42018</v>
      </c>
      <c r="F19" s="142">
        <v>2011.27</v>
      </c>
      <c r="G19"/>
      <c r="H19"/>
      <c r="I19"/>
      <c r="J19"/>
      <c r="K19" s="132">
        <v>-2.4668548207202212E-2</v>
      </c>
      <c r="L19" s="62"/>
      <c r="M19" s="132">
        <v>-2.4668548207202212E-2</v>
      </c>
      <c r="N19" s="15"/>
    </row>
    <row r="20" spans="4:14" s="21" customFormat="1" ht="14.25" x14ac:dyDescent="0.45">
      <c r="D20"/>
      <c r="E20" s="143">
        <v>42019</v>
      </c>
      <c r="F20" s="142">
        <v>1992.67</v>
      </c>
      <c r="G20"/>
      <c r="H20"/>
      <c r="I20"/>
      <c r="J20"/>
      <c r="K20" s="132">
        <v>-3.3688304382825551E-2</v>
      </c>
      <c r="L20" s="62"/>
      <c r="M20" s="132">
        <v>-3.3688304382825551E-2</v>
      </c>
      <c r="N20" s="15"/>
    </row>
    <row r="21" spans="4:14" s="21" customFormat="1" ht="14.25" x14ac:dyDescent="0.45">
      <c r="D21"/>
      <c r="E21" s="143">
        <v>42020</v>
      </c>
      <c r="F21" s="142">
        <v>2019.42</v>
      </c>
      <c r="G21"/>
      <c r="H21"/>
      <c r="I21"/>
      <c r="J21"/>
      <c r="K21" s="132">
        <v>-2.0716343216270361E-2</v>
      </c>
      <c r="L21" s="62"/>
      <c r="M21" s="132">
        <v>-2.0716343216270361E-2</v>
      </c>
      <c r="N21" s="15"/>
    </row>
    <row r="22" spans="4:14" s="21" customFormat="1" ht="14.25" x14ac:dyDescent="0.45">
      <c r="D22"/>
      <c r="E22" s="143">
        <v>42024</v>
      </c>
      <c r="F22" s="142">
        <v>2022.55</v>
      </c>
      <c r="G22"/>
      <c r="H22"/>
      <c r="I22"/>
      <c r="J22"/>
      <c r="K22" s="132">
        <v>-1.9198502526501571E-2</v>
      </c>
      <c r="L22" s="15"/>
      <c r="M22" s="132">
        <v>-1.9198502526501571E-2</v>
      </c>
      <c r="N22" s="15"/>
    </row>
    <row r="23" spans="4:14" s="21" customFormat="1" ht="14.25" x14ac:dyDescent="0.45">
      <c r="D23"/>
      <c r="E23" s="143">
        <v>42025</v>
      </c>
      <c r="F23" s="142">
        <v>2032.12</v>
      </c>
      <c r="G23"/>
      <c r="H23"/>
      <c r="I23"/>
      <c r="J23"/>
      <c r="K23" s="132">
        <v>-1.4557692494205021E-2</v>
      </c>
      <c r="L23" s="15"/>
      <c r="M23" s="132">
        <v>-1.4557692494205021E-2</v>
      </c>
      <c r="N23" s="15"/>
    </row>
    <row r="24" spans="4:14" s="21" customFormat="1" ht="14.25" x14ac:dyDescent="0.45">
      <c r="D24"/>
      <c r="E24" s="143">
        <v>42026</v>
      </c>
      <c r="F24" s="142">
        <v>2063.15</v>
      </c>
      <c r="G24"/>
      <c r="H24"/>
      <c r="I24"/>
      <c r="J24"/>
      <c r="K24" s="132">
        <v>0</v>
      </c>
      <c r="L24" s="15"/>
      <c r="M24" s="132">
        <v>0</v>
      </c>
      <c r="N24" s="15"/>
    </row>
    <row r="25" spans="4:14" s="21" customFormat="1" ht="14.25" x14ac:dyDescent="0.45">
      <c r="D25"/>
      <c r="E25" s="143">
        <v>42027</v>
      </c>
      <c r="F25" s="142">
        <v>2051.8200000000002</v>
      </c>
      <c r="G25"/>
      <c r="H25"/>
      <c r="I25"/>
      <c r="J25"/>
      <c r="K25" s="132">
        <v>-5.4916026464386647E-3</v>
      </c>
      <c r="L25" s="15"/>
      <c r="M25" s="132">
        <v>-5.4916026464386647E-3</v>
      </c>
      <c r="N25" s="15"/>
    </row>
    <row r="26" spans="4:14" s="21" customFormat="1" ht="14.25" x14ac:dyDescent="0.45">
      <c r="E26" s="143">
        <v>42030</v>
      </c>
      <c r="F26" s="142">
        <v>2057.09</v>
      </c>
      <c r="G26"/>
      <c r="H26"/>
      <c r="I26"/>
      <c r="K26" s="132">
        <v>-2.937256137459654E-3</v>
      </c>
      <c r="L26" s="15"/>
      <c r="M26" s="132">
        <v>-2.937256137459654E-3</v>
      </c>
      <c r="N26" s="15"/>
    </row>
    <row r="27" spans="4:14" s="21" customFormat="1" ht="14.25" x14ac:dyDescent="0.45">
      <c r="E27" s="143">
        <v>42031</v>
      </c>
      <c r="F27" s="142">
        <v>2029.55</v>
      </c>
      <c r="G27"/>
      <c r="H27"/>
      <c r="I27"/>
      <c r="K27" s="132">
        <v>-1.628577660373709E-2</v>
      </c>
      <c r="L27" s="15"/>
      <c r="M27" s="132">
        <v>-1.628577660373709E-2</v>
      </c>
      <c r="N27" s="15"/>
    </row>
    <row r="28" spans="4:14" s="21" customFormat="1" ht="14.25" x14ac:dyDescent="0.45">
      <c r="E28" s="143">
        <v>42032</v>
      </c>
      <c r="F28" s="142">
        <v>2002.16</v>
      </c>
      <c r="G28"/>
      <c r="H28"/>
      <c r="I28"/>
      <c r="K28" s="132">
        <v>-2.9561592710176221E-2</v>
      </c>
      <c r="L28" s="15"/>
      <c r="M28" s="132">
        <v>-2.9561592710176221E-2</v>
      </c>
      <c r="N28" s="15"/>
    </row>
    <row r="29" spans="4:14" s="21" customFormat="1" ht="14.25" x14ac:dyDescent="0.45">
      <c r="E29" s="143">
        <v>42033</v>
      </c>
      <c r="F29" s="142">
        <v>2021.25</v>
      </c>
      <c r="G29"/>
      <c r="H29"/>
      <c r="I29"/>
      <c r="K29" s="132">
        <v>-2.0308751181445928E-2</v>
      </c>
      <c r="L29" s="15"/>
      <c r="M29" s="132">
        <v>-2.0308751181445928E-2</v>
      </c>
      <c r="N29" s="15"/>
    </row>
    <row r="30" spans="4:14" s="21" customFormat="1" ht="14.25" x14ac:dyDescent="0.45">
      <c r="E30" s="143">
        <v>42034</v>
      </c>
      <c r="F30" s="142">
        <v>1994.99</v>
      </c>
      <c r="G30"/>
      <c r="H30"/>
      <c r="I30"/>
      <c r="K30" s="132">
        <v>-3.303686111043791E-2</v>
      </c>
      <c r="L30" s="15"/>
      <c r="M30" s="132">
        <v>-3.303686111043791E-2</v>
      </c>
      <c r="N30" s="15"/>
    </row>
    <row r="31" spans="4:14" s="21" customFormat="1" ht="14.25" x14ac:dyDescent="0.45">
      <c r="E31" s="143">
        <v>42037</v>
      </c>
      <c r="F31" s="142">
        <v>2020.85</v>
      </c>
      <c r="G31"/>
      <c r="H31"/>
      <c r="I31"/>
      <c r="K31" s="132">
        <v>-2.0502629474347556E-2</v>
      </c>
      <c r="L31" s="15"/>
      <c r="M31" s="132">
        <v>-2.0502629474347556E-2</v>
      </c>
      <c r="N31" s="15"/>
    </row>
    <row r="32" spans="4:14" s="21" customFormat="1" ht="14.25" x14ac:dyDescent="0.45">
      <c r="E32" s="143">
        <v>42038</v>
      </c>
      <c r="F32" s="142">
        <v>2050.0300000000002</v>
      </c>
      <c r="G32"/>
      <c r="H32"/>
      <c r="I32"/>
      <c r="K32" s="132">
        <v>-6.3592080071734891E-3</v>
      </c>
      <c r="L32" s="15"/>
      <c r="M32" s="132">
        <v>-6.3592080071734891E-3</v>
      </c>
      <c r="N32" s="15"/>
    </row>
    <row r="33" spans="5:14" s="21" customFormat="1" ht="14.25" x14ac:dyDescent="0.45">
      <c r="E33" s="143">
        <v>42039</v>
      </c>
      <c r="F33" s="142">
        <v>2041.51</v>
      </c>
      <c r="G33"/>
      <c r="H33"/>
      <c r="I33"/>
      <c r="K33" s="132">
        <v>-1.0488815645978256E-2</v>
      </c>
      <c r="L33" s="15"/>
      <c r="M33" s="132">
        <v>-1.0488815645978256E-2</v>
      </c>
      <c r="N33" s="15"/>
    </row>
    <row r="34" spans="5:14" s="21" customFormat="1" ht="14.25" x14ac:dyDescent="0.45">
      <c r="E34" s="143">
        <v>42040</v>
      </c>
      <c r="F34" s="142">
        <v>2062.52</v>
      </c>
      <c r="G34"/>
      <c r="H34"/>
      <c r="I34"/>
      <c r="K34" s="132">
        <v>-3.0535831132016966E-4</v>
      </c>
      <c r="L34" s="15"/>
      <c r="M34" s="132">
        <v>-3.0535831132016966E-4</v>
      </c>
      <c r="N34" s="15"/>
    </row>
    <row r="35" spans="5:14" s="21" customFormat="1" ht="14.25" x14ac:dyDescent="0.45">
      <c r="E35" s="143">
        <v>42041</v>
      </c>
      <c r="F35" s="142">
        <v>2055.4699999999998</v>
      </c>
      <c r="G35"/>
      <c r="H35"/>
      <c r="I35"/>
      <c r="K35" s="132">
        <v>-3.722463223711503E-3</v>
      </c>
      <c r="L35" s="15"/>
      <c r="M35" s="132">
        <v>-3.722463223711503E-3</v>
      </c>
      <c r="N35" s="15"/>
    </row>
    <row r="36" spans="5:14" s="21" customFormat="1" ht="14.25" x14ac:dyDescent="0.45">
      <c r="E36" s="143">
        <v>42044</v>
      </c>
      <c r="F36" s="142">
        <v>2046.74</v>
      </c>
      <c r="G36"/>
      <c r="H36"/>
      <c r="I36"/>
      <c r="K36" s="132">
        <v>-7.9538569662894743E-3</v>
      </c>
      <c r="L36" s="15"/>
      <c r="M36" s="132">
        <v>-7.9538569662894743E-3</v>
      </c>
      <c r="N36" s="15"/>
    </row>
    <row r="37" spans="5:14" s="21" customFormat="1" ht="14.25" x14ac:dyDescent="0.45">
      <c r="E37" s="143">
        <v>42045</v>
      </c>
      <c r="F37" s="142">
        <v>2068.59</v>
      </c>
      <c r="G37"/>
      <c r="H37"/>
      <c r="I37"/>
      <c r="K37" s="132">
        <v>0</v>
      </c>
      <c r="L37" s="15"/>
      <c r="M37" s="132">
        <v>0</v>
      </c>
      <c r="N37" s="15"/>
    </row>
    <row r="38" spans="5:14" s="21" customFormat="1" ht="14.25" x14ac:dyDescent="0.45">
      <c r="E38" s="143">
        <v>42046</v>
      </c>
      <c r="F38" s="142">
        <v>2068.5300000000002</v>
      </c>
      <c r="G38"/>
      <c r="H38"/>
      <c r="I38"/>
      <c r="K38" s="132">
        <v>-2.9005264455483903E-5</v>
      </c>
      <c r="L38" s="15"/>
      <c r="M38" s="132">
        <v>-2.9005264455483903E-5</v>
      </c>
      <c r="N38" s="15"/>
    </row>
    <row r="39" spans="5:14" s="21" customFormat="1" ht="14.25" x14ac:dyDescent="0.45">
      <c r="E39" s="143">
        <v>42047</v>
      </c>
      <c r="F39" s="142">
        <v>2088.48</v>
      </c>
      <c r="G39"/>
      <c r="H39"/>
      <c r="I39"/>
      <c r="K39" s="132">
        <v>0</v>
      </c>
      <c r="L39" s="15"/>
      <c r="M39" s="132">
        <v>0</v>
      </c>
      <c r="N39" s="15"/>
    </row>
    <row r="40" spans="5:14" s="21" customFormat="1" ht="14.25" x14ac:dyDescent="0.45">
      <c r="E40" s="143">
        <v>42048</v>
      </c>
      <c r="F40" s="142">
        <v>2096.9899999999998</v>
      </c>
      <c r="G40"/>
      <c r="H40"/>
      <c r="I40"/>
      <c r="K40" s="132">
        <v>0</v>
      </c>
      <c r="L40" s="15"/>
      <c r="M40" s="132">
        <v>0</v>
      </c>
      <c r="N40" s="15"/>
    </row>
    <row r="41" spans="5:14" s="21" customFormat="1" ht="14.25" x14ac:dyDescent="0.45">
      <c r="E41" s="143">
        <v>42052</v>
      </c>
      <c r="F41" s="142">
        <v>2100.34</v>
      </c>
      <c r="G41"/>
      <c r="H41"/>
      <c r="I41"/>
      <c r="K41" s="132">
        <v>0</v>
      </c>
      <c r="L41" s="15"/>
      <c r="M41" s="132">
        <v>0</v>
      </c>
      <c r="N41" s="15"/>
    </row>
    <row r="42" spans="5:14" s="21" customFormat="1" ht="14.25" x14ac:dyDescent="0.45">
      <c r="E42" s="143">
        <v>42053</v>
      </c>
      <c r="F42" s="142">
        <v>2099.6799999999998</v>
      </c>
      <c r="G42"/>
      <c r="H42"/>
      <c r="I42"/>
      <c r="K42" s="132">
        <v>-3.1423483816916953E-4</v>
      </c>
      <c r="L42" s="15"/>
      <c r="M42" s="132">
        <v>-3.1423483816916953E-4</v>
      </c>
      <c r="N42" s="15"/>
    </row>
    <row r="43" spans="5:14" s="21" customFormat="1" ht="14.25" x14ac:dyDescent="0.45">
      <c r="E43" s="143">
        <v>42054</v>
      </c>
      <c r="F43" s="142">
        <v>2097.4499999999998</v>
      </c>
      <c r="G43"/>
      <c r="H43"/>
      <c r="I43"/>
      <c r="K43" s="132">
        <v>-1.3759677004676618E-3</v>
      </c>
      <c r="L43" s="15"/>
      <c r="M43" s="132">
        <v>-1.3759677004676618E-3</v>
      </c>
      <c r="N43" s="15"/>
    </row>
    <row r="44" spans="5:14" s="21" customFormat="1" ht="14.25" x14ac:dyDescent="0.45">
      <c r="E44" s="143">
        <v>42055</v>
      </c>
      <c r="F44" s="142">
        <v>2110.3000000000002</v>
      </c>
      <c r="G44"/>
      <c r="H44"/>
      <c r="I44"/>
      <c r="K44" s="132">
        <v>0</v>
      </c>
      <c r="L44" s="15"/>
      <c r="M44" s="132">
        <v>0</v>
      </c>
      <c r="N44" s="15"/>
    </row>
    <row r="45" spans="5:14" s="21" customFormat="1" ht="14.25" x14ac:dyDescent="0.45">
      <c r="E45" s="143">
        <v>42058</v>
      </c>
      <c r="F45" s="142">
        <v>2109.66</v>
      </c>
      <c r="G45"/>
      <c r="H45"/>
      <c r="I45"/>
      <c r="K45" s="132">
        <v>-3.032744159600087E-4</v>
      </c>
      <c r="L45" s="15"/>
      <c r="M45" s="132">
        <v>-3.032744159600087E-4</v>
      </c>
      <c r="N45" s="15"/>
    </row>
    <row r="46" spans="5:14" s="21" customFormat="1" ht="14.25" x14ac:dyDescent="0.45">
      <c r="E46" s="143">
        <v>42059</v>
      </c>
      <c r="F46" s="142">
        <v>2115.48</v>
      </c>
      <c r="G46"/>
      <c r="H46"/>
      <c r="I46"/>
      <c r="K46" s="132">
        <v>0</v>
      </c>
      <c r="L46" s="15"/>
      <c r="M46" s="132">
        <v>0</v>
      </c>
      <c r="N46" s="15"/>
    </row>
    <row r="47" spans="5:14" s="21" customFormat="1" ht="14.25" x14ac:dyDescent="0.45">
      <c r="E47" s="143">
        <v>42060</v>
      </c>
      <c r="F47" s="142">
        <v>2113.86</v>
      </c>
      <c r="G47"/>
      <c r="H47"/>
      <c r="I47"/>
      <c r="K47" s="132">
        <v>-7.6578365193713527E-4</v>
      </c>
      <c r="L47" s="15"/>
      <c r="M47" s="132">
        <v>-7.6578365193713527E-4</v>
      </c>
      <c r="N47" s="15"/>
    </row>
    <row r="48" spans="5:14" s="21" customFormat="1" ht="14.25" x14ac:dyDescent="0.45">
      <c r="E48" s="143">
        <v>42061</v>
      </c>
      <c r="F48" s="142">
        <v>2110.7399999999998</v>
      </c>
      <c r="G48"/>
      <c r="H48"/>
      <c r="I48"/>
      <c r="K48" s="132">
        <v>-2.2406262408533051E-3</v>
      </c>
      <c r="L48" s="15"/>
      <c r="M48" s="132">
        <v>-2.2406262408533051E-3</v>
      </c>
      <c r="N48" s="15"/>
    </row>
    <row r="49" spans="5:14" s="21" customFormat="1" ht="14.25" x14ac:dyDescent="0.45">
      <c r="E49" s="143">
        <v>42062</v>
      </c>
      <c r="F49" s="142">
        <v>2104.5</v>
      </c>
      <c r="G49"/>
      <c r="H49"/>
      <c r="I49"/>
      <c r="K49" s="132">
        <v>-5.1903114186850896E-3</v>
      </c>
      <c r="L49" s="15"/>
      <c r="M49" s="132">
        <v>-5.1903114186850896E-3</v>
      </c>
      <c r="N49" s="15"/>
    </row>
    <row r="50" spans="5:14" s="21" customFormat="1" ht="14.25" x14ac:dyDescent="0.45">
      <c r="E50" s="143">
        <v>42065</v>
      </c>
      <c r="F50" s="142">
        <v>2117.39</v>
      </c>
      <c r="G50"/>
      <c r="H50"/>
      <c r="I50"/>
      <c r="K50" s="132">
        <v>0</v>
      </c>
      <c r="L50" s="15"/>
      <c r="M50" s="132">
        <v>0</v>
      </c>
      <c r="N50" s="15"/>
    </row>
    <row r="51" spans="5:14" s="21" customFormat="1" ht="14.25" x14ac:dyDescent="0.45">
      <c r="E51" s="143">
        <v>42066</v>
      </c>
      <c r="F51" s="142">
        <v>2107.7800000000002</v>
      </c>
      <c r="G51"/>
      <c r="H51"/>
      <c r="I51"/>
      <c r="K51" s="132">
        <v>-4.5386064919545888E-3</v>
      </c>
      <c r="L51" s="15"/>
      <c r="M51" s="132">
        <v>-4.5386064919545888E-3</v>
      </c>
      <c r="N51" s="15"/>
    </row>
    <row r="52" spans="5:14" s="21" customFormat="1" ht="14.25" x14ac:dyDescent="0.45">
      <c r="E52" s="143">
        <v>42067</v>
      </c>
      <c r="F52" s="142">
        <v>2098.5300000000002</v>
      </c>
      <c r="G52"/>
      <c r="H52"/>
      <c r="I52"/>
      <c r="K52" s="132">
        <v>-8.9071923452929136E-3</v>
      </c>
      <c r="L52" s="15"/>
      <c r="M52" s="132">
        <v>-8.9071923452929136E-3</v>
      </c>
      <c r="N52" s="15"/>
    </row>
    <row r="53" spans="5:14" s="21" customFormat="1" ht="14.25" x14ac:dyDescent="0.45">
      <c r="E53" s="143">
        <v>42068</v>
      </c>
      <c r="F53" s="142">
        <v>2101.04</v>
      </c>
      <c r="G53"/>
      <c r="H53"/>
      <c r="I53"/>
      <c r="K53" s="132">
        <v>-7.7217706704952871E-3</v>
      </c>
      <c r="L53" s="15"/>
      <c r="M53" s="132">
        <v>-7.7217706704952871E-3</v>
      </c>
      <c r="N53" s="15"/>
    </row>
    <row r="54" spans="5:14" s="21" customFormat="1" ht="14.25" x14ac:dyDescent="0.45">
      <c r="E54" s="143">
        <v>42069</v>
      </c>
      <c r="F54" s="142">
        <v>2071.2600000000002</v>
      </c>
      <c r="G54"/>
      <c r="H54"/>
      <c r="I54"/>
      <c r="K54" s="132">
        <v>-2.178625572048587E-2</v>
      </c>
      <c r="L54" s="15"/>
      <c r="M54" s="132">
        <v>-2.178625572048587E-2</v>
      </c>
      <c r="N54" s="15"/>
    </row>
    <row r="55" spans="5:14" s="21" customFormat="1" ht="14.25" x14ac:dyDescent="0.45">
      <c r="E55" s="143">
        <v>42072</v>
      </c>
      <c r="F55" s="142">
        <v>2079.4299999999998</v>
      </c>
      <c r="G55"/>
      <c r="H55"/>
      <c r="I55"/>
      <c r="K55" s="132">
        <v>-1.7927731782997003E-2</v>
      </c>
      <c r="L55" s="15"/>
      <c r="M55" s="132">
        <v>-1.7927731782997003E-2</v>
      </c>
      <c r="N55" s="15"/>
    </row>
    <row r="56" spans="5:14" s="21" customFormat="1" ht="14.25" x14ac:dyDescent="0.45">
      <c r="E56" s="143">
        <v>42073</v>
      </c>
      <c r="F56" s="142">
        <v>2044.16</v>
      </c>
      <c r="G56"/>
      <c r="H56"/>
      <c r="I56"/>
      <c r="K56" s="132">
        <v>-3.458503157188797E-2</v>
      </c>
      <c r="L56" s="15"/>
      <c r="M56" s="132">
        <v>-3.458503157188797E-2</v>
      </c>
      <c r="N56" s="15"/>
    </row>
    <row r="57" spans="5:14" s="21" customFormat="1" ht="14.25" x14ac:dyDescent="0.45">
      <c r="E57" s="143">
        <v>42074</v>
      </c>
      <c r="F57" s="142">
        <v>2040.24</v>
      </c>
      <c r="G57"/>
      <c r="H57"/>
      <c r="I57"/>
      <c r="K57" s="132">
        <v>-3.6436367414599991E-2</v>
      </c>
      <c r="L57" s="15"/>
      <c r="M57" s="132">
        <v>-3.6436367414599991E-2</v>
      </c>
      <c r="N57" s="15"/>
    </row>
    <row r="58" spans="5:14" s="21" customFormat="1" ht="14.25" x14ac:dyDescent="0.45">
      <c r="E58" s="143">
        <v>42075</v>
      </c>
      <c r="F58" s="142">
        <v>2065.9499999999998</v>
      </c>
      <c r="G58"/>
      <c r="H58"/>
      <c r="I58"/>
      <c r="K58" s="132">
        <v>-2.4294060140078177E-2</v>
      </c>
      <c r="L58" s="15"/>
      <c r="M58" s="132">
        <v>-2.4294060140078177E-2</v>
      </c>
      <c r="N58" s="15"/>
    </row>
    <row r="59" spans="5:14" s="21" customFormat="1" ht="14.25" x14ac:dyDescent="0.45">
      <c r="E59" s="143">
        <v>42076</v>
      </c>
      <c r="F59" s="142">
        <v>2053.4</v>
      </c>
      <c r="G59"/>
      <c r="H59"/>
      <c r="I59"/>
      <c r="K59" s="132">
        <v>-3.0221168514066754E-2</v>
      </c>
      <c r="L59" s="15"/>
      <c r="M59" s="132">
        <v>-3.0221168514066754E-2</v>
      </c>
      <c r="N59" s="15"/>
    </row>
    <row r="60" spans="5:14" s="21" customFormat="1" ht="14.25" x14ac:dyDescent="0.45">
      <c r="E60" s="143">
        <v>42079</v>
      </c>
      <c r="F60" s="142">
        <v>2081.19</v>
      </c>
      <c r="G60"/>
      <c r="H60"/>
      <c r="I60"/>
      <c r="K60" s="132">
        <v>-1.7096519771983343E-2</v>
      </c>
      <c r="L60" s="15"/>
      <c r="M60" s="132">
        <v>-1.7096519771983343E-2</v>
      </c>
      <c r="N60" s="15"/>
    </row>
    <row r="61" spans="5:14" s="21" customFormat="1" ht="14.25" x14ac:dyDescent="0.45">
      <c r="E61" s="143">
        <v>42080</v>
      </c>
      <c r="F61" s="142">
        <v>2074.2800000000002</v>
      </c>
      <c r="G61"/>
      <c r="H61"/>
      <c r="I61"/>
      <c r="K61" s="132">
        <v>-2.0359971474314897E-2</v>
      </c>
      <c r="L61" s="15"/>
      <c r="M61" s="132">
        <v>-2.0359971474314897E-2</v>
      </c>
      <c r="N61" s="15"/>
    </row>
    <row r="62" spans="5:14" s="21" customFormat="1" ht="14.25" x14ac:dyDescent="0.45">
      <c r="E62" s="143">
        <v>42081</v>
      </c>
      <c r="F62" s="142">
        <v>2099.5</v>
      </c>
      <c r="G62"/>
      <c r="H62"/>
      <c r="I62"/>
      <c r="K62" s="132">
        <v>-8.4490811801321009E-3</v>
      </c>
      <c r="L62" s="15"/>
      <c r="M62" s="132">
        <v>-8.4490811801321009E-3</v>
      </c>
      <c r="N62" s="15"/>
    </row>
    <row r="63" spans="5:14" s="21" customFormat="1" ht="14.25" x14ac:dyDescent="0.45">
      <c r="E63" s="143">
        <v>42082</v>
      </c>
      <c r="F63" s="142">
        <v>2089.27</v>
      </c>
      <c r="G63"/>
      <c r="H63"/>
      <c r="I63"/>
      <c r="K63" s="132">
        <v>-1.3280500994148459E-2</v>
      </c>
      <c r="L63" s="15"/>
      <c r="M63" s="132">
        <v>-1.3280500994148459E-2</v>
      </c>
      <c r="N63" s="15"/>
    </row>
    <row r="64" spans="5:14" s="21" customFormat="1" ht="14.25" x14ac:dyDescent="0.45">
      <c r="E64" s="143">
        <v>42083</v>
      </c>
      <c r="F64" s="142">
        <v>2108.1</v>
      </c>
      <c r="G64"/>
      <c r="H64"/>
      <c r="I64"/>
      <c r="K64" s="132">
        <v>-4.3874770354067616E-3</v>
      </c>
      <c r="L64" s="15"/>
      <c r="M64" s="132">
        <v>-4.3874770354067616E-3</v>
      </c>
      <c r="N64" s="15"/>
    </row>
    <row r="65" spans="5:14" s="21" customFormat="1" ht="14.25" x14ac:dyDescent="0.45">
      <c r="E65" s="143">
        <v>42086</v>
      </c>
      <c r="F65" s="142">
        <v>2104.42</v>
      </c>
      <c r="G65"/>
      <c r="H65"/>
      <c r="I65"/>
      <c r="K65" s="132">
        <v>-6.1254657857078287E-3</v>
      </c>
      <c r="L65" s="15"/>
      <c r="M65" s="132">
        <v>-6.1254657857078287E-3</v>
      </c>
      <c r="N65" s="15"/>
    </row>
    <row r="66" spans="5:14" s="21" customFormat="1" ht="14.25" x14ac:dyDescent="0.45">
      <c r="E66" s="143">
        <v>42087</v>
      </c>
      <c r="F66" s="142">
        <v>2091.5</v>
      </c>
      <c r="G66"/>
      <c r="H66"/>
      <c r="I66"/>
      <c r="K66" s="132">
        <v>-1.2227317593830112E-2</v>
      </c>
      <c r="L66" s="15"/>
      <c r="M66" s="132">
        <v>-1.2227317593830112E-2</v>
      </c>
      <c r="N66" s="15"/>
    </row>
    <row r="67" spans="5:14" s="21" customFormat="1" ht="14.25" x14ac:dyDescent="0.45">
      <c r="E67" s="143">
        <v>42088</v>
      </c>
      <c r="F67" s="142">
        <v>2061.0500000000002</v>
      </c>
      <c r="G67"/>
      <c r="H67"/>
      <c r="I67"/>
      <c r="K67" s="132">
        <v>-2.6608229943468009E-2</v>
      </c>
      <c r="L67" s="15"/>
      <c r="M67" s="132">
        <v>-2.6608229943468009E-2</v>
      </c>
      <c r="N67" s="15"/>
    </row>
    <row r="68" spans="5:14" s="21" customFormat="1" ht="14.25" x14ac:dyDescent="0.45">
      <c r="E68" s="143">
        <v>42089</v>
      </c>
      <c r="F68" s="142">
        <v>2056.15</v>
      </c>
      <c r="G68"/>
      <c r="H68"/>
      <c r="I68"/>
      <c r="K68" s="132">
        <v>-2.8922399746858063E-2</v>
      </c>
      <c r="L68" s="15"/>
      <c r="M68" s="132">
        <v>-2.8922399746858063E-2</v>
      </c>
      <c r="N68" s="15"/>
    </row>
    <row r="69" spans="5:14" s="21" customFormat="1" ht="14.25" x14ac:dyDescent="0.45">
      <c r="E69" s="143">
        <v>42090</v>
      </c>
      <c r="F69" s="142">
        <v>2061.02</v>
      </c>
      <c r="G69"/>
      <c r="H69"/>
      <c r="I69"/>
      <c r="K69" s="132">
        <v>-2.6622398330019448E-2</v>
      </c>
      <c r="L69" s="15"/>
      <c r="M69" s="132">
        <v>-2.6622398330019448E-2</v>
      </c>
      <c r="N69" s="15"/>
    </row>
    <row r="70" spans="5:14" s="21" customFormat="1" ht="14.25" x14ac:dyDescent="0.45">
      <c r="E70" s="143">
        <v>42093</v>
      </c>
      <c r="F70" s="142">
        <v>2086.2399999999998</v>
      </c>
      <c r="G70"/>
      <c r="H70"/>
      <c r="I70"/>
      <c r="K70" s="132">
        <v>-1.4711508035836651E-2</v>
      </c>
      <c r="L70" s="15"/>
      <c r="M70" s="132">
        <v>-1.4711508035836651E-2</v>
      </c>
      <c r="N70" s="15"/>
    </row>
    <row r="71" spans="5:14" s="21" customFormat="1" ht="14.25" x14ac:dyDescent="0.45">
      <c r="E71" s="143">
        <v>42094</v>
      </c>
      <c r="F71" s="142">
        <v>2067.89</v>
      </c>
      <c r="G71"/>
      <c r="H71"/>
      <c r="I71"/>
      <c r="K71" s="132">
        <v>-2.337783780975633E-2</v>
      </c>
      <c r="L71" s="15"/>
      <c r="M71" s="132">
        <v>-2.337783780975633E-2</v>
      </c>
      <c r="N71" s="15"/>
    </row>
    <row r="72" spans="5:14" s="21" customFormat="1" ht="14.25" x14ac:dyDescent="0.45">
      <c r="E72" s="143">
        <v>42095</v>
      </c>
      <c r="F72" s="142">
        <v>2059.69</v>
      </c>
      <c r="G72"/>
      <c r="H72"/>
      <c r="I72"/>
      <c r="K72" s="132">
        <v>-2.7250530133796746E-2</v>
      </c>
      <c r="L72" s="15"/>
      <c r="M72" s="132">
        <v>-2.7250530133796746E-2</v>
      </c>
      <c r="N72" s="15"/>
    </row>
    <row r="73" spans="5:14" s="21" customFormat="1" ht="14.25" x14ac:dyDescent="0.45">
      <c r="E73" s="143">
        <v>42096</v>
      </c>
      <c r="F73" s="142">
        <v>2066.96</v>
      </c>
      <c r="G73"/>
      <c r="H73"/>
      <c r="I73"/>
      <c r="K73" s="132">
        <v>-2.3817057792848706E-2</v>
      </c>
      <c r="L73" s="15"/>
      <c r="M73" s="132">
        <v>-2.3817057792848706E-2</v>
      </c>
      <c r="N73" s="15"/>
    </row>
    <row r="74" spans="5:14" s="21" customFormat="1" ht="14.25" x14ac:dyDescent="0.45">
      <c r="E74" s="143">
        <v>42100</v>
      </c>
      <c r="F74" s="142">
        <v>2080.62</v>
      </c>
      <c r="G74"/>
      <c r="H74"/>
      <c r="I74"/>
      <c r="K74" s="132">
        <v>-1.7365719116459455E-2</v>
      </c>
      <c r="L74" s="15"/>
      <c r="M74" s="132">
        <v>-1.7365719116459455E-2</v>
      </c>
      <c r="N74" s="15"/>
    </row>
    <row r="75" spans="5:14" s="21" customFormat="1" ht="14.25" x14ac:dyDescent="0.45">
      <c r="E75" s="143">
        <v>42101</v>
      </c>
      <c r="F75" s="142">
        <v>2076.33</v>
      </c>
      <c r="G75"/>
      <c r="H75"/>
      <c r="I75"/>
      <c r="K75" s="132">
        <v>-1.939179839330496E-2</v>
      </c>
      <c r="L75" s="15"/>
      <c r="M75" s="132">
        <v>-1.939179839330496E-2</v>
      </c>
      <c r="N75" s="15"/>
    </row>
    <row r="76" spans="5:14" s="21" customFormat="1" ht="14.25" x14ac:dyDescent="0.45">
      <c r="E76" s="143">
        <v>42102</v>
      </c>
      <c r="F76" s="142">
        <v>2081.9</v>
      </c>
      <c r="G76"/>
      <c r="H76"/>
      <c r="I76"/>
      <c r="K76" s="132">
        <v>-1.6761201290267591E-2</v>
      </c>
      <c r="L76" s="15"/>
      <c r="M76" s="132">
        <v>-1.6761201290267591E-2</v>
      </c>
      <c r="N76" s="15"/>
    </row>
    <row r="77" spans="5:14" s="21" customFormat="1" ht="14.25" x14ac:dyDescent="0.45">
      <c r="E77" s="143">
        <v>42103</v>
      </c>
      <c r="F77" s="142">
        <v>2091.1799999999998</v>
      </c>
      <c r="G77"/>
      <c r="H77"/>
      <c r="I77"/>
      <c r="K77" s="132">
        <v>-1.237844705037805E-2</v>
      </c>
      <c r="L77" s="15"/>
      <c r="M77" s="132">
        <v>-1.237844705037805E-2</v>
      </c>
      <c r="N77" s="15"/>
    </row>
    <row r="78" spans="5:14" s="21" customFormat="1" ht="14.25" x14ac:dyDescent="0.45">
      <c r="E78" s="143">
        <v>42104</v>
      </c>
      <c r="F78" s="142">
        <v>2102.06</v>
      </c>
      <c r="G78"/>
      <c r="H78"/>
      <c r="I78"/>
      <c r="K78" s="132">
        <v>-7.2400455277487064E-3</v>
      </c>
      <c r="L78" s="15"/>
      <c r="M78" s="132">
        <v>-7.2400455277487064E-3</v>
      </c>
      <c r="N78" s="15"/>
    </row>
    <row r="79" spans="5:14" s="21" customFormat="1" ht="14.25" x14ac:dyDescent="0.45">
      <c r="E79" s="143">
        <v>42107</v>
      </c>
      <c r="F79" s="142">
        <v>2092.4299999999998</v>
      </c>
      <c r="G79"/>
      <c r="H79"/>
      <c r="I79"/>
      <c r="K79" s="132">
        <v>-1.1788097610737736E-2</v>
      </c>
      <c r="L79" s="15"/>
      <c r="M79" s="132">
        <v>-1.1788097610737736E-2</v>
      </c>
      <c r="N79" s="15"/>
    </row>
    <row r="80" spans="5:14" s="21" customFormat="1" ht="14.25" x14ac:dyDescent="0.45">
      <c r="E80" s="143">
        <v>42108</v>
      </c>
      <c r="F80" s="142">
        <v>2095.84</v>
      </c>
      <c r="G80"/>
      <c r="H80"/>
      <c r="I80"/>
      <c r="K80" s="132">
        <v>-1.0177624339398839E-2</v>
      </c>
      <c r="L80" s="15"/>
      <c r="M80" s="132">
        <v>-1.0177624339398839E-2</v>
      </c>
      <c r="N80" s="15"/>
    </row>
    <row r="81" spans="5:14" s="21" customFormat="1" ht="14.25" x14ac:dyDescent="0.45">
      <c r="E81" s="143">
        <v>42109</v>
      </c>
      <c r="F81" s="142">
        <v>2106.63</v>
      </c>
      <c r="G81"/>
      <c r="H81"/>
      <c r="I81"/>
      <c r="K81" s="132">
        <v>-5.0817279764237E-3</v>
      </c>
      <c r="L81" s="15"/>
      <c r="M81" s="132">
        <v>-5.0817279764237E-3</v>
      </c>
      <c r="N81" s="15"/>
    </row>
    <row r="82" spans="5:14" s="21" customFormat="1" ht="14.25" x14ac:dyDescent="0.45">
      <c r="E82" s="143">
        <v>42110</v>
      </c>
      <c r="F82" s="142">
        <v>2104.9899999999998</v>
      </c>
      <c r="G82"/>
      <c r="H82"/>
      <c r="I82"/>
      <c r="K82" s="132">
        <v>-5.8562664412319387E-3</v>
      </c>
      <c r="L82" s="15"/>
      <c r="M82" s="132">
        <v>-5.8562664412319387E-3</v>
      </c>
      <c r="N82" s="15"/>
    </row>
    <row r="83" spans="5:14" s="21" customFormat="1" ht="14.25" x14ac:dyDescent="0.45">
      <c r="E83" s="143">
        <v>42111</v>
      </c>
      <c r="F83" s="142">
        <v>2081.1799999999998</v>
      </c>
      <c r="G83"/>
      <c r="H83"/>
      <c r="I83"/>
      <c r="K83" s="132">
        <v>-1.7101242567500563E-2</v>
      </c>
      <c r="L83" s="15"/>
      <c r="M83" s="132">
        <v>-1.7101242567500563E-2</v>
      </c>
      <c r="N83" s="15"/>
    </row>
    <row r="84" spans="5:14" s="21" customFormat="1" ht="14.25" x14ac:dyDescent="0.45">
      <c r="E84" s="143">
        <v>42114</v>
      </c>
      <c r="F84" s="142">
        <v>2100.4</v>
      </c>
      <c r="G84"/>
      <c r="H84"/>
      <c r="I84"/>
      <c r="K84" s="132">
        <v>-8.0240295835910525E-3</v>
      </c>
      <c r="L84" s="15"/>
      <c r="M84" s="132">
        <v>-8.0240295835910525E-3</v>
      </c>
      <c r="N84" s="15"/>
    </row>
    <row r="85" spans="5:14" s="21" customFormat="1" ht="14.25" x14ac:dyDescent="0.45">
      <c r="E85" s="143">
        <v>42115</v>
      </c>
      <c r="F85" s="142">
        <v>2097.29</v>
      </c>
      <c r="G85"/>
      <c r="H85"/>
      <c r="I85"/>
      <c r="K85" s="132">
        <v>-9.4928189894161186E-3</v>
      </c>
      <c r="L85" s="15"/>
      <c r="M85" s="132">
        <v>-9.4928189894161186E-3</v>
      </c>
      <c r="N85" s="15"/>
    </row>
    <row r="86" spans="5:14" s="21" customFormat="1" ht="14.25" x14ac:dyDescent="0.45">
      <c r="E86" s="143">
        <v>42116</v>
      </c>
      <c r="F86" s="142">
        <v>2107.96</v>
      </c>
      <c r="G86"/>
      <c r="H86"/>
      <c r="I86"/>
      <c r="K86" s="132">
        <v>-4.4535961726464013E-3</v>
      </c>
      <c r="L86" s="15"/>
      <c r="M86" s="132">
        <v>-4.4535961726464013E-3</v>
      </c>
      <c r="N86" s="15"/>
    </row>
    <row r="87" spans="5:14" s="21" customFormat="1" ht="14.25" x14ac:dyDescent="0.45">
      <c r="E87" s="143">
        <v>42117</v>
      </c>
      <c r="F87" s="142">
        <v>2112.9299999999998</v>
      </c>
      <c r="G87"/>
      <c r="H87"/>
      <c r="I87"/>
      <c r="K87" s="132">
        <v>-2.1063668006366942E-3</v>
      </c>
      <c r="L87" s="15"/>
      <c r="M87" s="132">
        <v>-2.1063668006366942E-3</v>
      </c>
      <c r="N87" s="15"/>
    </row>
    <row r="88" spans="5:14" s="21" customFormat="1" ht="14.25" x14ac:dyDescent="0.45">
      <c r="E88" s="143">
        <v>42118</v>
      </c>
      <c r="F88" s="142">
        <v>2117.69</v>
      </c>
      <c r="G88"/>
      <c r="H88"/>
      <c r="I88"/>
      <c r="K88" s="132">
        <v>0</v>
      </c>
      <c r="L88" s="15"/>
      <c r="M88" s="132">
        <v>0</v>
      </c>
      <c r="N88" s="15"/>
    </row>
    <row r="89" spans="5:14" s="21" customFormat="1" ht="14.25" x14ac:dyDescent="0.45">
      <c r="E89" s="143">
        <v>42121</v>
      </c>
      <c r="F89" s="142">
        <v>2108.92</v>
      </c>
      <c r="G89"/>
      <c r="H89"/>
      <c r="I89"/>
      <c r="K89" s="132">
        <v>-4.1413049124281454E-3</v>
      </c>
      <c r="L89" s="15"/>
      <c r="M89" s="132">
        <v>-4.1413049124281454E-3</v>
      </c>
      <c r="N89" s="15"/>
    </row>
    <row r="90" spans="5:14" s="21" customFormat="1" ht="14.25" x14ac:dyDescent="0.45">
      <c r="E90" s="143">
        <v>42122</v>
      </c>
      <c r="F90" s="142">
        <v>2114.7600000000002</v>
      </c>
      <c r="G90"/>
      <c r="H90"/>
      <c r="I90"/>
      <c r="K90" s="132">
        <v>-1.383583055121318E-3</v>
      </c>
      <c r="L90" s="15"/>
      <c r="M90" s="132">
        <v>-1.383583055121318E-3</v>
      </c>
      <c r="N90" s="15"/>
    </row>
    <row r="91" spans="5:14" s="21" customFormat="1" ht="14.25" x14ac:dyDescent="0.45">
      <c r="E91" s="143">
        <v>42123</v>
      </c>
      <c r="F91" s="142">
        <v>2106.85</v>
      </c>
      <c r="G91"/>
      <c r="H91"/>
      <c r="I91"/>
      <c r="K91" s="132">
        <v>-5.1187850913023691E-3</v>
      </c>
      <c r="L91" s="15"/>
      <c r="M91" s="132">
        <v>-5.1187850913023691E-3</v>
      </c>
      <c r="N91" s="15"/>
    </row>
    <row r="92" spans="5:14" s="21" customFormat="1" ht="14.25" x14ac:dyDescent="0.45">
      <c r="E92" s="143">
        <v>42124</v>
      </c>
      <c r="F92" s="142">
        <v>2085.5100000000002</v>
      </c>
      <c r="G92"/>
      <c r="H92"/>
      <c r="I92"/>
      <c r="K92" s="132">
        <v>-1.5195802973995143E-2</v>
      </c>
      <c r="L92" s="15"/>
      <c r="M92" s="132">
        <v>-1.5195802973995143E-2</v>
      </c>
      <c r="N92" s="15"/>
    </row>
    <row r="93" spans="5:14" s="21" customFormat="1" ht="14.25" x14ac:dyDescent="0.45">
      <c r="E93" s="143">
        <v>42125</v>
      </c>
      <c r="F93" s="142">
        <v>2108.29</v>
      </c>
      <c r="G93"/>
      <c r="H93"/>
      <c r="I93"/>
      <c r="K93" s="132">
        <v>-4.4387988799116096E-3</v>
      </c>
      <c r="L93" s="15"/>
      <c r="M93" s="132">
        <v>-4.4387988799116096E-3</v>
      </c>
      <c r="N93" s="15"/>
    </row>
    <row r="94" spans="5:14" s="21" customFormat="1" ht="14.25" x14ac:dyDescent="0.45">
      <c r="E94" s="143">
        <v>42128</v>
      </c>
      <c r="F94" s="142">
        <v>2114.4899999999998</v>
      </c>
      <c r="G94"/>
      <c r="H94"/>
      <c r="I94"/>
      <c r="K94" s="132">
        <v>-1.5110804697572311E-3</v>
      </c>
      <c r="L94" s="15"/>
      <c r="M94" s="132">
        <v>-1.5110804697572311E-3</v>
      </c>
      <c r="N94" s="15"/>
    </row>
    <row r="95" spans="5:14" s="21" customFormat="1" ht="14.25" x14ac:dyDescent="0.45">
      <c r="E95" s="143">
        <v>42129</v>
      </c>
      <c r="F95" s="142">
        <v>2089.46</v>
      </c>
      <c r="G95"/>
      <c r="H95"/>
      <c r="I95"/>
      <c r="K95" s="132">
        <v>-1.3330563019138819E-2</v>
      </c>
      <c r="L95" s="15"/>
      <c r="M95" s="132">
        <v>-1.3330563019138819E-2</v>
      </c>
      <c r="N95" s="15"/>
    </row>
    <row r="96" spans="5:14" s="21" customFormat="1" ht="14.25" x14ac:dyDescent="0.45">
      <c r="E96" s="143">
        <v>42130</v>
      </c>
      <c r="F96" s="142">
        <v>2080.15</v>
      </c>
      <c r="G96"/>
      <c r="H96"/>
      <c r="I96"/>
      <c r="K96" s="132">
        <v>-1.7726862760838458E-2</v>
      </c>
      <c r="L96" s="15"/>
      <c r="M96" s="132">
        <v>-1.7726862760838458E-2</v>
      </c>
      <c r="N96" s="15"/>
    </row>
    <row r="97" spans="5:14" s="21" customFormat="1" ht="14.25" x14ac:dyDescent="0.45">
      <c r="E97" s="143">
        <v>42131</v>
      </c>
      <c r="F97" s="142">
        <v>2088</v>
      </c>
      <c r="G97"/>
      <c r="H97"/>
      <c r="I97"/>
      <c r="K97" s="132">
        <v>-1.4019993483465498E-2</v>
      </c>
      <c r="L97" s="15"/>
      <c r="M97" s="132">
        <v>-1.4019993483465498E-2</v>
      </c>
      <c r="N97" s="15"/>
    </row>
    <row r="98" spans="5:14" s="21" customFormat="1" ht="14.25" x14ac:dyDescent="0.45">
      <c r="E98" s="143">
        <v>42132</v>
      </c>
      <c r="F98" s="142">
        <v>2116.1</v>
      </c>
      <c r="G98"/>
      <c r="H98"/>
      <c r="I98"/>
      <c r="K98" s="132">
        <v>-7.5081810841060026E-4</v>
      </c>
      <c r="L98" s="15"/>
      <c r="M98" s="132">
        <v>-7.5081810841060026E-4</v>
      </c>
      <c r="N98" s="15"/>
    </row>
    <row r="99" spans="5:14" s="21" customFormat="1" ht="14.25" x14ac:dyDescent="0.45">
      <c r="E99" s="143">
        <v>42135</v>
      </c>
      <c r="F99" s="142">
        <v>2105.33</v>
      </c>
      <c r="G99"/>
      <c r="H99"/>
      <c r="I99"/>
      <c r="K99" s="132">
        <v>-5.8365483144370289E-3</v>
      </c>
      <c r="L99" s="15"/>
      <c r="M99" s="132">
        <v>-5.8365483144370289E-3</v>
      </c>
      <c r="N99" s="15"/>
    </row>
    <row r="100" spans="5:14" s="21" customFormat="1" ht="14.25" x14ac:dyDescent="0.45">
      <c r="E100" s="143">
        <v>42136</v>
      </c>
      <c r="F100" s="142">
        <v>2099.12</v>
      </c>
      <c r="G100"/>
      <c r="H100"/>
      <c r="I100"/>
      <c r="K100" s="132">
        <v>-8.7689888510594782E-3</v>
      </c>
      <c r="L100" s="15"/>
      <c r="M100" s="132">
        <v>-8.7689888510594782E-3</v>
      </c>
      <c r="N100" s="15"/>
    </row>
    <row r="101" spans="5:14" s="21" customFormat="1" ht="14.25" x14ac:dyDescent="0.45">
      <c r="E101" s="143">
        <v>42137</v>
      </c>
      <c r="F101" s="142">
        <v>2098.48</v>
      </c>
      <c r="G101"/>
      <c r="H101"/>
      <c r="I101"/>
      <c r="K101" s="132">
        <v>-9.0712049450109022E-3</v>
      </c>
      <c r="L101" s="15"/>
      <c r="M101" s="132">
        <v>-9.0712049450109022E-3</v>
      </c>
      <c r="N101" s="15"/>
    </row>
    <row r="102" spans="5:14" x14ac:dyDescent="0.55000000000000004">
      <c r="E102" s="143">
        <v>42138</v>
      </c>
      <c r="F102" s="142">
        <v>2121.1</v>
      </c>
      <c r="K102" s="132">
        <v>0</v>
      </c>
      <c r="M102" s="132">
        <v>0</v>
      </c>
    </row>
    <row r="103" spans="5:14" x14ac:dyDescent="0.55000000000000004">
      <c r="E103" s="143">
        <v>42139</v>
      </c>
      <c r="F103" s="142">
        <v>2122.73</v>
      </c>
      <c r="K103" s="132">
        <v>0</v>
      </c>
      <c r="M103" s="132">
        <v>0</v>
      </c>
    </row>
    <row r="104" spans="5:14" x14ac:dyDescent="0.55000000000000004">
      <c r="E104" s="143">
        <v>42142</v>
      </c>
      <c r="F104" s="142">
        <v>2129.1999999999998</v>
      </c>
      <c r="K104" s="132">
        <v>0</v>
      </c>
      <c r="M104" s="132">
        <v>0</v>
      </c>
    </row>
    <row r="105" spans="5:14" x14ac:dyDescent="0.55000000000000004">
      <c r="E105" s="143">
        <v>42143</v>
      </c>
      <c r="F105" s="142">
        <v>2127.83</v>
      </c>
      <c r="K105" s="132">
        <v>-6.4343415367273948E-4</v>
      </c>
      <c r="M105" s="132">
        <v>-6.4343415367273948E-4</v>
      </c>
    </row>
    <row r="106" spans="5:14" x14ac:dyDescent="0.55000000000000004">
      <c r="E106" s="143">
        <v>42144</v>
      </c>
      <c r="F106" s="142">
        <v>2125.85</v>
      </c>
      <c r="K106" s="132">
        <v>-1.5733608867180005E-3</v>
      </c>
      <c r="M106" s="132">
        <v>-1.5733608867180005E-3</v>
      </c>
    </row>
    <row r="107" spans="5:14" x14ac:dyDescent="0.55000000000000004">
      <c r="E107" s="143">
        <v>42145</v>
      </c>
      <c r="F107" s="142">
        <v>2130.8200000000002</v>
      </c>
      <c r="K107" s="132">
        <v>0</v>
      </c>
      <c r="M107" s="132">
        <v>0</v>
      </c>
    </row>
    <row r="108" spans="5:14" x14ac:dyDescent="0.55000000000000004">
      <c r="E108" s="143">
        <v>42146</v>
      </c>
      <c r="F108" s="142">
        <v>2126.06</v>
      </c>
      <c r="K108" s="132">
        <v>-2.2338817919862475E-3</v>
      </c>
      <c r="M108" s="132">
        <v>-2.2338817919862475E-3</v>
      </c>
    </row>
    <row r="109" spans="5:14" x14ac:dyDescent="0.55000000000000004">
      <c r="E109" s="143">
        <v>42150</v>
      </c>
      <c r="F109" s="142">
        <v>2104.1999999999998</v>
      </c>
      <c r="K109" s="132">
        <v>-1.2492843130813669E-2</v>
      </c>
      <c r="M109" s="132">
        <v>-1.2492843130813669E-2</v>
      </c>
    </row>
    <row r="110" spans="5:14" x14ac:dyDescent="0.55000000000000004">
      <c r="E110" s="143">
        <v>42151</v>
      </c>
      <c r="F110" s="142">
        <v>2123.48</v>
      </c>
      <c r="K110" s="132">
        <v>-3.444683267474602E-3</v>
      </c>
      <c r="M110" s="132">
        <v>-3.444683267474602E-3</v>
      </c>
    </row>
    <row r="111" spans="5:14" x14ac:dyDescent="0.55000000000000004">
      <c r="E111" s="143">
        <v>42152</v>
      </c>
      <c r="F111" s="142">
        <v>2120.79</v>
      </c>
      <c r="K111" s="132">
        <v>-4.7071080616852834E-3</v>
      </c>
      <c r="M111" s="132">
        <v>-4.7071080616852834E-3</v>
      </c>
    </row>
    <row r="112" spans="5:14" x14ac:dyDescent="0.55000000000000004">
      <c r="E112" s="143">
        <v>42153</v>
      </c>
      <c r="F112" s="142">
        <v>2107.39</v>
      </c>
      <c r="K112" s="132">
        <v>-1.0995766887864855E-2</v>
      </c>
      <c r="M112" s="132">
        <v>-1.0995766887864855E-2</v>
      </c>
    </row>
    <row r="113" spans="5:13" x14ac:dyDescent="0.55000000000000004">
      <c r="E113" s="143">
        <v>42156</v>
      </c>
      <c r="F113" s="142">
        <v>2111.73</v>
      </c>
      <c r="K113" s="132">
        <v>-8.9589923128186033E-3</v>
      </c>
      <c r="M113" s="132">
        <v>-8.9589923128186033E-3</v>
      </c>
    </row>
    <row r="114" spans="5:13" x14ac:dyDescent="0.55000000000000004">
      <c r="E114" s="143">
        <v>42157</v>
      </c>
      <c r="F114" s="142">
        <v>2109.6</v>
      </c>
      <c r="K114" s="132">
        <v>-9.9586074844427719E-3</v>
      </c>
      <c r="M114" s="132">
        <v>-9.9586074844427719E-3</v>
      </c>
    </row>
    <row r="115" spans="5:13" x14ac:dyDescent="0.55000000000000004">
      <c r="E115" s="143">
        <v>42158</v>
      </c>
      <c r="F115" s="142">
        <v>2114.0700000000002</v>
      </c>
      <c r="K115" s="132">
        <v>-7.8608235327244369E-3</v>
      </c>
      <c r="M115" s="132">
        <v>-7.8608235327244369E-3</v>
      </c>
    </row>
    <row r="116" spans="5:13" x14ac:dyDescent="0.55000000000000004">
      <c r="E116" s="143">
        <v>42159</v>
      </c>
      <c r="F116" s="142">
        <v>2095.84</v>
      </c>
      <c r="K116" s="132">
        <v>-1.6416215353713626E-2</v>
      </c>
      <c r="M116" s="132">
        <v>-1.6416215353713626E-2</v>
      </c>
    </row>
    <row r="117" spans="5:13" x14ac:dyDescent="0.55000000000000004">
      <c r="E117" s="143">
        <v>42160</v>
      </c>
      <c r="F117" s="142">
        <v>2092.83</v>
      </c>
      <c r="K117" s="132">
        <v>-1.7828817075116743E-2</v>
      </c>
      <c r="M117" s="132">
        <v>-1.7828817075116743E-2</v>
      </c>
    </row>
    <row r="118" spans="5:13" x14ac:dyDescent="0.55000000000000004">
      <c r="E118" s="143">
        <v>42163</v>
      </c>
      <c r="F118" s="142">
        <v>2079.2800000000002</v>
      </c>
      <c r="K118" s="132">
        <v>-2.4187871335917599E-2</v>
      </c>
      <c r="M118" s="132">
        <v>-2.4187871335917599E-2</v>
      </c>
    </row>
    <row r="119" spans="5:13" x14ac:dyDescent="0.55000000000000004">
      <c r="E119" s="143">
        <v>42164</v>
      </c>
      <c r="F119" s="142">
        <v>2080.15</v>
      </c>
      <c r="K119" s="132">
        <v>-2.3779577815113417E-2</v>
      </c>
      <c r="M119" s="132">
        <v>-2.3779577815113417E-2</v>
      </c>
    </row>
    <row r="120" spans="5:13" x14ac:dyDescent="0.55000000000000004">
      <c r="E120" s="143">
        <v>42165</v>
      </c>
      <c r="F120" s="142">
        <v>2105.1999999999998</v>
      </c>
      <c r="K120" s="132">
        <v>-1.2023540233337515E-2</v>
      </c>
      <c r="M120" s="132">
        <v>-1.2023540233337515E-2</v>
      </c>
    </row>
    <row r="121" spans="5:13" x14ac:dyDescent="0.55000000000000004">
      <c r="E121" s="143">
        <v>42166</v>
      </c>
      <c r="F121" s="142">
        <v>2108.86</v>
      </c>
      <c r="K121" s="132">
        <v>-1.0305891628574981E-2</v>
      </c>
      <c r="M121" s="132">
        <v>-1.0305891628574981E-2</v>
      </c>
    </row>
    <row r="122" spans="5:13" x14ac:dyDescent="0.55000000000000004">
      <c r="E122" s="143">
        <v>42167</v>
      </c>
      <c r="F122" s="142">
        <v>2094.11</v>
      </c>
      <c r="K122" s="132">
        <v>-1.7228109366347222E-2</v>
      </c>
      <c r="M122" s="132">
        <v>-1.7228109366347222E-2</v>
      </c>
    </row>
    <row r="123" spans="5:13" x14ac:dyDescent="0.55000000000000004">
      <c r="E123" s="143">
        <v>42170</v>
      </c>
      <c r="F123" s="142">
        <v>2084.4299999999998</v>
      </c>
      <c r="K123" s="132">
        <v>-2.1770961413915879E-2</v>
      </c>
      <c r="M123" s="132">
        <v>-2.1770961413915879E-2</v>
      </c>
    </row>
    <row r="124" spans="5:13" x14ac:dyDescent="0.55000000000000004">
      <c r="E124" s="143">
        <v>42171</v>
      </c>
      <c r="F124" s="142">
        <v>2096.29</v>
      </c>
      <c r="K124" s="132">
        <v>-1.620502904984944E-2</v>
      </c>
      <c r="M124" s="132">
        <v>-1.620502904984944E-2</v>
      </c>
    </row>
    <row r="125" spans="5:13" x14ac:dyDescent="0.55000000000000004">
      <c r="E125" s="143">
        <v>42172</v>
      </c>
      <c r="F125" s="142">
        <v>2100.44</v>
      </c>
      <c r="K125" s="132">
        <v>-1.4257422025323652E-2</v>
      </c>
      <c r="M125" s="132">
        <v>-1.4257422025323652E-2</v>
      </c>
    </row>
    <row r="126" spans="5:13" x14ac:dyDescent="0.55000000000000004">
      <c r="E126" s="143">
        <v>42173</v>
      </c>
      <c r="F126" s="142">
        <v>2121.2399999999998</v>
      </c>
      <c r="K126" s="132">
        <v>-4.4959217578210975E-3</v>
      </c>
      <c r="M126" s="132">
        <v>-4.4959217578210975E-3</v>
      </c>
    </row>
    <row r="127" spans="5:13" x14ac:dyDescent="0.55000000000000004">
      <c r="E127" s="143">
        <v>42174</v>
      </c>
      <c r="F127" s="142">
        <v>2109.9899999999998</v>
      </c>
      <c r="K127" s="132">
        <v>-9.7755793544270775E-3</v>
      </c>
      <c r="M127" s="132">
        <v>-9.7755793544270775E-3</v>
      </c>
    </row>
    <row r="128" spans="5:13" x14ac:dyDescent="0.55000000000000004">
      <c r="E128" s="143">
        <v>42177</v>
      </c>
      <c r="F128" s="142">
        <v>2122.85</v>
      </c>
      <c r="K128" s="132">
        <v>-3.7403440928845955E-3</v>
      </c>
      <c r="M128" s="132">
        <v>-3.7403440928845955E-3</v>
      </c>
    </row>
    <row r="129" spans="5:13" x14ac:dyDescent="0.55000000000000004">
      <c r="E129" s="143">
        <v>42178</v>
      </c>
      <c r="F129" s="142">
        <v>2124.1999999999998</v>
      </c>
      <c r="K129" s="132">
        <v>-3.1067851812919267E-3</v>
      </c>
      <c r="M129" s="132">
        <v>-3.1067851812919267E-3</v>
      </c>
    </row>
    <row r="130" spans="5:13" x14ac:dyDescent="0.55000000000000004">
      <c r="E130" s="143">
        <v>42179</v>
      </c>
      <c r="F130" s="142">
        <v>2108.58</v>
      </c>
      <c r="K130" s="132">
        <v>-1.0437296439868349E-2</v>
      </c>
      <c r="M130" s="132">
        <v>-1.0437296439868349E-2</v>
      </c>
    </row>
    <row r="131" spans="5:13" x14ac:dyDescent="0.55000000000000004">
      <c r="E131" s="143">
        <v>42180</v>
      </c>
      <c r="F131" s="142">
        <v>2102.31</v>
      </c>
      <c r="K131" s="132">
        <v>-1.3379825607043427E-2</v>
      </c>
      <c r="M131" s="132">
        <v>-1.3379825607043427E-2</v>
      </c>
    </row>
    <row r="132" spans="5:13" x14ac:dyDescent="0.55000000000000004">
      <c r="E132" s="143">
        <v>42181</v>
      </c>
      <c r="F132" s="142">
        <v>2101.4899999999998</v>
      </c>
      <c r="K132" s="132">
        <v>-1.3764653982973885E-2</v>
      </c>
      <c r="M132" s="132">
        <v>-1.3764653982973885E-2</v>
      </c>
    </row>
    <row r="133" spans="5:13" x14ac:dyDescent="0.55000000000000004">
      <c r="E133" s="143">
        <v>42184</v>
      </c>
      <c r="F133" s="142">
        <v>2057.64</v>
      </c>
      <c r="K133" s="132">
        <v>-3.4343586037300367E-2</v>
      </c>
      <c r="M133" s="132">
        <v>-3.4343586037300367E-2</v>
      </c>
    </row>
    <row r="134" spans="5:13" x14ac:dyDescent="0.55000000000000004">
      <c r="E134" s="143">
        <v>42185</v>
      </c>
      <c r="F134" s="142">
        <v>2063.11</v>
      </c>
      <c r="K134" s="132">
        <v>-3.1776499188105989E-2</v>
      </c>
      <c r="M134" s="132">
        <v>-3.1776499188105989E-2</v>
      </c>
    </row>
    <row r="135" spans="5:13" x14ac:dyDescent="0.55000000000000004">
      <c r="E135" s="143">
        <v>42186</v>
      </c>
      <c r="F135" s="142">
        <v>2077.42</v>
      </c>
      <c r="K135" s="132">
        <v>-2.5060774725223167E-2</v>
      </c>
      <c r="M135" s="132">
        <v>-2.5060774725223167E-2</v>
      </c>
    </row>
    <row r="136" spans="5:13" x14ac:dyDescent="0.55000000000000004">
      <c r="E136" s="143">
        <v>42187</v>
      </c>
      <c r="F136" s="142">
        <v>2076.7800000000002</v>
      </c>
      <c r="K136" s="132">
        <v>-2.5361128579607817E-2</v>
      </c>
      <c r="M136" s="132">
        <v>-2.5361128579607817E-2</v>
      </c>
    </row>
    <row r="137" spans="5:13" x14ac:dyDescent="0.55000000000000004">
      <c r="E137" s="143">
        <v>42191</v>
      </c>
      <c r="F137" s="142">
        <v>2068.7600000000002</v>
      </c>
      <c r="K137" s="132">
        <v>-2.9124937817366026E-2</v>
      </c>
      <c r="M137" s="132">
        <v>-2.9124937817366026E-2</v>
      </c>
    </row>
    <row r="138" spans="5:13" x14ac:dyDescent="0.55000000000000004">
      <c r="E138" s="143">
        <v>42192</v>
      </c>
      <c r="F138" s="142">
        <v>2081.34</v>
      </c>
      <c r="K138" s="132">
        <v>-2.3221107367116911E-2</v>
      </c>
      <c r="M138" s="132">
        <v>-2.3221107367116911E-2</v>
      </c>
    </row>
    <row r="139" spans="5:13" x14ac:dyDescent="0.55000000000000004">
      <c r="E139" s="143">
        <v>42193</v>
      </c>
      <c r="F139" s="142">
        <v>2046.68</v>
      </c>
      <c r="K139" s="132">
        <v>-3.9487145793638212E-2</v>
      </c>
      <c r="M139" s="132">
        <v>-3.9487145793638212E-2</v>
      </c>
    </row>
    <row r="140" spans="5:13" x14ac:dyDescent="0.55000000000000004">
      <c r="E140" s="143">
        <v>42194</v>
      </c>
      <c r="F140" s="142">
        <v>2051.31</v>
      </c>
      <c r="K140" s="132">
        <v>-3.7314273378323937E-2</v>
      </c>
      <c r="M140" s="132">
        <v>-3.7314273378323937E-2</v>
      </c>
    </row>
    <row r="141" spans="5:13" x14ac:dyDescent="0.55000000000000004">
      <c r="E141" s="143">
        <v>42195</v>
      </c>
      <c r="F141" s="142">
        <v>2076.62</v>
      </c>
      <c r="K141" s="132">
        <v>-2.5436217043204201E-2</v>
      </c>
      <c r="M141" s="132">
        <v>-2.5436217043204201E-2</v>
      </c>
    </row>
    <row r="142" spans="5:13" x14ac:dyDescent="0.55000000000000004">
      <c r="E142" s="143">
        <v>42198</v>
      </c>
      <c r="F142" s="142">
        <v>2099.6</v>
      </c>
      <c r="K142" s="132">
        <v>-1.4651636459203643E-2</v>
      </c>
      <c r="M142" s="132">
        <v>-1.4651636459203643E-2</v>
      </c>
    </row>
    <row r="143" spans="5:13" x14ac:dyDescent="0.55000000000000004">
      <c r="E143" s="143">
        <v>42199</v>
      </c>
      <c r="F143" s="142">
        <v>2108.9499999999998</v>
      </c>
      <c r="K143" s="132">
        <v>-1.0263654367802189E-2</v>
      </c>
      <c r="M143" s="132">
        <v>-1.0263654367802189E-2</v>
      </c>
    </row>
    <row r="144" spans="5:13" x14ac:dyDescent="0.55000000000000004">
      <c r="E144" s="143">
        <v>42200</v>
      </c>
      <c r="F144" s="142">
        <v>2107.4</v>
      </c>
      <c r="K144" s="132">
        <v>-1.0991073858890088E-2</v>
      </c>
      <c r="M144" s="132">
        <v>-1.0991073858890088E-2</v>
      </c>
    </row>
    <row r="145" spans="5:13" x14ac:dyDescent="0.55000000000000004">
      <c r="E145" s="143">
        <v>42201</v>
      </c>
      <c r="F145" s="142">
        <v>2124.29</v>
      </c>
      <c r="K145" s="132">
        <v>-3.0645479205189119E-3</v>
      </c>
      <c r="M145" s="132">
        <v>-3.0645479205189119E-3</v>
      </c>
    </row>
    <row r="146" spans="5:13" x14ac:dyDescent="0.55000000000000004">
      <c r="E146" s="143">
        <v>42202</v>
      </c>
      <c r="F146" s="142">
        <v>2126.64</v>
      </c>
      <c r="K146" s="132">
        <v>-1.9616861114502004E-3</v>
      </c>
      <c r="M146" s="132">
        <v>-1.9616861114502004E-3</v>
      </c>
    </row>
    <row r="147" spans="5:13" x14ac:dyDescent="0.55000000000000004">
      <c r="E147" s="143">
        <v>42205</v>
      </c>
      <c r="F147" s="142">
        <v>2128.2800000000002</v>
      </c>
      <c r="K147" s="132">
        <v>-1.1920293595892861E-3</v>
      </c>
      <c r="M147" s="132">
        <v>-1.1920293595892861E-3</v>
      </c>
    </row>
    <row r="148" spans="5:13" x14ac:dyDescent="0.55000000000000004">
      <c r="E148" s="143">
        <v>42206</v>
      </c>
      <c r="F148" s="142">
        <v>2119.21</v>
      </c>
      <c r="K148" s="132">
        <v>-5.4486066396974842E-3</v>
      </c>
      <c r="M148" s="132">
        <v>-5.4486066396974842E-3</v>
      </c>
    </row>
    <row r="149" spans="5:13" x14ac:dyDescent="0.55000000000000004">
      <c r="E149" s="143">
        <v>42207</v>
      </c>
      <c r="F149" s="142">
        <v>2114.15</v>
      </c>
      <c r="K149" s="132">
        <v>-7.8232793009264112E-3</v>
      </c>
      <c r="M149" s="132">
        <v>-7.8232793009264112E-3</v>
      </c>
    </row>
    <row r="150" spans="5:13" x14ac:dyDescent="0.55000000000000004">
      <c r="E150" s="143">
        <v>42208</v>
      </c>
      <c r="F150" s="142">
        <v>2102.15</v>
      </c>
      <c r="K150" s="132">
        <v>-1.3454914070639479E-2</v>
      </c>
      <c r="M150" s="132">
        <v>-1.3454914070639479E-2</v>
      </c>
    </row>
    <row r="151" spans="5:13" x14ac:dyDescent="0.55000000000000004">
      <c r="E151" s="143">
        <v>42209</v>
      </c>
      <c r="F151" s="142">
        <v>2079.65</v>
      </c>
      <c r="K151" s="132">
        <v>-2.401422926385155E-2</v>
      </c>
      <c r="M151" s="132">
        <v>-2.401422926385155E-2</v>
      </c>
    </row>
    <row r="152" spans="5:13" x14ac:dyDescent="0.55000000000000004">
      <c r="E152" s="143">
        <v>42212</v>
      </c>
      <c r="F152" s="142">
        <v>2067.64</v>
      </c>
      <c r="K152" s="132">
        <v>-2.9650557062539384E-2</v>
      </c>
      <c r="M152" s="132">
        <v>-2.9650557062539384E-2</v>
      </c>
    </row>
    <row r="153" spans="5:13" x14ac:dyDescent="0.55000000000000004">
      <c r="E153" s="143">
        <v>42213</v>
      </c>
      <c r="F153" s="142">
        <v>2093.25</v>
      </c>
      <c r="K153" s="132">
        <v>-1.7631709858176747E-2</v>
      </c>
      <c r="M153" s="132">
        <v>-1.7631709858176747E-2</v>
      </c>
    </row>
    <row r="154" spans="5:13" x14ac:dyDescent="0.55000000000000004">
      <c r="E154" s="143">
        <v>42214</v>
      </c>
      <c r="F154" s="142">
        <v>2108.5700000000002</v>
      </c>
      <c r="K154" s="132">
        <v>-1.0441989468843005E-2</v>
      </c>
      <c r="M154" s="132">
        <v>-1.0441989468843005E-2</v>
      </c>
    </row>
    <row r="155" spans="5:13" x14ac:dyDescent="0.55000000000000004">
      <c r="E155" s="143">
        <v>42215</v>
      </c>
      <c r="F155" s="142">
        <v>2108.63</v>
      </c>
      <c r="K155" s="132">
        <v>-1.0413831294994402E-2</v>
      </c>
      <c r="M155" s="132">
        <v>-1.0413831294994402E-2</v>
      </c>
    </row>
    <row r="156" spans="5:13" x14ac:dyDescent="0.55000000000000004">
      <c r="E156" s="143">
        <v>42216</v>
      </c>
      <c r="F156" s="142">
        <v>2103.84</v>
      </c>
      <c r="K156" s="132">
        <v>-1.266179217390484E-2</v>
      </c>
      <c r="M156" s="132">
        <v>-1.266179217390484E-2</v>
      </c>
    </row>
    <row r="157" spans="5:13" x14ac:dyDescent="0.55000000000000004">
      <c r="E157" s="143">
        <v>42219</v>
      </c>
      <c r="F157" s="142">
        <v>2098.04</v>
      </c>
      <c r="K157" s="132">
        <v>-1.538374897926631E-2</v>
      </c>
      <c r="M157" s="132">
        <v>-1.538374897926631E-2</v>
      </c>
    </row>
    <row r="158" spans="5:13" x14ac:dyDescent="0.55000000000000004">
      <c r="E158" s="143">
        <v>42220</v>
      </c>
      <c r="F158" s="142">
        <v>2093.3200000000002</v>
      </c>
      <c r="K158" s="132">
        <v>-1.7598858655353378E-2</v>
      </c>
      <c r="M158" s="132">
        <v>-1.7598858655353378E-2</v>
      </c>
    </row>
    <row r="159" spans="5:13" x14ac:dyDescent="0.55000000000000004">
      <c r="E159" s="143">
        <v>42221</v>
      </c>
      <c r="F159" s="142">
        <v>2099.84</v>
      </c>
      <c r="K159" s="132">
        <v>-1.4539003763809233E-2</v>
      </c>
      <c r="M159" s="132">
        <v>-1.4539003763809233E-2</v>
      </c>
    </row>
    <row r="160" spans="5:13" x14ac:dyDescent="0.55000000000000004">
      <c r="E160" s="143">
        <v>42222</v>
      </c>
      <c r="F160" s="142">
        <v>2083.56</v>
      </c>
      <c r="K160" s="132">
        <v>-2.2179254934720061E-2</v>
      </c>
      <c r="M160" s="132">
        <v>-2.2179254934720061E-2</v>
      </c>
    </row>
    <row r="161" spans="5:13" x14ac:dyDescent="0.55000000000000004">
      <c r="E161" s="143">
        <v>42223</v>
      </c>
      <c r="F161" s="142">
        <v>2077.5700000000002</v>
      </c>
      <c r="K161" s="132">
        <v>-2.4990379290601772E-2</v>
      </c>
      <c r="M161" s="132">
        <v>-2.4990379290601772E-2</v>
      </c>
    </row>
    <row r="162" spans="5:13" x14ac:dyDescent="0.55000000000000004">
      <c r="E162" s="143">
        <v>42226</v>
      </c>
      <c r="F162" s="142">
        <v>2104.1799999999998</v>
      </c>
      <c r="K162" s="132">
        <v>-1.2502229188763203E-2</v>
      </c>
      <c r="M162" s="132">
        <v>-1.2502229188763203E-2</v>
      </c>
    </row>
    <row r="163" spans="5:13" x14ac:dyDescent="0.55000000000000004">
      <c r="E163" s="143">
        <v>42227</v>
      </c>
      <c r="F163" s="142">
        <v>2084.0700000000002</v>
      </c>
      <c r="K163" s="132">
        <v>-2.1939910457007161E-2</v>
      </c>
      <c r="M163" s="132">
        <v>-2.1939910457007161E-2</v>
      </c>
    </row>
    <row r="164" spans="5:13" x14ac:dyDescent="0.55000000000000004">
      <c r="E164" s="143">
        <v>42228</v>
      </c>
      <c r="F164" s="142">
        <v>2086.0500000000002</v>
      </c>
      <c r="K164" s="132">
        <v>-2.1010690720004499E-2</v>
      </c>
      <c r="M164" s="132">
        <v>-2.1010690720004499E-2</v>
      </c>
    </row>
    <row r="165" spans="5:13" x14ac:dyDescent="0.55000000000000004">
      <c r="E165" s="143">
        <v>42229</v>
      </c>
      <c r="F165" s="142">
        <v>2083.39</v>
      </c>
      <c r="K165" s="132">
        <v>-2.225903642729099E-2</v>
      </c>
      <c r="M165" s="132">
        <v>-2.225903642729099E-2</v>
      </c>
    </row>
    <row r="166" spans="5:13" x14ac:dyDescent="0.55000000000000004">
      <c r="E166" s="143">
        <v>42230</v>
      </c>
      <c r="F166" s="142">
        <v>2091.54</v>
      </c>
      <c r="K166" s="132">
        <v>-1.843421781286092E-2</v>
      </c>
      <c r="M166" s="132">
        <v>-1.843421781286092E-2</v>
      </c>
    </row>
    <row r="167" spans="5:13" x14ac:dyDescent="0.55000000000000004">
      <c r="E167" s="143">
        <v>42233</v>
      </c>
      <c r="F167" s="142">
        <v>2102.44</v>
      </c>
      <c r="K167" s="132">
        <v>-1.3318816230371455E-2</v>
      </c>
      <c r="M167" s="132">
        <v>-1.3318816230371455E-2</v>
      </c>
    </row>
    <row r="168" spans="5:13" x14ac:dyDescent="0.55000000000000004">
      <c r="E168" s="143">
        <v>42234</v>
      </c>
      <c r="F168" s="142">
        <v>2096.92</v>
      </c>
      <c r="K168" s="132">
        <v>-1.5909368224439446E-2</v>
      </c>
      <c r="M168" s="132">
        <v>-1.5909368224439446E-2</v>
      </c>
    </row>
    <row r="169" spans="5:13" x14ac:dyDescent="0.55000000000000004">
      <c r="E169" s="143">
        <v>42235</v>
      </c>
      <c r="F169" s="142">
        <v>2079.61</v>
      </c>
      <c r="K169" s="132">
        <v>-2.4033001379750507E-2</v>
      </c>
      <c r="M169" s="132">
        <v>-2.4033001379750507E-2</v>
      </c>
    </row>
    <row r="170" spans="5:13" x14ac:dyDescent="0.55000000000000004">
      <c r="E170" s="143">
        <v>42236</v>
      </c>
      <c r="F170" s="142">
        <v>2035.73</v>
      </c>
      <c r="K170" s="132">
        <v>-4.4626012521001401E-2</v>
      </c>
      <c r="M170" s="132">
        <v>-4.4626012521001401E-2</v>
      </c>
    </row>
    <row r="171" spans="5:13" x14ac:dyDescent="0.55000000000000004">
      <c r="E171" s="143">
        <v>42237</v>
      </c>
      <c r="F171" s="142">
        <v>1970.89</v>
      </c>
      <c r="K171" s="132">
        <v>-7.5055612393350901E-2</v>
      </c>
      <c r="M171" s="132">
        <v>-7.5055612393350901E-2</v>
      </c>
    </row>
    <row r="172" spans="5:13" x14ac:dyDescent="0.55000000000000004">
      <c r="E172" s="143">
        <v>42240</v>
      </c>
      <c r="F172" s="142">
        <v>1893.21</v>
      </c>
      <c r="K172" s="132">
        <v>-0.11151106146929357</v>
      </c>
      <c r="M172" s="132">
        <v>-0.11151106146929357</v>
      </c>
    </row>
    <row r="173" spans="5:13" x14ac:dyDescent="0.55000000000000004">
      <c r="E173" s="143">
        <v>42241</v>
      </c>
      <c r="F173" s="142">
        <v>1867.61</v>
      </c>
      <c r="K173" s="132">
        <v>-0.12352521564468155</v>
      </c>
      <c r="M173" s="132">
        <v>-0.12352521564468155</v>
      </c>
    </row>
    <row r="174" spans="5:13" x14ac:dyDescent="0.55000000000000004">
      <c r="E174" s="143">
        <v>42242</v>
      </c>
      <c r="F174" s="142">
        <v>1940.51</v>
      </c>
      <c r="K174" s="132">
        <v>-8.9313034418674553E-2</v>
      </c>
      <c r="M174" s="132">
        <v>-8.9313034418674553E-2</v>
      </c>
    </row>
    <row r="175" spans="5:13" x14ac:dyDescent="0.55000000000000004">
      <c r="E175" s="143">
        <v>42243</v>
      </c>
      <c r="F175" s="142">
        <v>1987.66</v>
      </c>
      <c r="K175" s="132">
        <v>-6.718540280267693E-2</v>
      </c>
      <c r="M175" s="132">
        <v>-6.718540280267693E-2</v>
      </c>
    </row>
    <row r="176" spans="5:13" x14ac:dyDescent="0.55000000000000004">
      <c r="E176" s="143">
        <v>42244</v>
      </c>
      <c r="F176" s="142">
        <v>1988.87</v>
      </c>
      <c r="K176" s="132">
        <v>-6.6617546296731001E-2</v>
      </c>
      <c r="M176" s="132">
        <v>-6.6617546296731001E-2</v>
      </c>
    </row>
    <row r="177" spans="5:13" x14ac:dyDescent="0.55000000000000004">
      <c r="E177" s="143">
        <v>42247</v>
      </c>
      <c r="F177" s="142">
        <v>1972.18</v>
      </c>
      <c r="K177" s="132">
        <v>-7.4450211655606835E-2</v>
      </c>
      <c r="M177" s="132">
        <v>-7.4450211655606835E-2</v>
      </c>
    </row>
    <row r="178" spans="5:13" x14ac:dyDescent="0.55000000000000004">
      <c r="E178" s="143">
        <v>42248</v>
      </c>
      <c r="F178" s="142">
        <v>1913.85</v>
      </c>
      <c r="K178" s="132">
        <v>-0.10182464966538718</v>
      </c>
      <c r="M178" s="132">
        <v>-0.10182464966538718</v>
      </c>
    </row>
    <row r="179" spans="5:13" x14ac:dyDescent="0.55000000000000004">
      <c r="E179" s="143">
        <v>42249</v>
      </c>
      <c r="F179" s="142">
        <v>1948.86</v>
      </c>
      <c r="K179" s="132">
        <v>-8.5394355224749252E-2</v>
      </c>
      <c r="M179" s="132">
        <v>-8.5394355224749252E-2</v>
      </c>
    </row>
    <row r="180" spans="5:13" x14ac:dyDescent="0.55000000000000004">
      <c r="E180" s="143">
        <v>42250</v>
      </c>
      <c r="F180" s="142">
        <v>1951.13</v>
      </c>
      <c r="K180" s="132">
        <v>-8.4329037647478455E-2</v>
      </c>
      <c r="M180" s="132">
        <v>-8.4329037647478455E-2</v>
      </c>
    </row>
    <row r="181" spans="5:13" x14ac:dyDescent="0.55000000000000004">
      <c r="E181" s="143">
        <v>42251</v>
      </c>
      <c r="F181" s="142">
        <v>1921.22</v>
      </c>
      <c r="K181" s="132">
        <v>-9.8365887310988276E-2</v>
      </c>
      <c r="M181" s="132">
        <v>-9.8365887310988276E-2</v>
      </c>
    </row>
    <row r="182" spans="5:13" x14ac:dyDescent="0.55000000000000004">
      <c r="E182" s="143">
        <v>42255</v>
      </c>
      <c r="F182" s="142">
        <v>1969.41</v>
      </c>
      <c r="K182" s="132">
        <v>-7.5750180681615542E-2</v>
      </c>
      <c r="M182" s="132">
        <v>-7.5750180681615542E-2</v>
      </c>
    </row>
    <row r="183" spans="5:13" x14ac:dyDescent="0.55000000000000004">
      <c r="E183" s="143">
        <v>42256</v>
      </c>
      <c r="F183" s="142">
        <v>1942.04</v>
      </c>
      <c r="K183" s="132">
        <v>-8.8595000985536188E-2</v>
      </c>
      <c r="M183" s="132">
        <v>-8.8595000985536188E-2</v>
      </c>
    </row>
    <row r="184" spans="5:13" x14ac:dyDescent="0.55000000000000004">
      <c r="E184" s="143">
        <v>42257</v>
      </c>
      <c r="F184" s="142">
        <v>1952.29</v>
      </c>
      <c r="K184" s="132">
        <v>-8.378464628640625E-2</v>
      </c>
      <c r="M184" s="132">
        <v>-8.378464628640625E-2</v>
      </c>
    </row>
    <row r="185" spans="5:13" x14ac:dyDescent="0.55000000000000004">
      <c r="E185" s="143">
        <v>42258</v>
      </c>
      <c r="F185" s="142">
        <v>1961.05</v>
      </c>
      <c r="K185" s="132">
        <v>-7.9673552904515721E-2</v>
      </c>
      <c r="M185" s="132">
        <v>-7.9673552904515721E-2</v>
      </c>
    </row>
    <row r="186" spans="5:13" x14ac:dyDescent="0.55000000000000004">
      <c r="E186" s="143">
        <v>42261</v>
      </c>
      <c r="F186" s="142">
        <v>1953.03</v>
      </c>
      <c r="K186" s="132">
        <v>-8.343736214227393E-2</v>
      </c>
      <c r="M186" s="132">
        <v>-8.343736214227393E-2</v>
      </c>
    </row>
    <row r="187" spans="5:13" x14ac:dyDescent="0.55000000000000004">
      <c r="E187" s="143">
        <v>42262</v>
      </c>
      <c r="F187" s="142">
        <v>1978.09</v>
      </c>
      <c r="K187" s="132">
        <v>-7.1676631531523149E-2</v>
      </c>
      <c r="M187" s="132">
        <v>-7.1676631531523149E-2</v>
      </c>
    </row>
    <row r="188" spans="5:13" x14ac:dyDescent="0.55000000000000004">
      <c r="E188" s="143">
        <v>42263</v>
      </c>
      <c r="F188" s="142">
        <v>1995.31</v>
      </c>
      <c r="K188" s="132">
        <v>-6.3595235636984881E-2</v>
      </c>
      <c r="M188" s="132">
        <v>-6.3595235636984881E-2</v>
      </c>
    </row>
    <row r="189" spans="5:13" x14ac:dyDescent="0.55000000000000004">
      <c r="E189" s="143">
        <v>42264</v>
      </c>
      <c r="F189" s="142">
        <v>1990.2</v>
      </c>
      <c r="K189" s="132">
        <v>-6.5993373443087644E-2</v>
      </c>
      <c r="M189" s="132">
        <v>-6.5993373443087644E-2</v>
      </c>
    </row>
    <row r="190" spans="5:13" x14ac:dyDescent="0.55000000000000004">
      <c r="E190" s="143">
        <v>42265</v>
      </c>
      <c r="F190" s="142">
        <v>1958.03</v>
      </c>
      <c r="K190" s="132">
        <v>-8.1090847654893494E-2</v>
      </c>
      <c r="M190" s="132">
        <v>-8.1090847654893494E-2</v>
      </c>
    </row>
    <row r="191" spans="5:13" x14ac:dyDescent="0.55000000000000004">
      <c r="E191" s="143">
        <v>42268</v>
      </c>
      <c r="F191" s="142">
        <v>1966.97</v>
      </c>
      <c r="K191" s="132">
        <v>-7.6895279751457268E-2</v>
      </c>
      <c r="M191" s="132">
        <v>-7.6895279751457268E-2</v>
      </c>
    </row>
    <row r="192" spans="5:13" x14ac:dyDescent="0.55000000000000004">
      <c r="E192" s="143">
        <v>42269</v>
      </c>
      <c r="F192" s="142">
        <v>1942.74</v>
      </c>
      <c r="K192" s="132">
        <v>-8.8266488957302935E-2</v>
      </c>
      <c r="M192" s="132">
        <v>-8.8266488957302935E-2</v>
      </c>
    </row>
    <row r="193" spans="5:13" x14ac:dyDescent="0.55000000000000004">
      <c r="E193" s="143">
        <v>42270</v>
      </c>
      <c r="F193" s="142">
        <v>1938.76</v>
      </c>
      <c r="K193" s="132">
        <v>-9.0134314489257683E-2</v>
      </c>
      <c r="M193" s="132">
        <v>-9.0134314489257683E-2</v>
      </c>
    </row>
    <row r="194" spans="5:13" x14ac:dyDescent="0.55000000000000004">
      <c r="E194" s="143">
        <v>42271</v>
      </c>
      <c r="F194" s="142">
        <v>1932.24</v>
      </c>
      <c r="K194" s="132">
        <v>-9.3194169380801828E-2</v>
      </c>
      <c r="M194" s="132">
        <v>-9.3194169380801828E-2</v>
      </c>
    </row>
    <row r="195" spans="5:13" x14ac:dyDescent="0.55000000000000004">
      <c r="E195" s="143">
        <v>42272</v>
      </c>
      <c r="F195" s="142">
        <v>1931.34</v>
      </c>
      <c r="K195" s="132">
        <v>-9.3616541988530311E-2</v>
      </c>
      <c r="M195" s="132">
        <v>-9.3616541988530311E-2</v>
      </c>
    </row>
    <row r="196" spans="5:13" x14ac:dyDescent="0.55000000000000004">
      <c r="E196" s="143">
        <v>42275</v>
      </c>
      <c r="F196" s="142">
        <v>1881.77</v>
      </c>
      <c r="K196" s="132">
        <v>-0.11687988661642001</v>
      </c>
      <c r="M196" s="132">
        <v>-0.11687988661642001</v>
      </c>
    </row>
    <row r="197" spans="5:13" x14ac:dyDescent="0.55000000000000004">
      <c r="E197" s="143">
        <v>42276</v>
      </c>
      <c r="F197" s="142">
        <v>1884.09</v>
      </c>
      <c r="K197" s="132">
        <v>-0.1157911038942756</v>
      </c>
      <c r="M197" s="132">
        <v>-0.1157911038942756</v>
      </c>
    </row>
    <row r="198" spans="5:13" x14ac:dyDescent="0.55000000000000004">
      <c r="E198" s="143">
        <v>42277</v>
      </c>
      <c r="F198" s="142">
        <v>1920.03</v>
      </c>
      <c r="K198" s="132">
        <v>-9.8924357758984893E-2</v>
      </c>
      <c r="M198" s="132">
        <v>-9.8924357758984893E-2</v>
      </c>
    </row>
    <row r="199" spans="5:13" x14ac:dyDescent="0.55000000000000004">
      <c r="E199" s="143">
        <v>42278</v>
      </c>
      <c r="F199" s="142">
        <v>1923.82</v>
      </c>
      <c r="K199" s="132">
        <v>-9.7145699777550498E-2</v>
      </c>
      <c r="M199" s="132">
        <v>-9.7145699777550498E-2</v>
      </c>
    </row>
    <row r="200" spans="5:13" x14ac:dyDescent="0.55000000000000004">
      <c r="E200" s="143">
        <v>42279</v>
      </c>
      <c r="F200" s="142">
        <v>1951.36</v>
      </c>
      <c r="K200" s="132">
        <v>-8.4221097981059034E-2</v>
      </c>
      <c r="M200" s="132">
        <v>-8.4221097981059034E-2</v>
      </c>
    </row>
    <row r="201" spans="5:13" x14ac:dyDescent="0.55000000000000004">
      <c r="E201" s="143">
        <v>42282</v>
      </c>
      <c r="F201" s="142">
        <v>1987.05</v>
      </c>
      <c r="K201" s="132">
        <v>-6.7471677570137389E-2</v>
      </c>
      <c r="M201" s="132">
        <v>-6.7471677570137389E-2</v>
      </c>
    </row>
    <row r="202" spans="5:13" x14ac:dyDescent="0.55000000000000004">
      <c r="E202" s="143">
        <v>42283</v>
      </c>
      <c r="F202" s="142">
        <v>1979.92</v>
      </c>
      <c r="K202" s="132">
        <v>-7.0817807229141883E-2</v>
      </c>
      <c r="M202" s="132">
        <v>-7.0817807229141883E-2</v>
      </c>
    </row>
    <row r="203" spans="5:13" x14ac:dyDescent="0.55000000000000004">
      <c r="E203" s="143">
        <v>42284</v>
      </c>
      <c r="F203" s="142">
        <v>1995.83</v>
      </c>
      <c r="K203" s="132">
        <v>-6.3351198130297326E-2</v>
      </c>
      <c r="M203" s="132">
        <v>-6.3351198130297326E-2</v>
      </c>
    </row>
    <row r="204" spans="5:13" x14ac:dyDescent="0.55000000000000004">
      <c r="E204" s="143">
        <v>42285</v>
      </c>
      <c r="F204" s="142">
        <v>2013.43</v>
      </c>
      <c r="K204" s="132">
        <v>-5.5091467134718131E-2</v>
      </c>
      <c r="M204" s="132">
        <v>-5.5091467134718131E-2</v>
      </c>
    </row>
    <row r="205" spans="5:13" x14ac:dyDescent="0.55000000000000004">
      <c r="E205" s="143">
        <v>42286</v>
      </c>
      <c r="F205" s="142">
        <v>2014.89</v>
      </c>
      <c r="K205" s="132">
        <v>-5.4406284904403024E-2</v>
      </c>
      <c r="M205" s="132">
        <v>-5.4406284904403024E-2</v>
      </c>
    </row>
    <row r="206" spans="5:13" x14ac:dyDescent="0.55000000000000004">
      <c r="E206" s="143">
        <v>42289</v>
      </c>
      <c r="F206" s="142">
        <v>2017.46</v>
      </c>
      <c r="K206" s="132">
        <v>-5.3200176457889548E-2</v>
      </c>
      <c r="M206" s="132">
        <v>-5.3200176457889548E-2</v>
      </c>
    </row>
    <row r="207" spans="5:13" x14ac:dyDescent="0.55000000000000004">
      <c r="E207" s="143">
        <v>42290</v>
      </c>
      <c r="F207" s="142">
        <v>2003.69</v>
      </c>
      <c r="K207" s="132">
        <v>-5.9662477356135279E-2</v>
      </c>
      <c r="M207" s="132">
        <v>-5.9662477356135279E-2</v>
      </c>
    </row>
    <row r="208" spans="5:13" x14ac:dyDescent="0.55000000000000004">
      <c r="E208" s="143">
        <v>42291</v>
      </c>
      <c r="F208" s="142">
        <v>1994.24</v>
      </c>
      <c r="K208" s="132">
        <v>-6.4097389737284294E-2</v>
      </c>
      <c r="M208" s="132">
        <v>-6.4097389737284294E-2</v>
      </c>
    </row>
    <row r="209" spans="5:13" x14ac:dyDescent="0.55000000000000004">
      <c r="E209" s="143">
        <v>42292</v>
      </c>
      <c r="F209" s="142">
        <v>2023.86</v>
      </c>
      <c r="K209" s="132">
        <v>-5.0196637914042608E-2</v>
      </c>
      <c r="M209" s="132">
        <v>-5.0196637914042608E-2</v>
      </c>
    </row>
    <row r="210" spans="5:13" x14ac:dyDescent="0.55000000000000004">
      <c r="E210" s="143">
        <v>42293</v>
      </c>
      <c r="F210" s="142">
        <v>2033.11</v>
      </c>
      <c r="K210" s="132">
        <v>-4.5855586112388824E-2</v>
      </c>
      <c r="M210" s="132">
        <v>-4.5855586112388824E-2</v>
      </c>
    </row>
    <row r="211" spans="5:13" x14ac:dyDescent="0.55000000000000004">
      <c r="E211" s="143">
        <v>42296</v>
      </c>
      <c r="F211" s="142">
        <v>2033.66</v>
      </c>
      <c r="K211" s="132">
        <v>-4.5597469518776856E-2</v>
      </c>
      <c r="M211" s="132">
        <v>-4.5597469518776856E-2</v>
      </c>
    </row>
    <row r="212" spans="5:13" x14ac:dyDescent="0.55000000000000004">
      <c r="E212" s="143">
        <v>42297</v>
      </c>
      <c r="F212" s="142">
        <v>2030.77</v>
      </c>
      <c r="K212" s="132">
        <v>-4.6953754892482769E-2</v>
      </c>
      <c r="M212" s="132">
        <v>-4.6953754892482769E-2</v>
      </c>
    </row>
    <row r="213" spans="5:13" x14ac:dyDescent="0.55000000000000004">
      <c r="E213" s="143">
        <v>42298</v>
      </c>
      <c r="F213" s="142">
        <v>2018.94</v>
      </c>
      <c r="K213" s="132">
        <v>-5.2505608169624907E-2</v>
      </c>
      <c r="M213" s="132">
        <v>-5.2505608169624907E-2</v>
      </c>
    </row>
    <row r="214" spans="5:13" x14ac:dyDescent="0.55000000000000004">
      <c r="E214" s="143">
        <v>42299</v>
      </c>
      <c r="F214" s="142">
        <v>2052.5100000000002</v>
      </c>
      <c r="K214" s="132">
        <v>-3.6751109901352552E-2</v>
      </c>
      <c r="M214" s="132">
        <v>-3.6751109901352552E-2</v>
      </c>
    </row>
    <row r="215" spans="5:13" x14ac:dyDescent="0.55000000000000004">
      <c r="E215" s="143">
        <v>42300</v>
      </c>
      <c r="F215" s="142">
        <v>2075.15</v>
      </c>
      <c r="K215" s="132">
        <v>-2.6126092302493853E-2</v>
      </c>
      <c r="M215" s="132">
        <v>-2.6126092302493853E-2</v>
      </c>
    </row>
    <row r="216" spans="5:13" x14ac:dyDescent="0.55000000000000004">
      <c r="E216" s="143">
        <v>42303</v>
      </c>
      <c r="F216" s="142">
        <v>2071.1799999999998</v>
      </c>
      <c r="K216" s="132">
        <v>-2.7989224805474056E-2</v>
      </c>
      <c r="M216" s="132">
        <v>-2.7989224805474056E-2</v>
      </c>
    </row>
    <row r="217" spans="5:13" x14ac:dyDescent="0.55000000000000004">
      <c r="E217" s="143">
        <v>42304</v>
      </c>
      <c r="F217" s="142">
        <v>2065.89</v>
      </c>
      <c r="K217" s="132">
        <v>-3.0471837133122626E-2</v>
      </c>
      <c r="M217" s="132">
        <v>-3.0471837133122626E-2</v>
      </c>
    </row>
    <row r="218" spans="5:13" x14ac:dyDescent="0.55000000000000004">
      <c r="E218" s="143">
        <v>42305</v>
      </c>
      <c r="F218" s="142">
        <v>2090.35</v>
      </c>
      <c r="K218" s="132">
        <v>-1.8992688260857427E-2</v>
      </c>
      <c r="M218" s="132">
        <v>-1.8992688260857427E-2</v>
      </c>
    </row>
    <row r="219" spans="5:13" x14ac:dyDescent="0.55000000000000004">
      <c r="E219" s="143">
        <v>42306</v>
      </c>
      <c r="F219" s="142">
        <v>2089.41</v>
      </c>
      <c r="K219" s="132">
        <v>-1.9433832984484978E-2</v>
      </c>
      <c r="M219" s="132">
        <v>-1.9433832984484978E-2</v>
      </c>
    </row>
    <row r="220" spans="5:13" x14ac:dyDescent="0.55000000000000004">
      <c r="E220" s="143">
        <v>42307</v>
      </c>
      <c r="F220" s="142">
        <v>2079.36</v>
      </c>
      <c r="K220" s="132">
        <v>-2.4150327104119573E-2</v>
      </c>
      <c r="M220" s="132">
        <v>-2.4150327104119573E-2</v>
      </c>
    </row>
    <row r="221" spans="5:13" x14ac:dyDescent="0.55000000000000004">
      <c r="E221" s="143">
        <v>42310</v>
      </c>
      <c r="F221" s="142">
        <v>2104.0500000000002</v>
      </c>
      <c r="K221" s="132">
        <v>-1.2563238565434842E-2</v>
      </c>
      <c r="M221" s="132">
        <v>-1.2563238565434842E-2</v>
      </c>
    </row>
    <row r="222" spans="5:13" x14ac:dyDescent="0.55000000000000004">
      <c r="E222" s="143">
        <v>42311</v>
      </c>
      <c r="F222" s="142">
        <v>2109.79</v>
      </c>
      <c r="K222" s="132">
        <v>-9.8694399339221972E-3</v>
      </c>
      <c r="M222" s="132">
        <v>-9.8694399339221972E-3</v>
      </c>
    </row>
    <row r="223" spans="5:13" x14ac:dyDescent="0.55000000000000004">
      <c r="E223" s="143">
        <v>42312</v>
      </c>
      <c r="F223" s="142">
        <v>2102.31</v>
      </c>
      <c r="K223" s="132">
        <v>-1.3379825607043427E-2</v>
      </c>
      <c r="M223" s="132">
        <v>-1.3379825607043427E-2</v>
      </c>
    </row>
    <row r="224" spans="5:13" x14ac:dyDescent="0.55000000000000004">
      <c r="E224" s="143">
        <v>42313</v>
      </c>
      <c r="F224" s="142">
        <v>2099.9299999999998</v>
      </c>
      <c r="K224" s="132">
        <v>-1.4496766503036551E-2</v>
      </c>
      <c r="M224" s="132">
        <v>-1.4496766503036551E-2</v>
      </c>
    </row>
    <row r="225" spans="5:13" x14ac:dyDescent="0.55000000000000004">
      <c r="E225" s="143">
        <v>42314</v>
      </c>
      <c r="F225" s="142">
        <v>2099.1999999999998</v>
      </c>
      <c r="K225" s="132">
        <v>-1.4839357618194104E-2</v>
      </c>
      <c r="M225" s="132">
        <v>-1.4839357618194104E-2</v>
      </c>
    </row>
    <row r="226" spans="5:13" x14ac:dyDescent="0.55000000000000004">
      <c r="E226" s="143">
        <v>42317</v>
      </c>
      <c r="F226" s="142">
        <v>2078.58</v>
      </c>
      <c r="K226" s="132">
        <v>-2.4516383364150962E-2</v>
      </c>
      <c r="M226" s="132">
        <v>-2.4516383364150962E-2</v>
      </c>
    </row>
    <row r="227" spans="5:13" x14ac:dyDescent="0.55000000000000004">
      <c r="E227" s="143">
        <v>42318</v>
      </c>
      <c r="F227" s="142">
        <v>2081.7199999999998</v>
      </c>
      <c r="K227" s="132">
        <v>-2.3042772266076095E-2</v>
      </c>
      <c r="M227" s="132">
        <v>-2.3042772266076095E-2</v>
      </c>
    </row>
    <row r="228" spans="5:13" x14ac:dyDescent="0.55000000000000004">
      <c r="E228" s="143">
        <v>42319</v>
      </c>
      <c r="F228" s="142">
        <v>2075</v>
      </c>
      <c r="K228" s="132">
        <v>-2.6196487737115359E-2</v>
      </c>
      <c r="M228" s="132">
        <v>-2.6196487737115359E-2</v>
      </c>
    </row>
    <row r="229" spans="5:13" x14ac:dyDescent="0.55000000000000004">
      <c r="E229" s="143">
        <v>42320</v>
      </c>
      <c r="F229" s="142">
        <v>2045.97</v>
      </c>
      <c r="K229" s="132">
        <v>-3.9820350850846231E-2</v>
      </c>
      <c r="M229" s="132">
        <v>-3.9820350850846231E-2</v>
      </c>
    </row>
    <row r="230" spans="5:13" x14ac:dyDescent="0.55000000000000004">
      <c r="E230" s="143">
        <v>42321</v>
      </c>
      <c r="F230" s="142">
        <v>2023.04</v>
      </c>
      <c r="K230" s="132">
        <v>-5.0581466289972954E-2</v>
      </c>
      <c r="M230" s="132">
        <v>-5.0581466289972954E-2</v>
      </c>
    </row>
    <row r="231" spans="5:13" x14ac:dyDescent="0.55000000000000004">
      <c r="E231" s="143">
        <v>42324</v>
      </c>
      <c r="F231" s="142">
        <v>2053.19</v>
      </c>
      <c r="K231" s="132">
        <v>-3.6431983931068834E-2</v>
      </c>
      <c r="M231" s="132">
        <v>-3.6431983931068834E-2</v>
      </c>
    </row>
    <row r="232" spans="5:13" x14ac:dyDescent="0.55000000000000004">
      <c r="E232" s="143">
        <v>42325</v>
      </c>
      <c r="F232" s="142">
        <v>2050.44</v>
      </c>
      <c r="K232" s="132">
        <v>-3.7722566899128118E-2</v>
      </c>
      <c r="M232" s="132">
        <v>-3.7722566899128118E-2</v>
      </c>
    </row>
    <row r="233" spans="5:13" x14ac:dyDescent="0.55000000000000004">
      <c r="E233" s="143">
        <v>42326</v>
      </c>
      <c r="F233" s="142">
        <v>2083.58</v>
      </c>
      <c r="K233" s="132">
        <v>-2.2169868876770527E-2</v>
      </c>
      <c r="M233" s="132">
        <v>-2.2169868876770527E-2</v>
      </c>
    </row>
    <row r="234" spans="5:13" x14ac:dyDescent="0.55000000000000004">
      <c r="E234" s="143">
        <v>42327</v>
      </c>
      <c r="F234" s="142">
        <v>2081.2399999999998</v>
      </c>
      <c r="K234" s="132">
        <v>-2.3268037656864693E-2</v>
      </c>
      <c r="M234" s="132">
        <v>-2.3268037656864693E-2</v>
      </c>
    </row>
    <row r="235" spans="5:13" x14ac:dyDescent="0.55000000000000004">
      <c r="E235" s="143">
        <v>42328</v>
      </c>
      <c r="F235" s="142">
        <v>2089.17</v>
      </c>
      <c r="K235" s="132">
        <v>-1.9546465679879166E-2</v>
      </c>
      <c r="M235" s="132">
        <v>-1.9546465679879166E-2</v>
      </c>
    </row>
    <row r="236" spans="5:13" x14ac:dyDescent="0.55000000000000004">
      <c r="E236" s="143">
        <v>42331</v>
      </c>
      <c r="F236" s="142">
        <v>2086.59</v>
      </c>
      <c r="K236" s="132">
        <v>-2.0757267155367409E-2</v>
      </c>
      <c r="M236" s="132">
        <v>-2.0757267155367409E-2</v>
      </c>
    </row>
    <row r="237" spans="5:13" x14ac:dyDescent="0.55000000000000004">
      <c r="E237" s="143">
        <v>42332</v>
      </c>
      <c r="F237" s="142">
        <v>2089.14</v>
      </c>
      <c r="K237" s="132">
        <v>-1.9560544766803578E-2</v>
      </c>
      <c r="M237" s="132">
        <v>-1.9560544766803578E-2</v>
      </c>
    </row>
    <row r="238" spans="5:13" x14ac:dyDescent="0.55000000000000004">
      <c r="E238" s="143">
        <v>42333</v>
      </c>
      <c r="F238" s="142">
        <v>2088.87</v>
      </c>
      <c r="K238" s="132">
        <v>-1.9687256549122067E-2</v>
      </c>
      <c r="M238" s="132">
        <v>-1.9687256549122067E-2</v>
      </c>
    </row>
    <row r="239" spans="5:13" x14ac:dyDescent="0.55000000000000004">
      <c r="E239" s="143">
        <v>42335</v>
      </c>
      <c r="F239" s="142">
        <v>2090.11</v>
      </c>
      <c r="K239" s="132">
        <v>-1.9105320956251615E-2</v>
      </c>
      <c r="M239" s="132">
        <v>-1.9105320956251615E-2</v>
      </c>
    </row>
    <row r="240" spans="5:13" x14ac:dyDescent="0.55000000000000004">
      <c r="E240" s="143">
        <v>42338</v>
      </c>
      <c r="F240" s="142">
        <v>2080.41</v>
      </c>
      <c r="K240" s="132">
        <v>-2.3657559061769806E-2</v>
      </c>
      <c r="M240" s="132">
        <v>-2.3657559061769806E-2</v>
      </c>
    </row>
    <row r="241" spans="5:13" x14ac:dyDescent="0.55000000000000004">
      <c r="E241" s="143">
        <v>42339</v>
      </c>
      <c r="F241" s="142">
        <v>2102.63</v>
      </c>
      <c r="K241" s="132">
        <v>-1.3229648679850992E-2</v>
      </c>
      <c r="M241" s="132">
        <v>-1.3229648679850992E-2</v>
      </c>
    </row>
    <row r="242" spans="5:13" x14ac:dyDescent="0.55000000000000004">
      <c r="E242" s="143">
        <v>42340</v>
      </c>
      <c r="F242" s="142">
        <v>2079.5100000000002</v>
      </c>
      <c r="K242" s="132">
        <v>-2.4079931669498067E-2</v>
      </c>
      <c r="M242" s="132">
        <v>-2.4079931669498067E-2</v>
      </c>
    </row>
    <row r="243" spans="5:13" x14ac:dyDescent="0.55000000000000004">
      <c r="E243" s="143">
        <v>42341</v>
      </c>
      <c r="F243" s="142">
        <v>2049.62</v>
      </c>
      <c r="K243" s="132">
        <v>-3.8107395275058575E-2</v>
      </c>
      <c r="M243" s="132">
        <v>-3.8107395275058575E-2</v>
      </c>
    </row>
    <row r="244" spans="5:13" x14ac:dyDescent="0.55000000000000004">
      <c r="E244" s="143">
        <v>42342</v>
      </c>
      <c r="F244" s="142">
        <v>2091.69</v>
      </c>
      <c r="K244" s="132">
        <v>-1.8363822378239414E-2</v>
      </c>
      <c r="M244" s="132">
        <v>-1.8363822378239414E-2</v>
      </c>
    </row>
    <row r="245" spans="5:13" x14ac:dyDescent="0.55000000000000004">
      <c r="E245" s="143">
        <v>42345</v>
      </c>
      <c r="F245" s="142">
        <v>2077.0700000000002</v>
      </c>
      <c r="K245" s="132">
        <v>-2.5225030739339793E-2</v>
      </c>
      <c r="M245" s="132">
        <v>-2.5225030739339793E-2</v>
      </c>
    </row>
    <row r="246" spans="5:13" x14ac:dyDescent="0.55000000000000004">
      <c r="E246" s="143">
        <v>42346</v>
      </c>
      <c r="F246" s="142">
        <v>2063.59</v>
      </c>
      <c r="K246" s="132">
        <v>-3.1551233797317502E-2</v>
      </c>
      <c r="M246" s="132">
        <v>-3.1551233797317502E-2</v>
      </c>
    </row>
    <row r="247" spans="5:13" x14ac:dyDescent="0.55000000000000004">
      <c r="E247" s="143">
        <v>42347</v>
      </c>
      <c r="F247" s="142">
        <v>2047.62</v>
      </c>
      <c r="K247" s="132">
        <v>-3.9046001070010772E-2</v>
      </c>
      <c r="M247" s="132">
        <v>-3.9046001070010772E-2</v>
      </c>
    </row>
    <row r="248" spans="5:13" x14ac:dyDescent="0.55000000000000004">
      <c r="E248" s="143">
        <v>42348</v>
      </c>
      <c r="F248" s="142">
        <v>2052.23</v>
      </c>
      <c r="K248" s="132">
        <v>-3.688251471264592E-2</v>
      </c>
      <c r="M248" s="132">
        <v>-3.688251471264592E-2</v>
      </c>
    </row>
    <row r="249" spans="5:13" x14ac:dyDescent="0.55000000000000004">
      <c r="E249" s="143">
        <v>42349</v>
      </c>
      <c r="F249" s="142">
        <v>2012.37</v>
      </c>
      <c r="K249" s="132">
        <v>-5.5588928206042887E-2</v>
      </c>
      <c r="M249" s="132">
        <v>-5.5588928206042887E-2</v>
      </c>
    </row>
    <row r="250" spans="5:13" x14ac:dyDescent="0.55000000000000004">
      <c r="E250" s="143">
        <v>42352</v>
      </c>
      <c r="F250" s="142">
        <v>2021.94</v>
      </c>
      <c r="K250" s="132">
        <v>-5.1097699477196667E-2</v>
      </c>
      <c r="M250" s="132">
        <v>-5.1097699477196667E-2</v>
      </c>
    </row>
    <row r="251" spans="5:13" x14ac:dyDescent="0.55000000000000004">
      <c r="E251" s="143">
        <v>42353</v>
      </c>
      <c r="F251" s="142">
        <v>2043.41</v>
      </c>
      <c r="K251" s="132">
        <v>-4.102176626838494E-2</v>
      </c>
      <c r="M251" s="132">
        <v>-4.102176626838494E-2</v>
      </c>
    </row>
    <row r="252" spans="5:13" x14ac:dyDescent="0.55000000000000004">
      <c r="E252" s="143">
        <v>42354</v>
      </c>
      <c r="F252" s="142">
        <v>2073.0700000000002</v>
      </c>
      <c r="K252" s="132">
        <v>-2.7102242329244186E-2</v>
      </c>
      <c r="M252" s="132">
        <v>-2.7102242329244186E-2</v>
      </c>
    </row>
    <row r="253" spans="5:13" x14ac:dyDescent="0.55000000000000004">
      <c r="E253" s="143">
        <v>42355</v>
      </c>
      <c r="F253" s="142">
        <v>2041.89</v>
      </c>
      <c r="K253" s="132">
        <v>-4.173510667254865E-2</v>
      </c>
      <c r="M253" s="132">
        <v>-4.173510667254865E-2</v>
      </c>
    </row>
    <row r="254" spans="5:13" x14ac:dyDescent="0.55000000000000004">
      <c r="E254" s="143">
        <v>42356</v>
      </c>
      <c r="F254" s="142">
        <v>2005.55</v>
      </c>
      <c r="K254" s="132">
        <v>-5.8789573966829711E-2</v>
      </c>
      <c r="M254" s="132">
        <v>-5.8789573966829711E-2</v>
      </c>
    </row>
    <row r="255" spans="5:13" x14ac:dyDescent="0.55000000000000004">
      <c r="E255" s="143">
        <v>42359</v>
      </c>
      <c r="F255" s="142">
        <v>2021.15</v>
      </c>
      <c r="K255" s="132">
        <v>-5.1468448766202712E-2</v>
      </c>
      <c r="M255" s="132">
        <v>-5.1468448766202712E-2</v>
      </c>
    </row>
    <row r="256" spans="5:13" x14ac:dyDescent="0.55000000000000004">
      <c r="E256" s="143">
        <v>42360</v>
      </c>
      <c r="F256" s="142">
        <v>2038.97</v>
      </c>
      <c r="K256" s="132">
        <v>-4.3105471133178863E-2</v>
      </c>
      <c r="M256" s="132">
        <v>-4.3105471133178863E-2</v>
      </c>
    </row>
    <row r="257" spans="5:13" x14ac:dyDescent="0.55000000000000004">
      <c r="E257" s="143">
        <v>42361</v>
      </c>
      <c r="F257" s="142">
        <v>2064.29</v>
      </c>
      <c r="K257" s="132">
        <v>-3.122272176908425E-2</v>
      </c>
      <c r="M257" s="132">
        <v>-3.122272176908425E-2</v>
      </c>
    </row>
    <row r="258" spans="5:13" x14ac:dyDescent="0.55000000000000004">
      <c r="E258" s="143">
        <v>42362</v>
      </c>
      <c r="F258" s="142">
        <v>2060.9899999999998</v>
      </c>
      <c r="K258" s="132">
        <v>-3.2771421330755501E-2</v>
      </c>
      <c r="M258" s="132">
        <v>-3.2771421330755501E-2</v>
      </c>
    </row>
    <row r="259" spans="5:13" x14ac:dyDescent="0.55000000000000004">
      <c r="E259" s="143">
        <v>42366</v>
      </c>
      <c r="F259" s="142">
        <v>2056.5</v>
      </c>
      <c r="K259" s="132">
        <v>-3.4878591340423037E-2</v>
      </c>
      <c r="M259" s="132">
        <v>-3.4878591340423037E-2</v>
      </c>
    </row>
    <row r="260" spans="5:13" x14ac:dyDescent="0.55000000000000004">
      <c r="E260" s="143">
        <v>42367</v>
      </c>
      <c r="F260" s="142">
        <v>2078.36</v>
      </c>
      <c r="K260" s="132">
        <v>-2.4619630001595616E-2</v>
      </c>
      <c r="M260" s="132">
        <v>-2.4619630001595616E-2</v>
      </c>
    </row>
    <row r="261" spans="5:13" x14ac:dyDescent="0.55000000000000004">
      <c r="E261" s="143">
        <v>42368</v>
      </c>
      <c r="F261" s="142">
        <v>2063.36</v>
      </c>
      <c r="K261" s="132">
        <v>-3.1659173463737034E-2</v>
      </c>
      <c r="M261" s="132">
        <v>-3.1659173463737034E-2</v>
      </c>
    </row>
    <row r="262" spans="5:13" x14ac:dyDescent="0.55000000000000004">
      <c r="E262" s="143">
        <v>42369</v>
      </c>
      <c r="F262" s="142">
        <v>2043.94</v>
      </c>
      <c r="K262" s="132">
        <v>-4.0773035732722618E-2</v>
      </c>
      <c r="M262" s="132">
        <v>-4.0773035732722618E-2</v>
      </c>
    </row>
    <row r="263" spans="5:13" x14ac:dyDescent="0.55000000000000004">
      <c r="E263" s="143">
        <v>42373</v>
      </c>
      <c r="F263" s="142">
        <v>2012.66</v>
      </c>
      <c r="K263" s="132">
        <v>-5.5452830365774752E-2</v>
      </c>
      <c r="M263" s="132">
        <v>-5.5452830365774752E-2</v>
      </c>
    </row>
    <row r="264" spans="5:13" x14ac:dyDescent="0.55000000000000004">
      <c r="E264" s="143">
        <v>42374</v>
      </c>
      <c r="F264" s="142">
        <v>2016.71</v>
      </c>
      <c r="K264" s="132">
        <v>-5.3552153630996524E-2</v>
      </c>
      <c r="M264" s="132">
        <v>-5.3552153630996524E-2</v>
      </c>
    </row>
    <row r="265" spans="5:13" x14ac:dyDescent="0.55000000000000004">
      <c r="E265" s="143">
        <v>42375</v>
      </c>
      <c r="F265" s="142">
        <v>1990.26</v>
      </c>
      <c r="K265" s="132">
        <v>-6.5965215269239152E-2</v>
      </c>
      <c r="M265" s="132">
        <v>-6.5965215269239152E-2</v>
      </c>
    </row>
    <row r="266" spans="5:13" x14ac:dyDescent="0.55000000000000004">
      <c r="E266" s="143">
        <v>42376</v>
      </c>
      <c r="F266" s="142">
        <v>1943.09</v>
      </c>
      <c r="K266" s="132">
        <v>-8.8102232943186309E-2</v>
      </c>
      <c r="M266" s="132">
        <v>-8.8102232943186309E-2</v>
      </c>
    </row>
    <row r="267" spans="5:13" x14ac:dyDescent="0.55000000000000004">
      <c r="E267" s="143">
        <v>42377</v>
      </c>
      <c r="F267" s="142">
        <v>1922.03</v>
      </c>
      <c r="K267" s="132">
        <v>-9.7985751964032697E-2</v>
      </c>
      <c r="M267" s="132">
        <v>-9.7985751964032697E-2</v>
      </c>
    </row>
    <row r="268" spans="5:13" x14ac:dyDescent="0.55000000000000004">
      <c r="E268" s="143">
        <v>42380</v>
      </c>
      <c r="F268" s="142">
        <v>1923.67</v>
      </c>
      <c r="K268" s="132">
        <v>-9.7216095212171894E-2</v>
      </c>
      <c r="M268" s="132">
        <v>-9.7216095212171894E-2</v>
      </c>
    </row>
    <row r="269" spans="5:13" x14ac:dyDescent="0.55000000000000004">
      <c r="E269" s="143">
        <v>42381</v>
      </c>
      <c r="F269" s="142">
        <v>1938.68</v>
      </c>
      <c r="K269" s="132">
        <v>-9.017185872105582E-2</v>
      </c>
      <c r="M269" s="132">
        <v>-9.017185872105582E-2</v>
      </c>
    </row>
    <row r="270" spans="5:13" x14ac:dyDescent="0.55000000000000004">
      <c r="E270" s="143">
        <v>42382</v>
      </c>
      <c r="F270" s="142">
        <v>1890.28</v>
      </c>
      <c r="K270" s="132">
        <v>-0.11288611895889855</v>
      </c>
      <c r="M270" s="132">
        <v>-0.11288611895889855</v>
      </c>
    </row>
    <row r="271" spans="5:13" x14ac:dyDescent="0.55000000000000004">
      <c r="E271" s="143">
        <v>42383</v>
      </c>
      <c r="F271" s="142">
        <v>1921.84</v>
      </c>
      <c r="K271" s="132">
        <v>-9.807491951455316E-2</v>
      </c>
      <c r="M271" s="132">
        <v>-9.807491951455316E-2</v>
      </c>
    </row>
    <row r="272" spans="5:13" x14ac:dyDescent="0.55000000000000004">
      <c r="E272" s="143">
        <v>42384</v>
      </c>
      <c r="F272" s="142">
        <v>1880.33</v>
      </c>
      <c r="K272" s="132">
        <v>-0.11755568278878559</v>
      </c>
      <c r="M272" s="132">
        <v>-0.11755568278878559</v>
      </c>
    </row>
    <row r="273" spans="5:13" x14ac:dyDescent="0.55000000000000004">
      <c r="E273" s="143">
        <v>42388</v>
      </c>
      <c r="F273" s="142">
        <v>1881.33</v>
      </c>
      <c r="K273" s="132">
        <v>-0.11708637989130954</v>
      </c>
      <c r="M273" s="132">
        <v>-0.11708637989130954</v>
      </c>
    </row>
    <row r="274" spans="5:13" x14ac:dyDescent="0.55000000000000004">
      <c r="E274" s="143">
        <v>42389</v>
      </c>
      <c r="F274" s="142">
        <v>1859.33</v>
      </c>
      <c r="K274" s="132">
        <v>-0.12741104363578348</v>
      </c>
      <c r="M274" s="132">
        <v>-0.12741104363578348</v>
      </c>
    </row>
    <row r="275" spans="5:13" x14ac:dyDescent="0.55000000000000004">
      <c r="E275" s="143">
        <v>42390</v>
      </c>
      <c r="F275" s="142">
        <v>1868.99</v>
      </c>
      <c r="K275" s="132">
        <v>-0.12287757764616447</v>
      </c>
      <c r="M275" s="132">
        <v>-0.12287757764616447</v>
      </c>
    </row>
    <row r="276" spans="5:13" x14ac:dyDescent="0.55000000000000004">
      <c r="E276" s="143">
        <v>42391</v>
      </c>
      <c r="F276" s="142">
        <v>1906.9</v>
      </c>
      <c r="K276" s="132">
        <v>-0.10508630480284586</v>
      </c>
      <c r="M276" s="132">
        <v>-0.10508630480284586</v>
      </c>
    </row>
    <row r="277" spans="5:13" x14ac:dyDescent="0.55000000000000004">
      <c r="E277" s="143">
        <v>42394</v>
      </c>
      <c r="F277" s="142">
        <v>1877.08</v>
      </c>
      <c r="K277" s="132">
        <v>-0.11908091720558289</v>
      </c>
      <c r="M277" s="132">
        <v>-0.11908091720558289</v>
      </c>
    </row>
    <row r="278" spans="5:13" x14ac:dyDescent="0.55000000000000004">
      <c r="E278" s="143">
        <v>42395</v>
      </c>
      <c r="F278" s="142">
        <v>1903.63</v>
      </c>
      <c r="K278" s="132">
        <v>-0.1066209252775927</v>
      </c>
      <c r="M278" s="132">
        <v>-0.1066209252775927</v>
      </c>
    </row>
    <row r="279" spans="5:13" x14ac:dyDescent="0.55000000000000004">
      <c r="E279" s="143">
        <v>42396</v>
      </c>
      <c r="F279" s="142">
        <v>1882.95</v>
      </c>
      <c r="K279" s="132">
        <v>-0.11632610919739828</v>
      </c>
      <c r="M279" s="132">
        <v>-0.11632610919739828</v>
      </c>
    </row>
    <row r="280" spans="5:13" x14ac:dyDescent="0.55000000000000004">
      <c r="E280" s="143">
        <v>42397</v>
      </c>
      <c r="F280" s="142">
        <v>1893.36</v>
      </c>
      <c r="K280" s="132">
        <v>-0.11144066603467218</v>
      </c>
      <c r="M280" s="132">
        <v>-0.11144066603467218</v>
      </c>
    </row>
    <row r="281" spans="5:13" x14ac:dyDescent="0.55000000000000004">
      <c r="E281" s="143">
        <v>42398</v>
      </c>
      <c r="F281" s="142">
        <v>1940.24</v>
      </c>
      <c r="K281" s="132">
        <v>-8.9439746200993153E-2</v>
      </c>
      <c r="M281" s="132">
        <v>-8.9439746200993153E-2</v>
      </c>
    </row>
    <row r="282" spans="5:13" x14ac:dyDescent="0.55000000000000004">
      <c r="E282" s="143">
        <v>42401</v>
      </c>
      <c r="F282" s="142">
        <v>1939.38</v>
      </c>
      <c r="K282" s="132">
        <v>-8.9843346692822457E-2</v>
      </c>
      <c r="M282" s="132">
        <v>-8.9843346692822457E-2</v>
      </c>
    </row>
    <row r="283" spans="5:13" x14ac:dyDescent="0.55000000000000004">
      <c r="E283" s="143">
        <v>42402</v>
      </c>
      <c r="F283" s="142">
        <v>1903.03</v>
      </c>
      <c r="K283" s="132">
        <v>-0.1069025070160784</v>
      </c>
      <c r="M283" s="132">
        <v>-0.1069025070160784</v>
      </c>
    </row>
    <row r="284" spans="5:13" x14ac:dyDescent="0.55000000000000004">
      <c r="E284" s="143">
        <v>42403</v>
      </c>
      <c r="F284" s="142">
        <v>1912.53</v>
      </c>
      <c r="K284" s="132">
        <v>-0.10244412949005555</v>
      </c>
      <c r="M284" s="132">
        <v>-0.10244412949005555</v>
      </c>
    </row>
    <row r="285" spans="5:13" x14ac:dyDescent="0.55000000000000004">
      <c r="E285" s="143">
        <v>42404</v>
      </c>
      <c r="F285" s="142">
        <v>1915.45</v>
      </c>
      <c r="K285" s="132">
        <v>-0.10107376502942533</v>
      </c>
      <c r="M285" s="132">
        <v>-0.10107376502942533</v>
      </c>
    </row>
    <row r="286" spans="5:13" x14ac:dyDescent="0.55000000000000004">
      <c r="E286" s="143">
        <v>42405</v>
      </c>
      <c r="F286" s="142">
        <v>1880.05</v>
      </c>
      <c r="K286" s="132">
        <v>-0.11768708760007895</v>
      </c>
      <c r="M286" s="132">
        <v>-0.11768708760007895</v>
      </c>
    </row>
    <row r="287" spans="5:13" x14ac:dyDescent="0.55000000000000004">
      <c r="E287" s="143">
        <v>42408</v>
      </c>
      <c r="F287" s="142">
        <v>1853.44</v>
      </c>
      <c r="K287" s="132">
        <v>-0.13017523770191763</v>
      </c>
      <c r="M287" s="132">
        <v>-0.13017523770191763</v>
      </c>
    </row>
    <row r="288" spans="5:13" x14ac:dyDescent="0.55000000000000004">
      <c r="E288" s="143">
        <v>42409</v>
      </c>
      <c r="F288" s="142">
        <v>1852.21</v>
      </c>
      <c r="K288" s="132">
        <v>-0.13075248026581321</v>
      </c>
      <c r="M288" s="132">
        <v>-0.13075248026581321</v>
      </c>
    </row>
    <row r="289" spans="5:13" x14ac:dyDescent="0.55000000000000004">
      <c r="E289" s="143">
        <v>42410</v>
      </c>
      <c r="F289" s="142">
        <v>1851.86</v>
      </c>
      <c r="K289" s="132">
        <v>-0.13091673627992995</v>
      </c>
      <c r="M289" s="132">
        <v>-0.13091673627992995</v>
      </c>
    </row>
    <row r="290" spans="5:13" x14ac:dyDescent="0.55000000000000004">
      <c r="E290" s="143">
        <v>42411</v>
      </c>
      <c r="F290" s="142">
        <v>1829.08</v>
      </c>
      <c r="K290" s="132">
        <v>-0.14160745628443516</v>
      </c>
      <c r="M290" s="132">
        <v>-0.14160745628443516</v>
      </c>
    </row>
    <row r="291" spans="5:13" x14ac:dyDescent="0.55000000000000004">
      <c r="E291" s="143">
        <v>42412</v>
      </c>
      <c r="F291" s="142">
        <v>1864.78</v>
      </c>
      <c r="K291" s="132">
        <v>-0.12485334284453875</v>
      </c>
      <c r="M291" s="132">
        <v>-0.12485334284453875</v>
      </c>
    </row>
    <row r="292" spans="5:13" x14ac:dyDescent="0.55000000000000004">
      <c r="E292" s="143">
        <v>42416</v>
      </c>
      <c r="F292" s="142">
        <v>1895.58</v>
      </c>
      <c r="K292" s="132">
        <v>-0.11039881360227533</v>
      </c>
      <c r="M292" s="132">
        <v>-0.11039881360227533</v>
      </c>
    </row>
    <row r="293" spans="5:13" x14ac:dyDescent="0.55000000000000004">
      <c r="E293" s="143">
        <v>42417</v>
      </c>
      <c r="F293" s="142">
        <v>1926.82</v>
      </c>
      <c r="K293" s="132">
        <v>-9.5737791085122259E-2</v>
      </c>
      <c r="M293" s="132">
        <v>-9.5737791085122259E-2</v>
      </c>
    </row>
    <row r="294" spans="5:13" x14ac:dyDescent="0.55000000000000004">
      <c r="E294" s="143">
        <v>42418</v>
      </c>
      <c r="F294" s="142">
        <v>1917.83</v>
      </c>
      <c r="K294" s="132">
        <v>-9.995682413343232E-2</v>
      </c>
      <c r="M294" s="132">
        <v>-9.995682413343232E-2</v>
      </c>
    </row>
    <row r="295" spans="5:13" x14ac:dyDescent="0.55000000000000004">
      <c r="E295" s="143">
        <v>42419</v>
      </c>
      <c r="F295" s="142">
        <v>1917.78</v>
      </c>
      <c r="K295" s="132">
        <v>-9.9980289278306045E-2</v>
      </c>
      <c r="M295" s="132">
        <v>-9.9980289278306045E-2</v>
      </c>
    </row>
    <row r="296" spans="5:13" x14ac:dyDescent="0.55000000000000004">
      <c r="E296" s="143">
        <v>42422</v>
      </c>
      <c r="F296" s="142">
        <v>1945.5</v>
      </c>
      <c r="K296" s="132">
        <v>-8.6971212960268884E-2</v>
      </c>
      <c r="M296" s="132">
        <v>-8.6971212960268884E-2</v>
      </c>
    </row>
    <row r="297" spans="5:13" x14ac:dyDescent="0.55000000000000004">
      <c r="E297" s="143">
        <v>42423</v>
      </c>
      <c r="F297" s="142">
        <v>1921.27</v>
      </c>
      <c r="K297" s="132">
        <v>-9.8342422166114551E-2</v>
      </c>
      <c r="M297" s="132">
        <v>-9.8342422166114551E-2</v>
      </c>
    </row>
    <row r="298" spans="5:13" x14ac:dyDescent="0.55000000000000004">
      <c r="E298" s="143">
        <v>42424</v>
      </c>
      <c r="F298" s="142">
        <v>1929.8</v>
      </c>
      <c r="K298" s="132">
        <v>-9.4339268450643554E-2</v>
      </c>
      <c r="M298" s="132">
        <v>-9.4339268450643554E-2</v>
      </c>
    </row>
    <row r="299" spans="5:13" x14ac:dyDescent="0.55000000000000004">
      <c r="E299" s="143">
        <v>42425</v>
      </c>
      <c r="F299" s="142">
        <v>1951.7</v>
      </c>
      <c r="K299" s="132">
        <v>-8.4061534995917064E-2</v>
      </c>
      <c r="M299" s="132">
        <v>-8.4061534995917064E-2</v>
      </c>
    </row>
    <row r="300" spans="5:13" x14ac:dyDescent="0.55000000000000004">
      <c r="E300" s="143">
        <v>42426</v>
      </c>
      <c r="F300" s="142">
        <v>1948.05</v>
      </c>
      <c r="K300" s="132">
        <v>-8.5774490571704831E-2</v>
      </c>
      <c r="M300" s="132">
        <v>-8.5774490571704831E-2</v>
      </c>
    </row>
    <row r="301" spans="5:13" x14ac:dyDescent="0.55000000000000004">
      <c r="E301" s="143">
        <v>42429</v>
      </c>
      <c r="F301" s="142">
        <v>1932.23</v>
      </c>
      <c r="K301" s="132">
        <v>-9.3198862409776595E-2</v>
      </c>
      <c r="M301" s="132">
        <v>-9.3198862409776595E-2</v>
      </c>
    </row>
    <row r="302" spans="5:13" x14ac:dyDescent="0.55000000000000004">
      <c r="E302" s="143">
        <v>42430</v>
      </c>
      <c r="F302" s="142">
        <v>1978.35</v>
      </c>
      <c r="K302" s="132">
        <v>-7.1554612778179427E-2</v>
      </c>
      <c r="M302" s="132">
        <v>-7.1554612778179427E-2</v>
      </c>
    </row>
    <row r="303" spans="5:13" x14ac:dyDescent="0.55000000000000004">
      <c r="E303" s="143">
        <v>42431</v>
      </c>
      <c r="F303" s="142">
        <v>1986.45</v>
      </c>
      <c r="K303" s="132">
        <v>-6.7753259308622971E-2</v>
      </c>
      <c r="M303" s="132">
        <v>-6.7753259308622971E-2</v>
      </c>
    </row>
    <row r="304" spans="5:13" x14ac:dyDescent="0.55000000000000004">
      <c r="E304" s="143">
        <v>42432</v>
      </c>
      <c r="F304" s="142">
        <v>1993.4</v>
      </c>
      <c r="K304" s="132">
        <v>-6.4491604171164174E-2</v>
      </c>
      <c r="M304" s="132">
        <v>-6.4491604171164174E-2</v>
      </c>
    </row>
    <row r="305" spans="5:13" x14ac:dyDescent="0.55000000000000004">
      <c r="E305" s="143">
        <v>42433</v>
      </c>
      <c r="F305" s="142">
        <v>1999.99</v>
      </c>
      <c r="K305" s="132">
        <v>-6.1398898076796771E-2</v>
      </c>
      <c r="M305" s="132">
        <v>-6.1398898076796771E-2</v>
      </c>
    </row>
    <row r="306" spans="5:13" x14ac:dyDescent="0.55000000000000004">
      <c r="E306" s="143">
        <v>42436</v>
      </c>
      <c r="F306" s="142">
        <v>2001.76</v>
      </c>
      <c r="K306" s="132">
        <v>-6.0568231948264106E-2</v>
      </c>
      <c r="M306" s="132">
        <v>-6.0568231948264106E-2</v>
      </c>
    </row>
    <row r="307" spans="5:13" x14ac:dyDescent="0.55000000000000004">
      <c r="E307" s="143">
        <v>42437</v>
      </c>
      <c r="F307" s="142">
        <v>1979.26</v>
      </c>
      <c r="K307" s="132">
        <v>-7.1127547141476177E-2</v>
      </c>
      <c r="M307" s="132">
        <v>-7.1127547141476177E-2</v>
      </c>
    </row>
    <row r="308" spans="5:13" x14ac:dyDescent="0.55000000000000004">
      <c r="E308" s="143">
        <v>42438</v>
      </c>
      <c r="F308" s="142">
        <v>1989.26</v>
      </c>
      <c r="K308" s="132">
        <v>-6.6434518166715195E-2</v>
      </c>
      <c r="M308" s="132">
        <v>-6.6434518166715195E-2</v>
      </c>
    </row>
    <row r="309" spans="5:13" x14ac:dyDescent="0.55000000000000004">
      <c r="E309" s="143">
        <v>42439</v>
      </c>
      <c r="F309" s="142">
        <v>1989.57</v>
      </c>
      <c r="K309" s="132">
        <v>-6.6289034268497637E-2</v>
      </c>
      <c r="M309" s="132">
        <v>-6.6289034268497637E-2</v>
      </c>
    </row>
    <row r="310" spans="5:13" x14ac:dyDescent="0.55000000000000004">
      <c r="E310" s="143">
        <v>42440</v>
      </c>
      <c r="F310" s="142">
        <v>2022.19</v>
      </c>
      <c r="K310" s="132">
        <v>-5.0980373752827601E-2</v>
      </c>
      <c r="M310" s="132">
        <v>-5.0980373752827601E-2</v>
      </c>
    </row>
    <row r="311" spans="5:13" x14ac:dyDescent="0.55000000000000004">
      <c r="E311" s="143">
        <v>42443</v>
      </c>
      <c r="F311" s="142">
        <v>2019.64</v>
      </c>
      <c r="K311" s="132">
        <v>-5.2177096141391655E-2</v>
      </c>
      <c r="M311" s="132">
        <v>-5.2177096141391655E-2</v>
      </c>
    </row>
    <row r="312" spans="5:13" x14ac:dyDescent="0.55000000000000004">
      <c r="E312" s="143">
        <v>42444</v>
      </c>
      <c r="F312" s="142">
        <v>2015.93</v>
      </c>
      <c r="K312" s="132">
        <v>-5.3918209891027913E-2</v>
      </c>
      <c r="M312" s="132">
        <v>-5.3918209891027913E-2</v>
      </c>
    </row>
    <row r="313" spans="5:13" x14ac:dyDescent="0.55000000000000004">
      <c r="E313" s="143">
        <v>42445</v>
      </c>
      <c r="F313" s="142">
        <v>2027.22</v>
      </c>
      <c r="K313" s="132">
        <v>-4.8619780178522864E-2</v>
      </c>
      <c r="M313" s="132">
        <v>-4.8619780178522864E-2</v>
      </c>
    </row>
    <row r="314" spans="5:13" x14ac:dyDescent="0.55000000000000004">
      <c r="E314" s="143">
        <v>42446</v>
      </c>
      <c r="F314" s="142">
        <v>2040.59</v>
      </c>
      <c r="K314" s="132">
        <v>-4.2345200439267594E-2</v>
      </c>
      <c r="M314" s="132">
        <v>-4.2345200439267594E-2</v>
      </c>
    </row>
    <row r="315" spans="5:13" x14ac:dyDescent="0.55000000000000004">
      <c r="E315" s="143">
        <v>42447</v>
      </c>
      <c r="F315" s="142">
        <v>2049.58</v>
      </c>
      <c r="K315" s="132">
        <v>-3.8126167390957533E-2</v>
      </c>
      <c r="M315" s="132">
        <v>-3.8126167390957533E-2</v>
      </c>
    </row>
    <row r="316" spans="5:13" x14ac:dyDescent="0.55000000000000004">
      <c r="E316" s="143">
        <v>42450</v>
      </c>
      <c r="F316" s="142">
        <v>2051.6</v>
      </c>
      <c r="K316" s="132">
        <v>-3.7178175538055913E-2</v>
      </c>
      <c r="M316" s="132">
        <v>-3.7178175538055913E-2</v>
      </c>
    </row>
    <row r="317" spans="5:13" x14ac:dyDescent="0.55000000000000004">
      <c r="E317" s="143">
        <v>42451</v>
      </c>
      <c r="F317" s="142">
        <v>2049.8000000000002</v>
      </c>
      <c r="K317" s="132">
        <v>-3.8022920753512768E-2</v>
      </c>
      <c r="M317" s="132">
        <v>-3.8022920753512768E-2</v>
      </c>
    </row>
    <row r="318" spans="5:13" x14ac:dyDescent="0.55000000000000004">
      <c r="E318" s="143">
        <v>42452</v>
      </c>
      <c r="F318" s="142">
        <v>2036.71</v>
      </c>
      <c r="K318" s="132">
        <v>-4.4166095681474782E-2</v>
      </c>
      <c r="M318" s="132">
        <v>-4.4166095681474782E-2</v>
      </c>
    </row>
    <row r="319" spans="5:13" x14ac:dyDescent="0.55000000000000004">
      <c r="E319" s="143">
        <v>42453</v>
      </c>
      <c r="F319" s="142">
        <v>2035.94</v>
      </c>
      <c r="K319" s="132">
        <v>-4.4527458912531404E-2</v>
      </c>
      <c r="M319" s="132">
        <v>-4.4527458912531404E-2</v>
      </c>
    </row>
    <row r="320" spans="5:13" x14ac:dyDescent="0.55000000000000004">
      <c r="E320" s="143">
        <v>42457</v>
      </c>
      <c r="F320" s="142">
        <v>2037.05</v>
      </c>
      <c r="K320" s="132">
        <v>-4.4006532696332923E-2</v>
      </c>
      <c r="M320" s="132">
        <v>-4.4006532696332923E-2</v>
      </c>
    </row>
    <row r="321" spans="5:13" x14ac:dyDescent="0.55000000000000004">
      <c r="E321" s="143">
        <v>42458</v>
      </c>
      <c r="F321" s="142">
        <v>2055.0100000000002</v>
      </c>
      <c r="K321" s="132">
        <v>-3.5577852657662334E-2</v>
      </c>
      <c r="M321" s="132">
        <v>-3.5577852657662334E-2</v>
      </c>
    </row>
    <row r="322" spans="5:13" x14ac:dyDescent="0.55000000000000004">
      <c r="E322" s="143">
        <v>42459</v>
      </c>
      <c r="F322" s="142">
        <v>2063.9499999999998</v>
      </c>
      <c r="K322" s="132">
        <v>-3.138228475422622E-2</v>
      </c>
      <c r="M322" s="132">
        <v>-3.138228475422622E-2</v>
      </c>
    </row>
    <row r="323" spans="5:13" x14ac:dyDescent="0.55000000000000004">
      <c r="E323" s="143">
        <v>42460</v>
      </c>
      <c r="F323" s="142">
        <v>2059.7399999999998</v>
      </c>
      <c r="K323" s="132">
        <v>-3.335804995260061E-2</v>
      </c>
      <c r="M323" s="132">
        <v>-3.335804995260061E-2</v>
      </c>
    </row>
    <row r="324" spans="5:13" x14ac:dyDescent="0.55000000000000004">
      <c r="E324" s="143">
        <v>42461</v>
      </c>
      <c r="F324" s="142">
        <v>2072.7800000000002</v>
      </c>
      <c r="K324" s="132">
        <v>-2.723834016951221E-2</v>
      </c>
      <c r="M324" s="132">
        <v>-2.723834016951221E-2</v>
      </c>
    </row>
    <row r="325" spans="5:13" x14ac:dyDescent="0.55000000000000004">
      <c r="E325" s="143">
        <v>42464</v>
      </c>
      <c r="F325" s="142">
        <v>2066.13</v>
      </c>
      <c r="K325" s="132">
        <v>-3.0359204437728216E-2</v>
      </c>
      <c r="M325" s="132">
        <v>-3.0359204437728216E-2</v>
      </c>
    </row>
    <row r="326" spans="5:13" x14ac:dyDescent="0.55000000000000004">
      <c r="E326" s="143">
        <v>42465</v>
      </c>
      <c r="F326" s="142">
        <v>2045.17</v>
      </c>
      <c r="K326" s="132">
        <v>-4.0195793168827043E-2</v>
      </c>
      <c r="M326" s="132">
        <v>-4.0195793168827043E-2</v>
      </c>
    </row>
    <row r="327" spans="5:13" x14ac:dyDescent="0.55000000000000004">
      <c r="E327" s="143">
        <v>42466</v>
      </c>
      <c r="F327" s="142">
        <v>2066.66</v>
      </c>
      <c r="K327" s="132">
        <v>-3.0110473902066004E-2</v>
      </c>
      <c r="M327" s="132">
        <v>-3.0110473902066004E-2</v>
      </c>
    </row>
    <row r="328" spans="5:13" x14ac:dyDescent="0.55000000000000004">
      <c r="E328" s="143">
        <v>42467</v>
      </c>
      <c r="F328" s="142">
        <v>2041.91</v>
      </c>
      <c r="K328" s="132">
        <v>-4.1725720614599116E-2</v>
      </c>
      <c r="M328" s="132">
        <v>-4.1725720614599116E-2</v>
      </c>
    </row>
    <row r="329" spans="5:13" x14ac:dyDescent="0.55000000000000004">
      <c r="E329" s="143">
        <v>42468</v>
      </c>
      <c r="F329" s="142">
        <v>2047.6</v>
      </c>
      <c r="K329" s="132">
        <v>-3.9055387127960195E-2</v>
      </c>
      <c r="M329" s="132">
        <v>-3.9055387127960195E-2</v>
      </c>
    </row>
    <row r="330" spans="5:13" x14ac:dyDescent="0.55000000000000004">
      <c r="E330" s="143">
        <v>42471</v>
      </c>
      <c r="F330" s="142">
        <v>2041.99</v>
      </c>
      <c r="K330" s="132">
        <v>-4.168817638280109E-2</v>
      </c>
      <c r="M330" s="132">
        <v>-4.168817638280109E-2</v>
      </c>
    </row>
    <row r="331" spans="5:13" x14ac:dyDescent="0.55000000000000004">
      <c r="E331" s="143">
        <v>42472</v>
      </c>
      <c r="F331" s="142">
        <v>2061.7199999999998</v>
      </c>
      <c r="K331" s="132">
        <v>-3.2428830215597948E-2</v>
      </c>
      <c r="M331" s="132">
        <v>-3.2428830215597948E-2</v>
      </c>
    </row>
    <row r="332" spans="5:13" x14ac:dyDescent="0.55000000000000004">
      <c r="E332" s="143">
        <v>42473</v>
      </c>
      <c r="F332" s="142">
        <v>2082.42</v>
      </c>
      <c r="K332" s="132">
        <v>-2.2714260237842732E-2</v>
      </c>
      <c r="M332" s="132">
        <v>-2.2714260237842732E-2</v>
      </c>
    </row>
    <row r="333" spans="5:13" x14ac:dyDescent="0.55000000000000004">
      <c r="E333" s="143">
        <v>42474</v>
      </c>
      <c r="F333" s="142">
        <v>2082.7800000000002</v>
      </c>
      <c r="K333" s="132">
        <v>-2.2545311194751338E-2</v>
      </c>
      <c r="M333" s="132">
        <v>-2.2545311194751338E-2</v>
      </c>
    </row>
    <row r="334" spans="5:13" x14ac:dyDescent="0.55000000000000004">
      <c r="E334" s="143">
        <v>42475</v>
      </c>
      <c r="F334" s="142">
        <v>2080.73</v>
      </c>
      <c r="K334" s="132">
        <v>-2.350738213457737E-2</v>
      </c>
      <c r="M334" s="132">
        <v>-2.350738213457737E-2</v>
      </c>
    </row>
    <row r="335" spans="5:13" x14ac:dyDescent="0.55000000000000004">
      <c r="E335" s="143">
        <v>42478</v>
      </c>
      <c r="F335" s="142">
        <v>2094.34</v>
      </c>
      <c r="K335" s="132">
        <v>-1.712016969992769E-2</v>
      </c>
      <c r="M335" s="132">
        <v>-1.712016969992769E-2</v>
      </c>
    </row>
    <row r="336" spans="5:13" x14ac:dyDescent="0.55000000000000004">
      <c r="E336" s="143">
        <v>42479</v>
      </c>
      <c r="F336" s="142">
        <v>2100.8000000000002</v>
      </c>
      <c r="K336" s="132">
        <v>-1.4088472982232148E-2</v>
      </c>
      <c r="M336" s="132">
        <v>-1.4088472982232148E-2</v>
      </c>
    </row>
    <row r="337" spans="5:13" x14ac:dyDescent="0.55000000000000004">
      <c r="E337" s="143">
        <v>42480</v>
      </c>
      <c r="F337" s="142">
        <v>2102.4</v>
      </c>
      <c r="K337" s="132">
        <v>-1.3337588346270524E-2</v>
      </c>
      <c r="M337" s="132">
        <v>-1.3337588346270524E-2</v>
      </c>
    </row>
    <row r="338" spans="5:13" x14ac:dyDescent="0.55000000000000004">
      <c r="E338" s="143">
        <v>42481</v>
      </c>
      <c r="F338" s="142">
        <v>2091.48</v>
      </c>
      <c r="K338" s="132">
        <v>-1.8462375986709412E-2</v>
      </c>
      <c r="M338" s="132">
        <v>-1.8462375986709412E-2</v>
      </c>
    </row>
    <row r="339" spans="5:13" x14ac:dyDescent="0.55000000000000004">
      <c r="E339" s="143">
        <v>42482</v>
      </c>
      <c r="F339" s="142">
        <v>2091.58</v>
      </c>
      <c r="K339" s="132">
        <v>-1.8415445696961852E-2</v>
      </c>
      <c r="M339" s="132">
        <v>-1.8415445696961852E-2</v>
      </c>
    </row>
    <row r="340" spans="5:13" x14ac:dyDescent="0.55000000000000004">
      <c r="E340" s="143">
        <v>42485</v>
      </c>
      <c r="F340" s="142">
        <v>2087.79</v>
      </c>
      <c r="K340" s="132">
        <v>-2.0194103678396247E-2</v>
      </c>
      <c r="M340" s="132">
        <v>-2.0194103678396247E-2</v>
      </c>
    </row>
    <row r="341" spans="5:13" x14ac:dyDescent="0.55000000000000004">
      <c r="E341" s="143">
        <v>42486</v>
      </c>
      <c r="F341" s="142">
        <v>2091.6999999999998</v>
      </c>
      <c r="K341" s="132">
        <v>-1.8359129349264758E-2</v>
      </c>
      <c r="M341" s="132">
        <v>-1.8359129349264758E-2</v>
      </c>
    </row>
    <row r="342" spans="5:13" x14ac:dyDescent="0.55000000000000004">
      <c r="E342" s="143">
        <v>42487</v>
      </c>
      <c r="F342" s="142">
        <v>2095.15</v>
      </c>
      <c r="K342" s="132">
        <v>-1.6740034352972111E-2</v>
      </c>
      <c r="M342" s="132">
        <v>-1.6740034352972111E-2</v>
      </c>
    </row>
    <row r="343" spans="5:13" x14ac:dyDescent="0.55000000000000004">
      <c r="E343" s="143">
        <v>42488</v>
      </c>
      <c r="F343" s="142">
        <v>2075.81</v>
      </c>
      <c r="K343" s="132">
        <v>-2.581635239015978E-2</v>
      </c>
      <c r="M343" s="132">
        <v>-2.581635239015978E-2</v>
      </c>
    </row>
    <row r="344" spans="5:13" x14ac:dyDescent="0.55000000000000004">
      <c r="E344" s="143">
        <v>42489</v>
      </c>
      <c r="F344" s="142">
        <v>2065.3000000000002</v>
      </c>
      <c r="K344" s="132">
        <v>-3.0748725842633329E-2</v>
      </c>
      <c r="M344" s="132">
        <v>-3.0748725842633329E-2</v>
      </c>
    </row>
    <row r="345" spans="5:13" x14ac:dyDescent="0.55000000000000004">
      <c r="E345" s="143">
        <v>42492</v>
      </c>
      <c r="F345" s="142">
        <v>2081.4299999999998</v>
      </c>
      <c r="K345" s="132">
        <v>-2.3178870106344229E-2</v>
      </c>
      <c r="M345" s="132">
        <v>-2.3178870106344229E-2</v>
      </c>
    </row>
    <row r="346" spans="5:13" x14ac:dyDescent="0.55000000000000004">
      <c r="E346" s="143">
        <v>42493</v>
      </c>
      <c r="F346" s="142">
        <v>2063.37</v>
      </c>
      <c r="K346" s="132">
        <v>-3.1654480434762378E-2</v>
      </c>
      <c r="M346" s="132">
        <v>-3.1654480434762378E-2</v>
      </c>
    </row>
    <row r="347" spans="5:13" x14ac:dyDescent="0.55000000000000004">
      <c r="E347" s="143">
        <v>42494</v>
      </c>
      <c r="F347" s="142">
        <v>2051.12</v>
      </c>
      <c r="K347" s="132">
        <v>-3.74034409288444E-2</v>
      </c>
      <c r="M347" s="132">
        <v>-3.74034409288444E-2</v>
      </c>
    </row>
    <row r="348" spans="5:13" x14ac:dyDescent="0.55000000000000004">
      <c r="E348" s="143">
        <v>42495</v>
      </c>
      <c r="F348" s="142">
        <v>2050.63</v>
      </c>
      <c r="K348" s="132">
        <v>-3.7633399348607655E-2</v>
      </c>
      <c r="M348" s="132">
        <v>-3.7633399348607655E-2</v>
      </c>
    </row>
    <row r="349" spans="5:13" x14ac:dyDescent="0.55000000000000004">
      <c r="E349" s="143">
        <v>42496</v>
      </c>
      <c r="F349" s="142">
        <v>2057.14</v>
      </c>
      <c r="K349" s="132">
        <v>-3.4578237486038388E-2</v>
      </c>
      <c r="M349" s="132">
        <v>-3.4578237486038388E-2</v>
      </c>
    </row>
    <row r="350" spans="5:13" x14ac:dyDescent="0.55000000000000004">
      <c r="E350" s="143">
        <v>42499</v>
      </c>
      <c r="F350" s="142">
        <v>2058.69</v>
      </c>
      <c r="K350" s="132">
        <v>-3.3850817994950377E-2</v>
      </c>
      <c r="M350" s="132">
        <v>-3.3850817994950377E-2</v>
      </c>
    </row>
    <row r="351" spans="5:13" x14ac:dyDescent="0.55000000000000004">
      <c r="E351" s="143">
        <v>42500</v>
      </c>
      <c r="F351" s="142">
        <v>2084.39</v>
      </c>
      <c r="K351" s="132">
        <v>-2.1789733529814947E-2</v>
      </c>
      <c r="M351" s="132">
        <v>-2.1789733529814947E-2</v>
      </c>
    </row>
    <row r="352" spans="5:13" x14ac:dyDescent="0.55000000000000004">
      <c r="E352" s="143">
        <v>42501</v>
      </c>
      <c r="F352" s="142">
        <v>2064.46</v>
      </c>
      <c r="K352" s="132">
        <v>-3.114294027651332E-2</v>
      </c>
      <c r="M352" s="132">
        <v>-3.114294027651332E-2</v>
      </c>
    </row>
    <row r="353" spans="5:13" x14ac:dyDescent="0.55000000000000004">
      <c r="E353" s="143">
        <v>42502</v>
      </c>
      <c r="F353" s="142">
        <v>2064.11</v>
      </c>
      <c r="K353" s="132">
        <v>-3.1307196290629946E-2</v>
      </c>
      <c r="M353" s="132">
        <v>-3.1307196290629946E-2</v>
      </c>
    </row>
    <row r="354" spans="5:13" x14ac:dyDescent="0.55000000000000004">
      <c r="E354" s="143">
        <v>42503</v>
      </c>
      <c r="F354" s="142">
        <v>2046.61</v>
      </c>
      <c r="K354" s="132">
        <v>-3.9519996996461582E-2</v>
      </c>
      <c r="M354" s="132">
        <v>-3.9519996996461582E-2</v>
      </c>
    </row>
    <row r="355" spans="5:13" x14ac:dyDescent="0.55000000000000004">
      <c r="E355" s="143">
        <v>42506</v>
      </c>
      <c r="F355" s="142">
        <v>2066.66</v>
      </c>
      <c r="K355" s="132">
        <v>-3.0110473902066004E-2</v>
      </c>
      <c r="M355" s="132">
        <v>-3.0110473902066004E-2</v>
      </c>
    </row>
    <row r="356" spans="5:13" x14ac:dyDescent="0.55000000000000004">
      <c r="E356" s="143">
        <v>42507</v>
      </c>
      <c r="F356" s="142">
        <v>2047.21</v>
      </c>
      <c r="K356" s="132">
        <v>-3.9238415257975889E-2</v>
      </c>
      <c r="M356" s="132">
        <v>-3.9238415257975889E-2</v>
      </c>
    </row>
    <row r="357" spans="5:13" x14ac:dyDescent="0.55000000000000004">
      <c r="E357" s="143">
        <v>42508</v>
      </c>
      <c r="F357" s="142">
        <v>2047.63</v>
      </c>
      <c r="K357" s="132">
        <v>-3.9041308041035894E-2</v>
      </c>
      <c r="M357" s="132">
        <v>-3.9041308041035894E-2</v>
      </c>
    </row>
    <row r="358" spans="5:13" x14ac:dyDescent="0.55000000000000004">
      <c r="E358" s="143">
        <v>42509</v>
      </c>
      <c r="F358" s="142">
        <v>2040.04</v>
      </c>
      <c r="K358" s="132">
        <v>-4.2603317032879451E-2</v>
      </c>
      <c r="M358" s="132">
        <v>-4.2603317032879451E-2</v>
      </c>
    </row>
    <row r="359" spans="5:13" x14ac:dyDescent="0.55000000000000004">
      <c r="E359" s="143">
        <v>42510</v>
      </c>
      <c r="F359" s="142">
        <v>2052.3200000000002</v>
      </c>
      <c r="K359" s="132">
        <v>-3.6840277451873016E-2</v>
      </c>
      <c r="M359" s="132">
        <v>-3.6840277451873016E-2</v>
      </c>
    </row>
    <row r="360" spans="5:13" x14ac:dyDescent="0.55000000000000004">
      <c r="E360" s="143">
        <v>42513</v>
      </c>
      <c r="F360" s="142">
        <v>2048.04</v>
      </c>
      <c r="K360" s="132">
        <v>-3.8848893853070776E-2</v>
      </c>
      <c r="M360" s="132">
        <v>-3.8848893853070776E-2</v>
      </c>
    </row>
    <row r="361" spans="5:13" x14ac:dyDescent="0.55000000000000004">
      <c r="E361" s="143">
        <v>42514</v>
      </c>
      <c r="F361" s="142">
        <v>2076.06</v>
      </c>
      <c r="K361" s="132">
        <v>-2.5699026665790714E-2</v>
      </c>
      <c r="M361" s="132">
        <v>-2.5699026665790714E-2</v>
      </c>
    </row>
    <row r="362" spans="5:13" x14ac:dyDescent="0.55000000000000004">
      <c r="E362" s="143">
        <v>42515</v>
      </c>
      <c r="F362" s="142">
        <v>2090.54</v>
      </c>
      <c r="K362" s="132">
        <v>-1.8903520710336963E-2</v>
      </c>
      <c r="M362" s="132">
        <v>-1.8903520710336963E-2</v>
      </c>
    </row>
    <row r="363" spans="5:13" x14ac:dyDescent="0.55000000000000004">
      <c r="E363" s="143">
        <v>42516</v>
      </c>
      <c r="F363" s="142">
        <v>2090.1</v>
      </c>
      <c r="K363" s="132">
        <v>-1.9110013985226493E-2</v>
      </c>
      <c r="M363" s="132">
        <v>-1.9110013985226493E-2</v>
      </c>
    </row>
    <row r="364" spans="5:13" x14ac:dyDescent="0.55000000000000004">
      <c r="E364" s="143">
        <v>42517</v>
      </c>
      <c r="F364" s="142">
        <v>2099.06</v>
      </c>
      <c r="K364" s="132">
        <v>-1.4905060023840733E-2</v>
      </c>
      <c r="M364" s="132">
        <v>-1.4905060023840733E-2</v>
      </c>
    </row>
    <row r="365" spans="5:13" x14ac:dyDescent="0.55000000000000004">
      <c r="E365" s="143">
        <v>42521</v>
      </c>
      <c r="F365" s="142">
        <v>2096.96</v>
      </c>
      <c r="K365" s="132">
        <v>-1.5890596108540378E-2</v>
      </c>
      <c r="M365" s="132">
        <v>-1.5890596108540378E-2</v>
      </c>
    </row>
    <row r="366" spans="5:13" x14ac:dyDescent="0.55000000000000004">
      <c r="E366" s="143">
        <v>42522</v>
      </c>
      <c r="F366" s="142">
        <v>2099.33</v>
      </c>
      <c r="K366" s="132">
        <v>-1.4778348241522132E-2</v>
      </c>
      <c r="M366" s="132">
        <v>-1.4778348241522132E-2</v>
      </c>
    </row>
    <row r="367" spans="5:13" x14ac:dyDescent="0.55000000000000004">
      <c r="E367" s="143">
        <v>42523</v>
      </c>
      <c r="F367" s="142">
        <v>2105.2600000000002</v>
      </c>
      <c r="K367" s="132">
        <v>-1.1995382059488802E-2</v>
      </c>
      <c r="M367" s="132">
        <v>-1.1995382059488802E-2</v>
      </c>
    </row>
    <row r="368" spans="5:13" x14ac:dyDescent="0.55000000000000004">
      <c r="E368" s="143">
        <v>42524</v>
      </c>
      <c r="F368" s="142">
        <v>2099.13</v>
      </c>
      <c r="K368" s="132">
        <v>-1.4872208821017252E-2</v>
      </c>
      <c r="M368" s="132">
        <v>-1.4872208821017252E-2</v>
      </c>
    </row>
    <row r="369" spans="5:13" x14ac:dyDescent="0.55000000000000004">
      <c r="E369" s="143">
        <v>42527</v>
      </c>
      <c r="F369" s="142">
        <v>2109.41</v>
      </c>
      <c r="K369" s="132">
        <v>-1.0047775034963236E-2</v>
      </c>
      <c r="M369" s="132">
        <v>-1.0047775034963236E-2</v>
      </c>
    </row>
    <row r="370" spans="5:13" x14ac:dyDescent="0.55000000000000004">
      <c r="E370" s="143">
        <v>42528</v>
      </c>
      <c r="F370" s="142">
        <v>2112.13</v>
      </c>
      <c r="K370" s="132">
        <v>-8.7712711538281418E-3</v>
      </c>
      <c r="M370" s="132">
        <v>-8.7712711538281418E-3</v>
      </c>
    </row>
    <row r="371" spans="5:13" x14ac:dyDescent="0.55000000000000004">
      <c r="E371" s="143">
        <v>42529</v>
      </c>
      <c r="F371" s="142">
        <v>2119.12</v>
      </c>
      <c r="K371" s="132">
        <v>-5.490843900470388E-3</v>
      </c>
      <c r="M371" s="132">
        <v>-5.490843900470388E-3</v>
      </c>
    </row>
    <row r="372" spans="5:13" x14ac:dyDescent="0.55000000000000004">
      <c r="E372" s="143">
        <v>42530</v>
      </c>
      <c r="F372" s="142">
        <v>2115.48</v>
      </c>
      <c r="K372" s="132">
        <v>-7.1991064472832766E-3</v>
      </c>
      <c r="M372" s="132">
        <v>-7.1991064472832766E-3</v>
      </c>
    </row>
    <row r="373" spans="5:13" x14ac:dyDescent="0.55000000000000004">
      <c r="E373" s="143">
        <v>42531</v>
      </c>
      <c r="F373" s="142">
        <v>2096.0700000000002</v>
      </c>
      <c r="K373" s="132">
        <v>-1.6308275687294094E-2</v>
      </c>
      <c r="M373" s="132">
        <v>-1.6308275687294094E-2</v>
      </c>
    </row>
    <row r="374" spans="5:13" x14ac:dyDescent="0.55000000000000004">
      <c r="E374" s="143">
        <v>42534</v>
      </c>
      <c r="F374" s="142">
        <v>2079.06</v>
      </c>
      <c r="K374" s="132">
        <v>-2.4291117973362475E-2</v>
      </c>
      <c r="M374" s="132">
        <v>-2.4291117973362475E-2</v>
      </c>
    </row>
    <row r="375" spans="5:13" x14ac:dyDescent="0.55000000000000004">
      <c r="E375" s="143">
        <v>42535</v>
      </c>
      <c r="F375" s="142">
        <v>2075.3200000000002</v>
      </c>
      <c r="K375" s="132">
        <v>-2.6046310809922923E-2</v>
      </c>
      <c r="M375" s="132">
        <v>-2.6046310809922923E-2</v>
      </c>
    </row>
    <row r="376" spans="5:13" x14ac:dyDescent="0.55000000000000004">
      <c r="E376" s="143">
        <v>42536</v>
      </c>
      <c r="F376" s="142">
        <v>2071.5</v>
      </c>
      <c r="K376" s="132">
        <v>-2.783904787828162E-2</v>
      </c>
      <c r="M376" s="132">
        <v>-2.783904787828162E-2</v>
      </c>
    </row>
    <row r="377" spans="5:13" x14ac:dyDescent="0.55000000000000004">
      <c r="E377" s="143">
        <v>42537</v>
      </c>
      <c r="F377" s="142">
        <v>2077.9899999999998</v>
      </c>
      <c r="K377" s="132">
        <v>-2.4793272073661998E-2</v>
      </c>
      <c r="M377" s="132">
        <v>-2.4793272073661998E-2</v>
      </c>
    </row>
    <row r="378" spans="5:13" x14ac:dyDescent="0.55000000000000004">
      <c r="E378" s="143">
        <v>42538</v>
      </c>
      <c r="F378" s="142">
        <v>2071.2199999999998</v>
      </c>
      <c r="K378" s="132">
        <v>-2.7970452689575098E-2</v>
      </c>
      <c r="M378" s="132">
        <v>-2.7970452689575098E-2</v>
      </c>
    </row>
    <row r="379" spans="5:13" x14ac:dyDescent="0.55000000000000004">
      <c r="E379" s="143">
        <v>42541</v>
      </c>
      <c r="F379" s="142">
        <v>2083.25</v>
      </c>
      <c r="K379" s="132">
        <v>-2.2324738832937618E-2</v>
      </c>
      <c r="M379" s="132">
        <v>-2.2324738832937618E-2</v>
      </c>
    </row>
    <row r="380" spans="5:13" x14ac:dyDescent="0.55000000000000004">
      <c r="E380" s="143">
        <v>42542</v>
      </c>
      <c r="F380" s="142">
        <v>2088.9</v>
      </c>
      <c r="K380" s="132">
        <v>-1.9673177462197655E-2</v>
      </c>
      <c r="M380" s="132">
        <v>-1.9673177462197655E-2</v>
      </c>
    </row>
    <row r="381" spans="5:13" x14ac:dyDescent="0.55000000000000004">
      <c r="E381" s="143">
        <v>42543</v>
      </c>
      <c r="F381" s="142">
        <v>2085.4499999999998</v>
      </c>
      <c r="K381" s="132">
        <v>-2.1292272458490302E-2</v>
      </c>
      <c r="M381" s="132">
        <v>-2.1292272458490302E-2</v>
      </c>
    </row>
    <row r="382" spans="5:13" x14ac:dyDescent="0.55000000000000004">
      <c r="E382" s="143">
        <v>42544</v>
      </c>
      <c r="F382" s="142">
        <v>2113.3200000000002</v>
      </c>
      <c r="K382" s="132">
        <v>-8.2128007058315244E-3</v>
      </c>
      <c r="M382" s="132">
        <v>-8.2128007058315244E-3</v>
      </c>
    </row>
    <row r="383" spans="5:13" x14ac:dyDescent="0.55000000000000004">
      <c r="E383" s="143">
        <v>42545</v>
      </c>
      <c r="F383" s="142">
        <v>2037.41</v>
      </c>
      <c r="K383" s="132">
        <v>-4.383758365324153E-2</v>
      </c>
      <c r="M383" s="132">
        <v>-4.383758365324153E-2</v>
      </c>
    </row>
    <row r="384" spans="5:13" x14ac:dyDescent="0.55000000000000004">
      <c r="E384" s="143">
        <v>42548</v>
      </c>
      <c r="F384" s="142">
        <v>2000.54</v>
      </c>
      <c r="K384" s="132">
        <v>-6.1140781483184914E-2</v>
      </c>
      <c r="M384" s="132">
        <v>-6.1140781483184914E-2</v>
      </c>
    </row>
    <row r="385" spans="5:13" x14ac:dyDescent="0.55000000000000004">
      <c r="E385" s="143">
        <v>42549</v>
      </c>
      <c r="F385" s="142">
        <v>2036.09</v>
      </c>
      <c r="K385" s="132">
        <v>-4.4457063477910008E-2</v>
      </c>
      <c r="M385" s="132">
        <v>-4.4457063477910008E-2</v>
      </c>
    </row>
    <row r="386" spans="5:13" x14ac:dyDescent="0.55000000000000004">
      <c r="E386" s="143">
        <v>42550</v>
      </c>
      <c r="F386" s="142">
        <v>2070.77</v>
      </c>
      <c r="K386" s="132">
        <v>-2.8181638993439284E-2</v>
      </c>
      <c r="M386" s="132">
        <v>-2.8181638993439284E-2</v>
      </c>
    </row>
    <row r="387" spans="5:13" x14ac:dyDescent="0.55000000000000004">
      <c r="E387" s="143">
        <v>42551</v>
      </c>
      <c r="F387" s="142">
        <v>2098.86</v>
      </c>
      <c r="K387" s="132">
        <v>-1.4998920603335852E-2</v>
      </c>
      <c r="M387" s="132">
        <v>-1.4998920603335852E-2</v>
      </c>
    </row>
    <row r="388" spans="5:13" x14ac:dyDescent="0.55000000000000004">
      <c r="E388" s="143">
        <v>42552</v>
      </c>
      <c r="F388" s="142">
        <v>2102.9499999999998</v>
      </c>
      <c r="K388" s="132">
        <v>-1.3079471752658778E-2</v>
      </c>
      <c r="M388" s="132">
        <v>-1.3079471752658778E-2</v>
      </c>
    </row>
    <row r="389" spans="5:13" x14ac:dyDescent="0.55000000000000004">
      <c r="E389" s="143">
        <v>42556</v>
      </c>
      <c r="F389" s="142">
        <v>2088.5500000000002</v>
      </c>
      <c r="K389" s="132">
        <v>-1.9837433476314281E-2</v>
      </c>
      <c r="M389" s="132">
        <v>-1.9837433476314281E-2</v>
      </c>
    </row>
    <row r="390" spans="5:13" x14ac:dyDescent="0.55000000000000004">
      <c r="E390" s="143">
        <v>42557</v>
      </c>
      <c r="F390" s="142">
        <v>2099.73</v>
      </c>
      <c r="K390" s="132">
        <v>-1.4590627082531671E-2</v>
      </c>
      <c r="M390" s="132">
        <v>-1.4590627082531671E-2</v>
      </c>
    </row>
    <row r="391" spans="5:13" x14ac:dyDescent="0.55000000000000004">
      <c r="E391" s="143">
        <v>42558</v>
      </c>
      <c r="F391" s="142">
        <v>2097.9</v>
      </c>
      <c r="K391" s="132">
        <v>-1.5449451384912938E-2</v>
      </c>
      <c r="M391" s="132">
        <v>-1.5449451384912938E-2</v>
      </c>
    </row>
    <row r="392" spans="5:13" x14ac:dyDescent="0.55000000000000004">
      <c r="E392" s="143">
        <v>42559</v>
      </c>
      <c r="F392" s="142">
        <v>2129.9</v>
      </c>
      <c r="K392" s="132">
        <v>-4.3175866567801702E-4</v>
      </c>
      <c r="M392" s="132">
        <v>-4.3175866567801702E-4</v>
      </c>
    </row>
    <row r="393" spans="5:13" x14ac:dyDescent="0.55000000000000004">
      <c r="E393" s="143">
        <v>42562</v>
      </c>
      <c r="F393" s="142">
        <v>2137.16</v>
      </c>
      <c r="K393" s="132">
        <v>0</v>
      </c>
      <c r="M393" s="132">
        <v>0</v>
      </c>
    </row>
    <row r="394" spans="5:13" x14ac:dyDescent="0.55000000000000004">
      <c r="E394" s="143">
        <v>42563</v>
      </c>
      <c r="F394" s="142">
        <v>2152.14</v>
      </c>
      <c r="K394" s="132">
        <v>0</v>
      </c>
      <c r="M394" s="132">
        <v>0</v>
      </c>
    </row>
    <row r="395" spans="5:13" x14ac:dyDescent="0.55000000000000004">
      <c r="E395" s="143">
        <v>42564</v>
      </c>
      <c r="F395" s="142">
        <v>2152.4299999999998</v>
      </c>
      <c r="K395" s="132">
        <v>0</v>
      </c>
      <c r="M395" s="132">
        <v>0</v>
      </c>
    </row>
    <row r="396" spans="5:13" x14ac:dyDescent="0.55000000000000004">
      <c r="E396" s="143">
        <v>42565</v>
      </c>
      <c r="F396" s="142">
        <v>2163.75</v>
      </c>
      <c r="K396" s="132">
        <v>0</v>
      </c>
      <c r="M396" s="132">
        <v>0</v>
      </c>
    </row>
    <row r="397" spans="5:13" x14ac:dyDescent="0.55000000000000004">
      <c r="E397" s="143">
        <v>42566</v>
      </c>
      <c r="F397" s="142">
        <v>2161.7399999999998</v>
      </c>
      <c r="K397" s="132">
        <v>-9.2894280762578774E-4</v>
      </c>
      <c r="M397" s="132">
        <v>-9.2894280762578774E-4</v>
      </c>
    </row>
    <row r="398" spans="5:13" x14ac:dyDescent="0.55000000000000004">
      <c r="E398" s="143">
        <v>42569</v>
      </c>
      <c r="F398" s="142">
        <v>2166.89</v>
      </c>
      <c r="K398" s="132">
        <v>0</v>
      </c>
      <c r="M398" s="132">
        <v>0</v>
      </c>
    </row>
    <row r="399" spans="5:13" x14ac:dyDescent="0.55000000000000004">
      <c r="E399" s="143">
        <v>42570</v>
      </c>
      <c r="F399" s="142">
        <v>2163.7800000000002</v>
      </c>
      <c r="K399" s="132">
        <v>-1.4352366756040791E-3</v>
      </c>
      <c r="M399" s="132">
        <v>-1.4352366756040791E-3</v>
      </c>
    </row>
    <row r="400" spans="5:13" x14ac:dyDescent="0.55000000000000004">
      <c r="E400" s="143">
        <v>42571</v>
      </c>
      <c r="F400" s="142">
        <v>2173.02</v>
      </c>
      <c r="K400" s="132">
        <v>0</v>
      </c>
      <c r="M400" s="132">
        <v>0</v>
      </c>
    </row>
    <row r="401" spans="5:13" x14ac:dyDescent="0.55000000000000004">
      <c r="E401" s="143">
        <v>42572</v>
      </c>
      <c r="F401" s="142">
        <v>2165.17</v>
      </c>
      <c r="K401" s="132">
        <v>-3.6124840084306165E-3</v>
      </c>
      <c r="M401" s="132">
        <v>-3.6124840084306165E-3</v>
      </c>
    </row>
    <row r="402" spans="5:13" x14ac:dyDescent="0.55000000000000004">
      <c r="E402" s="143">
        <v>42573</v>
      </c>
      <c r="F402" s="142">
        <v>2175.0300000000002</v>
      </c>
      <c r="K402" s="132">
        <v>0</v>
      </c>
      <c r="M402" s="132">
        <v>0</v>
      </c>
    </row>
    <row r="403" spans="5:13" x14ac:dyDescent="0.55000000000000004">
      <c r="E403" s="143">
        <v>42576</v>
      </c>
      <c r="F403" s="142">
        <v>2168.48</v>
      </c>
      <c r="K403" s="132">
        <v>-3.0114527155947757E-3</v>
      </c>
      <c r="M403" s="132">
        <v>-3.0114527155947757E-3</v>
      </c>
    </row>
    <row r="404" spans="5:13" x14ac:dyDescent="0.55000000000000004">
      <c r="E404" s="143">
        <v>42577</v>
      </c>
      <c r="F404" s="142">
        <v>2169.1799999999998</v>
      </c>
      <c r="K404" s="132">
        <v>-2.689618074233624E-3</v>
      </c>
      <c r="M404" s="132">
        <v>-2.689618074233624E-3</v>
      </c>
    </row>
    <row r="405" spans="5:13" x14ac:dyDescent="0.55000000000000004">
      <c r="E405" s="143">
        <v>42578</v>
      </c>
      <c r="F405" s="142">
        <v>2166.58</v>
      </c>
      <c r="K405" s="132">
        <v>-3.8850038850040125E-3</v>
      </c>
      <c r="M405" s="132">
        <v>-3.8850038850040125E-3</v>
      </c>
    </row>
    <row r="406" spans="5:13" x14ac:dyDescent="0.55000000000000004">
      <c r="E406" s="143">
        <v>42579</v>
      </c>
      <c r="F406" s="142">
        <v>2170.06</v>
      </c>
      <c r="K406" s="132">
        <v>-2.2850259536650874E-3</v>
      </c>
      <c r="M406" s="132">
        <v>-2.2850259536650874E-3</v>
      </c>
    </row>
    <row r="407" spans="5:13" x14ac:dyDescent="0.55000000000000004">
      <c r="E407" s="143">
        <v>42580</v>
      </c>
      <c r="F407" s="142">
        <v>2173.6</v>
      </c>
      <c r="K407" s="132">
        <v>-6.5746219592388577E-4</v>
      </c>
      <c r="M407" s="132">
        <v>-6.5746219592388577E-4</v>
      </c>
    </row>
    <row r="408" spans="5:13" x14ac:dyDescent="0.55000000000000004">
      <c r="E408" s="143">
        <v>42583</v>
      </c>
      <c r="F408" s="142">
        <v>2170.84</v>
      </c>
      <c r="K408" s="132">
        <v>-1.9264102104339376E-3</v>
      </c>
      <c r="M408" s="132">
        <v>-1.9264102104339376E-3</v>
      </c>
    </row>
    <row r="409" spans="5:13" x14ac:dyDescent="0.55000000000000004">
      <c r="E409" s="143">
        <v>42584</v>
      </c>
      <c r="F409" s="142">
        <v>2157.0300000000002</v>
      </c>
      <c r="K409" s="132">
        <v>-8.2757479207182794E-3</v>
      </c>
      <c r="M409" s="132">
        <v>-8.2757479207182794E-3</v>
      </c>
    </row>
    <row r="410" spans="5:13" x14ac:dyDescent="0.55000000000000004">
      <c r="E410" s="143">
        <v>42585</v>
      </c>
      <c r="F410" s="142">
        <v>2163.79</v>
      </c>
      <c r="K410" s="132">
        <v>-5.1677448127153136E-3</v>
      </c>
      <c r="M410" s="132">
        <v>-5.1677448127153136E-3</v>
      </c>
    </row>
    <row r="411" spans="5:13" x14ac:dyDescent="0.55000000000000004">
      <c r="E411" s="143">
        <v>42586</v>
      </c>
      <c r="F411" s="142">
        <v>2164.25</v>
      </c>
      <c r="K411" s="132">
        <v>-4.9562534769636013E-3</v>
      </c>
      <c r="M411" s="132">
        <v>-4.9562534769636013E-3</v>
      </c>
    </row>
    <row r="412" spans="5:13" x14ac:dyDescent="0.55000000000000004">
      <c r="E412" s="143">
        <v>42587</v>
      </c>
      <c r="F412" s="142">
        <v>2182.87</v>
      </c>
      <c r="K412" s="132">
        <v>0</v>
      </c>
      <c r="M412" s="132">
        <v>0</v>
      </c>
    </row>
    <row r="413" spans="5:13" x14ac:dyDescent="0.55000000000000004">
      <c r="E413" s="143">
        <v>42590</v>
      </c>
      <c r="F413" s="142">
        <v>2180.89</v>
      </c>
      <c r="K413" s="132">
        <v>-9.0706272018037382E-4</v>
      </c>
      <c r="M413" s="132">
        <v>-9.0706272018037382E-4</v>
      </c>
    </row>
    <row r="414" spans="5:13" x14ac:dyDescent="0.55000000000000004">
      <c r="E414" s="143">
        <v>42591</v>
      </c>
      <c r="F414" s="142">
        <v>2181.7399999999998</v>
      </c>
      <c r="K414" s="132">
        <v>-5.176671079817341E-4</v>
      </c>
      <c r="M414" s="132">
        <v>-5.176671079817341E-4</v>
      </c>
    </row>
    <row r="415" spans="5:13" x14ac:dyDescent="0.55000000000000004">
      <c r="E415" s="143">
        <v>42592</v>
      </c>
      <c r="F415" s="142">
        <v>2175.4899999999998</v>
      </c>
      <c r="K415" s="132">
        <v>-3.3808701388539086E-3</v>
      </c>
      <c r="M415" s="132">
        <v>-3.3808701388539086E-3</v>
      </c>
    </row>
    <row r="416" spans="5:13" x14ac:dyDescent="0.55000000000000004">
      <c r="E416" s="143">
        <v>42593</v>
      </c>
      <c r="F416" s="142">
        <v>2185.79</v>
      </c>
      <c r="K416" s="132">
        <v>0</v>
      </c>
      <c r="M416" s="132">
        <v>0</v>
      </c>
    </row>
    <row r="417" spans="5:13" x14ac:dyDescent="0.55000000000000004">
      <c r="E417" s="143">
        <v>42594</v>
      </c>
      <c r="F417" s="142">
        <v>2184.0500000000002</v>
      </c>
      <c r="K417" s="132">
        <v>-7.960508557545154E-4</v>
      </c>
      <c r="M417" s="132">
        <v>-7.960508557545154E-4</v>
      </c>
    </row>
    <row r="418" spans="5:13" x14ac:dyDescent="0.55000000000000004">
      <c r="E418" s="143">
        <v>42597</v>
      </c>
      <c r="F418" s="142">
        <v>2190.15</v>
      </c>
      <c r="K418" s="132">
        <v>0</v>
      </c>
      <c r="M418" s="132">
        <v>0</v>
      </c>
    </row>
    <row r="419" spans="5:13" x14ac:dyDescent="0.55000000000000004">
      <c r="E419" s="143">
        <v>42598</v>
      </c>
      <c r="F419" s="142">
        <v>2178.15</v>
      </c>
      <c r="K419" s="132">
        <v>-5.4790767755633629E-3</v>
      </c>
      <c r="M419" s="132">
        <v>-5.4790767755633629E-3</v>
      </c>
    </row>
    <row r="420" spans="5:13" x14ac:dyDescent="0.55000000000000004">
      <c r="E420" s="143">
        <v>42599</v>
      </c>
      <c r="F420" s="142">
        <v>2182.2199999999998</v>
      </c>
      <c r="K420" s="132">
        <v>-3.6207565691849242E-3</v>
      </c>
      <c r="M420" s="132">
        <v>-3.6207565691849242E-3</v>
      </c>
    </row>
    <row r="421" spans="5:13" x14ac:dyDescent="0.55000000000000004">
      <c r="E421" s="143">
        <v>42600</v>
      </c>
      <c r="F421" s="142">
        <v>2187.02</v>
      </c>
      <c r="K421" s="132">
        <v>-1.4291258589594902E-3</v>
      </c>
      <c r="M421" s="132">
        <v>-1.4291258589594902E-3</v>
      </c>
    </row>
    <row r="422" spans="5:13" x14ac:dyDescent="0.55000000000000004">
      <c r="E422" s="143">
        <v>42601</v>
      </c>
      <c r="F422" s="142">
        <v>2183.87</v>
      </c>
      <c r="K422" s="132">
        <v>-2.8673835125448965E-3</v>
      </c>
      <c r="M422" s="132">
        <v>-2.8673835125448965E-3</v>
      </c>
    </row>
    <row r="423" spans="5:13" x14ac:dyDescent="0.55000000000000004">
      <c r="E423" s="143">
        <v>42604</v>
      </c>
      <c r="F423" s="142">
        <v>2182.64</v>
      </c>
      <c r="K423" s="132">
        <v>-3.4289888820401293E-3</v>
      </c>
      <c r="M423" s="132">
        <v>-3.4289888820401293E-3</v>
      </c>
    </row>
    <row r="424" spans="5:13" x14ac:dyDescent="0.55000000000000004">
      <c r="E424" s="143">
        <v>42605</v>
      </c>
      <c r="F424" s="142">
        <v>2186.9</v>
      </c>
      <c r="K424" s="132">
        <v>-1.4839166267150983E-3</v>
      </c>
      <c r="M424" s="132">
        <v>-1.4839166267150983E-3</v>
      </c>
    </row>
    <row r="425" spans="5:13" x14ac:dyDescent="0.55000000000000004">
      <c r="E425" s="143">
        <v>42606</v>
      </c>
      <c r="F425" s="142">
        <v>2175.44</v>
      </c>
      <c r="K425" s="132">
        <v>-6.7164349473780582E-3</v>
      </c>
      <c r="M425" s="132">
        <v>-6.7164349473780582E-3</v>
      </c>
    </row>
    <row r="426" spans="5:13" x14ac:dyDescent="0.55000000000000004">
      <c r="E426" s="143">
        <v>42607</v>
      </c>
      <c r="F426" s="142">
        <v>2172.4699999999998</v>
      </c>
      <c r="K426" s="132">
        <v>-8.072506449330108E-3</v>
      </c>
      <c r="M426" s="132">
        <v>-8.072506449330108E-3</v>
      </c>
    </row>
    <row r="427" spans="5:13" x14ac:dyDescent="0.55000000000000004">
      <c r="E427" s="143">
        <v>42608</v>
      </c>
      <c r="F427" s="142">
        <v>2169.04</v>
      </c>
      <c r="K427" s="132">
        <v>-9.6386092276785629E-3</v>
      </c>
      <c r="M427" s="132">
        <v>-9.6386092276785629E-3</v>
      </c>
    </row>
    <row r="428" spans="5:13" x14ac:dyDescent="0.55000000000000004">
      <c r="E428" s="143">
        <v>42611</v>
      </c>
      <c r="F428" s="142">
        <v>2180.38</v>
      </c>
      <c r="K428" s="132">
        <v>-4.4608816747711E-3</v>
      </c>
      <c r="M428" s="132">
        <v>-4.4608816747711E-3</v>
      </c>
    </row>
    <row r="429" spans="5:13" x14ac:dyDescent="0.55000000000000004">
      <c r="E429" s="143">
        <v>42612</v>
      </c>
      <c r="F429" s="142">
        <v>2176.12</v>
      </c>
      <c r="K429" s="132">
        <v>-6.405953930096242E-3</v>
      </c>
      <c r="M429" s="132">
        <v>-6.405953930096242E-3</v>
      </c>
    </row>
    <row r="430" spans="5:13" x14ac:dyDescent="0.55000000000000004">
      <c r="E430" s="143">
        <v>42613</v>
      </c>
      <c r="F430" s="142">
        <v>2170.9499999999998</v>
      </c>
      <c r="K430" s="132">
        <v>-8.7665228409014029E-3</v>
      </c>
      <c r="M430" s="132">
        <v>-8.7665228409014029E-3</v>
      </c>
    </row>
    <row r="431" spans="5:13" x14ac:dyDescent="0.55000000000000004">
      <c r="E431" s="143">
        <v>42614</v>
      </c>
      <c r="F431" s="142">
        <v>2170.86</v>
      </c>
      <c r="K431" s="132">
        <v>-8.8076159167179702E-3</v>
      </c>
      <c r="M431" s="132">
        <v>-8.8076159167179702E-3</v>
      </c>
    </row>
    <row r="432" spans="5:13" x14ac:dyDescent="0.55000000000000004">
      <c r="E432" s="143">
        <v>42615</v>
      </c>
      <c r="F432" s="142">
        <v>2179.98</v>
      </c>
      <c r="K432" s="132">
        <v>-4.6435175672899787E-3</v>
      </c>
      <c r="M432" s="132">
        <v>-4.6435175672899787E-3</v>
      </c>
    </row>
    <row r="433" spans="5:13" x14ac:dyDescent="0.55000000000000004">
      <c r="E433" s="143">
        <v>42619</v>
      </c>
      <c r="F433" s="142">
        <v>2186.48</v>
      </c>
      <c r="K433" s="132">
        <v>-1.6756843138597821E-3</v>
      </c>
      <c r="M433" s="132">
        <v>-1.6756843138597821E-3</v>
      </c>
    </row>
    <row r="434" spans="5:13" x14ac:dyDescent="0.55000000000000004">
      <c r="E434" s="143">
        <v>42620</v>
      </c>
      <c r="F434" s="142">
        <v>2186.16</v>
      </c>
      <c r="K434" s="132">
        <v>-1.8217930278748851E-3</v>
      </c>
      <c r="M434" s="132">
        <v>-1.8217930278748851E-3</v>
      </c>
    </row>
    <row r="435" spans="5:13" x14ac:dyDescent="0.55000000000000004">
      <c r="E435" s="143">
        <v>42621</v>
      </c>
      <c r="F435" s="142">
        <v>2181.3000000000002</v>
      </c>
      <c r="K435" s="132">
        <v>-4.0408191219779566E-3</v>
      </c>
      <c r="M435" s="132">
        <v>-4.0408191219779566E-3</v>
      </c>
    </row>
    <row r="436" spans="5:13" x14ac:dyDescent="0.55000000000000004">
      <c r="E436" s="143">
        <v>42622</v>
      </c>
      <c r="F436" s="142">
        <v>2127.81</v>
      </c>
      <c r="K436" s="132">
        <v>-2.846380384905145E-2</v>
      </c>
      <c r="M436" s="132">
        <v>-2.846380384905145E-2</v>
      </c>
    </row>
    <row r="437" spans="5:13" x14ac:dyDescent="0.55000000000000004">
      <c r="E437" s="143">
        <v>42625</v>
      </c>
      <c r="F437" s="142">
        <v>2159.04</v>
      </c>
      <c r="K437" s="132">
        <v>-1.4204506540647976E-2</v>
      </c>
      <c r="M437" s="132">
        <v>-1.4204506540647976E-2</v>
      </c>
    </row>
    <row r="438" spans="5:13" x14ac:dyDescent="0.55000000000000004">
      <c r="E438" s="143">
        <v>42626</v>
      </c>
      <c r="F438" s="142">
        <v>2127.02</v>
      </c>
      <c r="K438" s="132">
        <v>-2.8824509736776083E-2</v>
      </c>
      <c r="M438" s="132">
        <v>-2.8824509736776083E-2</v>
      </c>
    </row>
    <row r="439" spans="5:13" x14ac:dyDescent="0.55000000000000004">
      <c r="E439" s="143">
        <v>42627</v>
      </c>
      <c r="F439" s="142">
        <v>2125.77</v>
      </c>
      <c r="K439" s="132">
        <v>-2.9395246900897232E-2</v>
      </c>
      <c r="M439" s="132">
        <v>-2.9395246900897232E-2</v>
      </c>
    </row>
    <row r="440" spans="5:13" x14ac:dyDescent="0.55000000000000004">
      <c r="E440" s="143">
        <v>42628</v>
      </c>
      <c r="F440" s="142">
        <v>2147.2600000000002</v>
      </c>
      <c r="K440" s="132">
        <v>-1.9583133575325817E-2</v>
      </c>
      <c r="M440" s="132">
        <v>-1.9583133575325817E-2</v>
      </c>
    </row>
    <row r="441" spans="5:13" x14ac:dyDescent="0.55000000000000004">
      <c r="E441" s="143">
        <v>42629</v>
      </c>
      <c r="F441" s="142">
        <v>2139.16</v>
      </c>
      <c r="K441" s="132">
        <v>-2.3281510398831196E-2</v>
      </c>
      <c r="M441" s="132">
        <v>-2.3281510398831196E-2</v>
      </c>
    </row>
    <row r="442" spans="5:13" x14ac:dyDescent="0.55000000000000004">
      <c r="E442" s="143">
        <v>42632</v>
      </c>
      <c r="F442" s="142">
        <v>2139.12</v>
      </c>
      <c r="K442" s="132">
        <v>-2.3299773988083139E-2</v>
      </c>
      <c r="M442" s="132">
        <v>-2.3299773988083139E-2</v>
      </c>
    </row>
    <row r="443" spans="5:13" x14ac:dyDescent="0.55000000000000004">
      <c r="E443" s="143">
        <v>42633</v>
      </c>
      <c r="F443" s="142">
        <v>2139.7600000000002</v>
      </c>
      <c r="K443" s="132">
        <v>-2.3007556560052933E-2</v>
      </c>
      <c r="M443" s="132">
        <v>-2.3007556560052933E-2</v>
      </c>
    </row>
    <row r="444" spans="5:13" x14ac:dyDescent="0.55000000000000004">
      <c r="E444" s="143">
        <v>42634</v>
      </c>
      <c r="F444" s="142">
        <v>2163.12</v>
      </c>
      <c r="K444" s="132">
        <v>-1.2341620436956413E-2</v>
      </c>
      <c r="M444" s="132">
        <v>-1.2341620436956413E-2</v>
      </c>
    </row>
    <row r="445" spans="5:13" x14ac:dyDescent="0.55000000000000004">
      <c r="E445" s="143">
        <v>42635</v>
      </c>
      <c r="F445" s="142">
        <v>2177.1799999999998</v>
      </c>
      <c r="K445" s="132">
        <v>-5.9219688149214633E-3</v>
      </c>
      <c r="M445" s="132">
        <v>-5.9219688149214633E-3</v>
      </c>
    </row>
    <row r="446" spans="5:13" x14ac:dyDescent="0.55000000000000004">
      <c r="E446" s="143">
        <v>42636</v>
      </c>
      <c r="F446" s="142">
        <v>2164.69</v>
      </c>
      <c r="K446" s="132">
        <v>-1.1624774558820161E-2</v>
      </c>
      <c r="M446" s="132">
        <v>-1.1624774558820161E-2</v>
      </c>
    </row>
    <row r="447" spans="5:13" x14ac:dyDescent="0.55000000000000004">
      <c r="E447" s="143">
        <v>42639</v>
      </c>
      <c r="F447" s="142">
        <v>2146.1</v>
      </c>
      <c r="K447" s="132">
        <v>-2.0112777663630399E-2</v>
      </c>
      <c r="M447" s="132">
        <v>-2.0112777663630399E-2</v>
      </c>
    </row>
    <row r="448" spans="5:13" x14ac:dyDescent="0.55000000000000004">
      <c r="E448" s="143">
        <v>42640</v>
      </c>
      <c r="F448" s="142">
        <v>2159.9299999999998</v>
      </c>
      <c r="K448" s="132">
        <v>-1.3798141679793763E-2</v>
      </c>
      <c r="M448" s="132">
        <v>-1.3798141679793763E-2</v>
      </c>
    </row>
    <row r="449" spans="5:13" x14ac:dyDescent="0.55000000000000004">
      <c r="E449" s="143">
        <v>42641</v>
      </c>
      <c r="F449" s="142">
        <v>2171.37</v>
      </c>
      <c r="K449" s="132">
        <v>-8.574755153756719E-3</v>
      </c>
      <c r="M449" s="132">
        <v>-8.574755153756719E-3</v>
      </c>
    </row>
    <row r="450" spans="5:13" x14ac:dyDescent="0.55000000000000004">
      <c r="E450" s="143">
        <v>42642</v>
      </c>
      <c r="F450" s="142">
        <v>2151.13</v>
      </c>
      <c r="K450" s="132">
        <v>-1.7816131315206762E-2</v>
      </c>
      <c r="M450" s="132">
        <v>-1.7816131315206762E-2</v>
      </c>
    </row>
    <row r="451" spans="5:13" x14ac:dyDescent="0.55000000000000004">
      <c r="E451" s="143">
        <v>42643</v>
      </c>
      <c r="F451" s="142">
        <v>2168.27</v>
      </c>
      <c r="K451" s="132">
        <v>-9.9901833207771684E-3</v>
      </c>
      <c r="M451" s="132">
        <v>-9.9901833207771684E-3</v>
      </c>
    </row>
    <row r="452" spans="5:13" x14ac:dyDescent="0.55000000000000004">
      <c r="E452" s="143">
        <v>42646</v>
      </c>
      <c r="F452" s="142">
        <v>2161.1999999999998</v>
      </c>
      <c r="K452" s="132">
        <v>-1.3218272721046587E-2</v>
      </c>
      <c r="M452" s="132">
        <v>-1.3218272721046587E-2</v>
      </c>
    </row>
    <row r="453" spans="5:13" x14ac:dyDescent="0.55000000000000004">
      <c r="E453" s="143">
        <v>42647</v>
      </c>
      <c r="F453" s="142">
        <v>2150.4899999999998</v>
      </c>
      <c r="K453" s="132">
        <v>-1.8108348743236857E-2</v>
      </c>
      <c r="M453" s="132">
        <v>-1.8108348743236857E-2</v>
      </c>
    </row>
    <row r="454" spans="5:13" x14ac:dyDescent="0.55000000000000004">
      <c r="E454" s="143">
        <v>42648</v>
      </c>
      <c r="F454" s="142">
        <v>2159.73</v>
      </c>
      <c r="K454" s="132">
        <v>-1.3889459626053036E-2</v>
      </c>
      <c r="M454" s="132">
        <v>-1.3889459626053036E-2</v>
      </c>
    </row>
    <row r="455" spans="5:13" x14ac:dyDescent="0.55000000000000004">
      <c r="E455" s="143">
        <v>42649</v>
      </c>
      <c r="F455" s="142">
        <v>2160.77</v>
      </c>
      <c r="K455" s="132">
        <v>-1.3414606305504284E-2</v>
      </c>
      <c r="M455" s="132">
        <v>-1.3414606305504284E-2</v>
      </c>
    </row>
    <row r="456" spans="5:13" x14ac:dyDescent="0.55000000000000004">
      <c r="E456" s="143">
        <v>42650</v>
      </c>
      <c r="F456" s="142">
        <v>2153.7399999999998</v>
      </c>
      <c r="K456" s="132">
        <v>-1.662443211652187E-2</v>
      </c>
      <c r="M456" s="132">
        <v>-1.662443211652187E-2</v>
      </c>
    </row>
    <row r="457" spans="5:13" x14ac:dyDescent="0.55000000000000004">
      <c r="E457" s="143">
        <v>42653</v>
      </c>
      <c r="F457" s="142">
        <v>2163.66</v>
      </c>
      <c r="K457" s="132">
        <v>-1.2095061982056121E-2</v>
      </c>
      <c r="M457" s="132">
        <v>-1.2095061982056121E-2</v>
      </c>
    </row>
    <row r="458" spans="5:13" x14ac:dyDescent="0.55000000000000004">
      <c r="E458" s="143">
        <v>42654</v>
      </c>
      <c r="F458" s="142">
        <v>2136.73</v>
      </c>
      <c r="K458" s="132">
        <v>-2.4391023445882731E-2</v>
      </c>
      <c r="M458" s="132">
        <v>-2.4391023445882731E-2</v>
      </c>
    </row>
    <row r="459" spans="5:13" x14ac:dyDescent="0.55000000000000004">
      <c r="E459" s="143">
        <v>42655</v>
      </c>
      <c r="F459" s="142">
        <v>2139.1799999999998</v>
      </c>
      <c r="K459" s="132">
        <v>-2.3272378604205279E-2</v>
      </c>
      <c r="M459" s="132">
        <v>-2.3272378604205279E-2</v>
      </c>
    </row>
    <row r="460" spans="5:13" x14ac:dyDescent="0.55000000000000004">
      <c r="E460" s="143">
        <v>42656</v>
      </c>
      <c r="F460" s="142">
        <v>2132.5500000000002</v>
      </c>
      <c r="K460" s="132">
        <v>-2.6299568522703876E-2</v>
      </c>
      <c r="M460" s="132">
        <v>-2.6299568522703876E-2</v>
      </c>
    </row>
    <row r="461" spans="5:13" x14ac:dyDescent="0.55000000000000004">
      <c r="E461" s="143">
        <v>42657</v>
      </c>
      <c r="F461" s="142">
        <v>2132.98</v>
      </c>
      <c r="K461" s="132">
        <v>-2.6103234938246289E-2</v>
      </c>
      <c r="M461" s="132">
        <v>-2.6103234938246289E-2</v>
      </c>
    </row>
    <row r="462" spans="5:13" x14ac:dyDescent="0.55000000000000004">
      <c r="E462" s="143">
        <v>42660</v>
      </c>
      <c r="F462" s="142">
        <v>2126.5</v>
      </c>
      <c r="K462" s="132">
        <v>-2.9061936397050459E-2</v>
      </c>
      <c r="M462" s="132">
        <v>-2.9061936397050459E-2</v>
      </c>
    </row>
    <row r="463" spans="5:13" x14ac:dyDescent="0.55000000000000004">
      <c r="E463" s="143">
        <v>42661</v>
      </c>
      <c r="F463" s="142">
        <v>2139.6</v>
      </c>
      <c r="K463" s="132">
        <v>-2.3080610917060596E-2</v>
      </c>
      <c r="M463" s="132">
        <v>-2.3080610917060596E-2</v>
      </c>
    </row>
    <row r="464" spans="5:13" x14ac:dyDescent="0.55000000000000004">
      <c r="E464" s="143">
        <v>42662</v>
      </c>
      <c r="F464" s="142">
        <v>2144.29</v>
      </c>
      <c r="K464" s="132">
        <v>-2.0939205077277867E-2</v>
      </c>
      <c r="M464" s="132">
        <v>-2.0939205077277867E-2</v>
      </c>
    </row>
    <row r="465" spans="5:13" x14ac:dyDescent="0.55000000000000004">
      <c r="E465" s="143">
        <v>42663</v>
      </c>
      <c r="F465" s="142">
        <v>2141.34</v>
      </c>
      <c r="K465" s="132">
        <v>-2.2286144784603779E-2</v>
      </c>
      <c r="M465" s="132">
        <v>-2.2286144784603779E-2</v>
      </c>
    </row>
    <row r="466" spans="5:13" x14ac:dyDescent="0.55000000000000004">
      <c r="E466" s="143">
        <v>42664</v>
      </c>
      <c r="F466" s="142">
        <v>2141.16</v>
      </c>
      <c r="K466" s="132">
        <v>-2.2368330936237357E-2</v>
      </c>
      <c r="M466" s="132">
        <v>-2.2368330936237357E-2</v>
      </c>
    </row>
    <row r="467" spans="5:13" x14ac:dyDescent="0.55000000000000004">
      <c r="E467" s="143">
        <v>42667</v>
      </c>
      <c r="F467" s="142">
        <v>2151.33</v>
      </c>
      <c r="K467" s="132">
        <v>-1.7724813368947379E-2</v>
      </c>
      <c r="M467" s="132">
        <v>-1.7724813368947379E-2</v>
      </c>
    </row>
    <row r="468" spans="5:13" x14ac:dyDescent="0.55000000000000004">
      <c r="E468" s="143">
        <v>42668</v>
      </c>
      <c r="F468" s="142">
        <v>2143.16</v>
      </c>
      <c r="K468" s="132">
        <v>-2.1455151473643519E-2</v>
      </c>
      <c r="M468" s="132">
        <v>-2.1455151473643519E-2</v>
      </c>
    </row>
    <row r="469" spans="5:13" x14ac:dyDescent="0.55000000000000004">
      <c r="E469" s="143">
        <v>42669</v>
      </c>
      <c r="F469" s="142">
        <v>2139.4299999999998</v>
      </c>
      <c r="K469" s="132">
        <v>-2.315823117138105E-2</v>
      </c>
      <c r="M469" s="132">
        <v>-2.315823117138105E-2</v>
      </c>
    </row>
    <row r="470" spans="5:13" x14ac:dyDescent="0.55000000000000004">
      <c r="E470" s="143">
        <v>42670</v>
      </c>
      <c r="F470" s="142">
        <v>2133.04</v>
      </c>
      <c r="K470" s="132">
        <v>-2.607583955436843E-2</v>
      </c>
      <c r="M470" s="132">
        <v>-2.607583955436843E-2</v>
      </c>
    </row>
    <row r="471" spans="5:13" x14ac:dyDescent="0.55000000000000004">
      <c r="E471" s="143">
        <v>42671</v>
      </c>
      <c r="F471" s="142">
        <v>2126.41</v>
      </c>
      <c r="K471" s="132">
        <v>-2.9103029472867248E-2</v>
      </c>
      <c r="M471" s="132">
        <v>-2.9103029472867248E-2</v>
      </c>
    </row>
    <row r="472" spans="5:13" x14ac:dyDescent="0.55000000000000004">
      <c r="E472" s="143">
        <v>42674</v>
      </c>
      <c r="F472" s="142">
        <v>2126.15</v>
      </c>
      <c r="K472" s="132">
        <v>-2.922174280300438E-2</v>
      </c>
      <c r="M472" s="132">
        <v>-2.922174280300438E-2</v>
      </c>
    </row>
    <row r="473" spans="5:13" x14ac:dyDescent="0.55000000000000004">
      <c r="E473" s="143">
        <v>42675</v>
      </c>
      <c r="F473" s="142">
        <v>2111.7199999999998</v>
      </c>
      <c r="K473" s="132">
        <v>-3.581033262561939E-2</v>
      </c>
      <c r="M473" s="132">
        <v>-3.581033262561939E-2</v>
      </c>
    </row>
    <row r="474" spans="5:13" x14ac:dyDescent="0.55000000000000004">
      <c r="E474" s="143">
        <v>42676</v>
      </c>
      <c r="F474" s="142">
        <v>2097.94</v>
      </c>
      <c r="K474" s="132">
        <v>-4.210213912289118E-2</v>
      </c>
      <c r="M474" s="132">
        <v>-4.210213912289118E-2</v>
      </c>
    </row>
    <row r="475" spans="5:13" x14ac:dyDescent="0.55000000000000004">
      <c r="E475" s="143">
        <v>42677</v>
      </c>
      <c r="F475" s="142">
        <v>2088.66</v>
      </c>
      <c r="K475" s="132">
        <v>-4.6339291829326834E-2</v>
      </c>
      <c r="M475" s="132">
        <v>-4.6339291829326834E-2</v>
      </c>
    </row>
    <row r="476" spans="5:13" x14ac:dyDescent="0.55000000000000004">
      <c r="E476" s="143">
        <v>42678</v>
      </c>
      <c r="F476" s="142">
        <v>2085.1799999999998</v>
      </c>
      <c r="K476" s="132">
        <v>-4.7928224094240246E-2</v>
      </c>
      <c r="M476" s="132">
        <v>-4.7928224094240246E-2</v>
      </c>
    </row>
    <row r="477" spans="5:13" x14ac:dyDescent="0.55000000000000004">
      <c r="E477" s="143">
        <v>42681</v>
      </c>
      <c r="F477" s="142">
        <v>2131.52</v>
      </c>
      <c r="K477" s="132">
        <v>-2.6769855945939836E-2</v>
      </c>
      <c r="M477" s="132">
        <v>-2.6769855945939836E-2</v>
      </c>
    </row>
    <row r="478" spans="5:13" x14ac:dyDescent="0.55000000000000004">
      <c r="E478" s="143">
        <v>42682</v>
      </c>
      <c r="F478" s="142">
        <v>2139.56</v>
      </c>
      <c r="K478" s="132">
        <v>-2.3098874506312428E-2</v>
      </c>
      <c r="M478" s="132">
        <v>-2.3098874506312428E-2</v>
      </c>
    </row>
    <row r="479" spans="5:13" x14ac:dyDescent="0.55000000000000004">
      <c r="E479" s="143">
        <v>42683</v>
      </c>
      <c r="F479" s="142">
        <v>2163.2600000000002</v>
      </c>
      <c r="K479" s="132">
        <v>-1.2277697874574778E-2</v>
      </c>
      <c r="M479" s="132">
        <v>-1.2277697874574778E-2</v>
      </c>
    </row>
    <row r="480" spans="5:13" x14ac:dyDescent="0.55000000000000004">
      <c r="E480" s="143">
        <v>42684</v>
      </c>
      <c r="F480" s="142">
        <v>2167.48</v>
      </c>
      <c r="K480" s="132">
        <v>-1.035088920850169E-2</v>
      </c>
      <c r="M480" s="132">
        <v>-1.035088920850169E-2</v>
      </c>
    </row>
    <row r="481" spans="5:13" x14ac:dyDescent="0.55000000000000004">
      <c r="E481" s="143">
        <v>42685</v>
      </c>
      <c r="F481" s="142">
        <v>2164.4499999999998</v>
      </c>
      <c r="K481" s="132">
        <v>-1.1734356094331599E-2</v>
      </c>
      <c r="M481" s="132">
        <v>-1.1734356094331599E-2</v>
      </c>
    </row>
    <row r="482" spans="5:13" x14ac:dyDescent="0.55000000000000004">
      <c r="E482" s="143">
        <v>42688</v>
      </c>
      <c r="F482" s="142">
        <v>2164.1999999999998</v>
      </c>
      <c r="K482" s="132">
        <v>-1.1848503527155829E-2</v>
      </c>
      <c r="M482" s="132">
        <v>-1.1848503527155829E-2</v>
      </c>
    </row>
    <row r="483" spans="5:13" x14ac:dyDescent="0.55000000000000004">
      <c r="E483" s="143">
        <v>42689</v>
      </c>
      <c r="F483" s="142">
        <v>2180.39</v>
      </c>
      <c r="K483" s="132">
        <v>-4.4563157774583084E-3</v>
      </c>
      <c r="M483" s="132">
        <v>-4.4563157774583084E-3</v>
      </c>
    </row>
    <row r="484" spans="5:13" x14ac:dyDescent="0.55000000000000004">
      <c r="E484" s="143">
        <v>42690</v>
      </c>
      <c r="F484" s="142">
        <v>2176.94</v>
      </c>
      <c r="K484" s="132">
        <v>-6.0315503504326795E-3</v>
      </c>
      <c r="M484" s="132">
        <v>-6.0315503504326795E-3</v>
      </c>
    </row>
    <row r="485" spans="5:13" x14ac:dyDescent="0.55000000000000004">
      <c r="E485" s="143">
        <v>42691</v>
      </c>
      <c r="F485" s="142">
        <v>2187.12</v>
      </c>
      <c r="K485" s="132">
        <v>-1.3834668858297983E-3</v>
      </c>
      <c r="M485" s="132">
        <v>-1.3834668858297983E-3</v>
      </c>
    </row>
    <row r="486" spans="5:13" x14ac:dyDescent="0.55000000000000004">
      <c r="E486" s="143">
        <v>42692</v>
      </c>
      <c r="F486" s="142">
        <v>2181.9</v>
      </c>
      <c r="K486" s="132">
        <v>-3.7668652831998051E-3</v>
      </c>
      <c r="M486" s="132">
        <v>-3.7668652831998051E-3</v>
      </c>
    </row>
    <row r="487" spans="5:13" x14ac:dyDescent="0.55000000000000004">
      <c r="E487" s="143">
        <v>42695</v>
      </c>
      <c r="F487" s="142">
        <v>2198.1799999999998</v>
      </c>
      <c r="K487" s="132">
        <v>0</v>
      </c>
      <c r="M487" s="132">
        <v>0</v>
      </c>
    </row>
    <row r="488" spans="5:13" x14ac:dyDescent="0.55000000000000004">
      <c r="E488" s="143">
        <v>42696</v>
      </c>
      <c r="F488" s="142">
        <v>2202.94</v>
      </c>
      <c r="K488" s="132">
        <v>0</v>
      </c>
      <c r="M488" s="132">
        <v>0</v>
      </c>
    </row>
    <row r="489" spans="5:13" x14ac:dyDescent="0.55000000000000004">
      <c r="E489" s="143">
        <v>42697</v>
      </c>
      <c r="F489" s="142">
        <v>2204.7199999999998</v>
      </c>
      <c r="K489" s="132">
        <v>0</v>
      </c>
      <c r="M489" s="132">
        <v>0</v>
      </c>
    </row>
    <row r="490" spans="5:13" x14ac:dyDescent="0.55000000000000004">
      <c r="E490" s="143">
        <v>42699</v>
      </c>
      <c r="F490" s="142">
        <v>2213.35</v>
      </c>
      <c r="K490" s="132">
        <v>0</v>
      </c>
      <c r="M490" s="132">
        <v>0</v>
      </c>
    </row>
    <row r="491" spans="5:13" x14ac:dyDescent="0.55000000000000004">
      <c r="E491" s="143">
        <v>42702</v>
      </c>
      <c r="F491" s="142">
        <v>2201.7199999999998</v>
      </c>
      <c r="K491" s="132">
        <v>-5.2544785054330356E-3</v>
      </c>
      <c r="M491" s="132">
        <v>-5.2544785054330356E-3</v>
      </c>
    </row>
    <row r="492" spans="5:13" x14ac:dyDescent="0.55000000000000004">
      <c r="E492" s="143">
        <v>42703</v>
      </c>
      <c r="F492" s="142">
        <v>2204.66</v>
      </c>
      <c r="K492" s="132">
        <v>-3.9261752547044004E-3</v>
      </c>
      <c r="M492" s="132">
        <v>-3.9261752547044004E-3</v>
      </c>
    </row>
    <row r="493" spans="5:13" x14ac:dyDescent="0.55000000000000004">
      <c r="E493" s="143">
        <v>42704</v>
      </c>
      <c r="F493" s="142">
        <v>2198.81</v>
      </c>
      <c r="K493" s="132">
        <v>-6.5692276413581441E-3</v>
      </c>
      <c r="M493" s="132">
        <v>-6.5692276413581441E-3</v>
      </c>
    </row>
    <row r="494" spans="5:13" x14ac:dyDescent="0.55000000000000004">
      <c r="E494" s="143">
        <v>42705</v>
      </c>
      <c r="F494" s="142">
        <v>2191.08</v>
      </c>
      <c r="K494" s="132">
        <v>-1.006167122235524E-2</v>
      </c>
      <c r="M494" s="132">
        <v>-1.006167122235524E-2</v>
      </c>
    </row>
    <row r="495" spans="5:13" x14ac:dyDescent="0.55000000000000004">
      <c r="E495" s="143">
        <v>42706</v>
      </c>
      <c r="F495" s="142">
        <v>2191.9499999999998</v>
      </c>
      <c r="K495" s="132">
        <v>-9.6686018930580708E-3</v>
      </c>
      <c r="M495" s="132">
        <v>-9.6686018930580708E-3</v>
      </c>
    </row>
    <row r="496" spans="5:13" x14ac:dyDescent="0.55000000000000004">
      <c r="E496" s="143">
        <v>42709</v>
      </c>
      <c r="F496" s="142">
        <v>2204.71</v>
      </c>
      <c r="K496" s="132">
        <v>-3.9035850633654112E-3</v>
      </c>
      <c r="M496" s="132">
        <v>-3.9035850633654112E-3</v>
      </c>
    </row>
    <row r="497" spans="5:13" x14ac:dyDescent="0.55000000000000004">
      <c r="E497" s="143">
        <v>42710</v>
      </c>
      <c r="F497" s="142">
        <v>2212.23</v>
      </c>
      <c r="K497" s="132">
        <v>-5.0602028599178173E-4</v>
      </c>
      <c r="M497" s="132">
        <v>-5.0602028599178173E-4</v>
      </c>
    </row>
    <row r="498" spans="5:13" x14ac:dyDescent="0.55000000000000004">
      <c r="E498" s="143">
        <v>42711</v>
      </c>
      <c r="F498" s="142">
        <v>2241.35</v>
      </c>
      <c r="K498" s="132">
        <v>0</v>
      </c>
      <c r="M498" s="132">
        <v>0</v>
      </c>
    </row>
    <row r="499" spans="5:13" x14ac:dyDescent="0.55000000000000004">
      <c r="E499" s="143">
        <v>42712</v>
      </c>
      <c r="F499" s="142">
        <v>2246.19</v>
      </c>
      <c r="K499" s="132">
        <v>0</v>
      </c>
      <c r="M499" s="132">
        <v>0</v>
      </c>
    </row>
    <row r="500" spans="5:13" x14ac:dyDescent="0.55000000000000004">
      <c r="E500" s="143">
        <v>42713</v>
      </c>
      <c r="F500" s="142">
        <v>2259.5300000000002</v>
      </c>
      <c r="K500" s="132">
        <v>0</v>
      </c>
      <c r="M500" s="132">
        <v>0</v>
      </c>
    </row>
    <row r="501" spans="5:13" x14ac:dyDescent="0.55000000000000004">
      <c r="E501" s="143">
        <v>42716</v>
      </c>
      <c r="F501" s="142">
        <v>2256.96</v>
      </c>
      <c r="K501" s="132">
        <v>-1.1374046815045835E-3</v>
      </c>
      <c r="M501" s="132">
        <v>-1.1374046815045835E-3</v>
      </c>
    </row>
    <row r="502" spans="5:13" x14ac:dyDescent="0.55000000000000004">
      <c r="E502" s="143">
        <v>42717</v>
      </c>
      <c r="F502" s="142">
        <v>2271.7199999999998</v>
      </c>
      <c r="K502" s="132">
        <v>0</v>
      </c>
      <c r="M502" s="132">
        <v>0</v>
      </c>
    </row>
    <row r="503" spans="5:13" x14ac:dyDescent="0.55000000000000004">
      <c r="E503" s="143">
        <v>42718</v>
      </c>
      <c r="F503" s="142">
        <v>2253.2800000000002</v>
      </c>
      <c r="K503" s="132">
        <v>-8.1171975419503939E-3</v>
      </c>
      <c r="M503" s="132">
        <v>-8.1171975419503939E-3</v>
      </c>
    </row>
    <row r="504" spans="5:13" x14ac:dyDescent="0.55000000000000004">
      <c r="E504" s="143">
        <v>42719</v>
      </c>
      <c r="F504" s="142">
        <v>2262.0300000000002</v>
      </c>
      <c r="K504" s="132">
        <v>-4.2654904653740555E-3</v>
      </c>
      <c r="M504" s="132">
        <v>-4.2654904653740555E-3</v>
      </c>
    </row>
    <row r="505" spans="5:13" x14ac:dyDescent="0.55000000000000004">
      <c r="E505" s="143">
        <v>42720</v>
      </c>
      <c r="F505" s="142">
        <v>2258.0700000000002</v>
      </c>
      <c r="K505" s="132">
        <v>-6.0086630394589058E-3</v>
      </c>
      <c r="M505" s="132">
        <v>-6.0086630394589058E-3</v>
      </c>
    </row>
    <row r="506" spans="5:13" x14ac:dyDescent="0.55000000000000004">
      <c r="E506" s="143">
        <v>42723</v>
      </c>
      <c r="F506" s="142">
        <v>2262.5300000000002</v>
      </c>
      <c r="K506" s="132">
        <v>-4.0453929181410997E-3</v>
      </c>
      <c r="M506" s="132">
        <v>-4.0453929181410997E-3</v>
      </c>
    </row>
    <row r="507" spans="5:13" x14ac:dyDescent="0.55000000000000004">
      <c r="E507" s="143">
        <v>42724</v>
      </c>
      <c r="F507" s="142">
        <v>2270.7600000000002</v>
      </c>
      <c r="K507" s="132">
        <v>-4.2258729068700429E-4</v>
      </c>
      <c r="M507" s="132">
        <v>-4.2258729068700429E-4</v>
      </c>
    </row>
    <row r="508" spans="5:13" x14ac:dyDescent="0.55000000000000004">
      <c r="E508" s="143">
        <v>42725</v>
      </c>
      <c r="F508" s="142">
        <v>2265.1799999999998</v>
      </c>
      <c r="K508" s="132">
        <v>-2.878875917806778E-3</v>
      </c>
      <c r="M508" s="132">
        <v>-2.878875917806778E-3</v>
      </c>
    </row>
    <row r="509" spans="5:13" x14ac:dyDescent="0.55000000000000004">
      <c r="E509" s="143">
        <v>42726</v>
      </c>
      <c r="F509" s="142">
        <v>2260.96</v>
      </c>
      <c r="K509" s="132">
        <v>-4.7364992164525832E-3</v>
      </c>
      <c r="M509" s="132">
        <v>-4.7364992164525832E-3</v>
      </c>
    </row>
    <row r="510" spans="5:13" x14ac:dyDescent="0.55000000000000004">
      <c r="E510" s="143">
        <v>42727</v>
      </c>
      <c r="F510" s="142">
        <v>2263.79</v>
      </c>
      <c r="K510" s="132">
        <v>-3.4907470991142331E-3</v>
      </c>
      <c r="M510" s="132">
        <v>-3.4907470991142331E-3</v>
      </c>
    </row>
    <row r="511" spans="5:13" x14ac:dyDescent="0.55000000000000004">
      <c r="E511" s="143">
        <v>42731</v>
      </c>
      <c r="F511" s="142">
        <v>2268.88</v>
      </c>
      <c r="K511" s="132">
        <v>-1.2501540682828827E-3</v>
      </c>
      <c r="M511" s="132">
        <v>-1.2501540682828827E-3</v>
      </c>
    </row>
    <row r="512" spans="5:13" x14ac:dyDescent="0.55000000000000004">
      <c r="E512" s="143">
        <v>42732</v>
      </c>
      <c r="F512" s="142">
        <v>2249.92</v>
      </c>
      <c r="K512" s="132">
        <v>-9.5962530593557416E-3</v>
      </c>
      <c r="M512" s="132">
        <v>-9.5962530593557416E-3</v>
      </c>
    </row>
    <row r="513" spans="5:13" x14ac:dyDescent="0.55000000000000004">
      <c r="E513" s="143">
        <v>42733</v>
      </c>
      <c r="F513" s="142">
        <v>2249.2600000000002</v>
      </c>
      <c r="K513" s="132">
        <v>-9.8867818217032166E-3</v>
      </c>
      <c r="M513" s="132">
        <v>-9.8867818217032166E-3</v>
      </c>
    </row>
    <row r="514" spans="5:13" x14ac:dyDescent="0.55000000000000004">
      <c r="E514" s="143">
        <v>42734</v>
      </c>
      <c r="F514" s="142">
        <v>2238.83</v>
      </c>
      <c r="K514" s="132">
        <v>-1.447801665698234E-2</v>
      </c>
      <c r="M514" s="132">
        <v>-1.447801665698234E-2</v>
      </c>
    </row>
    <row r="515" spans="5:13" x14ac:dyDescent="0.55000000000000004">
      <c r="E515" s="143">
        <v>42738</v>
      </c>
      <c r="F515" s="142">
        <v>2257.83</v>
      </c>
      <c r="K515" s="132">
        <v>-6.1143098621307956E-3</v>
      </c>
      <c r="M515" s="132">
        <v>-6.1143098621307956E-3</v>
      </c>
    </row>
    <row r="516" spans="5:13" x14ac:dyDescent="0.55000000000000004">
      <c r="E516" s="143">
        <v>42739</v>
      </c>
      <c r="F516" s="142">
        <v>2270.75</v>
      </c>
      <c r="K516" s="132">
        <v>-4.2698924163175889E-4</v>
      </c>
      <c r="M516" s="132">
        <v>-4.2698924163175889E-4</v>
      </c>
    </row>
    <row r="517" spans="5:13" x14ac:dyDescent="0.55000000000000004">
      <c r="E517" s="143">
        <v>42740</v>
      </c>
      <c r="F517" s="142">
        <v>2269</v>
      </c>
      <c r="K517" s="132">
        <v>-1.1973306569470488E-3</v>
      </c>
      <c r="M517" s="132">
        <v>-1.1973306569470488E-3</v>
      </c>
    </row>
    <row r="518" spans="5:13" x14ac:dyDescent="0.55000000000000004">
      <c r="E518" s="143">
        <v>42741</v>
      </c>
      <c r="F518" s="142">
        <v>2276.98</v>
      </c>
      <c r="K518" s="132">
        <v>0</v>
      </c>
      <c r="M518" s="132">
        <v>0</v>
      </c>
    </row>
    <row r="519" spans="5:13" x14ac:dyDescent="0.55000000000000004">
      <c r="E519" s="143">
        <v>42744</v>
      </c>
      <c r="F519" s="142">
        <v>2268.9</v>
      </c>
      <c r="K519" s="132">
        <v>-3.5485599346501973E-3</v>
      </c>
      <c r="M519" s="132">
        <v>-3.5485599346501973E-3</v>
      </c>
    </row>
    <row r="520" spans="5:13" x14ac:dyDescent="0.55000000000000004">
      <c r="E520" s="143">
        <v>42745</v>
      </c>
      <c r="F520" s="142">
        <v>2268.9</v>
      </c>
      <c r="K520" s="132">
        <v>-3.5485599346501973E-3</v>
      </c>
      <c r="M520" s="132">
        <v>-3.5485599346501973E-3</v>
      </c>
    </row>
    <row r="521" spans="5:13" x14ac:dyDescent="0.55000000000000004">
      <c r="E521" s="143">
        <v>42746</v>
      </c>
      <c r="F521" s="142">
        <v>2275.3200000000002</v>
      </c>
      <c r="K521" s="132">
        <v>-7.290358281583087E-4</v>
      </c>
      <c r="M521" s="132">
        <v>-7.290358281583087E-4</v>
      </c>
    </row>
    <row r="522" spans="5:13" x14ac:dyDescent="0.55000000000000004">
      <c r="E522" s="143">
        <v>42747</v>
      </c>
      <c r="F522" s="142">
        <v>2270.44</v>
      </c>
      <c r="K522" s="132">
        <v>-2.8722254916599965E-3</v>
      </c>
      <c r="M522" s="132">
        <v>-2.8722254916599965E-3</v>
      </c>
    </row>
    <row r="523" spans="5:13" x14ac:dyDescent="0.55000000000000004">
      <c r="E523" s="143">
        <v>42748</v>
      </c>
      <c r="F523" s="142">
        <v>2274.64</v>
      </c>
      <c r="K523" s="132">
        <v>-1.0276770107775501E-3</v>
      </c>
      <c r="M523" s="132">
        <v>-1.0276770107775501E-3</v>
      </c>
    </row>
    <row r="524" spans="5:13" x14ac:dyDescent="0.55000000000000004">
      <c r="E524" s="143">
        <v>42752</v>
      </c>
      <c r="F524" s="142">
        <v>2267.89</v>
      </c>
      <c r="K524" s="132">
        <v>-3.9921299264816801E-3</v>
      </c>
      <c r="M524" s="132">
        <v>-3.9921299264816801E-3</v>
      </c>
    </row>
    <row r="525" spans="5:13" x14ac:dyDescent="0.55000000000000004">
      <c r="E525" s="143">
        <v>42753</v>
      </c>
      <c r="F525" s="142">
        <v>2271.89</v>
      </c>
      <c r="K525" s="132">
        <v>-2.2354170875458212E-3</v>
      </c>
      <c r="M525" s="132">
        <v>-2.2354170875458212E-3</v>
      </c>
    </row>
    <row r="526" spans="5:13" x14ac:dyDescent="0.55000000000000004">
      <c r="E526" s="143">
        <v>42754</v>
      </c>
      <c r="F526" s="142">
        <v>2263.69</v>
      </c>
      <c r="K526" s="132">
        <v>-5.8366784073641265E-3</v>
      </c>
      <c r="M526" s="132">
        <v>-5.8366784073641265E-3</v>
      </c>
    </row>
    <row r="527" spans="5:13" x14ac:dyDescent="0.55000000000000004">
      <c r="E527" s="143">
        <v>42755</v>
      </c>
      <c r="F527" s="142">
        <v>2271.31</v>
      </c>
      <c r="K527" s="132">
        <v>-2.4901404491914914E-3</v>
      </c>
      <c r="M527" s="132">
        <v>-2.4901404491914914E-3</v>
      </c>
    </row>
    <row r="528" spans="5:13" x14ac:dyDescent="0.55000000000000004">
      <c r="E528" s="143">
        <v>42758</v>
      </c>
      <c r="F528" s="142">
        <v>2265.1999999999998</v>
      </c>
      <c r="K528" s="132">
        <v>-5.1735193106660082E-3</v>
      </c>
      <c r="M528" s="132">
        <v>-5.1735193106660082E-3</v>
      </c>
    </row>
    <row r="529" spans="5:13" x14ac:dyDescent="0.55000000000000004">
      <c r="E529" s="143">
        <v>42759</v>
      </c>
      <c r="F529" s="142">
        <v>2280.0700000000002</v>
      </c>
      <c r="K529" s="132">
        <v>0</v>
      </c>
      <c r="M529" s="132">
        <v>0</v>
      </c>
    </row>
    <row r="530" spans="5:13" x14ac:dyDescent="0.55000000000000004">
      <c r="E530" s="143">
        <v>42760</v>
      </c>
      <c r="F530" s="142">
        <v>2298.37</v>
      </c>
      <c r="K530" s="132">
        <v>0</v>
      </c>
      <c r="M530" s="132">
        <v>0</v>
      </c>
    </row>
    <row r="531" spans="5:13" x14ac:dyDescent="0.55000000000000004">
      <c r="E531" s="143">
        <v>42761</v>
      </c>
      <c r="F531" s="142">
        <v>2296.6799999999998</v>
      </c>
      <c r="K531" s="132">
        <v>-7.3530371524166416E-4</v>
      </c>
      <c r="M531" s="132">
        <v>-7.3530371524166416E-4</v>
      </c>
    </row>
    <row r="532" spans="5:13" x14ac:dyDescent="0.55000000000000004">
      <c r="E532" s="143">
        <v>42762</v>
      </c>
      <c r="F532" s="142">
        <v>2294.69</v>
      </c>
      <c r="K532" s="132">
        <v>-1.6011347172125712E-3</v>
      </c>
      <c r="M532" s="132">
        <v>-1.6011347172125712E-3</v>
      </c>
    </row>
    <row r="533" spans="5:13" x14ac:dyDescent="0.55000000000000004">
      <c r="E533" s="143">
        <v>42765</v>
      </c>
      <c r="F533" s="142">
        <v>2280.9</v>
      </c>
      <c r="K533" s="132">
        <v>-7.6010389972023251E-3</v>
      </c>
      <c r="M533" s="132">
        <v>-7.6010389972023251E-3</v>
      </c>
    </row>
    <row r="534" spans="5:13" x14ac:dyDescent="0.55000000000000004">
      <c r="E534" s="143">
        <v>42766</v>
      </c>
      <c r="F534" s="142">
        <v>2278.87</v>
      </c>
      <c r="K534" s="132">
        <v>-8.4842736374038941E-3</v>
      </c>
      <c r="M534" s="132">
        <v>-8.4842736374038941E-3</v>
      </c>
    </row>
    <row r="535" spans="5:13" x14ac:dyDescent="0.55000000000000004">
      <c r="E535" s="143">
        <v>42767</v>
      </c>
      <c r="F535" s="142">
        <v>2279.5500000000002</v>
      </c>
      <c r="K535" s="132">
        <v>-8.1884117874840845E-3</v>
      </c>
      <c r="M535" s="132">
        <v>-8.1884117874840845E-3</v>
      </c>
    </row>
    <row r="536" spans="5:13" x14ac:dyDescent="0.55000000000000004">
      <c r="E536" s="143">
        <v>42768</v>
      </c>
      <c r="F536" s="142">
        <v>2280.85</v>
      </c>
      <c r="K536" s="132">
        <v>-7.6227935449906248E-3</v>
      </c>
      <c r="M536" s="132">
        <v>-7.6227935449906248E-3</v>
      </c>
    </row>
    <row r="537" spans="5:13" x14ac:dyDescent="0.55000000000000004">
      <c r="E537" s="143">
        <v>42769</v>
      </c>
      <c r="F537" s="142">
        <v>2297.42</v>
      </c>
      <c r="K537" s="132">
        <v>-4.1333640797602822E-4</v>
      </c>
      <c r="M537" s="132">
        <v>-4.1333640797602822E-4</v>
      </c>
    </row>
    <row r="538" spans="5:13" x14ac:dyDescent="0.55000000000000004">
      <c r="E538" s="143">
        <v>42772</v>
      </c>
      <c r="F538" s="142">
        <v>2292.56</v>
      </c>
      <c r="K538" s="132">
        <v>-2.5278784529906284E-3</v>
      </c>
      <c r="M538" s="132">
        <v>-2.5278784529906284E-3</v>
      </c>
    </row>
    <row r="539" spans="5:13" x14ac:dyDescent="0.55000000000000004">
      <c r="E539" s="143">
        <v>42773</v>
      </c>
      <c r="F539" s="142">
        <v>2293.08</v>
      </c>
      <c r="K539" s="132">
        <v>-2.3016311559931335E-3</v>
      </c>
      <c r="M539" s="132">
        <v>-2.3016311559931335E-3</v>
      </c>
    </row>
    <row r="540" spans="5:13" x14ac:dyDescent="0.55000000000000004">
      <c r="E540" s="143">
        <v>42774</v>
      </c>
      <c r="F540" s="142">
        <v>2294.67</v>
      </c>
      <c r="K540" s="132">
        <v>-1.6098365363278466E-3</v>
      </c>
      <c r="M540" s="132">
        <v>-1.6098365363278466E-3</v>
      </c>
    </row>
    <row r="541" spans="5:13" x14ac:dyDescent="0.55000000000000004">
      <c r="E541" s="143">
        <v>42775</v>
      </c>
      <c r="F541" s="142">
        <v>2307.87</v>
      </c>
      <c r="K541" s="132">
        <v>0</v>
      </c>
      <c r="M541" s="132">
        <v>0</v>
      </c>
    </row>
    <row r="542" spans="5:13" x14ac:dyDescent="0.55000000000000004">
      <c r="E542" s="143">
        <v>42776</v>
      </c>
      <c r="F542" s="142">
        <v>2316.1</v>
      </c>
      <c r="K542" s="132">
        <v>0</v>
      </c>
      <c r="M542" s="132">
        <v>0</v>
      </c>
    </row>
    <row r="543" spans="5:13" x14ac:dyDescent="0.55000000000000004">
      <c r="E543" s="143">
        <v>42779</v>
      </c>
      <c r="F543" s="142">
        <v>2328.25</v>
      </c>
      <c r="K543" s="132">
        <v>0</v>
      </c>
      <c r="M543" s="132">
        <v>0</v>
      </c>
    </row>
    <row r="544" spans="5:13" x14ac:dyDescent="0.55000000000000004">
      <c r="E544" s="143">
        <v>42780</v>
      </c>
      <c r="F544" s="142">
        <v>2337.58</v>
      </c>
      <c r="K544" s="132">
        <v>0</v>
      </c>
      <c r="M544" s="132">
        <v>0</v>
      </c>
    </row>
    <row r="545" spans="5:13" x14ac:dyDescent="0.55000000000000004">
      <c r="E545" s="143">
        <v>42781</v>
      </c>
      <c r="F545" s="142">
        <v>2349.25</v>
      </c>
      <c r="K545" s="132">
        <v>0</v>
      </c>
      <c r="M545" s="132">
        <v>0</v>
      </c>
    </row>
    <row r="546" spans="5:13" x14ac:dyDescent="0.55000000000000004">
      <c r="E546" s="143">
        <v>42782</v>
      </c>
      <c r="F546" s="142">
        <v>2347.2199999999998</v>
      </c>
      <c r="K546" s="132">
        <v>-8.641055656061214E-4</v>
      </c>
      <c r="M546" s="132">
        <v>-8.641055656061214E-4</v>
      </c>
    </row>
    <row r="547" spans="5:13" x14ac:dyDescent="0.55000000000000004">
      <c r="E547" s="143">
        <v>42783</v>
      </c>
      <c r="F547" s="142">
        <v>2351.16</v>
      </c>
      <c r="K547" s="132">
        <v>0</v>
      </c>
      <c r="M547" s="132">
        <v>0</v>
      </c>
    </row>
    <row r="548" spans="5:13" x14ac:dyDescent="0.55000000000000004">
      <c r="E548" s="143">
        <v>42787</v>
      </c>
      <c r="F548" s="142">
        <v>2365.38</v>
      </c>
      <c r="K548" s="132">
        <v>0</v>
      </c>
      <c r="M548" s="132">
        <v>0</v>
      </c>
    </row>
    <row r="549" spans="5:13" x14ac:dyDescent="0.55000000000000004">
      <c r="E549" s="143">
        <v>42788</v>
      </c>
      <c r="F549" s="142">
        <v>2362.8200000000002</v>
      </c>
      <c r="K549" s="132">
        <v>-1.0822785345272479E-3</v>
      </c>
      <c r="M549" s="132">
        <v>-1.0822785345272479E-3</v>
      </c>
    </row>
    <row r="550" spans="5:13" x14ac:dyDescent="0.55000000000000004">
      <c r="E550" s="143">
        <v>42789</v>
      </c>
      <c r="F550" s="142">
        <v>2363.81</v>
      </c>
      <c r="K550" s="132">
        <v>-6.6374113250311506E-4</v>
      </c>
      <c r="M550" s="132">
        <v>-6.6374113250311506E-4</v>
      </c>
    </row>
    <row r="551" spans="5:13" x14ac:dyDescent="0.55000000000000004">
      <c r="E551" s="143">
        <v>42790</v>
      </c>
      <c r="F551" s="142">
        <v>2367.34</v>
      </c>
      <c r="K551" s="132">
        <v>0</v>
      </c>
      <c r="M551" s="132">
        <v>0</v>
      </c>
    </row>
    <row r="552" spans="5:13" x14ac:dyDescent="0.55000000000000004">
      <c r="E552" s="143">
        <v>42793</v>
      </c>
      <c r="F552" s="142">
        <v>2369.75</v>
      </c>
      <c r="K552" s="132">
        <v>0</v>
      </c>
      <c r="M552" s="132">
        <v>0</v>
      </c>
    </row>
    <row r="553" spans="5:13" x14ac:dyDescent="0.55000000000000004">
      <c r="E553" s="143">
        <v>42794</v>
      </c>
      <c r="F553" s="142">
        <v>2363.64</v>
      </c>
      <c r="K553" s="132">
        <v>-2.5783310475788745E-3</v>
      </c>
      <c r="M553" s="132">
        <v>-2.5783310475788745E-3</v>
      </c>
    </row>
    <row r="554" spans="5:13" x14ac:dyDescent="0.55000000000000004">
      <c r="E554" s="143">
        <v>42795</v>
      </c>
      <c r="F554" s="142">
        <v>2395.96</v>
      </c>
      <c r="K554" s="132">
        <v>0</v>
      </c>
      <c r="M554" s="132">
        <v>0</v>
      </c>
    </row>
    <row r="555" spans="5:13" x14ac:dyDescent="0.55000000000000004">
      <c r="E555" s="143">
        <v>42796</v>
      </c>
      <c r="F555" s="142">
        <v>2381.92</v>
      </c>
      <c r="K555" s="132">
        <v>-5.8598641045760624E-3</v>
      </c>
      <c r="M555" s="132">
        <v>-5.8598641045760624E-3</v>
      </c>
    </row>
    <row r="556" spans="5:13" x14ac:dyDescent="0.55000000000000004">
      <c r="E556" s="143">
        <v>42797</v>
      </c>
      <c r="F556" s="142">
        <v>2383.12</v>
      </c>
      <c r="K556" s="132">
        <v>-5.3590210187148823E-3</v>
      </c>
      <c r="M556" s="132">
        <v>-5.3590210187148823E-3</v>
      </c>
    </row>
    <row r="557" spans="5:13" x14ac:dyDescent="0.55000000000000004">
      <c r="E557" s="143">
        <v>42800</v>
      </c>
      <c r="F557" s="142">
        <v>2375.31</v>
      </c>
      <c r="K557" s="132">
        <v>-8.6186747691948673E-3</v>
      </c>
      <c r="M557" s="132">
        <v>-8.6186747691948673E-3</v>
      </c>
    </row>
    <row r="558" spans="5:13" x14ac:dyDescent="0.55000000000000004">
      <c r="E558" s="143">
        <v>42801</v>
      </c>
      <c r="F558" s="142">
        <v>2368.39</v>
      </c>
      <c r="K558" s="132">
        <v>-1.1506869897661143E-2</v>
      </c>
      <c r="M558" s="132">
        <v>-1.1506869897661143E-2</v>
      </c>
    </row>
    <row r="559" spans="5:13" x14ac:dyDescent="0.55000000000000004">
      <c r="E559" s="143">
        <v>42802</v>
      </c>
      <c r="F559" s="142">
        <v>2362.98</v>
      </c>
      <c r="K559" s="132">
        <v>-1.3764837476418657E-2</v>
      </c>
      <c r="M559" s="132">
        <v>-1.3764837476418657E-2</v>
      </c>
    </row>
    <row r="560" spans="5:13" x14ac:dyDescent="0.55000000000000004">
      <c r="E560" s="143">
        <v>42803</v>
      </c>
      <c r="F560" s="142">
        <v>2364.87</v>
      </c>
      <c r="K560" s="132">
        <v>-1.2976009616187278E-2</v>
      </c>
      <c r="M560" s="132">
        <v>-1.2976009616187278E-2</v>
      </c>
    </row>
    <row r="561" spans="5:13" x14ac:dyDescent="0.55000000000000004">
      <c r="E561" s="143">
        <v>42804</v>
      </c>
      <c r="F561" s="142">
        <v>2372.6</v>
      </c>
      <c r="K561" s="132">
        <v>-9.7497454047646981E-3</v>
      </c>
      <c r="M561" s="132">
        <v>-9.7497454047646981E-3</v>
      </c>
    </row>
    <row r="562" spans="5:13" x14ac:dyDescent="0.55000000000000004">
      <c r="E562" s="143">
        <v>42807</v>
      </c>
      <c r="F562" s="142">
        <v>2373.4699999999998</v>
      </c>
      <c r="K562" s="132">
        <v>-9.3866341675153953E-3</v>
      </c>
      <c r="M562" s="132">
        <v>-9.3866341675153953E-3</v>
      </c>
    </row>
    <row r="563" spans="5:13" x14ac:dyDescent="0.55000000000000004">
      <c r="E563" s="143">
        <v>42808</v>
      </c>
      <c r="F563" s="142">
        <v>2365.4499999999998</v>
      </c>
      <c r="K563" s="132">
        <v>-1.273393545802104E-2</v>
      </c>
      <c r="M563" s="132">
        <v>-1.273393545802104E-2</v>
      </c>
    </row>
    <row r="564" spans="5:13" x14ac:dyDescent="0.55000000000000004">
      <c r="E564" s="143">
        <v>42809</v>
      </c>
      <c r="F564" s="142">
        <v>2385.2600000000002</v>
      </c>
      <c r="K564" s="132">
        <v>-4.4658508489289206E-3</v>
      </c>
      <c r="M564" s="132">
        <v>-4.4658508489289206E-3</v>
      </c>
    </row>
    <row r="565" spans="5:13" x14ac:dyDescent="0.55000000000000004">
      <c r="E565" s="143">
        <v>42810</v>
      </c>
      <c r="F565" s="142">
        <v>2381.38</v>
      </c>
      <c r="K565" s="132">
        <v>-6.085243493213599E-3</v>
      </c>
      <c r="M565" s="132">
        <v>-6.085243493213599E-3</v>
      </c>
    </row>
    <row r="566" spans="5:13" x14ac:dyDescent="0.55000000000000004">
      <c r="E566" s="143">
        <v>42811</v>
      </c>
      <c r="F566" s="142">
        <v>2378.25</v>
      </c>
      <c r="K566" s="132">
        <v>-7.3916092088348595E-3</v>
      </c>
      <c r="M566" s="132">
        <v>-7.3916092088348595E-3</v>
      </c>
    </row>
    <row r="567" spans="5:13" x14ac:dyDescent="0.55000000000000004">
      <c r="E567" s="143">
        <v>42814</v>
      </c>
      <c r="F567" s="142">
        <v>2373.4699999999998</v>
      </c>
      <c r="K567" s="132">
        <v>-9.3866341675153953E-3</v>
      </c>
      <c r="M567" s="132">
        <v>-9.3866341675153953E-3</v>
      </c>
    </row>
    <row r="568" spans="5:13" x14ac:dyDescent="0.55000000000000004">
      <c r="E568" s="143">
        <v>42815</v>
      </c>
      <c r="F568" s="142">
        <v>2344.02</v>
      </c>
      <c r="K568" s="132">
        <v>-2.1678158233025657E-2</v>
      </c>
      <c r="M568" s="132">
        <v>-2.1678158233025657E-2</v>
      </c>
    </row>
    <row r="569" spans="5:13" x14ac:dyDescent="0.55000000000000004">
      <c r="E569" s="143">
        <v>42816</v>
      </c>
      <c r="F569" s="142">
        <v>2348.4499999999998</v>
      </c>
      <c r="K569" s="132">
        <v>-1.9829212507721405E-2</v>
      </c>
      <c r="M569" s="132">
        <v>-1.9829212507721405E-2</v>
      </c>
    </row>
    <row r="570" spans="5:13" x14ac:dyDescent="0.55000000000000004">
      <c r="E570" s="143">
        <v>42817</v>
      </c>
      <c r="F570" s="142">
        <v>2345.96</v>
      </c>
      <c r="K570" s="132">
        <v>-2.0868461910883318E-2</v>
      </c>
      <c r="M570" s="132">
        <v>-2.0868461910883318E-2</v>
      </c>
    </row>
    <row r="571" spans="5:13" x14ac:dyDescent="0.55000000000000004">
      <c r="E571" s="143">
        <v>42818</v>
      </c>
      <c r="F571" s="142">
        <v>2343.98</v>
      </c>
      <c r="K571" s="132">
        <v>-2.169485300255436E-2</v>
      </c>
      <c r="M571" s="132">
        <v>-2.169485300255436E-2</v>
      </c>
    </row>
    <row r="572" spans="5:13" x14ac:dyDescent="0.55000000000000004">
      <c r="E572" s="143">
        <v>42821</v>
      </c>
      <c r="F572" s="142">
        <v>2341.59</v>
      </c>
      <c r="K572" s="132">
        <v>-2.2692365481894461E-2</v>
      </c>
      <c r="M572" s="132">
        <v>-2.2692365481894461E-2</v>
      </c>
    </row>
    <row r="573" spans="5:13" x14ac:dyDescent="0.55000000000000004">
      <c r="E573" s="143">
        <v>42822</v>
      </c>
      <c r="F573" s="142">
        <v>2358.5700000000002</v>
      </c>
      <c r="K573" s="132">
        <v>-1.5605435816958502E-2</v>
      </c>
      <c r="M573" s="132">
        <v>-1.5605435816958502E-2</v>
      </c>
    </row>
    <row r="574" spans="5:13" x14ac:dyDescent="0.55000000000000004">
      <c r="E574" s="143">
        <v>42823</v>
      </c>
      <c r="F574" s="142">
        <v>2361.13</v>
      </c>
      <c r="K574" s="132">
        <v>-1.4536970567121332E-2</v>
      </c>
      <c r="M574" s="132">
        <v>-1.4536970567121332E-2</v>
      </c>
    </row>
    <row r="575" spans="5:13" x14ac:dyDescent="0.55000000000000004">
      <c r="E575" s="143">
        <v>42824</v>
      </c>
      <c r="F575" s="142">
        <v>2368.06</v>
      </c>
      <c r="K575" s="132">
        <v>-1.1644601746272909E-2</v>
      </c>
      <c r="M575" s="132">
        <v>-1.1644601746272909E-2</v>
      </c>
    </row>
    <row r="576" spans="5:13" x14ac:dyDescent="0.55000000000000004">
      <c r="E576" s="143">
        <v>42825</v>
      </c>
      <c r="F576" s="142">
        <v>2362.7199999999998</v>
      </c>
      <c r="K576" s="132">
        <v>-1.3873353478355277E-2</v>
      </c>
      <c r="M576" s="132">
        <v>-1.3873353478355277E-2</v>
      </c>
    </row>
    <row r="577" spans="5:13" x14ac:dyDescent="0.55000000000000004">
      <c r="E577" s="143">
        <v>42828</v>
      </c>
      <c r="F577" s="142">
        <v>2358.84</v>
      </c>
      <c r="K577" s="132">
        <v>-1.5492746122639733E-2</v>
      </c>
      <c r="M577" s="132">
        <v>-1.5492746122639733E-2</v>
      </c>
    </row>
    <row r="578" spans="5:13" x14ac:dyDescent="0.55000000000000004">
      <c r="E578" s="143">
        <v>42829</v>
      </c>
      <c r="F578" s="142">
        <v>2360.16</v>
      </c>
      <c r="K578" s="132">
        <v>-1.4941818728192557E-2</v>
      </c>
      <c r="M578" s="132">
        <v>-1.4941818728192557E-2</v>
      </c>
    </row>
    <row r="579" spans="5:13" x14ac:dyDescent="0.55000000000000004">
      <c r="E579" s="143">
        <v>42830</v>
      </c>
      <c r="F579" s="142">
        <v>2352.9499999999998</v>
      </c>
      <c r="K579" s="132">
        <v>-1.7951050935741897E-2</v>
      </c>
      <c r="M579" s="132">
        <v>-1.7951050935741897E-2</v>
      </c>
    </row>
    <row r="580" spans="5:13" x14ac:dyDescent="0.55000000000000004">
      <c r="E580" s="143">
        <v>42831</v>
      </c>
      <c r="F580" s="142">
        <v>2357.4899999999998</v>
      </c>
      <c r="K580" s="132">
        <v>-1.6056194594233686E-2</v>
      </c>
      <c r="M580" s="132">
        <v>-1.6056194594233686E-2</v>
      </c>
    </row>
    <row r="581" spans="5:13" x14ac:dyDescent="0.55000000000000004">
      <c r="E581" s="143">
        <v>42832</v>
      </c>
      <c r="F581" s="142">
        <v>2355.54</v>
      </c>
      <c r="K581" s="132">
        <v>-1.6870064608758062E-2</v>
      </c>
      <c r="M581" s="132">
        <v>-1.6870064608758062E-2</v>
      </c>
    </row>
    <row r="582" spans="5:13" x14ac:dyDescent="0.55000000000000004">
      <c r="E582" s="143">
        <v>42835</v>
      </c>
      <c r="F582" s="142">
        <v>2357.16</v>
      </c>
      <c r="K582" s="132">
        <v>-1.6193926442845563E-2</v>
      </c>
      <c r="M582" s="132">
        <v>-1.6193926442845563E-2</v>
      </c>
    </row>
    <row r="583" spans="5:13" x14ac:dyDescent="0.55000000000000004">
      <c r="E583" s="143">
        <v>42836</v>
      </c>
      <c r="F583" s="142">
        <v>2353.7800000000002</v>
      </c>
      <c r="K583" s="132">
        <v>-1.7604634468021074E-2</v>
      </c>
      <c r="M583" s="132">
        <v>-1.7604634468021074E-2</v>
      </c>
    </row>
    <row r="584" spans="5:13" x14ac:dyDescent="0.55000000000000004">
      <c r="E584" s="143">
        <v>42837</v>
      </c>
      <c r="F584" s="142">
        <v>2344.9299999999998</v>
      </c>
      <c r="K584" s="132">
        <v>-2.1298352226247652E-2</v>
      </c>
      <c r="M584" s="132">
        <v>-2.1298352226247652E-2</v>
      </c>
    </row>
    <row r="585" spans="5:13" x14ac:dyDescent="0.55000000000000004">
      <c r="E585" s="143">
        <v>42838</v>
      </c>
      <c r="F585" s="142">
        <v>2328.9499999999998</v>
      </c>
      <c r="K585" s="132">
        <v>-2.7967912652965943E-2</v>
      </c>
      <c r="M585" s="132">
        <v>-2.7967912652965943E-2</v>
      </c>
    </row>
    <row r="586" spans="5:13" x14ac:dyDescent="0.55000000000000004">
      <c r="E586" s="143">
        <v>42842</v>
      </c>
      <c r="F586" s="142">
        <v>2349.0100000000002</v>
      </c>
      <c r="K586" s="132">
        <v>-1.9595485734319351E-2</v>
      </c>
      <c r="M586" s="132">
        <v>-1.9595485734319351E-2</v>
      </c>
    </row>
    <row r="587" spans="5:13" x14ac:dyDescent="0.55000000000000004">
      <c r="E587" s="143">
        <v>42843</v>
      </c>
      <c r="F587" s="142">
        <v>2342.19</v>
      </c>
      <c r="K587" s="132">
        <v>-2.2441943938963926E-2</v>
      </c>
      <c r="M587" s="132">
        <v>-2.2441943938963926E-2</v>
      </c>
    </row>
    <row r="588" spans="5:13" x14ac:dyDescent="0.55000000000000004">
      <c r="E588" s="143">
        <v>42844</v>
      </c>
      <c r="F588" s="142">
        <v>2338.17</v>
      </c>
      <c r="K588" s="132">
        <v>-2.4119768276598896E-2</v>
      </c>
      <c r="M588" s="132">
        <v>-2.4119768276598896E-2</v>
      </c>
    </row>
    <row r="589" spans="5:13" x14ac:dyDescent="0.55000000000000004">
      <c r="E589" s="143">
        <v>42845</v>
      </c>
      <c r="F589" s="142">
        <v>2355.84</v>
      </c>
      <c r="K589" s="132">
        <v>-1.6744853837292739E-2</v>
      </c>
      <c r="M589" s="132">
        <v>-1.6744853837292739E-2</v>
      </c>
    </row>
    <row r="590" spans="5:13" x14ac:dyDescent="0.55000000000000004">
      <c r="E590" s="143">
        <v>42846</v>
      </c>
      <c r="F590" s="142">
        <v>2348.69</v>
      </c>
      <c r="K590" s="132">
        <v>-1.9729043890549081E-2</v>
      </c>
      <c r="M590" s="132">
        <v>-1.9729043890549081E-2</v>
      </c>
    </row>
    <row r="591" spans="5:13" x14ac:dyDescent="0.55000000000000004">
      <c r="E591" s="143">
        <v>42849</v>
      </c>
      <c r="F591" s="142">
        <v>2374.15</v>
      </c>
      <c r="K591" s="132">
        <v>-9.1028230855272341E-3</v>
      </c>
      <c r="M591" s="132">
        <v>-9.1028230855272341E-3</v>
      </c>
    </row>
    <row r="592" spans="5:13" x14ac:dyDescent="0.55000000000000004">
      <c r="E592" s="143">
        <v>42850</v>
      </c>
      <c r="F592" s="142">
        <v>2388.61</v>
      </c>
      <c r="K592" s="132">
        <v>-3.067663900899853E-3</v>
      </c>
      <c r="M592" s="132">
        <v>-3.067663900899853E-3</v>
      </c>
    </row>
    <row r="593" spans="5:13" x14ac:dyDescent="0.55000000000000004">
      <c r="E593" s="143">
        <v>42851</v>
      </c>
      <c r="F593" s="142">
        <v>2387.4499999999998</v>
      </c>
      <c r="K593" s="132">
        <v>-3.5518122172324418E-3</v>
      </c>
      <c r="M593" s="132">
        <v>-3.5518122172324418E-3</v>
      </c>
    </row>
    <row r="594" spans="5:13" x14ac:dyDescent="0.55000000000000004">
      <c r="E594" s="143">
        <v>42852</v>
      </c>
      <c r="F594" s="142">
        <v>2388.77</v>
      </c>
      <c r="K594" s="132">
        <v>-3.0008848227850438E-3</v>
      </c>
      <c r="M594" s="132">
        <v>-3.0008848227850438E-3</v>
      </c>
    </row>
    <row r="595" spans="5:13" x14ac:dyDescent="0.55000000000000004">
      <c r="E595" s="143">
        <v>42853</v>
      </c>
      <c r="F595" s="142">
        <v>2384.1999999999998</v>
      </c>
      <c r="K595" s="132">
        <v>-4.9082622414398092E-3</v>
      </c>
      <c r="M595" s="132">
        <v>-4.9082622414398092E-3</v>
      </c>
    </row>
    <row r="596" spans="5:13" x14ac:dyDescent="0.55000000000000004">
      <c r="E596" s="143">
        <v>42856</v>
      </c>
      <c r="F596" s="142">
        <v>2388.33</v>
      </c>
      <c r="K596" s="132">
        <v>-3.1845272876008801E-3</v>
      </c>
      <c r="M596" s="132">
        <v>-3.1845272876008801E-3</v>
      </c>
    </row>
    <row r="597" spans="5:13" x14ac:dyDescent="0.55000000000000004">
      <c r="E597" s="143">
        <v>42857</v>
      </c>
      <c r="F597" s="142">
        <v>2391.17</v>
      </c>
      <c r="K597" s="132">
        <v>-1.9991986510625726E-3</v>
      </c>
      <c r="M597" s="132">
        <v>-1.9991986510625726E-3</v>
      </c>
    </row>
    <row r="598" spans="5:13" x14ac:dyDescent="0.55000000000000004">
      <c r="E598" s="143">
        <v>42858</v>
      </c>
      <c r="F598" s="142">
        <v>2388.13</v>
      </c>
      <c r="K598" s="132">
        <v>-3.2680011352442806E-3</v>
      </c>
      <c r="M598" s="132">
        <v>-3.2680011352442806E-3</v>
      </c>
    </row>
    <row r="599" spans="5:13" x14ac:dyDescent="0.55000000000000004">
      <c r="E599" s="143">
        <v>42859</v>
      </c>
      <c r="F599" s="142">
        <v>2389.52</v>
      </c>
      <c r="K599" s="132">
        <v>-2.6878578941218478E-3</v>
      </c>
      <c r="M599" s="132">
        <v>-2.6878578941218478E-3</v>
      </c>
    </row>
    <row r="600" spans="5:13" x14ac:dyDescent="0.55000000000000004">
      <c r="E600" s="143">
        <v>42860</v>
      </c>
      <c r="F600" s="142">
        <v>2399.29</v>
      </c>
      <c r="K600" s="132">
        <v>0</v>
      </c>
      <c r="M600" s="132">
        <v>0</v>
      </c>
    </row>
    <row r="601" spans="5:13" x14ac:dyDescent="0.55000000000000004">
      <c r="E601" s="143">
        <v>42863</v>
      </c>
      <c r="F601" s="142">
        <v>2399.38</v>
      </c>
      <c r="K601" s="132">
        <v>0</v>
      </c>
      <c r="M601" s="132">
        <v>0</v>
      </c>
    </row>
    <row r="602" spans="5:13" x14ac:dyDescent="0.55000000000000004">
      <c r="E602" s="143">
        <v>42864</v>
      </c>
      <c r="F602" s="142">
        <v>2396.92</v>
      </c>
      <c r="K602" s="132">
        <v>-1.0252648600889147E-3</v>
      </c>
      <c r="M602" s="132">
        <v>-1.0252648600889147E-3</v>
      </c>
    </row>
    <row r="603" spans="5:13" x14ac:dyDescent="0.55000000000000004">
      <c r="E603" s="143">
        <v>42865</v>
      </c>
      <c r="F603" s="142">
        <v>2399.63</v>
      </c>
      <c r="K603" s="132">
        <v>0</v>
      </c>
      <c r="M603" s="132">
        <v>0</v>
      </c>
    </row>
    <row r="604" spans="5:13" x14ac:dyDescent="0.55000000000000004">
      <c r="E604" s="143">
        <v>42866</v>
      </c>
      <c r="F604" s="142">
        <v>2394.44</v>
      </c>
      <c r="K604" s="132">
        <v>-2.162833436821554E-3</v>
      </c>
      <c r="M604" s="132">
        <v>-2.162833436821554E-3</v>
      </c>
    </row>
    <row r="605" spans="5:13" x14ac:dyDescent="0.55000000000000004">
      <c r="E605" s="143">
        <v>42867</v>
      </c>
      <c r="F605" s="142">
        <v>2390.9</v>
      </c>
      <c r="K605" s="132">
        <v>-3.6380608677171189E-3</v>
      </c>
      <c r="M605" s="132">
        <v>-3.6380608677171189E-3</v>
      </c>
    </row>
    <row r="606" spans="5:13" x14ac:dyDescent="0.55000000000000004">
      <c r="E606" s="143">
        <v>42870</v>
      </c>
      <c r="F606" s="142">
        <v>2402.3200000000002</v>
      </c>
      <c r="K606" s="132">
        <v>0</v>
      </c>
      <c r="M606" s="132">
        <v>0</v>
      </c>
    </row>
    <row r="607" spans="5:13" x14ac:dyDescent="0.55000000000000004">
      <c r="E607" s="143">
        <v>42871</v>
      </c>
      <c r="F607" s="142">
        <v>2400.67</v>
      </c>
      <c r="K607" s="132">
        <v>-6.8683605847685847E-4</v>
      </c>
      <c r="M607" s="132">
        <v>-6.8683605847685847E-4</v>
      </c>
    </row>
    <row r="608" spans="5:13" x14ac:dyDescent="0.55000000000000004">
      <c r="E608" s="143">
        <v>42872</v>
      </c>
      <c r="F608" s="142">
        <v>2357.0300000000002</v>
      </c>
      <c r="K608" s="132">
        <v>-1.8852609144493604E-2</v>
      </c>
      <c r="M608" s="132">
        <v>-1.8852609144493604E-2</v>
      </c>
    </row>
    <row r="609" spans="5:13" x14ac:dyDescent="0.55000000000000004">
      <c r="E609" s="143">
        <v>42873</v>
      </c>
      <c r="F609" s="142">
        <v>2365.7199999999998</v>
      </c>
      <c r="K609" s="132">
        <v>-1.5235272569849245E-2</v>
      </c>
      <c r="M609" s="132">
        <v>-1.5235272569849245E-2</v>
      </c>
    </row>
    <row r="610" spans="5:13" x14ac:dyDescent="0.55000000000000004">
      <c r="E610" s="143">
        <v>42874</v>
      </c>
      <c r="F610" s="142">
        <v>2381.73</v>
      </c>
      <c r="K610" s="132">
        <v>-8.5708814812348599E-3</v>
      </c>
      <c r="M610" s="132">
        <v>-8.5708814812348599E-3</v>
      </c>
    </row>
    <row r="611" spans="5:13" x14ac:dyDescent="0.55000000000000004">
      <c r="E611" s="143">
        <v>42877</v>
      </c>
      <c r="F611" s="142">
        <v>2394.02</v>
      </c>
      <c r="K611" s="132">
        <v>-3.4549935062773152E-3</v>
      </c>
      <c r="M611" s="132">
        <v>-3.4549935062773152E-3</v>
      </c>
    </row>
    <row r="612" spans="5:13" x14ac:dyDescent="0.55000000000000004">
      <c r="E612" s="143">
        <v>42878</v>
      </c>
      <c r="F612" s="142">
        <v>2398.42</v>
      </c>
      <c r="K612" s="132">
        <v>-1.6234306836724333E-3</v>
      </c>
      <c r="M612" s="132">
        <v>-1.6234306836724333E-3</v>
      </c>
    </row>
    <row r="613" spans="5:13" x14ac:dyDescent="0.55000000000000004">
      <c r="E613" s="143">
        <v>42879</v>
      </c>
      <c r="F613" s="142">
        <v>2404.39</v>
      </c>
      <c r="K613" s="132">
        <v>0</v>
      </c>
      <c r="M613" s="132">
        <v>0</v>
      </c>
    </row>
    <row r="614" spans="5:13" x14ac:dyDescent="0.55000000000000004">
      <c r="E614" s="143">
        <v>42880</v>
      </c>
      <c r="F614" s="142">
        <v>2415.0700000000002</v>
      </c>
      <c r="K614" s="132">
        <v>0</v>
      </c>
      <c r="M614" s="132">
        <v>0</v>
      </c>
    </row>
    <row r="615" spans="5:13" x14ac:dyDescent="0.55000000000000004">
      <c r="E615" s="143">
        <v>42881</v>
      </c>
      <c r="F615" s="142">
        <v>2415.8200000000002</v>
      </c>
      <c r="K615" s="132">
        <v>0</v>
      </c>
      <c r="M615" s="132">
        <v>0</v>
      </c>
    </row>
    <row r="616" spans="5:13" x14ac:dyDescent="0.55000000000000004">
      <c r="E616" s="143">
        <v>42885</v>
      </c>
      <c r="F616" s="142">
        <v>2412.91</v>
      </c>
      <c r="K616" s="132">
        <v>-1.2045599423798903E-3</v>
      </c>
      <c r="M616" s="132">
        <v>-1.2045599423798903E-3</v>
      </c>
    </row>
    <row r="617" spans="5:13" x14ac:dyDescent="0.55000000000000004">
      <c r="E617" s="143">
        <v>42886</v>
      </c>
      <c r="F617" s="142">
        <v>2411.8000000000002</v>
      </c>
      <c r="K617" s="132">
        <v>-1.6640312606071017E-3</v>
      </c>
      <c r="M617" s="132">
        <v>-1.6640312606071017E-3</v>
      </c>
    </row>
    <row r="618" spans="5:13" x14ac:dyDescent="0.55000000000000004">
      <c r="E618" s="143">
        <v>42887</v>
      </c>
      <c r="F618" s="142">
        <v>2430.06</v>
      </c>
      <c r="K618" s="132">
        <v>0</v>
      </c>
      <c r="M618" s="132">
        <v>0</v>
      </c>
    </row>
    <row r="619" spans="5:13" x14ac:dyDescent="0.55000000000000004">
      <c r="E619" s="143">
        <v>42888</v>
      </c>
      <c r="F619" s="142">
        <v>2439.0700000000002</v>
      </c>
      <c r="K619" s="132">
        <v>0</v>
      </c>
      <c r="M619" s="132">
        <v>0</v>
      </c>
    </row>
    <row r="620" spans="5:13" x14ac:dyDescent="0.55000000000000004">
      <c r="E620" s="143">
        <v>42891</v>
      </c>
      <c r="F620" s="142">
        <v>2436.1</v>
      </c>
      <c r="K620" s="132">
        <v>-1.2176772294358873E-3</v>
      </c>
      <c r="M620" s="132">
        <v>-1.2176772294358873E-3</v>
      </c>
    </row>
    <row r="621" spans="5:13" x14ac:dyDescent="0.55000000000000004">
      <c r="E621" s="143">
        <v>42892</v>
      </c>
      <c r="F621" s="142">
        <v>2429.33</v>
      </c>
      <c r="K621" s="132">
        <v>-3.9933253248165546E-3</v>
      </c>
      <c r="M621" s="132">
        <v>-3.9933253248165546E-3</v>
      </c>
    </row>
    <row r="622" spans="5:13" x14ac:dyDescent="0.55000000000000004">
      <c r="E622" s="143">
        <v>42893</v>
      </c>
      <c r="F622" s="142">
        <v>2433.14</v>
      </c>
      <c r="K622" s="132">
        <v>-2.4312545355402726E-3</v>
      </c>
      <c r="M622" s="132">
        <v>-2.4312545355402726E-3</v>
      </c>
    </row>
    <row r="623" spans="5:13" x14ac:dyDescent="0.55000000000000004">
      <c r="E623" s="143">
        <v>42894</v>
      </c>
      <c r="F623" s="142">
        <v>2433.79</v>
      </c>
      <c r="K623" s="132">
        <v>-2.1647595189970836E-3</v>
      </c>
      <c r="M623" s="132">
        <v>-2.1647595189970836E-3</v>
      </c>
    </row>
    <row r="624" spans="5:13" x14ac:dyDescent="0.55000000000000004">
      <c r="E624" s="143">
        <v>42895</v>
      </c>
      <c r="F624" s="142">
        <v>2431.77</v>
      </c>
      <c r="K624" s="132">
        <v>-2.9929440319467204E-3</v>
      </c>
      <c r="M624" s="132">
        <v>-2.9929440319467204E-3</v>
      </c>
    </row>
    <row r="625" spans="5:13" x14ac:dyDescent="0.55000000000000004">
      <c r="E625" s="143">
        <v>42898</v>
      </c>
      <c r="F625" s="142">
        <v>2429.39</v>
      </c>
      <c r="K625" s="132">
        <v>-3.9687257848279867E-3</v>
      </c>
      <c r="M625" s="132">
        <v>-3.9687257848279867E-3</v>
      </c>
    </row>
    <row r="626" spans="5:13" x14ac:dyDescent="0.55000000000000004">
      <c r="E626" s="143">
        <v>42899</v>
      </c>
      <c r="F626" s="142">
        <v>2440.35</v>
      </c>
      <c r="K626" s="132">
        <v>0</v>
      </c>
      <c r="M626" s="132">
        <v>0</v>
      </c>
    </row>
    <row r="627" spans="5:13" x14ac:dyDescent="0.55000000000000004">
      <c r="E627" s="143">
        <v>42900</v>
      </c>
      <c r="F627" s="142">
        <v>2437.92</v>
      </c>
      <c r="K627" s="132">
        <v>-9.9575880508939729E-4</v>
      </c>
      <c r="M627" s="132">
        <v>-9.9575880508939729E-4</v>
      </c>
    </row>
    <row r="628" spans="5:13" x14ac:dyDescent="0.55000000000000004">
      <c r="E628" s="143">
        <v>42901</v>
      </c>
      <c r="F628" s="142">
        <v>2432.46</v>
      </c>
      <c r="K628" s="132">
        <v>-3.2331427868952378E-3</v>
      </c>
      <c r="M628" s="132">
        <v>-3.2331427868952378E-3</v>
      </c>
    </row>
    <row r="629" spans="5:13" x14ac:dyDescent="0.55000000000000004">
      <c r="E629" s="143">
        <v>42902</v>
      </c>
      <c r="F629" s="142">
        <v>2433.15</v>
      </c>
      <c r="K629" s="132">
        <v>-2.9503964595242183E-3</v>
      </c>
      <c r="M629" s="132">
        <v>-2.9503964595242183E-3</v>
      </c>
    </row>
    <row r="630" spans="5:13" x14ac:dyDescent="0.55000000000000004">
      <c r="E630" s="143">
        <v>42905</v>
      </c>
      <c r="F630" s="142">
        <v>2453.46</v>
      </c>
      <c r="K630" s="132">
        <v>0</v>
      </c>
      <c r="M630" s="132">
        <v>0</v>
      </c>
    </row>
    <row r="631" spans="5:13" x14ac:dyDescent="0.55000000000000004">
      <c r="E631" s="143">
        <v>42906</v>
      </c>
      <c r="F631" s="142">
        <v>2437.0300000000002</v>
      </c>
      <c r="K631" s="132">
        <v>-6.6966651178335113E-3</v>
      </c>
      <c r="M631" s="132">
        <v>-6.6966651178335113E-3</v>
      </c>
    </row>
    <row r="632" spans="5:13" x14ac:dyDescent="0.55000000000000004">
      <c r="E632" s="143">
        <v>42907</v>
      </c>
      <c r="F632" s="142">
        <v>2435.61</v>
      </c>
      <c r="K632" s="132">
        <v>-7.2754395832823615E-3</v>
      </c>
      <c r="M632" s="132">
        <v>-7.2754395832823615E-3</v>
      </c>
    </row>
    <row r="633" spans="5:13" x14ac:dyDescent="0.55000000000000004">
      <c r="E633" s="143">
        <v>42908</v>
      </c>
      <c r="F633" s="142">
        <v>2434.5</v>
      </c>
      <c r="K633" s="132">
        <v>-7.7278618766966067E-3</v>
      </c>
      <c r="M633" s="132">
        <v>-7.7278618766966067E-3</v>
      </c>
    </row>
    <row r="634" spans="5:13" x14ac:dyDescent="0.55000000000000004">
      <c r="E634" s="143">
        <v>42909</v>
      </c>
      <c r="F634" s="142">
        <v>2438.3000000000002</v>
      </c>
      <c r="K634" s="132">
        <v>-6.1790288001434268E-3</v>
      </c>
      <c r="M634" s="132">
        <v>-6.1790288001434268E-3</v>
      </c>
    </row>
    <row r="635" spans="5:13" x14ac:dyDescent="0.55000000000000004">
      <c r="E635" s="143">
        <v>42912</v>
      </c>
      <c r="F635" s="142">
        <v>2439.0700000000002</v>
      </c>
      <c r="K635" s="132">
        <v>-5.865186308315562E-3</v>
      </c>
      <c r="M635" s="132">
        <v>-5.865186308315562E-3</v>
      </c>
    </row>
    <row r="636" spans="5:13" x14ac:dyDescent="0.55000000000000004">
      <c r="E636" s="143">
        <v>42913</v>
      </c>
      <c r="F636" s="142">
        <v>2419.38</v>
      </c>
      <c r="K636" s="132">
        <v>-1.3890587170771074E-2</v>
      </c>
      <c r="M636" s="132">
        <v>-1.3890587170771074E-2</v>
      </c>
    </row>
    <row r="637" spans="5:13" x14ac:dyDescent="0.55000000000000004">
      <c r="E637" s="143">
        <v>42914</v>
      </c>
      <c r="F637" s="142">
        <v>2440.69</v>
      </c>
      <c r="K637" s="132">
        <v>-5.2048943125219127E-3</v>
      </c>
      <c r="M637" s="132">
        <v>-5.2048943125219127E-3</v>
      </c>
    </row>
    <row r="638" spans="5:13" x14ac:dyDescent="0.55000000000000004">
      <c r="E638" s="143">
        <v>42915</v>
      </c>
      <c r="F638" s="142">
        <v>2419.6999999999998</v>
      </c>
      <c r="K638" s="132">
        <v>-1.3760159122219284E-2</v>
      </c>
      <c r="M638" s="132">
        <v>-1.3760159122219284E-2</v>
      </c>
    </row>
    <row r="639" spans="5:13" x14ac:dyDescent="0.55000000000000004">
      <c r="E639" s="143">
        <v>42916</v>
      </c>
      <c r="F639" s="142">
        <v>2423.41</v>
      </c>
      <c r="K639" s="132">
        <v>-1.224800893432143E-2</v>
      </c>
      <c r="M639" s="132">
        <v>-1.224800893432143E-2</v>
      </c>
    </row>
    <row r="640" spans="5:13" x14ac:dyDescent="0.55000000000000004">
      <c r="E640" s="143">
        <v>42919</v>
      </c>
      <c r="F640" s="142">
        <v>2429.0100000000002</v>
      </c>
      <c r="K640" s="132">
        <v>-9.9655180846640601E-3</v>
      </c>
      <c r="M640" s="132">
        <v>-9.9655180846640601E-3</v>
      </c>
    </row>
    <row r="641" spans="5:13" x14ac:dyDescent="0.55000000000000004">
      <c r="E641" s="143">
        <v>42921</v>
      </c>
      <c r="F641" s="142">
        <v>2432.54</v>
      </c>
      <c r="K641" s="132">
        <v>-8.5267336740766364E-3</v>
      </c>
      <c r="M641" s="132">
        <v>-8.5267336740766364E-3</v>
      </c>
    </row>
    <row r="642" spans="5:13" x14ac:dyDescent="0.55000000000000004">
      <c r="E642" s="143">
        <v>42922</v>
      </c>
      <c r="F642" s="142">
        <v>2409.75</v>
      </c>
      <c r="K642" s="132">
        <v>-1.7815656256878087E-2</v>
      </c>
      <c r="M642" s="132">
        <v>-1.7815656256878087E-2</v>
      </c>
    </row>
    <row r="643" spans="5:13" x14ac:dyDescent="0.55000000000000004">
      <c r="E643" s="143">
        <v>42923</v>
      </c>
      <c r="F643" s="142">
        <v>2425.1799999999998</v>
      </c>
      <c r="K643" s="132">
        <v>-1.1526578790769015E-2</v>
      </c>
      <c r="M643" s="132">
        <v>-1.1526578790769015E-2</v>
      </c>
    </row>
    <row r="644" spans="5:13" x14ac:dyDescent="0.55000000000000004">
      <c r="E644" s="143">
        <v>42926</v>
      </c>
      <c r="F644" s="142">
        <v>2427.4299999999998</v>
      </c>
      <c r="K644" s="132">
        <v>-1.0609506574388861E-2</v>
      </c>
      <c r="M644" s="132">
        <v>-1.0609506574388861E-2</v>
      </c>
    </row>
    <row r="645" spans="5:13" x14ac:dyDescent="0.55000000000000004">
      <c r="E645" s="143">
        <v>42927</v>
      </c>
      <c r="F645" s="142">
        <v>2425.5300000000002</v>
      </c>
      <c r="K645" s="132">
        <v>-1.138392311266534E-2</v>
      </c>
      <c r="M645" s="132">
        <v>-1.138392311266534E-2</v>
      </c>
    </row>
    <row r="646" spans="5:13" x14ac:dyDescent="0.55000000000000004">
      <c r="E646" s="143">
        <v>42928</v>
      </c>
      <c r="F646" s="142">
        <v>2443.25</v>
      </c>
      <c r="K646" s="132">
        <v>-4.1614699241071529E-3</v>
      </c>
      <c r="M646" s="132">
        <v>-4.1614699241071529E-3</v>
      </c>
    </row>
    <row r="647" spans="5:13" x14ac:dyDescent="0.55000000000000004">
      <c r="E647" s="143">
        <v>42929</v>
      </c>
      <c r="F647" s="142">
        <v>2447.83</v>
      </c>
      <c r="K647" s="132">
        <v>-2.2947184792090347E-3</v>
      </c>
      <c r="M647" s="132">
        <v>-2.2947184792090347E-3</v>
      </c>
    </row>
    <row r="648" spans="5:13" x14ac:dyDescent="0.55000000000000004">
      <c r="E648" s="143">
        <v>42930</v>
      </c>
      <c r="F648" s="142">
        <v>2459.27</v>
      </c>
      <c r="K648" s="132">
        <v>0</v>
      </c>
      <c r="M648" s="132">
        <v>0</v>
      </c>
    </row>
    <row r="649" spans="5:13" x14ac:dyDescent="0.55000000000000004">
      <c r="E649" s="143">
        <v>42933</v>
      </c>
      <c r="F649" s="142">
        <v>2459.14</v>
      </c>
      <c r="K649" s="132">
        <v>-5.2861214913435539E-5</v>
      </c>
      <c r="M649" s="132">
        <v>-5.2861214913435539E-5</v>
      </c>
    </row>
    <row r="650" spans="5:13" x14ac:dyDescent="0.55000000000000004">
      <c r="E650" s="143">
        <v>42934</v>
      </c>
      <c r="F650" s="142">
        <v>2460.61</v>
      </c>
      <c r="K650" s="132">
        <v>0</v>
      </c>
      <c r="M650" s="132">
        <v>0</v>
      </c>
    </row>
    <row r="651" spans="5:13" x14ac:dyDescent="0.55000000000000004">
      <c r="E651" s="143">
        <v>42935</v>
      </c>
      <c r="F651" s="142">
        <v>2473.83</v>
      </c>
      <c r="K651" s="132">
        <v>0</v>
      </c>
      <c r="M651" s="132">
        <v>0</v>
      </c>
    </row>
    <row r="652" spans="5:13" x14ac:dyDescent="0.55000000000000004">
      <c r="E652" s="143">
        <v>42936</v>
      </c>
      <c r="F652" s="142">
        <v>2473.4499999999998</v>
      </c>
      <c r="K652" s="132">
        <v>-1.5360796821128897E-4</v>
      </c>
      <c r="M652" s="132">
        <v>-1.5360796821128897E-4</v>
      </c>
    </row>
    <row r="653" spans="5:13" x14ac:dyDescent="0.55000000000000004">
      <c r="E653" s="143">
        <v>42937</v>
      </c>
      <c r="F653" s="142">
        <v>2472.54</v>
      </c>
      <c r="K653" s="132">
        <v>-5.2145862892760686E-4</v>
      </c>
      <c r="M653" s="132">
        <v>-5.2145862892760686E-4</v>
      </c>
    </row>
    <row r="654" spans="5:13" x14ac:dyDescent="0.55000000000000004">
      <c r="E654" s="143">
        <v>42940</v>
      </c>
      <c r="F654" s="142">
        <v>2469.91</v>
      </c>
      <c r="K654" s="132">
        <v>-1.5845874615475486E-3</v>
      </c>
      <c r="M654" s="132">
        <v>-1.5845874615475486E-3</v>
      </c>
    </row>
    <row r="655" spans="5:13" x14ac:dyDescent="0.55000000000000004">
      <c r="E655" s="143">
        <v>42941</v>
      </c>
      <c r="F655" s="142">
        <v>2477.13</v>
      </c>
      <c r="K655" s="132">
        <v>0</v>
      </c>
      <c r="M655" s="132">
        <v>0</v>
      </c>
    </row>
    <row r="656" spans="5:13" x14ac:dyDescent="0.55000000000000004">
      <c r="E656" s="143">
        <v>42942</v>
      </c>
      <c r="F656" s="142">
        <v>2477.83</v>
      </c>
      <c r="K656" s="132">
        <v>0</v>
      </c>
      <c r="M656" s="132">
        <v>0</v>
      </c>
    </row>
    <row r="657" spans="5:13" x14ac:dyDescent="0.55000000000000004">
      <c r="E657" s="143">
        <v>42943</v>
      </c>
      <c r="F657" s="142">
        <v>2475.42</v>
      </c>
      <c r="K657" s="132">
        <v>-9.7262524063390643E-4</v>
      </c>
      <c r="M657" s="132">
        <v>-9.7262524063390643E-4</v>
      </c>
    </row>
    <row r="658" spans="5:13" x14ac:dyDescent="0.55000000000000004">
      <c r="E658" s="143">
        <v>42944</v>
      </c>
      <c r="F658" s="142">
        <v>2472.1</v>
      </c>
      <c r="K658" s="132">
        <v>-2.3125073148682063E-3</v>
      </c>
      <c r="M658" s="132">
        <v>-2.3125073148682063E-3</v>
      </c>
    </row>
    <row r="659" spans="5:13" x14ac:dyDescent="0.55000000000000004">
      <c r="E659" s="143">
        <v>42947</v>
      </c>
      <c r="F659" s="142">
        <v>2470.3000000000002</v>
      </c>
      <c r="K659" s="132">
        <v>-3.0389494033083997E-3</v>
      </c>
      <c r="M659" s="132">
        <v>-3.0389494033083997E-3</v>
      </c>
    </row>
    <row r="660" spans="5:13" x14ac:dyDescent="0.55000000000000004">
      <c r="E660" s="143">
        <v>42948</v>
      </c>
      <c r="F660" s="142">
        <v>2476.35</v>
      </c>
      <c r="K660" s="132">
        <v>-5.9729682827314168E-4</v>
      </c>
      <c r="M660" s="132">
        <v>-5.9729682827314168E-4</v>
      </c>
    </row>
    <row r="661" spans="5:13" x14ac:dyDescent="0.55000000000000004">
      <c r="E661" s="143">
        <v>42949</v>
      </c>
      <c r="F661" s="142">
        <v>2477.5700000000002</v>
      </c>
      <c r="K661" s="132">
        <v>-1.0493052388571567E-4</v>
      </c>
      <c r="M661" s="132">
        <v>-1.0493052388571567E-4</v>
      </c>
    </row>
    <row r="662" spans="5:13" x14ac:dyDescent="0.55000000000000004">
      <c r="E662" s="143">
        <v>42950</v>
      </c>
      <c r="F662" s="142">
        <v>2472.16</v>
      </c>
      <c r="K662" s="132">
        <v>-2.2882925785869812E-3</v>
      </c>
      <c r="M662" s="132">
        <v>-2.2882925785869812E-3</v>
      </c>
    </row>
    <row r="663" spans="5:13" x14ac:dyDescent="0.55000000000000004">
      <c r="E663" s="143">
        <v>42951</v>
      </c>
      <c r="F663" s="142">
        <v>2476.83</v>
      </c>
      <c r="K663" s="132">
        <v>-4.0357893802234202E-4</v>
      </c>
      <c r="M663" s="132">
        <v>-4.0357893802234202E-4</v>
      </c>
    </row>
    <row r="664" spans="5:13" x14ac:dyDescent="0.55000000000000004">
      <c r="E664" s="143">
        <v>42954</v>
      </c>
      <c r="F664" s="142">
        <v>2480.91</v>
      </c>
      <c r="K664" s="132">
        <v>0</v>
      </c>
      <c r="M664" s="132">
        <v>0</v>
      </c>
    </row>
    <row r="665" spans="5:13" x14ac:dyDescent="0.55000000000000004">
      <c r="E665" s="143">
        <v>42955</v>
      </c>
      <c r="F665" s="142">
        <v>2474.92</v>
      </c>
      <c r="K665" s="132">
        <v>-2.4144366381689819E-3</v>
      </c>
      <c r="M665" s="132">
        <v>-2.4144366381689819E-3</v>
      </c>
    </row>
    <row r="666" spans="5:13" x14ac:dyDescent="0.55000000000000004">
      <c r="E666" s="143">
        <v>42956</v>
      </c>
      <c r="F666" s="142">
        <v>2474.02</v>
      </c>
      <c r="K666" s="132">
        <v>-2.777206750748662E-3</v>
      </c>
      <c r="M666" s="132">
        <v>-2.777206750748662E-3</v>
      </c>
    </row>
    <row r="667" spans="5:13" x14ac:dyDescent="0.55000000000000004">
      <c r="E667" s="143">
        <v>42957</v>
      </c>
      <c r="F667" s="142">
        <v>2438.21</v>
      </c>
      <c r="K667" s="132">
        <v>-1.7211426452390377E-2</v>
      </c>
      <c r="M667" s="132">
        <v>-1.7211426452390377E-2</v>
      </c>
    </row>
    <row r="668" spans="5:13" x14ac:dyDescent="0.55000000000000004">
      <c r="E668" s="143">
        <v>42958</v>
      </c>
      <c r="F668" s="142">
        <v>2441.3200000000002</v>
      </c>
      <c r="K668" s="132">
        <v>-1.5957854174476149E-2</v>
      </c>
      <c r="M668" s="132">
        <v>-1.5957854174476149E-2</v>
      </c>
    </row>
    <row r="669" spans="5:13" x14ac:dyDescent="0.55000000000000004">
      <c r="E669" s="143">
        <v>42961</v>
      </c>
      <c r="F669" s="142">
        <v>2465.84</v>
      </c>
      <c r="K669" s="132">
        <v>-6.0743839961948654E-3</v>
      </c>
      <c r="M669" s="132">
        <v>-6.0743839961948654E-3</v>
      </c>
    </row>
    <row r="670" spans="5:13" x14ac:dyDescent="0.55000000000000004">
      <c r="E670" s="143">
        <v>42962</v>
      </c>
      <c r="F670" s="142">
        <v>2464.61</v>
      </c>
      <c r="K670" s="132">
        <v>-6.5701698167203171E-3</v>
      </c>
      <c r="M670" s="132">
        <v>-6.5701698167203171E-3</v>
      </c>
    </row>
    <row r="671" spans="5:13" x14ac:dyDescent="0.55000000000000004">
      <c r="E671" s="143">
        <v>42963</v>
      </c>
      <c r="F671" s="142">
        <v>2468.11</v>
      </c>
      <c r="K671" s="132">
        <v>-5.159397156688339E-3</v>
      </c>
      <c r="M671" s="132">
        <v>-5.159397156688339E-3</v>
      </c>
    </row>
    <row r="672" spans="5:13" x14ac:dyDescent="0.55000000000000004">
      <c r="E672" s="143">
        <v>42964</v>
      </c>
      <c r="F672" s="142">
        <v>2430.0100000000002</v>
      </c>
      <c r="K672" s="132">
        <v>-2.0516665255893907E-2</v>
      </c>
      <c r="M672" s="132">
        <v>-2.0516665255893907E-2</v>
      </c>
    </row>
    <row r="673" spans="5:13" x14ac:dyDescent="0.55000000000000004">
      <c r="E673" s="143">
        <v>42965</v>
      </c>
      <c r="F673" s="142">
        <v>2425.5500000000002</v>
      </c>
      <c r="K673" s="132">
        <v>-2.2314392702677543E-2</v>
      </c>
      <c r="M673" s="132">
        <v>-2.2314392702677543E-2</v>
      </c>
    </row>
    <row r="674" spans="5:13" x14ac:dyDescent="0.55000000000000004">
      <c r="E674" s="143">
        <v>42968</v>
      </c>
      <c r="F674" s="142">
        <v>2428.37</v>
      </c>
      <c r="K674" s="132">
        <v>-2.1177713016594657E-2</v>
      </c>
      <c r="M674" s="132">
        <v>-2.1177713016594657E-2</v>
      </c>
    </row>
    <row r="675" spans="5:13" x14ac:dyDescent="0.55000000000000004">
      <c r="E675" s="143">
        <v>42969</v>
      </c>
      <c r="F675" s="142">
        <v>2452.5100000000002</v>
      </c>
      <c r="K675" s="132">
        <v>-1.1447412441402349E-2</v>
      </c>
      <c r="M675" s="132">
        <v>-1.1447412441402349E-2</v>
      </c>
    </row>
    <row r="676" spans="5:13" x14ac:dyDescent="0.55000000000000004">
      <c r="E676" s="143">
        <v>42970</v>
      </c>
      <c r="F676" s="142">
        <v>2444.04</v>
      </c>
      <c r="K676" s="132">
        <v>-1.4861482278680005E-2</v>
      </c>
      <c r="M676" s="132">
        <v>-1.4861482278680005E-2</v>
      </c>
    </row>
    <row r="677" spans="5:13" x14ac:dyDescent="0.55000000000000004">
      <c r="E677" s="143">
        <v>42971</v>
      </c>
      <c r="F677" s="142">
        <v>2438.9699999999998</v>
      </c>
      <c r="K677" s="132">
        <v>-1.6905087246212092E-2</v>
      </c>
      <c r="M677" s="132">
        <v>-1.6905087246212092E-2</v>
      </c>
    </row>
    <row r="678" spans="5:13" x14ac:dyDescent="0.55000000000000004">
      <c r="E678" s="143">
        <v>42972</v>
      </c>
      <c r="F678" s="142">
        <v>2443.0500000000002</v>
      </c>
      <c r="K678" s="132">
        <v>-1.5260529402517542E-2</v>
      </c>
      <c r="M678" s="132">
        <v>-1.5260529402517542E-2</v>
      </c>
    </row>
    <row r="679" spans="5:13" x14ac:dyDescent="0.55000000000000004">
      <c r="E679" s="143">
        <v>42975</v>
      </c>
      <c r="F679" s="142">
        <v>2444.2399999999998</v>
      </c>
      <c r="K679" s="132">
        <v>-1.4780866698106743E-2</v>
      </c>
      <c r="M679" s="132">
        <v>-1.4780866698106743E-2</v>
      </c>
    </row>
    <row r="680" spans="5:13" x14ac:dyDescent="0.55000000000000004">
      <c r="E680" s="143">
        <v>42976</v>
      </c>
      <c r="F680" s="142">
        <v>2446.3000000000002</v>
      </c>
      <c r="K680" s="132">
        <v>-1.3950526218202031E-2</v>
      </c>
      <c r="M680" s="132">
        <v>-1.3950526218202031E-2</v>
      </c>
    </row>
    <row r="681" spans="5:13" x14ac:dyDescent="0.55000000000000004">
      <c r="E681" s="143">
        <v>42977</v>
      </c>
      <c r="F681" s="142">
        <v>2457.59</v>
      </c>
      <c r="K681" s="132">
        <v>-9.3997766948417105E-3</v>
      </c>
      <c r="M681" s="132">
        <v>-9.3997766948417105E-3</v>
      </c>
    </row>
    <row r="682" spans="5:13" x14ac:dyDescent="0.55000000000000004">
      <c r="E682" s="143">
        <v>42978</v>
      </c>
      <c r="F682" s="142">
        <v>2471.65</v>
      </c>
      <c r="K682" s="132">
        <v>-3.7325013805417084E-3</v>
      </c>
      <c r="M682" s="132">
        <v>-3.7325013805417084E-3</v>
      </c>
    </row>
    <row r="683" spans="5:13" x14ac:dyDescent="0.55000000000000004">
      <c r="E683" s="143">
        <v>42979</v>
      </c>
      <c r="F683" s="142">
        <v>2476.5500000000002</v>
      </c>
      <c r="K683" s="132">
        <v>-1.7574196564968947E-3</v>
      </c>
      <c r="M683" s="132">
        <v>-1.7574196564968947E-3</v>
      </c>
    </row>
    <row r="684" spans="5:13" x14ac:dyDescent="0.55000000000000004">
      <c r="E684" s="143">
        <v>42983</v>
      </c>
      <c r="F684" s="142">
        <v>2457.85</v>
      </c>
      <c r="K684" s="132">
        <v>-9.2949764400965806E-3</v>
      </c>
      <c r="M684" s="132">
        <v>-9.2949764400965806E-3</v>
      </c>
    </row>
    <row r="685" spans="5:13" x14ac:dyDescent="0.55000000000000004">
      <c r="E685" s="143">
        <v>42984</v>
      </c>
      <c r="F685" s="142">
        <v>2465.54</v>
      </c>
      <c r="K685" s="132">
        <v>-6.1953073670547587E-3</v>
      </c>
      <c r="M685" s="132">
        <v>-6.1953073670547587E-3</v>
      </c>
    </row>
    <row r="686" spans="5:13" x14ac:dyDescent="0.55000000000000004">
      <c r="E686" s="143">
        <v>42985</v>
      </c>
      <c r="F686" s="142">
        <v>2465.1</v>
      </c>
      <c r="K686" s="132">
        <v>-6.3726616443159356E-3</v>
      </c>
      <c r="M686" s="132">
        <v>-6.3726616443159356E-3</v>
      </c>
    </row>
    <row r="687" spans="5:13" x14ac:dyDescent="0.55000000000000004">
      <c r="E687" s="143">
        <v>42986</v>
      </c>
      <c r="F687" s="142">
        <v>2461.4299999999998</v>
      </c>
      <c r="K687" s="132">
        <v>-7.8519575478352976E-3</v>
      </c>
      <c r="M687" s="132">
        <v>-7.8519575478352976E-3</v>
      </c>
    </row>
    <row r="688" spans="5:13" x14ac:dyDescent="0.55000000000000004">
      <c r="E688" s="143">
        <v>42989</v>
      </c>
      <c r="F688" s="142">
        <v>2488.11</v>
      </c>
      <c r="K688" s="132">
        <v>0</v>
      </c>
      <c r="M688" s="132">
        <v>0</v>
      </c>
    </row>
    <row r="689" spans="5:13" x14ac:dyDescent="0.55000000000000004">
      <c r="E689" s="143">
        <v>42990</v>
      </c>
      <c r="F689" s="142">
        <v>2496.48</v>
      </c>
      <c r="K689" s="132">
        <v>0</v>
      </c>
      <c r="M689" s="132">
        <v>0</v>
      </c>
    </row>
    <row r="690" spans="5:13" x14ac:dyDescent="0.55000000000000004">
      <c r="E690" s="143">
        <v>42991</v>
      </c>
      <c r="F690" s="142">
        <v>2498.37</v>
      </c>
      <c r="K690" s="132">
        <v>0</v>
      </c>
      <c r="M690" s="132">
        <v>0</v>
      </c>
    </row>
    <row r="691" spans="5:13" x14ac:dyDescent="0.55000000000000004">
      <c r="E691" s="143">
        <v>42992</v>
      </c>
      <c r="F691" s="142">
        <v>2495.62</v>
      </c>
      <c r="K691" s="132">
        <v>-1.1007176679195263E-3</v>
      </c>
      <c r="M691" s="132">
        <v>-1.1007176679195263E-3</v>
      </c>
    </row>
    <row r="692" spans="5:13" x14ac:dyDescent="0.55000000000000004">
      <c r="E692" s="143">
        <v>42993</v>
      </c>
      <c r="F692" s="142">
        <v>2500.23</v>
      </c>
      <c r="K692" s="132">
        <v>0</v>
      </c>
      <c r="M692" s="132">
        <v>0</v>
      </c>
    </row>
    <row r="693" spans="5:13" x14ac:dyDescent="0.55000000000000004">
      <c r="E693" s="143">
        <v>42996</v>
      </c>
      <c r="F693" s="142">
        <v>2503.87</v>
      </c>
      <c r="K693" s="132">
        <v>0</v>
      </c>
      <c r="M693" s="132">
        <v>0</v>
      </c>
    </row>
    <row r="694" spans="5:13" x14ac:dyDescent="0.55000000000000004">
      <c r="E694" s="143">
        <v>42997</v>
      </c>
      <c r="F694" s="142">
        <v>2506.65</v>
      </c>
      <c r="K694" s="132">
        <v>0</v>
      </c>
      <c r="M694" s="132">
        <v>0</v>
      </c>
    </row>
    <row r="695" spans="5:13" x14ac:dyDescent="0.55000000000000004">
      <c r="E695" s="143">
        <v>42998</v>
      </c>
      <c r="F695" s="142">
        <v>2508.2399999999998</v>
      </c>
      <c r="K695" s="132">
        <v>0</v>
      </c>
      <c r="M695" s="132">
        <v>0</v>
      </c>
    </row>
    <row r="696" spans="5:13" x14ac:dyDescent="0.55000000000000004">
      <c r="E696" s="143">
        <v>42999</v>
      </c>
      <c r="F696" s="142">
        <v>2500.6</v>
      </c>
      <c r="K696" s="132">
        <v>-3.0459605141452961E-3</v>
      </c>
      <c r="M696" s="132">
        <v>-3.0459605141452961E-3</v>
      </c>
    </row>
    <row r="697" spans="5:13" x14ac:dyDescent="0.55000000000000004">
      <c r="E697" s="143">
        <v>43000</v>
      </c>
      <c r="F697" s="142">
        <v>2502.2199999999998</v>
      </c>
      <c r="K697" s="132">
        <v>-2.4000893056486117E-3</v>
      </c>
      <c r="M697" s="132">
        <v>-2.4000893056486117E-3</v>
      </c>
    </row>
    <row r="698" spans="5:13" x14ac:dyDescent="0.55000000000000004">
      <c r="E698" s="143">
        <v>43003</v>
      </c>
      <c r="F698" s="142">
        <v>2496.66</v>
      </c>
      <c r="K698" s="132">
        <v>-4.6167830829585421E-3</v>
      </c>
      <c r="M698" s="132">
        <v>-4.6167830829585421E-3</v>
      </c>
    </row>
    <row r="699" spans="5:13" x14ac:dyDescent="0.55000000000000004">
      <c r="E699" s="143">
        <v>43004</v>
      </c>
      <c r="F699" s="142">
        <v>2496.84</v>
      </c>
      <c r="K699" s="132">
        <v>-4.5450196153477007E-3</v>
      </c>
      <c r="M699" s="132">
        <v>-4.5450196153477007E-3</v>
      </c>
    </row>
    <row r="700" spans="5:13" x14ac:dyDescent="0.55000000000000004">
      <c r="E700" s="143">
        <v>43005</v>
      </c>
      <c r="F700" s="142">
        <v>2507.04</v>
      </c>
      <c r="K700" s="132">
        <v>-4.7842311740498022E-4</v>
      </c>
      <c r="M700" s="132">
        <v>-4.7842311740498022E-4</v>
      </c>
    </row>
    <row r="701" spans="5:13" x14ac:dyDescent="0.55000000000000004">
      <c r="E701" s="143">
        <v>43006</v>
      </c>
      <c r="F701" s="142">
        <v>2510.06</v>
      </c>
      <c r="K701" s="132">
        <v>0</v>
      </c>
      <c r="M701" s="132">
        <v>0</v>
      </c>
    </row>
    <row r="702" spans="5:13" x14ac:dyDescent="0.55000000000000004">
      <c r="E702" s="143">
        <v>43007</v>
      </c>
      <c r="F702" s="142">
        <v>2519.36</v>
      </c>
      <c r="K702" s="132">
        <v>0</v>
      </c>
      <c r="M702" s="132">
        <v>0</v>
      </c>
    </row>
    <row r="703" spans="5:13" x14ac:dyDescent="0.55000000000000004">
      <c r="E703" s="143">
        <v>43010</v>
      </c>
      <c r="F703" s="142">
        <v>2529.12</v>
      </c>
      <c r="K703" s="132">
        <v>0</v>
      </c>
      <c r="M703" s="132">
        <v>0</v>
      </c>
    </row>
    <row r="704" spans="5:13" x14ac:dyDescent="0.55000000000000004">
      <c r="E704" s="143">
        <v>43011</v>
      </c>
      <c r="F704" s="142">
        <v>2534.58</v>
      </c>
      <c r="K704" s="132">
        <v>0</v>
      </c>
      <c r="M704" s="132">
        <v>0</v>
      </c>
    </row>
    <row r="705" spans="5:13" x14ac:dyDescent="0.55000000000000004">
      <c r="E705" s="143">
        <v>43012</v>
      </c>
      <c r="F705" s="142">
        <v>2537.7399999999998</v>
      </c>
      <c r="K705" s="132">
        <v>0</v>
      </c>
      <c r="M705" s="132">
        <v>0</v>
      </c>
    </row>
    <row r="706" spans="5:13" x14ac:dyDescent="0.55000000000000004">
      <c r="E706" s="143">
        <v>43013</v>
      </c>
      <c r="F706" s="142">
        <v>2552.0700000000002</v>
      </c>
      <c r="K706" s="132">
        <v>0</v>
      </c>
      <c r="M706" s="132">
        <v>0</v>
      </c>
    </row>
    <row r="707" spans="5:13" x14ac:dyDescent="0.55000000000000004">
      <c r="E707" s="143">
        <v>43014</v>
      </c>
      <c r="F707" s="142">
        <v>2549.33</v>
      </c>
      <c r="K707" s="132">
        <v>-1.0736382622734686E-3</v>
      </c>
      <c r="M707" s="132">
        <v>-1.0736382622734686E-3</v>
      </c>
    </row>
    <row r="708" spans="5:13" x14ac:dyDescent="0.55000000000000004">
      <c r="E708" s="143">
        <v>43017</v>
      </c>
      <c r="F708" s="142">
        <v>2544.73</v>
      </c>
      <c r="K708" s="132">
        <v>-2.8760966587907388E-3</v>
      </c>
      <c r="M708" s="132">
        <v>-2.8760966587907388E-3</v>
      </c>
    </row>
    <row r="709" spans="5:13" x14ac:dyDescent="0.55000000000000004">
      <c r="E709" s="143">
        <v>43018</v>
      </c>
      <c r="F709" s="142">
        <v>2550.64</v>
      </c>
      <c r="K709" s="132">
        <v>-5.6032945804784795E-4</v>
      </c>
      <c r="M709" s="132">
        <v>-5.6032945804784795E-4</v>
      </c>
    </row>
    <row r="710" spans="5:13" x14ac:dyDescent="0.55000000000000004">
      <c r="E710" s="143">
        <v>43019</v>
      </c>
      <c r="F710" s="142">
        <v>2555.2399999999998</v>
      </c>
      <c r="K710" s="132">
        <v>0</v>
      </c>
      <c r="M710" s="132">
        <v>0</v>
      </c>
    </row>
    <row r="711" spans="5:13" x14ac:dyDescent="0.55000000000000004">
      <c r="E711" s="143">
        <v>43020</v>
      </c>
      <c r="F711" s="142">
        <v>2550.9299999999998</v>
      </c>
      <c r="K711" s="132">
        <v>-1.6867300136190755E-3</v>
      </c>
      <c r="M711" s="132">
        <v>-1.6867300136190755E-3</v>
      </c>
    </row>
    <row r="712" spans="5:13" x14ac:dyDescent="0.55000000000000004">
      <c r="E712" s="143">
        <v>43021</v>
      </c>
      <c r="F712" s="142">
        <v>2553.17</v>
      </c>
      <c r="K712" s="132">
        <v>-8.1010002974268858E-4</v>
      </c>
      <c r="M712" s="132">
        <v>-8.1010002974268858E-4</v>
      </c>
    </row>
    <row r="713" spans="5:13" x14ac:dyDescent="0.55000000000000004">
      <c r="E713" s="143">
        <v>43024</v>
      </c>
      <c r="F713" s="142">
        <v>2557.64</v>
      </c>
      <c r="K713" s="132">
        <v>0</v>
      </c>
      <c r="M713" s="132">
        <v>0</v>
      </c>
    </row>
    <row r="714" spans="5:13" x14ac:dyDescent="0.55000000000000004">
      <c r="E714" s="143">
        <v>43025</v>
      </c>
      <c r="F714" s="142">
        <v>2559.36</v>
      </c>
      <c r="K714" s="132">
        <v>0</v>
      </c>
      <c r="M714" s="132">
        <v>0</v>
      </c>
    </row>
    <row r="715" spans="5:13" x14ac:dyDescent="0.55000000000000004">
      <c r="E715" s="143">
        <v>43026</v>
      </c>
      <c r="F715" s="142">
        <v>2561.2600000000002</v>
      </c>
      <c r="K715" s="132">
        <v>0</v>
      </c>
      <c r="M715" s="132">
        <v>0</v>
      </c>
    </row>
    <row r="716" spans="5:13" x14ac:dyDescent="0.55000000000000004">
      <c r="E716" s="143">
        <v>43027</v>
      </c>
      <c r="F716" s="142">
        <v>2562.1</v>
      </c>
      <c r="K716" s="132">
        <v>0</v>
      </c>
      <c r="M716" s="132">
        <v>0</v>
      </c>
    </row>
    <row r="717" spans="5:13" x14ac:dyDescent="0.55000000000000004">
      <c r="E717" s="143">
        <v>43028</v>
      </c>
      <c r="F717" s="142">
        <v>2575.21</v>
      </c>
      <c r="K717" s="132">
        <v>0</v>
      </c>
      <c r="M717" s="132">
        <v>0</v>
      </c>
    </row>
    <row r="718" spans="5:13" x14ac:dyDescent="0.55000000000000004">
      <c r="E718" s="143">
        <v>43031</v>
      </c>
      <c r="F718" s="142">
        <v>2564.98</v>
      </c>
      <c r="K718" s="132">
        <v>-3.9724915637947555E-3</v>
      </c>
      <c r="M718" s="132">
        <v>-3.9724915637947555E-3</v>
      </c>
    </row>
    <row r="719" spans="5:13" x14ac:dyDescent="0.55000000000000004">
      <c r="E719" s="143">
        <v>43032</v>
      </c>
      <c r="F719" s="142">
        <v>2569.13</v>
      </c>
      <c r="K719" s="132">
        <v>-2.3609725032133211E-3</v>
      </c>
      <c r="M719" s="132">
        <v>-2.3609725032133211E-3</v>
      </c>
    </row>
    <row r="720" spans="5:13" x14ac:dyDescent="0.55000000000000004">
      <c r="E720" s="143">
        <v>43033</v>
      </c>
      <c r="F720" s="142">
        <v>2557.15</v>
      </c>
      <c r="K720" s="132">
        <v>-7.0130202973738287E-3</v>
      </c>
      <c r="M720" s="132">
        <v>-7.0130202973738287E-3</v>
      </c>
    </row>
    <row r="721" spans="5:13" x14ac:dyDescent="0.55000000000000004">
      <c r="E721" s="143">
        <v>43034</v>
      </c>
      <c r="F721" s="142">
        <v>2560.4</v>
      </c>
      <c r="K721" s="132">
        <v>-5.750987298123289E-3</v>
      </c>
      <c r="M721" s="132">
        <v>-5.750987298123289E-3</v>
      </c>
    </row>
    <row r="722" spans="5:13" x14ac:dyDescent="0.55000000000000004">
      <c r="E722" s="143">
        <v>43035</v>
      </c>
      <c r="F722" s="142">
        <v>2581.0700000000002</v>
      </c>
      <c r="K722" s="132">
        <v>0</v>
      </c>
      <c r="M722" s="132">
        <v>0</v>
      </c>
    </row>
    <row r="723" spans="5:13" x14ac:dyDescent="0.55000000000000004">
      <c r="E723" s="143">
        <v>43038</v>
      </c>
      <c r="F723" s="142">
        <v>2572.83</v>
      </c>
      <c r="K723" s="132">
        <v>-3.1924744388955872E-3</v>
      </c>
      <c r="M723" s="132">
        <v>-3.1924744388955872E-3</v>
      </c>
    </row>
    <row r="724" spans="5:13" x14ac:dyDescent="0.55000000000000004">
      <c r="E724" s="143">
        <v>43039</v>
      </c>
      <c r="F724" s="142">
        <v>2575.2600000000002</v>
      </c>
      <c r="K724" s="132">
        <v>-2.2510044283959862E-3</v>
      </c>
      <c r="M724" s="132">
        <v>-2.2510044283959862E-3</v>
      </c>
    </row>
    <row r="725" spans="5:13" x14ac:dyDescent="0.55000000000000004">
      <c r="E725" s="143">
        <v>43040</v>
      </c>
      <c r="F725" s="142">
        <v>2579.36</v>
      </c>
      <c r="K725" s="132">
        <v>-6.6251593331445591E-4</v>
      </c>
      <c r="M725" s="132">
        <v>-6.6251593331445591E-4</v>
      </c>
    </row>
    <row r="726" spans="5:13" x14ac:dyDescent="0.55000000000000004">
      <c r="E726" s="143">
        <v>43041</v>
      </c>
      <c r="F726" s="142">
        <v>2579.85</v>
      </c>
      <c r="K726" s="132">
        <v>-4.7267218634139407E-4</v>
      </c>
      <c r="M726" s="132">
        <v>-4.7267218634139407E-4</v>
      </c>
    </row>
    <row r="727" spans="5:13" x14ac:dyDescent="0.55000000000000004">
      <c r="E727" s="143">
        <v>43042</v>
      </c>
      <c r="F727" s="142">
        <v>2587.84</v>
      </c>
      <c r="K727" s="132">
        <v>0</v>
      </c>
      <c r="M727" s="132">
        <v>0</v>
      </c>
    </row>
    <row r="728" spans="5:13" x14ac:dyDescent="0.55000000000000004">
      <c r="E728" s="143">
        <v>43045</v>
      </c>
      <c r="F728" s="142">
        <v>2591.13</v>
      </c>
      <c r="K728" s="132">
        <v>0</v>
      </c>
      <c r="M728" s="132">
        <v>0</v>
      </c>
    </row>
    <row r="729" spans="5:13" x14ac:dyDescent="0.55000000000000004">
      <c r="E729" s="143">
        <v>43046</v>
      </c>
      <c r="F729" s="142">
        <v>2590.64</v>
      </c>
      <c r="K729" s="132">
        <v>-1.8910668318461443E-4</v>
      </c>
      <c r="M729" s="132">
        <v>-1.8910668318461443E-4</v>
      </c>
    </row>
    <row r="730" spans="5:13" x14ac:dyDescent="0.55000000000000004">
      <c r="E730" s="143">
        <v>43047</v>
      </c>
      <c r="F730" s="142">
        <v>2594.38</v>
      </c>
      <c r="K730" s="132">
        <v>0</v>
      </c>
      <c r="M730" s="132">
        <v>0</v>
      </c>
    </row>
    <row r="731" spans="5:13" x14ac:dyDescent="0.55000000000000004">
      <c r="E731" s="143">
        <v>43048</v>
      </c>
      <c r="F731" s="142">
        <v>2584.62</v>
      </c>
      <c r="K731" s="132">
        <v>-3.761977813581785E-3</v>
      </c>
      <c r="M731" s="132">
        <v>-3.761977813581785E-3</v>
      </c>
    </row>
    <row r="732" spans="5:13" x14ac:dyDescent="0.55000000000000004">
      <c r="E732" s="143">
        <v>43049</v>
      </c>
      <c r="F732" s="142">
        <v>2582.3000000000002</v>
      </c>
      <c r="K732" s="132">
        <v>-4.6562184414001839E-3</v>
      </c>
      <c r="M732" s="132">
        <v>-4.6562184414001839E-3</v>
      </c>
    </row>
    <row r="733" spans="5:13" x14ac:dyDescent="0.55000000000000004">
      <c r="E733" s="143">
        <v>43052</v>
      </c>
      <c r="F733" s="142">
        <v>2584.84</v>
      </c>
      <c r="K733" s="132">
        <v>-3.6771791333575221E-3</v>
      </c>
      <c r="M733" s="132">
        <v>-3.6771791333575221E-3</v>
      </c>
    </row>
    <row r="734" spans="5:13" x14ac:dyDescent="0.55000000000000004">
      <c r="E734" s="143">
        <v>43053</v>
      </c>
      <c r="F734" s="142">
        <v>2578.87</v>
      </c>
      <c r="K734" s="132">
        <v>-5.9783069558045909E-3</v>
      </c>
      <c r="M734" s="132">
        <v>-5.9783069558045909E-3</v>
      </c>
    </row>
    <row r="735" spans="5:13" x14ac:dyDescent="0.55000000000000004">
      <c r="E735" s="143">
        <v>43054</v>
      </c>
      <c r="F735" s="142">
        <v>2564.62</v>
      </c>
      <c r="K735" s="132">
        <v>-1.1470948743052323E-2</v>
      </c>
      <c r="M735" s="132">
        <v>-1.1470948743052323E-2</v>
      </c>
    </row>
    <row r="736" spans="5:13" x14ac:dyDescent="0.55000000000000004">
      <c r="E736" s="143">
        <v>43055</v>
      </c>
      <c r="F736" s="142">
        <v>2585.64</v>
      </c>
      <c r="K736" s="132">
        <v>-3.3688202961787983E-3</v>
      </c>
      <c r="M736" s="132">
        <v>-3.3688202961787983E-3</v>
      </c>
    </row>
    <row r="737" spans="5:13" x14ac:dyDescent="0.55000000000000004">
      <c r="E737" s="143">
        <v>43056</v>
      </c>
      <c r="F737" s="142">
        <v>2578.85</v>
      </c>
      <c r="K737" s="132">
        <v>-5.9860159267339785E-3</v>
      </c>
      <c r="M737" s="132">
        <v>-5.9860159267339785E-3</v>
      </c>
    </row>
    <row r="738" spans="5:13" x14ac:dyDescent="0.55000000000000004">
      <c r="E738" s="143">
        <v>43059</v>
      </c>
      <c r="F738" s="142">
        <v>2582.14</v>
      </c>
      <c r="K738" s="132">
        <v>-4.7178902088360619E-3</v>
      </c>
      <c r="M738" s="132">
        <v>-4.7178902088360619E-3</v>
      </c>
    </row>
    <row r="739" spans="5:13" x14ac:dyDescent="0.55000000000000004">
      <c r="E739" s="143">
        <v>43060</v>
      </c>
      <c r="F739" s="142">
        <v>2599.0300000000002</v>
      </c>
      <c r="K739" s="132">
        <v>0</v>
      </c>
      <c r="M739" s="132">
        <v>0</v>
      </c>
    </row>
    <row r="740" spans="5:13" x14ac:dyDescent="0.55000000000000004">
      <c r="E740" s="143">
        <v>43061</v>
      </c>
      <c r="F740" s="142">
        <v>2597.08</v>
      </c>
      <c r="K740" s="132">
        <v>-7.5027991212117673E-4</v>
      </c>
      <c r="M740" s="132">
        <v>-7.5027991212117673E-4</v>
      </c>
    </row>
    <row r="741" spans="5:13" x14ac:dyDescent="0.55000000000000004">
      <c r="E741" s="143">
        <v>43063</v>
      </c>
      <c r="F741" s="142">
        <v>2602.42</v>
      </c>
      <c r="K741" s="132">
        <v>0</v>
      </c>
      <c r="M741" s="132">
        <v>0</v>
      </c>
    </row>
    <row r="742" spans="5:13" x14ac:dyDescent="0.55000000000000004">
      <c r="E742" s="143">
        <v>43066</v>
      </c>
      <c r="F742" s="142">
        <v>2601.42</v>
      </c>
      <c r="K742" s="132">
        <v>-3.8425772934425062E-4</v>
      </c>
      <c r="M742" s="132">
        <v>-3.8425772934425062E-4</v>
      </c>
    </row>
    <row r="743" spans="5:13" x14ac:dyDescent="0.55000000000000004">
      <c r="E743" s="143">
        <v>43067</v>
      </c>
      <c r="F743" s="142">
        <v>2627.04</v>
      </c>
      <c r="K743" s="132">
        <v>0</v>
      </c>
      <c r="M743" s="132">
        <v>0</v>
      </c>
    </row>
    <row r="744" spans="5:13" x14ac:dyDescent="0.55000000000000004">
      <c r="E744" s="143">
        <v>43068</v>
      </c>
      <c r="F744" s="142">
        <v>2626.07</v>
      </c>
      <c r="K744" s="132">
        <v>-3.6923685973555553E-4</v>
      </c>
      <c r="M744" s="132">
        <v>-3.6923685973555553E-4</v>
      </c>
    </row>
    <row r="745" spans="5:13" x14ac:dyDescent="0.55000000000000004">
      <c r="E745" s="143">
        <v>43069</v>
      </c>
      <c r="F745" s="142">
        <v>2647.58</v>
      </c>
      <c r="K745" s="132">
        <v>0</v>
      </c>
      <c r="M745" s="132">
        <v>0</v>
      </c>
    </row>
    <row r="746" spans="5:13" x14ac:dyDescent="0.55000000000000004">
      <c r="E746" s="143">
        <v>43070</v>
      </c>
      <c r="F746" s="142">
        <v>2642.22</v>
      </c>
      <c r="K746" s="132">
        <v>-2.0244902892453398E-3</v>
      </c>
      <c r="M746" s="132">
        <v>-2.0244902892453398E-3</v>
      </c>
    </row>
    <row r="747" spans="5:13" x14ac:dyDescent="0.55000000000000004">
      <c r="E747" s="143">
        <v>43073</v>
      </c>
      <c r="F747" s="142">
        <v>2639.44</v>
      </c>
      <c r="K747" s="132">
        <v>-3.0745057750851679E-3</v>
      </c>
      <c r="M747" s="132">
        <v>-3.0745057750851679E-3</v>
      </c>
    </row>
    <row r="748" spans="5:13" x14ac:dyDescent="0.55000000000000004">
      <c r="E748" s="143">
        <v>43074</v>
      </c>
      <c r="F748" s="142">
        <v>2629.57</v>
      </c>
      <c r="K748" s="132">
        <v>-6.8024384532289206E-3</v>
      </c>
      <c r="M748" s="132">
        <v>-6.8024384532289206E-3</v>
      </c>
    </row>
    <row r="749" spans="5:13" x14ac:dyDescent="0.55000000000000004">
      <c r="E749" s="143">
        <v>43075</v>
      </c>
      <c r="F749" s="142">
        <v>2629.27</v>
      </c>
      <c r="K749" s="132">
        <v>-6.9157494768807837E-3</v>
      </c>
      <c r="M749" s="132">
        <v>-6.9157494768807837E-3</v>
      </c>
    </row>
    <row r="750" spans="5:13" x14ac:dyDescent="0.55000000000000004">
      <c r="E750" s="143">
        <v>43076</v>
      </c>
      <c r="F750" s="142">
        <v>2636.98</v>
      </c>
      <c r="K750" s="132">
        <v>-4.0036561690297567E-3</v>
      </c>
      <c r="M750" s="132">
        <v>-4.0036561690297567E-3</v>
      </c>
    </row>
    <row r="751" spans="5:13" x14ac:dyDescent="0.55000000000000004">
      <c r="E751" s="143">
        <v>43077</v>
      </c>
      <c r="F751" s="142">
        <v>2651.5</v>
      </c>
      <c r="K751" s="132">
        <v>0</v>
      </c>
      <c r="M751" s="132">
        <v>0</v>
      </c>
    </row>
    <row r="752" spans="5:13" x14ac:dyDescent="0.55000000000000004">
      <c r="E752" s="143">
        <v>43080</v>
      </c>
      <c r="F752" s="142">
        <v>2659.99</v>
      </c>
      <c r="K752" s="132">
        <v>0</v>
      </c>
      <c r="M752" s="132">
        <v>0</v>
      </c>
    </row>
    <row r="753" spans="5:13" x14ac:dyDescent="0.55000000000000004">
      <c r="E753" s="143">
        <v>43081</v>
      </c>
      <c r="F753" s="142">
        <v>2664.11</v>
      </c>
      <c r="K753" s="132">
        <v>0</v>
      </c>
      <c r="M753" s="132">
        <v>0</v>
      </c>
    </row>
    <row r="754" spans="5:13" x14ac:dyDescent="0.55000000000000004">
      <c r="E754" s="143">
        <v>43082</v>
      </c>
      <c r="F754" s="142">
        <v>2662.85</v>
      </c>
      <c r="K754" s="132">
        <v>-4.7295344411457663E-4</v>
      </c>
      <c r="M754" s="132">
        <v>-4.7295344411457663E-4</v>
      </c>
    </row>
    <row r="755" spans="5:13" x14ac:dyDescent="0.55000000000000004">
      <c r="E755" s="143">
        <v>43083</v>
      </c>
      <c r="F755" s="142">
        <v>2652.01</v>
      </c>
      <c r="K755" s="132">
        <v>-4.5418545030047053E-3</v>
      </c>
      <c r="M755" s="132">
        <v>-4.5418545030047053E-3</v>
      </c>
    </row>
    <row r="756" spans="5:13" x14ac:dyDescent="0.55000000000000004">
      <c r="E756" s="143">
        <v>43084</v>
      </c>
      <c r="F756" s="142">
        <v>2675.81</v>
      </c>
      <c r="K756" s="132">
        <v>0</v>
      </c>
      <c r="M756" s="132">
        <v>0</v>
      </c>
    </row>
    <row r="757" spans="5:13" x14ac:dyDescent="0.55000000000000004">
      <c r="E757" s="143">
        <v>43087</v>
      </c>
      <c r="F757" s="142">
        <v>2690.16</v>
      </c>
      <c r="K757" s="132">
        <v>0</v>
      </c>
      <c r="M757" s="132">
        <v>0</v>
      </c>
    </row>
    <row r="758" spans="5:13" x14ac:dyDescent="0.55000000000000004">
      <c r="E758" s="143">
        <v>43088</v>
      </c>
      <c r="F758" s="142">
        <v>2681.47</v>
      </c>
      <c r="K758" s="132">
        <v>-3.230291135099761E-3</v>
      </c>
      <c r="M758" s="132">
        <v>-3.230291135099761E-3</v>
      </c>
    </row>
    <row r="759" spans="5:13" x14ac:dyDescent="0.55000000000000004">
      <c r="E759" s="143">
        <v>43089</v>
      </c>
      <c r="F759" s="142">
        <v>2679.25</v>
      </c>
      <c r="K759" s="132">
        <v>-4.0555208612126359E-3</v>
      </c>
      <c r="M759" s="132">
        <v>-4.0555208612126359E-3</v>
      </c>
    </row>
    <row r="760" spans="5:13" x14ac:dyDescent="0.55000000000000004">
      <c r="E760" s="143">
        <v>43090</v>
      </c>
      <c r="F760" s="142">
        <v>2684.57</v>
      </c>
      <c r="K760" s="132">
        <v>-2.0779433193564012E-3</v>
      </c>
      <c r="M760" s="132">
        <v>-2.0779433193564012E-3</v>
      </c>
    </row>
    <row r="761" spans="5:13" x14ac:dyDescent="0.55000000000000004">
      <c r="E761" s="143">
        <v>43091</v>
      </c>
      <c r="F761" s="142">
        <v>2683.34</v>
      </c>
      <c r="K761" s="132">
        <v>-2.5351651946351472E-3</v>
      </c>
      <c r="M761" s="132">
        <v>-2.5351651946351472E-3</v>
      </c>
    </row>
    <row r="762" spans="5:13" x14ac:dyDescent="0.55000000000000004">
      <c r="E762" s="143">
        <v>43095</v>
      </c>
      <c r="F762" s="142">
        <v>2680.5</v>
      </c>
      <c r="K762" s="132">
        <v>-3.5908644838967829E-3</v>
      </c>
      <c r="M762" s="132">
        <v>-3.5908644838967829E-3</v>
      </c>
    </row>
    <row r="763" spans="5:13" x14ac:dyDescent="0.55000000000000004">
      <c r="E763" s="143">
        <v>43096</v>
      </c>
      <c r="F763" s="142">
        <v>2682.62</v>
      </c>
      <c r="K763" s="132">
        <v>-2.8028072679692206E-3</v>
      </c>
      <c r="M763" s="132">
        <v>-2.8028072679692206E-3</v>
      </c>
    </row>
    <row r="764" spans="5:13" x14ac:dyDescent="0.55000000000000004">
      <c r="E764" s="143">
        <v>43097</v>
      </c>
      <c r="F764" s="142">
        <v>2687.54</v>
      </c>
      <c r="K764" s="132">
        <v>-9.7391976685401449E-4</v>
      </c>
      <c r="M764" s="132">
        <v>-9.7391976685401449E-4</v>
      </c>
    </row>
    <row r="765" spans="5:13" x14ac:dyDescent="0.55000000000000004">
      <c r="E765" s="143">
        <v>43098</v>
      </c>
      <c r="F765" s="142">
        <v>2673.61</v>
      </c>
      <c r="K765" s="132">
        <v>-6.1520504356616934E-3</v>
      </c>
      <c r="M765" s="132">
        <v>-6.1520504356616934E-3</v>
      </c>
    </row>
    <row r="766" spans="5:13" x14ac:dyDescent="0.55000000000000004">
      <c r="E766" s="143">
        <v>43102</v>
      </c>
      <c r="F766" s="142">
        <v>2695.81</v>
      </c>
      <c r="K766" s="132">
        <v>0</v>
      </c>
      <c r="M766" s="132">
        <v>0</v>
      </c>
    </row>
    <row r="767" spans="5:13" x14ac:dyDescent="0.55000000000000004">
      <c r="E767" s="143">
        <v>43103</v>
      </c>
      <c r="F767" s="142">
        <v>2713.06</v>
      </c>
      <c r="K767" s="132">
        <v>0</v>
      </c>
      <c r="M767" s="132">
        <v>0</v>
      </c>
    </row>
    <row r="768" spans="5:13" x14ac:dyDescent="0.55000000000000004">
      <c r="E768" s="143">
        <v>43104</v>
      </c>
      <c r="F768" s="142">
        <v>2723.99</v>
      </c>
      <c r="K768" s="132">
        <v>0</v>
      </c>
      <c r="M768" s="132">
        <v>0</v>
      </c>
    </row>
    <row r="769" spans="5:13" x14ac:dyDescent="0.55000000000000004">
      <c r="E769" s="143">
        <v>43105</v>
      </c>
      <c r="F769" s="142">
        <v>2743.15</v>
      </c>
      <c r="K769" s="132">
        <v>0</v>
      </c>
      <c r="M769" s="132">
        <v>0</v>
      </c>
    </row>
    <row r="770" spans="5:13" x14ac:dyDescent="0.55000000000000004">
      <c r="E770" s="143">
        <v>43108</v>
      </c>
      <c r="F770" s="142">
        <v>2747.71</v>
      </c>
      <c r="K770" s="132">
        <v>0</v>
      </c>
      <c r="M770" s="132">
        <v>0</v>
      </c>
    </row>
    <row r="771" spans="5:13" x14ac:dyDescent="0.55000000000000004">
      <c r="E771" s="143">
        <v>43109</v>
      </c>
      <c r="F771" s="142">
        <v>2751.29</v>
      </c>
      <c r="K771" s="132">
        <v>0</v>
      </c>
      <c r="M771" s="132">
        <v>0</v>
      </c>
    </row>
    <row r="772" spans="5:13" x14ac:dyDescent="0.55000000000000004">
      <c r="E772" s="143">
        <v>43110</v>
      </c>
      <c r="F772" s="142">
        <v>2748.23</v>
      </c>
      <c r="K772" s="132">
        <v>-1.1122055472160275E-3</v>
      </c>
      <c r="M772" s="132">
        <v>-1.1122055472160275E-3</v>
      </c>
    </row>
    <row r="773" spans="5:13" x14ac:dyDescent="0.55000000000000004">
      <c r="E773" s="143">
        <v>43111</v>
      </c>
      <c r="F773" s="142">
        <v>2767.56</v>
      </c>
      <c r="K773" s="132">
        <v>0</v>
      </c>
      <c r="M773" s="132">
        <v>0</v>
      </c>
    </row>
    <row r="774" spans="5:13" x14ac:dyDescent="0.55000000000000004">
      <c r="E774" s="143">
        <v>43112</v>
      </c>
      <c r="F774" s="142">
        <v>2786.24</v>
      </c>
      <c r="K774" s="132">
        <v>0</v>
      </c>
      <c r="M774" s="132">
        <v>0</v>
      </c>
    </row>
    <row r="775" spans="5:13" x14ac:dyDescent="0.55000000000000004">
      <c r="E775" s="143">
        <v>43116</v>
      </c>
      <c r="F775" s="142">
        <v>2776.42</v>
      </c>
      <c r="K775" s="132">
        <v>-3.5244630756861017E-3</v>
      </c>
      <c r="M775" s="132">
        <v>-3.5244630756861017E-3</v>
      </c>
    </row>
    <row r="776" spans="5:13" x14ac:dyDescent="0.55000000000000004">
      <c r="E776" s="143">
        <v>43117</v>
      </c>
      <c r="F776" s="142">
        <v>2802.56</v>
      </c>
      <c r="K776" s="132">
        <v>0</v>
      </c>
      <c r="M776" s="132">
        <v>0</v>
      </c>
    </row>
    <row r="777" spans="5:13" x14ac:dyDescent="0.55000000000000004">
      <c r="E777" s="143">
        <v>43118</v>
      </c>
      <c r="F777" s="142">
        <v>2798.03</v>
      </c>
      <c r="K777" s="132">
        <v>-1.616379310344751E-3</v>
      </c>
      <c r="M777" s="132">
        <v>-1.616379310344751E-3</v>
      </c>
    </row>
    <row r="778" spans="5:13" x14ac:dyDescent="0.55000000000000004">
      <c r="E778" s="143">
        <v>43119</v>
      </c>
      <c r="F778" s="142">
        <v>2810.3</v>
      </c>
      <c r="K778" s="132">
        <v>0</v>
      </c>
      <c r="M778" s="132">
        <v>0</v>
      </c>
    </row>
    <row r="779" spans="5:13" x14ac:dyDescent="0.55000000000000004">
      <c r="E779" s="143">
        <v>43122</v>
      </c>
      <c r="F779" s="142">
        <v>2832.97</v>
      </c>
      <c r="K779" s="132">
        <v>0</v>
      </c>
      <c r="M779" s="132">
        <v>0</v>
      </c>
    </row>
    <row r="780" spans="5:13" x14ac:dyDescent="0.55000000000000004">
      <c r="E780" s="143">
        <v>43123</v>
      </c>
      <c r="F780" s="142">
        <v>2839.13</v>
      </c>
      <c r="K780" s="132">
        <v>0</v>
      </c>
      <c r="M780" s="132">
        <v>0</v>
      </c>
    </row>
    <row r="781" spans="5:13" x14ac:dyDescent="0.55000000000000004">
      <c r="E781" s="143">
        <v>43124</v>
      </c>
      <c r="F781" s="142">
        <v>2837.54</v>
      </c>
      <c r="K781" s="132">
        <v>-5.6003071363419643E-4</v>
      </c>
      <c r="M781" s="132">
        <v>-5.6003071363419643E-4</v>
      </c>
    </row>
    <row r="782" spans="5:13" x14ac:dyDescent="0.55000000000000004">
      <c r="E782" s="143">
        <v>43125</v>
      </c>
      <c r="F782" s="142">
        <v>2839.25</v>
      </c>
      <c r="K782" s="132">
        <v>0</v>
      </c>
      <c r="M782" s="132">
        <v>0</v>
      </c>
    </row>
    <row r="783" spans="5:13" x14ac:dyDescent="0.55000000000000004">
      <c r="E783" s="143">
        <v>43126</v>
      </c>
      <c r="F783" s="142">
        <v>2872.87</v>
      </c>
      <c r="K783" s="132">
        <v>0</v>
      </c>
      <c r="M783" s="132">
        <v>0</v>
      </c>
    </row>
    <row r="784" spans="5:13" x14ac:dyDescent="0.55000000000000004">
      <c r="E784" s="143">
        <v>43129</v>
      </c>
      <c r="F784" s="142">
        <v>2853.53</v>
      </c>
      <c r="K784" s="132">
        <v>-6.731944014173874E-3</v>
      </c>
      <c r="M784" s="132">
        <v>-6.731944014173874E-3</v>
      </c>
    </row>
    <row r="785" spans="5:13" x14ac:dyDescent="0.55000000000000004">
      <c r="E785" s="143">
        <v>43130</v>
      </c>
      <c r="F785" s="142">
        <v>2822.43</v>
      </c>
      <c r="K785" s="132">
        <v>-1.7557355536449659E-2</v>
      </c>
      <c r="M785" s="132">
        <v>-1.7557355536449659E-2</v>
      </c>
    </row>
    <row r="786" spans="5:13" x14ac:dyDescent="0.55000000000000004">
      <c r="E786" s="143">
        <v>43131</v>
      </c>
      <c r="F786" s="142">
        <v>2823.81</v>
      </c>
      <c r="K786" s="132">
        <v>-1.7076999655396885E-2</v>
      </c>
      <c r="M786" s="132">
        <v>-1.7076999655396885E-2</v>
      </c>
    </row>
    <row r="787" spans="5:13" x14ac:dyDescent="0.55000000000000004">
      <c r="E787" s="143">
        <v>43132</v>
      </c>
      <c r="F787" s="142">
        <v>2821.98</v>
      </c>
      <c r="K787" s="132">
        <v>-1.7713993323749344E-2</v>
      </c>
      <c r="M787" s="132">
        <v>-1.7713993323749344E-2</v>
      </c>
    </row>
    <row r="788" spans="5:13" x14ac:dyDescent="0.55000000000000004">
      <c r="E788" s="143">
        <v>43133</v>
      </c>
      <c r="F788" s="142">
        <v>2762.13</v>
      </c>
      <c r="K788" s="132">
        <v>-3.8546819034623869E-2</v>
      </c>
      <c r="M788" s="132">
        <v>-3.8546819034623869E-2</v>
      </c>
    </row>
    <row r="789" spans="5:13" x14ac:dyDescent="0.55000000000000004">
      <c r="E789" s="143">
        <v>43136</v>
      </c>
      <c r="F789" s="142">
        <v>2648.94</v>
      </c>
      <c r="K789" s="132">
        <v>-7.7946443800102294E-2</v>
      </c>
      <c r="M789" s="132">
        <v>-7.7946443800102294E-2</v>
      </c>
    </row>
    <row r="790" spans="5:13" x14ac:dyDescent="0.55000000000000004">
      <c r="E790" s="143">
        <v>43137</v>
      </c>
      <c r="F790" s="142">
        <v>2695.14</v>
      </c>
      <c r="K790" s="132">
        <v>-6.186496430398869E-2</v>
      </c>
      <c r="M790" s="132">
        <v>-6.186496430398869E-2</v>
      </c>
    </row>
    <row r="791" spans="5:13" x14ac:dyDescent="0.55000000000000004">
      <c r="E791" s="143">
        <v>43138</v>
      </c>
      <c r="F791" s="142">
        <v>2681.66</v>
      </c>
      <c r="K791" s="132">
        <v>-6.6557136243547421E-2</v>
      </c>
      <c r="M791" s="132">
        <v>-6.6557136243547421E-2</v>
      </c>
    </row>
    <row r="792" spans="5:13" x14ac:dyDescent="0.55000000000000004">
      <c r="E792" s="143">
        <v>43139</v>
      </c>
      <c r="F792" s="142">
        <v>2581</v>
      </c>
      <c r="K792" s="132">
        <v>-0.10159526884265557</v>
      </c>
      <c r="M792" s="132">
        <v>-0.10159526884265557</v>
      </c>
    </row>
    <row r="793" spans="5:13" x14ac:dyDescent="0.55000000000000004">
      <c r="E793" s="143">
        <v>43140</v>
      </c>
      <c r="F793" s="142">
        <v>2619.5500000000002</v>
      </c>
      <c r="K793" s="132">
        <v>-8.817663173063861E-2</v>
      </c>
      <c r="M793" s="132">
        <v>-8.817663173063861E-2</v>
      </c>
    </row>
    <row r="794" spans="5:13" x14ac:dyDescent="0.55000000000000004">
      <c r="E794" s="143">
        <v>43143</v>
      </c>
      <c r="F794" s="142">
        <v>2656</v>
      </c>
      <c r="K794" s="132">
        <v>-7.5488970959354251E-2</v>
      </c>
      <c r="M794" s="132">
        <v>-7.5488970959354251E-2</v>
      </c>
    </row>
    <row r="795" spans="5:13" x14ac:dyDescent="0.55000000000000004">
      <c r="E795" s="143">
        <v>43144</v>
      </c>
      <c r="F795" s="142">
        <v>2662.94</v>
      </c>
      <c r="K795" s="132">
        <v>-7.307326819521931E-2</v>
      </c>
      <c r="M795" s="132">
        <v>-7.307326819521931E-2</v>
      </c>
    </row>
    <row r="796" spans="5:13" x14ac:dyDescent="0.55000000000000004">
      <c r="E796" s="143">
        <v>43145</v>
      </c>
      <c r="F796" s="142">
        <v>2698.63</v>
      </c>
      <c r="K796" s="132">
        <v>-6.0650151242485628E-2</v>
      </c>
      <c r="M796" s="132">
        <v>-6.0650151242485628E-2</v>
      </c>
    </row>
    <row r="797" spans="5:13" x14ac:dyDescent="0.55000000000000004">
      <c r="E797" s="143">
        <v>43146</v>
      </c>
      <c r="F797" s="142">
        <v>2731.2</v>
      </c>
      <c r="K797" s="132">
        <v>-4.9313056281697465E-2</v>
      </c>
      <c r="M797" s="132">
        <v>-4.9313056281697465E-2</v>
      </c>
    </row>
    <row r="798" spans="5:13" x14ac:dyDescent="0.55000000000000004">
      <c r="E798" s="143">
        <v>43147</v>
      </c>
      <c r="F798" s="142">
        <v>2732.22</v>
      </c>
      <c r="K798" s="132">
        <v>-4.895801063048455E-2</v>
      </c>
      <c r="M798" s="132">
        <v>-4.895801063048455E-2</v>
      </c>
    </row>
    <row r="799" spans="5:13" x14ac:dyDescent="0.55000000000000004">
      <c r="E799" s="143">
        <v>43151</v>
      </c>
      <c r="F799" s="142">
        <v>2716.26</v>
      </c>
      <c r="K799" s="132">
        <v>-5.451343082005089E-2</v>
      </c>
      <c r="M799" s="132">
        <v>-5.451343082005089E-2</v>
      </c>
    </row>
    <row r="800" spans="5:13" x14ac:dyDescent="0.55000000000000004">
      <c r="E800" s="143">
        <v>43152</v>
      </c>
      <c r="F800" s="142">
        <v>2701.33</v>
      </c>
      <c r="K800" s="132">
        <v>-5.9710324518686853E-2</v>
      </c>
      <c r="M800" s="132">
        <v>-5.9710324518686853E-2</v>
      </c>
    </row>
    <row r="801" spans="5:13" x14ac:dyDescent="0.55000000000000004">
      <c r="E801" s="143">
        <v>43153</v>
      </c>
      <c r="F801" s="142">
        <v>2703.96</v>
      </c>
      <c r="K801" s="132">
        <v>-5.8794863672912423E-2</v>
      </c>
      <c r="M801" s="132">
        <v>-5.8794863672912423E-2</v>
      </c>
    </row>
    <row r="802" spans="5:13" x14ac:dyDescent="0.55000000000000004">
      <c r="E802" s="143">
        <v>43154</v>
      </c>
      <c r="F802" s="142">
        <v>2747.3</v>
      </c>
      <c r="K802" s="132">
        <v>-4.3708904336081988E-2</v>
      </c>
      <c r="M802" s="132">
        <v>-4.3708904336081988E-2</v>
      </c>
    </row>
    <row r="803" spans="5:13" x14ac:dyDescent="0.55000000000000004">
      <c r="E803" s="143">
        <v>43157</v>
      </c>
      <c r="F803" s="142">
        <v>2779.6</v>
      </c>
      <c r="K803" s="132">
        <v>-3.2465792047673525E-2</v>
      </c>
      <c r="M803" s="132">
        <v>-3.2465792047673525E-2</v>
      </c>
    </row>
    <row r="804" spans="5:13" x14ac:dyDescent="0.55000000000000004">
      <c r="E804" s="143">
        <v>43158</v>
      </c>
      <c r="F804" s="142">
        <v>2744.28</v>
      </c>
      <c r="K804" s="132">
        <v>-4.4760117930849552E-2</v>
      </c>
      <c r="M804" s="132">
        <v>-4.4760117930849552E-2</v>
      </c>
    </row>
    <row r="805" spans="5:13" x14ac:dyDescent="0.55000000000000004">
      <c r="E805" s="143">
        <v>43159</v>
      </c>
      <c r="F805" s="142">
        <v>2713.83</v>
      </c>
      <c r="K805" s="132">
        <v>-5.5359274871469966E-2</v>
      </c>
      <c r="M805" s="132">
        <v>-5.5359274871469966E-2</v>
      </c>
    </row>
    <row r="806" spans="5:13" x14ac:dyDescent="0.55000000000000004">
      <c r="E806" s="143">
        <v>43160</v>
      </c>
      <c r="F806" s="142">
        <v>2677.67</v>
      </c>
      <c r="K806" s="132">
        <v>-6.7945991290938923E-2</v>
      </c>
      <c r="M806" s="132">
        <v>-6.7945991290938923E-2</v>
      </c>
    </row>
    <row r="807" spans="5:13" x14ac:dyDescent="0.55000000000000004">
      <c r="E807" s="143">
        <v>43161</v>
      </c>
      <c r="F807" s="142">
        <v>2691.25</v>
      </c>
      <c r="K807" s="132">
        <v>-6.321901095420257E-2</v>
      </c>
      <c r="M807" s="132">
        <v>-6.321901095420257E-2</v>
      </c>
    </row>
    <row r="808" spans="5:13" x14ac:dyDescent="0.55000000000000004">
      <c r="E808" s="143">
        <v>43164</v>
      </c>
      <c r="F808" s="142">
        <v>2720.94</v>
      </c>
      <c r="K808" s="132">
        <v>-5.2884397832132946E-2</v>
      </c>
      <c r="M808" s="132">
        <v>-5.2884397832132946E-2</v>
      </c>
    </row>
    <row r="809" spans="5:13" x14ac:dyDescent="0.55000000000000004">
      <c r="E809" s="143">
        <v>43165</v>
      </c>
      <c r="F809" s="142">
        <v>2728.12</v>
      </c>
      <c r="K809" s="132">
        <v>-5.038515491477169E-2</v>
      </c>
      <c r="M809" s="132">
        <v>-5.038515491477169E-2</v>
      </c>
    </row>
    <row r="810" spans="5:13" x14ac:dyDescent="0.55000000000000004">
      <c r="E810" s="143">
        <v>43166</v>
      </c>
      <c r="F810" s="142">
        <v>2726.8</v>
      </c>
      <c r="K810" s="132">
        <v>-5.0844625757517692E-2</v>
      </c>
      <c r="M810" s="132">
        <v>-5.0844625757517692E-2</v>
      </c>
    </row>
    <row r="811" spans="5:13" x14ac:dyDescent="0.55000000000000004">
      <c r="E811" s="143">
        <v>43167</v>
      </c>
      <c r="F811" s="142">
        <v>2738.97</v>
      </c>
      <c r="K811" s="132">
        <v>-4.6608443820987389E-2</v>
      </c>
      <c r="M811" s="132">
        <v>-4.6608443820987389E-2</v>
      </c>
    </row>
    <row r="812" spans="5:13" x14ac:dyDescent="0.55000000000000004">
      <c r="E812" s="143">
        <v>43168</v>
      </c>
      <c r="F812" s="142">
        <v>2786.57</v>
      </c>
      <c r="K812" s="132">
        <v>-3.0039646764385308E-2</v>
      </c>
      <c r="M812" s="132">
        <v>-3.0039646764385308E-2</v>
      </c>
    </row>
    <row r="813" spans="5:13" x14ac:dyDescent="0.55000000000000004">
      <c r="E813" s="143">
        <v>43171</v>
      </c>
      <c r="F813" s="142">
        <v>2783.02</v>
      </c>
      <c r="K813" s="132">
        <v>-3.1275344864195032E-2</v>
      </c>
      <c r="M813" s="132">
        <v>-3.1275344864195032E-2</v>
      </c>
    </row>
    <row r="814" spans="5:13" x14ac:dyDescent="0.55000000000000004">
      <c r="E814" s="143">
        <v>43172</v>
      </c>
      <c r="F814" s="142">
        <v>2765.31</v>
      </c>
      <c r="K814" s="132">
        <v>-3.7439912004371911E-2</v>
      </c>
      <c r="M814" s="132">
        <v>-3.7439912004371911E-2</v>
      </c>
    </row>
    <row r="815" spans="5:13" x14ac:dyDescent="0.55000000000000004">
      <c r="E815" s="143">
        <v>43173</v>
      </c>
      <c r="F815" s="142">
        <v>2749.48</v>
      </c>
      <c r="K815" s="132">
        <v>-4.2950081277607355E-2</v>
      </c>
      <c r="M815" s="132">
        <v>-4.2950081277607355E-2</v>
      </c>
    </row>
    <row r="816" spans="5:13" x14ac:dyDescent="0.55000000000000004">
      <c r="E816" s="143">
        <v>43174</v>
      </c>
      <c r="F816" s="142">
        <v>2747.33</v>
      </c>
      <c r="K816" s="132">
        <v>-4.3698461816928713E-2</v>
      </c>
      <c r="M816" s="132">
        <v>-4.3698461816928713E-2</v>
      </c>
    </row>
    <row r="817" spans="5:13" x14ac:dyDescent="0.55000000000000004">
      <c r="E817" s="143">
        <v>43175</v>
      </c>
      <c r="F817" s="142">
        <v>2752.01</v>
      </c>
      <c r="K817" s="132">
        <v>-4.2069428829010547E-2</v>
      </c>
      <c r="M817" s="132">
        <v>-4.2069428829010547E-2</v>
      </c>
    </row>
    <row r="818" spans="5:13" x14ac:dyDescent="0.55000000000000004">
      <c r="E818" s="143">
        <v>43178</v>
      </c>
      <c r="F818" s="142">
        <v>2712.92</v>
      </c>
      <c r="K818" s="132">
        <v>-5.5676031285787353E-2</v>
      </c>
      <c r="M818" s="132">
        <v>-5.5676031285787353E-2</v>
      </c>
    </row>
    <row r="819" spans="5:13" x14ac:dyDescent="0.55000000000000004">
      <c r="E819" s="143">
        <v>43179</v>
      </c>
      <c r="F819" s="142">
        <v>2716.94</v>
      </c>
      <c r="K819" s="132">
        <v>-5.4276733719242354E-2</v>
      </c>
      <c r="M819" s="132">
        <v>-5.4276733719242354E-2</v>
      </c>
    </row>
    <row r="820" spans="5:13" x14ac:dyDescent="0.55000000000000004">
      <c r="E820" s="143">
        <v>43180</v>
      </c>
      <c r="F820" s="142">
        <v>2711.93</v>
      </c>
      <c r="K820" s="132">
        <v>-5.6020634417846993E-2</v>
      </c>
      <c r="M820" s="132">
        <v>-5.6020634417846993E-2</v>
      </c>
    </row>
    <row r="821" spans="5:13" x14ac:dyDescent="0.55000000000000004">
      <c r="E821" s="143">
        <v>43181</v>
      </c>
      <c r="F821" s="142">
        <v>2643.69</v>
      </c>
      <c r="K821" s="132">
        <v>-7.9773884651933358E-2</v>
      </c>
      <c r="M821" s="132">
        <v>-7.9773884651933358E-2</v>
      </c>
    </row>
    <row r="822" spans="5:13" x14ac:dyDescent="0.55000000000000004">
      <c r="E822" s="143">
        <v>43182</v>
      </c>
      <c r="F822" s="142">
        <v>2588.2600000000002</v>
      </c>
      <c r="K822" s="132">
        <v>-9.9068179207551954E-2</v>
      </c>
      <c r="M822" s="132">
        <v>-9.9068179207551954E-2</v>
      </c>
    </row>
    <row r="823" spans="5:13" x14ac:dyDescent="0.55000000000000004">
      <c r="E823" s="143">
        <v>43185</v>
      </c>
      <c r="F823" s="142">
        <v>2658.55</v>
      </c>
      <c r="K823" s="132">
        <v>-7.4601356831321852E-2</v>
      </c>
      <c r="M823" s="132">
        <v>-7.4601356831321852E-2</v>
      </c>
    </row>
    <row r="824" spans="5:13" x14ac:dyDescent="0.55000000000000004">
      <c r="E824" s="143">
        <v>43186</v>
      </c>
      <c r="F824" s="142">
        <v>2612.62</v>
      </c>
      <c r="K824" s="132">
        <v>-9.0588853655055757E-2</v>
      </c>
      <c r="M824" s="132">
        <v>-9.0588853655055757E-2</v>
      </c>
    </row>
    <row r="825" spans="5:13" x14ac:dyDescent="0.55000000000000004">
      <c r="E825" s="143">
        <v>43187</v>
      </c>
      <c r="F825" s="142">
        <v>2605</v>
      </c>
      <c r="K825" s="132">
        <v>-9.3241253519999123E-2</v>
      </c>
      <c r="M825" s="132">
        <v>-9.3241253519999123E-2</v>
      </c>
    </row>
    <row r="826" spans="5:13" x14ac:dyDescent="0.55000000000000004">
      <c r="E826" s="143">
        <v>43188</v>
      </c>
      <c r="F826" s="142">
        <v>2640.87</v>
      </c>
      <c r="K826" s="132">
        <v>-8.0755481452345568E-2</v>
      </c>
      <c r="M826" s="132">
        <v>-8.0755481452345568E-2</v>
      </c>
    </row>
    <row r="827" spans="5:13" x14ac:dyDescent="0.55000000000000004">
      <c r="E827" s="143">
        <v>43192</v>
      </c>
      <c r="F827" s="142">
        <v>2581.88</v>
      </c>
      <c r="K827" s="132">
        <v>-0.10128895494749146</v>
      </c>
      <c r="M827" s="132">
        <v>-0.10128895494749146</v>
      </c>
    </row>
    <row r="828" spans="5:13" x14ac:dyDescent="0.55000000000000004">
      <c r="E828" s="143">
        <v>43193</v>
      </c>
      <c r="F828" s="142">
        <v>2614.4499999999998</v>
      </c>
      <c r="K828" s="132">
        <v>-8.9951859986703187E-2</v>
      </c>
      <c r="M828" s="132">
        <v>-8.9951859986703187E-2</v>
      </c>
    </row>
    <row r="829" spans="5:13" x14ac:dyDescent="0.55000000000000004">
      <c r="E829" s="143">
        <v>43194</v>
      </c>
      <c r="F829" s="142">
        <v>2644.69</v>
      </c>
      <c r="K829" s="132">
        <v>-7.9425800680156033E-2</v>
      </c>
      <c r="M829" s="132">
        <v>-7.9425800680156033E-2</v>
      </c>
    </row>
    <row r="830" spans="5:13" x14ac:dyDescent="0.55000000000000004">
      <c r="E830" s="143">
        <v>43195</v>
      </c>
      <c r="F830" s="142">
        <v>2662.84</v>
      </c>
      <c r="K830" s="132">
        <v>-7.3108076592397042E-2</v>
      </c>
      <c r="M830" s="132">
        <v>-7.3108076592397042E-2</v>
      </c>
    </row>
    <row r="831" spans="5:13" x14ac:dyDescent="0.55000000000000004">
      <c r="E831" s="143">
        <v>43196</v>
      </c>
      <c r="F831" s="142">
        <v>2604.4699999999998</v>
      </c>
      <c r="K831" s="132">
        <v>-9.3425738025041172E-2</v>
      </c>
      <c r="M831" s="132">
        <v>-9.3425738025041172E-2</v>
      </c>
    </row>
    <row r="832" spans="5:13" x14ac:dyDescent="0.55000000000000004">
      <c r="E832" s="143">
        <v>43199</v>
      </c>
      <c r="F832" s="142">
        <v>2613.16</v>
      </c>
      <c r="K832" s="132">
        <v>-9.0400888310296024E-2</v>
      </c>
      <c r="M832" s="132">
        <v>-9.0400888310296024E-2</v>
      </c>
    </row>
    <row r="833" spans="5:13" x14ac:dyDescent="0.55000000000000004">
      <c r="E833" s="143">
        <v>43200</v>
      </c>
      <c r="F833" s="142">
        <v>2656.87</v>
      </c>
      <c r="K833" s="132">
        <v>-7.5186137903907935E-2</v>
      </c>
      <c r="M833" s="132">
        <v>-7.5186137903907935E-2</v>
      </c>
    </row>
    <row r="834" spans="5:13" x14ac:dyDescent="0.55000000000000004">
      <c r="E834" s="143">
        <v>43201</v>
      </c>
      <c r="F834" s="142">
        <v>2642.19</v>
      </c>
      <c r="K834" s="132">
        <v>-8.0296010609599455E-2</v>
      </c>
      <c r="M834" s="132">
        <v>-8.0296010609599455E-2</v>
      </c>
    </row>
    <row r="835" spans="5:13" x14ac:dyDescent="0.55000000000000004">
      <c r="E835" s="143">
        <v>43202</v>
      </c>
      <c r="F835" s="142">
        <v>2663.99</v>
      </c>
      <c r="K835" s="132">
        <v>-7.270778002485323E-2</v>
      </c>
      <c r="M835" s="132">
        <v>-7.270778002485323E-2</v>
      </c>
    </row>
    <row r="836" spans="5:13" x14ac:dyDescent="0.55000000000000004">
      <c r="E836" s="143">
        <v>43203</v>
      </c>
      <c r="F836" s="142">
        <v>2656.3</v>
      </c>
      <c r="K836" s="132">
        <v>-7.5384545767820943E-2</v>
      </c>
      <c r="M836" s="132">
        <v>-7.5384545767820943E-2</v>
      </c>
    </row>
    <row r="837" spans="5:13" x14ac:dyDescent="0.55000000000000004">
      <c r="E837" s="143">
        <v>43206</v>
      </c>
      <c r="F837" s="142">
        <v>2677.84</v>
      </c>
      <c r="K837" s="132">
        <v>-6.7886817015736844E-2</v>
      </c>
      <c r="M837" s="132">
        <v>-6.7886817015736844E-2</v>
      </c>
    </row>
    <row r="838" spans="5:13" x14ac:dyDescent="0.55000000000000004">
      <c r="E838" s="143">
        <v>43207</v>
      </c>
      <c r="F838" s="142">
        <v>2706.39</v>
      </c>
      <c r="K838" s="132">
        <v>-5.7949019621493458E-2</v>
      </c>
      <c r="M838" s="132">
        <v>-5.7949019621493458E-2</v>
      </c>
    </row>
    <row r="839" spans="5:13" x14ac:dyDescent="0.55000000000000004">
      <c r="E839" s="143">
        <v>43208</v>
      </c>
      <c r="F839" s="142">
        <v>2708.64</v>
      </c>
      <c r="K839" s="132">
        <v>-5.7165830684994479E-2</v>
      </c>
      <c r="M839" s="132">
        <v>-5.7165830684994479E-2</v>
      </c>
    </row>
    <row r="840" spans="5:13" x14ac:dyDescent="0.55000000000000004">
      <c r="E840" s="143">
        <v>43209</v>
      </c>
      <c r="F840" s="142">
        <v>2693.13</v>
      </c>
      <c r="K840" s="132">
        <v>-6.2564613087261134E-2</v>
      </c>
      <c r="M840" s="132">
        <v>-6.2564613087261134E-2</v>
      </c>
    </row>
    <row r="841" spans="5:13" x14ac:dyDescent="0.55000000000000004">
      <c r="E841" s="143">
        <v>43210</v>
      </c>
      <c r="F841" s="142">
        <v>2670.14</v>
      </c>
      <c r="K841" s="132">
        <v>-7.0567063598422464E-2</v>
      </c>
      <c r="M841" s="132">
        <v>-7.0567063598422464E-2</v>
      </c>
    </row>
    <row r="842" spans="5:13" x14ac:dyDescent="0.55000000000000004">
      <c r="E842" s="143">
        <v>43213</v>
      </c>
      <c r="F842" s="142">
        <v>2670.29</v>
      </c>
      <c r="K842" s="132">
        <v>-7.0514851002655865E-2</v>
      </c>
      <c r="M842" s="132">
        <v>-7.0514851002655865E-2</v>
      </c>
    </row>
    <row r="843" spans="5:13" x14ac:dyDescent="0.55000000000000004">
      <c r="E843" s="143">
        <v>43214</v>
      </c>
      <c r="F843" s="142">
        <v>2634.56</v>
      </c>
      <c r="K843" s="132">
        <v>-8.2951891314260617E-2</v>
      </c>
      <c r="M843" s="132">
        <v>-8.2951891314260617E-2</v>
      </c>
    </row>
    <row r="844" spans="5:13" x14ac:dyDescent="0.55000000000000004">
      <c r="E844" s="143">
        <v>43215</v>
      </c>
      <c r="F844" s="142">
        <v>2639.4</v>
      </c>
      <c r="K844" s="132">
        <v>-8.1267164890858168E-2</v>
      </c>
      <c r="M844" s="132">
        <v>-8.1267164890858168E-2</v>
      </c>
    </row>
    <row r="845" spans="5:13" x14ac:dyDescent="0.55000000000000004">
      <c r="E845" s="143">
        <v>43216</v>
      </c>
      <c r="F845" s="142">
        <v>2666.94</v>
      </c>
      <c r="K845" s="132">
        <v>-7.1680932308109901E-2</v>
      </c>
      <c r="M845" s="132">
        <v>-7.1680932308109901E-2</v>
      </c>
    </row>
    <row r="846" spans="5:13" x14ac:dyDescent="0.55000000000000004">
      <c r="E846" s="143">
        <v>43217</v>
      </c>
      <c r="F846" s="142">
        <v>2669.91</v>
      </c>
      <c r="K846" s="132">
        <v>-7.0647122911931315E-2</v>
      </c>
      <c r="M846" s="132">
        <v>-7.0647122911931315E-2</v>
      </c>
    </row>
    <row r="847" spans="5:13" x14ac:dyDescent="0.55000000000000004">
      <c r="E847" s="143">
        <v>43220</v>
      </c>
      <c r="F847" s="142">
        <v>2648.05</v>
      </c>
      <c r="K847" s="132">
        <v>-7.8256238534984091E-2</v>
      </c>
      <c r="M847" s="132">
        <v>-7.8256238534984091E-2</v>
      </c>
    </row>
    <row r="848" spans="5:13" x14ac:dyDescent="0.55000000000000004">
      <c r="E848" s="143">
        <v>43221</v>
      </c>
      <c r="F848" s="142">
        <v>2654.8</v>
      </c>
      <c r="K848" s="132">
        <v>-7.5906671725486929E-2</v>
      </c>
      <c r="M848" s="132">
        <v>-7.5906671725486929E-2</v>
      </c>
    </row>
    <row r="849" spans="5:13" x14ac:dyDescent="0.55000000000000004">
      <c r="E849" s="143">
        <v>43222</v>
      </c>
      <c r="F849" s="142">
        <v>2635.67</v>
      </c>
      <c r="K849" s="132">
        <v>-8.2565518105587765E-2</v>
      </c>
      <c r="M849" s="132">
        <v>-8.2565518105587765E-2</v>
      </c>
    </row>
    <row r="850" spans="5:13" x14ac:dyDescent="0.55000000000000004">
      <c r="E850" s="143">
        <v>43223</v>
      </c>
      <c r="F850" s="142">
        <v>2629.73</v>
      </c>
      <c r="K850" s="132">
        <v>-8.4633136897945271E-2</v>
      </c>
      <c r="M850" s="132">
        <v>-8.4633136897945271E-2</v>
      </c>
    </row>
    <row r="851" spans="5:13" x14ac:dyDescent="0.55000000000000004">
      <c r="E851" s="143">
        <v>43224</v>
      </c>
      <c r="F851" s="142">
        <v>2663.42</v>
      </c>
      <c r="K851" s="132">
        <v>-7.2906187888766238E-2</v>
      </c>
      <c r="M851" s="132">
        <v>-7.2906187888766238E-2</v>
      </c>
    </row>
    <row r="852" spans="5:13" x14ac:dyDescent="0.55000000000000004">
      <c r="E852" s="143">
        <v>43227</v>
      </c>
      <c r="F852" s="142">
        <v>2672.63</v>
      </c>
      <c r="K852" s="132">
        <v>-6.9700334508696837E-2</v>
      </c>
      <c r="M852" s="132">
        <v>-6.9700334508696837E-2</v>
      </c>
    </row>
    <row r="853" spans="5:13" x14ac:dyDescent="0.55000000000000004">
      <c r="E853" s="143">
        <v>43228</v>
      </c>
      <c r="F853" s="142">
        <v>2671.92</v>
      </c>
      <c r="K853" s="132">
        <v>-6.994747412865876E-2</v>
      </c>
      <c r="M853" s="132">
        <v>-6.994747412865876E-2</v>
      </c>
    </row>
    <row r="854" spans="5:13" x14ac:dyDescent="0.55000000000000004">
      <c r="E854" s="143">
        <v>43229</v>
      </c>
      <c r="F854" s="142">
        <v>2697.79</v>
      </c>
      <c r="K854" s="132">
        <v>-6.0942541778778669E-2</v>
      </c>
      <c r="M854" s="132">
        <v>-6.0942541778778669E-2</v>
      </c>
    </row>
    <row r="855" spans="5:13" x14ac:dyDescent="0.55000000000000004">
      <c r="E855" s="143">
        <v>43230</v>
      </c>
      <c r="F855" s="142">
        <v>2723.07</v>
      </c>
      <c r="K855" s="132">
        <v>-5.2142978972247178E-2</v>
      </c>
      <c r="M855" s="132">
        <v>-5.2142978972247178E-2</v>
      </c>
    </row>
    <row r="856" spans="5:13" x14ac:dyDescent="0.55000000000000004">
      <c r="E856" s="143">
        <v>43231</v>
      </c>
      <c r="F856" s="142">
        <v>2727.72</v>
      </c>
      <c r="K856" s="132">
        <v>-5.052438850348262E-2</v>
      </c>
      <c r="M856" s="132">
        <v>-5.052438850348262E-2</v>
      </c>
    </row>
    <row r="857" spans="5:13" x14ac:dyDescent="0.55000000000000004">
      <c r="E857" s="143">
        <v>43234</v>
      </c>
      <c r="F857" s="142">
        <v>2730.13</v>
      </c>
      <c r="K857" s="132">
        <v>-4.9685506131499135E-2</v>
      </c>
      <c r="M857" s="132">
        <v>-4.9685506131499135E-2</v>
      </c>
    </row>
    <row r="858" spans="5:13" x14ac:dyDescent="0.55000000000000004">
      <c r="E858" s="143">
        <v>43235</v>
      </c>
      <c r="F858" s="142">
        <v>2711.45</v>
      </c>
      <c r="K858" s="132">
        <v>-5.6187714724300064E-2</v>
      </c>
      <c r="M858" s="132">
        <v>-5.6187714724300064E-2</v>
      </c>
    </row>
    <row r="859" spans="5:13" x14ac:dyDescent="0.55000000000000004">
      <c r="E859" s="143">
        <v>43236</v>
      </c>
      <c r="F859" s="142">
        <v>2722.46</v>
      </c>
      <c r="K859" s="132">
        <v>-5.2355310195031368E-2</v>
      </c>
      <c r="M859" s="132">
        <v>-5.2355310195031368E-2</v>
      </c>
    </row>
    <row r="860" spans="5:13" x14ac:dyDescent="0.55000000000000004">
      <c r="E860" s="143">
        <v>43237</v>
      </c>
      <c r="F860" s="142">
        <v>2720.13</v>
      </c>
      <c r="K860" s="132">
        <v>-5.31663458492726E-2</v>
      </c>
      <c r="M860" s="132">
        <v>-5.31663458492726E-2</v>
      </c>
    </row>
    <row r="861" spans="5:13" x14ac:dyDescent="0.55000000000000004">
      <c r="E861" s="143">
        <v>43238</v>
      </c>
      <c r="F861" s="142">
        <v>2712.97</v>
      </c>
      <c r="K861" s="132">
        <v>-5.5658627087198598E-2</v>
      </c>
      <c r="M861" s="132">
        <v>-5.5658627087198598E-2</v>
      </c>
    </row>
    <row r="862" spans="5:13" x14ac:dyDescent="0.55000000000000004">
      <c r="E862" s="143">
        <v>43241</v>
      </c>
      <c r="F862" s="142">
        <v>2733.01</v>
      </c>
      <c r="K862" s="132">
        <v>-4.8683024292780264E-2</v>
      </c>
      <c r="M862" s="132">
        <v>-4.8683024292780264E-2</v>
      </c>
    </row>
    <row r="863" spans="5:13" x14ac:dyDescent="0.55000000000000004">
      <c r="E863" s="143">
        <v>43242</v>
      </c>
      <c r="F863" s="142">
        <v>2724.44</v>
      </c>
      <c r="K863" s="132">
        <v>-5.1666103930912199E-2</v>
      </c>
      <c r="M863" s="132">
        <v>-5.1666103930912199E-2</v>
      </c>
    </row>
    <row r="864" spans="5:13" x14ac:dyDescent="0.55000000000000004">
      <c r="E864" s="143">
        <v>43243</v>
      </c>
      <c r="F864" s="142">
        <v>2733.29</v>
      </c>
      <c r="K864" s="132">
        <v>-4.8585560780682657E-2</v>
      </c>
      <c r="M864" s="132">
        <v>-4.8585560780682657E-2</v>
      </c>
    </row>
    <row r="865" spans="5:13" x14ac:dyDescent="0.55000000000000004">
      <c r="E865" s="143">
        <v>43244</v>
      </c>
      <c r="F865" s="142">
        <v>2727.76</v>
      </c>
      <c r="K865" s="132">
        <v>-5.0510465144611327E-2</v>
      </c>
      <c r="M865" s="132">
        <v>-5.0510465144611327E-2</v>
      </c>
    </row>
    <row r="866" spans="5:13" x14ac:dyDescent="0.55000000000000004">
      <c r="E866" s="143">
        <v>43245</v>
      </c>
      <c r="F866" s="142">
        <v>2721.33</v>
      </c>
      <c r="K866" s="132">
        <v>-5.2748645083139811E-2</v>
      </c>
      <c r="M866" s="132">
        <v>-5.2748645083139811E-2</v>
      </c>
    </row>
    <row r="867" spans="5:13" x14ac:dyDescent="0.55000000000000004">
      <c r="E867" s="143">
        <v>43249</v>
      </c>
      <c r="F867" s="142">
        <v>2689.86</v>
      </c>
      <c r="K867" s="132">
        <v>-6.3702847674973029E-2</v>
      </c>
      <c r="M867" s="132">
        <v>-6.3702847674973029E-2</v>
      </c>
    </row>
    <row r="868" spans="5:13" x14ac:dyDescent="0.55000000000000004">
      <c r="E868" s="143">
        <v>43250</v>
      </c>
      <c r="F868" s="142">
        <v>2724.01</v>
      </c>
      <c r="K868" s="132">
        <v>-5.1815780038776404E-2</v>
      </c>
      <c r="M868" s="132">
        <v>-5.1815780038776404E-2</v>
      </c>
    </row>
    <row r="869" spans="5:13" x14ac:dyDescent="0.55000000000000004">
      <c r="E869" s="143">
        <v>43251</v>
      </c>
      <c r="F869" s="142">
        <v>2705.27</v>
      </c>
      <c r="K869" s="132">
        <v>-5.8338873669884106E-2</v>
      </c>
      <c r="M869" s="132">
        <v>-5.8338873669884106E-2</v>
      </c>
    </row>
    <row r="870" spans="5:13" x14ac:dyDescent="0.55000000000000004">
      <c r="E870" s="143">
        <v>43252</v>
      </c>
      <c r="F870" s="142">
        <v>2734.62</v>
      </c>
      <c r="K870" s="132">
        <v>-4.812260909821886E-2</v>
      </c>
      <c r="M870" s="132">
        <v>-4.812260909821886E-2</v>
      </c>
    </row>
    <row r="871" spans="5:13" x14ac:dyDescent="0.55000000000000004">
      <c r="E871" s="143">
        <v>43255</v>
      </c>
      <c r="F871" s="142">
        <v>2746.87</v>
      </c>
      <c r="K871" s="132">
        <v>-4.3858580443946305E-2</v>
      </c>
      <c r="M871" s="132">
        <v>-4.3858580443946305E-2</v>
      </c>
    </row>
    <row r="872" spans="5:13" x14ac:dyDescent="0.55000000000000004">
      <c r="E872" s="143">
        <v>43256</v>
      </c>
      <c r="F872" s="142">
        <v>2748.8</v>
      </c>
      <c r="K872" s="132">
        <v>-4.3186778378415891E-2</v>
      </c>
      <c r="M872" s="132">
        <v>-4.3186778378415891E-2</v>
      </c>
    </row>
    <row r="873" spans="5:13" x14ac:dyDescent="0.55000000000000004">
      <c r="E873" s="143">
        <v>43257</v>
      </c>
      <c r="F873" s="142">
        <v>2772.35</v>
      </c>
      <c r="K873" s="132">
        <v>-3.4989400843059348E-2</v>
      </c>
      <c r="M873" s="132">
        <v>-3.4989400843059348E-2</v>
      </c>
    </row>
    <row r="874" spans="5:13" x14ac:dyDescent="0.55000000000000004">
      <c r="E874" s="143">
        <v>43258</v>
      </c>
      <c r="F874" s="142">
        <v>2770.37</v>
      </c>
      <c r="K874" s="132">
        <v>-3.5678607107178517E-2</v>
      </c>
      <c r="M874" s="132">
        <v>-3.5678607107178517E-2</v>
      </c>
    </row>
    <row r="875" spans="5:13" x14ac:dyDescent="0.55000000000000004">
      <c r="E875" s="143">
        <v>43259</v>
      </c>
      <c r="F875" s="142">
        <v>2779.03</v>
      </c>
      <c r="K875" s="132">
        <v>-3.2664199911586533E-2</v>
      </c>
      <c r="M875" s="132">
        <v>-3.2664199911586533E-2</v>
      </c>
    </row>
    <row r="876" spans="5:13" x14ac:dyDescent="0.55000000000000004">
      <c r="E876" s="143">
        <v>43262</v>
      </c>
      <c r="F876" s="142">
        <v>2782</v>
      </c>
      <c r="K876" s="132">
        <v>-3.1630390515407947E-2</v>
      </c>
      <c r="M876" s="132">
        <v>-3.1630390515407947E-2</v>
      </c>
    </row>
    <row r="877" spans="5:13" x14ac:dyDescent="0.55000000000000004">
      <c r="E877" s="143">
        <v>43263</v>
      </c>
      <c r="F877" s="142">
        <v>2786.85</v>
      </c>
      <c r="K877" s="132">
        <v>-2.9942183252287813E-2</v>
      </c>
      <c r="M877" s="132">
        <v>-2.9942183252287813E-2</v>
      </c>
    </row>
    <row r="878" spans="5:13" x14ac:dyDescent="0.55000000000000004">
      <c r="E878" s="143">
        <v>43264</v>
      </c>
      <c r="F878" s="142">
        <v>2775.63</v>
      </c>
      <c r="K878" s="132">
        <v>-3.3847685415629547E-2</v>
      </c>
      <c r="M878" s="132">
        <v>-3.3847685415629547E-2</v>
      </c>
    </row>
    <row r="879" spans="5:13" x14ac:dyDescent="0.55000000000000004">
      <c r="E879" s="143">
        <v>43265</v>
      </c>
      <c r="F879" s="142">
        <v>2782.49</v>
      </c>
      <c r="K879" s="132">
        <v>-3.145982936923708E-2</v>
      </c>
      <c r="M879" s="132">
        <v>-3.145982936923708E-2</v>
      </c>
    </row>
    <row r="880" spans="5:13" x14ac:dyDescent="0.55000000000000004">
      <c r="E880" s="143">
        <v>43266</v>
      </c>
      <c r="F880" s="142">
        <v>2779.66</v>
      </c>
      <c r="K880" s="132">
        <v>-3.2444907009366974E-2</v>
      </c>
      <c r="M880" s="132">
        <v>-3.2444907009366974E-2</v>
      </c>
    </row>
    <row r="881" spans="5:13" x14ac:dyDescent="0.55000000000000004">
      <c r="E881" s="143">
        <v>43269</v>
      </c>
      <c r="F881" s="142">
        <v>2773.75</v>
      </c>
      <c r="K881" s="132">
        <v>-3.4502083282571094E-2</v>
      </c>
      <c r="M881" s="132">
        <v>-3.4502083282571094E-2</v>
      </c>
    </row>
    <row r="882" spans="5:13" x14ac:dyDescent="0.55000000000000004">
      <c r="E882" s="143">
        <v>43270</v>
      </c>
      <c r="F882" s="142">
        <v>2762.59</v>
      </c>
      <c r="K882" s="132">
        <v>-3.8386700407606278E-2</v>
      </c>
      <c r="M882" s="132">
        <v>-3.8386700407606278E-2</v>
      </c>
    </row>
    <row r="883" spans="5:13" x14ac:dyDescent="0.55000000000000004">
      <c r="E883" s="143">
        <v>43271</v>
      </c>
      <c r="F883" s="142">
        <v>2767.32</v>
      </c>
      <c r="K883" s="132">
        <v>-3.6740263221099356E-2</v>
      </c>
      <c r="M883" s="132">
        <v>-3.6740263221099356E-2</v>
      </c>
    </row>
    <row r="884" spans="5:13" x14ac:dyDescent="0.55000000000000004">
      <c r="E884" s="143">
        <v>43272</v>
      </c>
      <c r="F884" s="142">
        <v>2749.76</v>
      </c>
      <c r="K884" s="132">
        <v>-4.2852617765509637E-2</v>
      </c>
      <c r="M884" s="132">
        <v>-4.2852617765509637E-2</v>
      </c>
    </row>
    <row r="885" spans="5:13" x14ac:dyDescent="0.55000000000000004">
      <c r="E885" s="143">
        <v>43273</v>
      </c>
      <c r="F885" s="142">
        <v>2754.88</v>
      </c>
      <c r="K885" s="132">
        <v>-4.1070427830009693E-2</v>
      </c>
      <c r="M885" s="132">
        <v>-4.1070427830009693E-2</v>
      </c>
    </row>
    <row r="886" spans="5:13" x14ac:dyDescent="0.55000000000000004">
      <c r="E886" s="143">
        <v>43276</v>
      </c>
      <c r="F886" s="142">
        <v>2717.07</v>
      </c>
      <c r="K886" s="132">
        <v>-5.4231482802911235E-2</v>
      </c>
      <c r="M886" s="132">
        <v>-5.4231482802911235E-2</v>
      </c>
    </row>
    <row r="887" spans="5:13" x14ac:dyDescent="0.55000000000000004">
      <c r="E887" s="143">
        <v>43277</v>
      </c>
      <c r="F887" s="142">
        <v>2723.06</v>
      </c>
      <c r="K887" s="132">
        <v>-5.2146459811964974E-2</v>
      </c>
      <c r="M887" s="132">
        <v>-5.2146459811964974E-2</v>
      </c>
    </row>
    <row r="888" spans="5:13" x14ac:dyDescent="0.55000000000000004">
      <c r="E888" s="143">
        <v>43278</v>
      </c>
      <c r="F888" s="142">
        <v>2699.63</v>
      </c>
      <c r="K888" s="132">
        <v>-6.0302067270708304E-2</v>
      </c>
      <c r="M888" s="132">
        <v>-6.0302067270708304E-2</v>
      </c>
    </row>
    <row r="889" spans="5:13" x14ac:dyDescent="0.55000000000000004">
      <c r="E889" s="143">
        <v>43279</v>
      </c>
      <c r="F889" s="142">
        <v>2716.31</v>
      </c>
      <c r="K889" s="132">
        <v>-5.4496026621462135E-2</v>
      </c>
      <c r="M889" s="132">
        <v>-5.4496026621462135E-2</v>
      </c>
    </row>
    <row r="890" spans="5:13" x14ac:dyDescent="0.55000000000000004">
      <c r="E890" s="143">
        <v>43280</v>
      </c>
      <c r="F890" s="142">
        <v>2718.37</v>
      </c>
      <c r="K890" s="132">
        <v>-5.3778973639600824E-2</v>
      </c>
      <c r="M890" s="132">
        <v>-5.3778973639600824E-2</v>
      </c>
    </row>
    <row r="891" spans="5:13" x14ac:dyDescent="0.55000000000000004">
      <c r="E891" s="143">
        <v>43283</v>
      </c>
      <c r="F891" s="142">
        <v>2726.71</v>
      </c>
      <c r="K891" s="132">
        <v>-5.0875953314977629E-2</v>
      </c>
      <c r="M891" s="132">
        <v>-5.0875953314977629E-2</v>
      </c>
    </row>
    <row r="892" spans="5:13" x14ac:dyDescent="0.55000000000000004">
      <c r="E892" s="143">
        <v>43284</v>
      </c>
      <c r="F892" s="142">
        <v>2713.22</v>
      </c>
      <c r="K892" s="132">
        <v>-5.5571606094254267E-2</v>
      </c>
      <c r="M892" s="132">
        <v>-5.5571606094254267E-2</v>
      </c>
    </row>
    <row r="893" spans="5:13" x14ac:dyDescent="0.55000000000000004">
      <c r="E893" s="143">
        <v>43286</v>
      </c>
      <c r="F893" s="142">
        <v>2736.61</v>
      </c>
      <c r="K893" s="132">
        <v>-4.7429921994381896E-2</v>
      </c>
      <c r="M893" s="132">
        <v>-4.7429921994381896E-2</v>
      </c>
    </row>
    <row r="894" spans="5:13" x14ac:dyDescent="0.55000000000000004">
      <c r="E894" s="143">
        <v>43287</v>
      </c>
      <c r="F894" s="142">
        <v>2759.82</v>
      </c>
      <c r="K894" s="132">
        <v>-3.9350893009429511E-2</v>
      </c>
      <c r="M894" s="132">
        <v>-3.9350893009429511E-2</v>
      </c>
    </row>
    <row r="895" spans="5:13" x14ac:dyDescent="0.55000000000000004">
      <c r="E895" s="143">
        <v>43290</v>
      </c>
      <c r="F895" s="142">
        <v>2784.17</v>
      </c>
      <c r="K895" s="132">
        <v>-3.0875048296650998E-2</v>
      </c>
      <c r="M895" s="132">
        <v>-3.0875048296650998E-2</v>
      </c>
    </row>
    <row r="896" spans="5:13" x14ac:dyDescent="0.55000000000000004">
      <c r="E896" s="143">
        <v>43291</v>
      </c>
      <c r="F896" s="142">
        <v>2793.84</v>
      </c>
      <c r="K896" s="132">
        <v>-2.7509076289564005E-2</v>
      </c>
      <c r="M896" s="132">
        <v>-2.7509076289564005E-2</v>
      </c>
    </row>
    <row r="897" spans="5:13" x14ac:dyDescent="0.55000000000000004">
      <c r="E897" s="143">
        <v>43292</v>
      </c>
      <c r="F897" s="142">
        <v>2774.02</v>
      </c>
      <c r="K897" s="132">
        <v>-3.4408100610191172E-2</v>
      </c>
      <c r="M897" s="132">
        <v>-3.4408100610191172E-2</v>
      </c>
    </row>
    <row r="898" spans="5:13" x14ac:dyDescent="0.55000000000000004">
      <c r="E898" s="143">
        <v>43293</v>
      </c>
      <c r="F898" s="142">
        <v>2798.29</v>
      </c>
      <c r="K898" s="132">
        <v>-2.5960102615154801E-2</v>
      </c>
      <c r="M898" s="132">
        <v>-2.5960102615154801E-2</v>
      </c>
    </row>
    <row r="899" spans="5:13" x14ac:dyDescent="0.55000000000000004">
      <c r="E899" s="143">
        <v>43294</v>
      </c>
      <c r="F899" s="142">
        <v>2801.31</v>
      </c>
      <c r="K899" s="132">
        <v>-2.4908889020387237E-2</v>
      </c>
      <c r="M899" s="132">
        <v>-2.4908889020387237E-2</v>
      </c>
    </row>
    <row r="900" spans="5:13" x14ac:dyDescent="0.55000000000000004">
      <c r="E900" s="143">
        <v>43297</v>
      </c>
      <c r="F900" s="142">
        <v>2798.43</v>
      </c>
      <c r="K900" s="132">
        <v>-2.5911370859106109E-2</v>
      </c>
      <c r="M900" s="132">
        <v>-2.5911370859106109E-2</v>
      </c>
    </row>
    <row r="901" spans="5:13" x14ac:dyDescent="0.55000000000000004">
      <c r="E901" s="143">
        <v>43298</v>
      </c>
      <c r="F901" s="142">
        <v>2809.55</v>
      </c>
      <c r="K901" s="132">
        <v>-2.2040677092941774E-2</v>
      </c>
      <c r="M901" s="132">
        <v>-2.2040677092941774E-2</v>
      </c>
    </row>
    <row r="902" spans="5:13" x14ac:dyDescent="0.55000000000000004">
      <c r="E902" s="143">
        <v>43299</v>
      </c>
      <c r="F902" s="142">
        <v>2815.62</v>
      </c>
      <c r="K902" s="132">
        <v>-1.9927807384253371E-2</v>
      </c>
      <c r="M902" s="132">
        <v>-1.9927807384253371E-2</v>
      </c>
    </row>
    <row r="903" spans="5:13" x14ac:dyDescent="0.55000000000000004">
      <c r="E903" s="143">
        <v>43300</v>
      </c>
      <c r="F903" s="142">
        <v>2804.49</v>
      </c>
      <c r="K903" s="132">
        <v>-2.380198199013539E-2</v>
      </c>
      <c r="M903" s="132">
        <v>-2.380198199013539E-2</v>
      </c>
    </row>
    <row r="904" spans="5:13" x14ac:dyDescent="0.55000000000000004">
      <c r="E904" s="143">
        <v>43301</v>
      </c>
      <c r="F904" s="142">
        <v>2801.83</v>
      </c>
      <c r="K904" s="132">
        <v>-2.4727885355063095E-2</v>
      </c>
      <c r="M904" s="132">
        <v>-2.4727885355063095E-2</v>
      </c>
    </row>
    <row r="905" spans="5:13" x14ac:dyDescent="0.55000000000000004">
      <c r="E905" s="143">
        <v>43304</v>
      </c>
      <c r="F905" s="142">
        <v>2806.98</v>
      </c>
      <c r="K905" s="132">
        <v>-2.2935252900409653E-2</v>
      </c>
      <c r="M905" s="132">
        <v>-2.2935252900409653E-2</v>
      </c>
    </row>
    <row r="906" spans="5:13" x14ac:dyDescent="0.55000000000000004">
      <c r="E906" s="143">
        <v>43305</v>
      </c>
      <c r="F906" s="142">
        <v>2820.4</v>
      </c>
      <c r="K906" s="132">
        <v>-1.8263965999157583E-2</v>
      </c>
      <c r="M906" s="132">
        <v>-1.8263965999157583E-2</v>
      </c>
    </row>
    <row r="907" spans="5:13" x14ac:dyDescent="0.55000000000000004">
      <c r="E907" s="143">
        <v>43306</v>
      </c>
      <c r="F907" s="142">
        <v>2846.07</v>
      </c>
      <c r="K907" s="132">
        <v>-9.3286504436329576E-3</v>
      </c>
      <c r="M907" s="132">
        <v>-9.3286504436329576E-3</v>
      </c>
    </row>
    <row r="908" spans="5:13" x14ac:dyDescent="0.55000000000000004">
      <c r="E908" s="143">
        <v>43307</v>
      </c>
      <c r="F908" s="142">
        <v>2837.44</v>
      </c>
      <c r="K908" s="132">
        <v>-1.2332615120071555E-2</v>
      </c>
      <c r="M908" s="132">
        <v>-1.2332615120071555E-2</v>
      </c>
    </row>
    <row r="909" spans="5:13" x14ac:dyDescent="0.55000000000000004">
      <c r="E909" s="143">
        <v>43308</v>
      </c>
      <c r="F909" s="142">
        <v>2818.82</v>
      </c>
      <c r="K909" s="132">
        <v>-1.8813938674565711E-2</v>
      </c>
      <c r="M909" s="132">
        <v>-1.8813938674565711E-2</v>
      </c>
    </row>
    <row r="910" spans="5:13" x14ac:dyDescent="0.55000000000000004">
      <c r="E910" s="143">
        <v>43311</v>
      </c>
      <c r="F910" s="142">
        <v>2802.6</v>
      </c>
      <c r="K910" s="132">
        <v>-2.4459860696794511E-2</v>
      </c>
      <c r="M910" s="132">
        <v>-2.4459860696794511E-2</v>
      </c>
    </row>
    <row r="911" spans="5:13" x14ac:dyDescent="0.55000000000000004">
      <c r="E911" s="143">
        <v>43312</v>
      </c>
      <c r="F911" s="142">
        <v>2816.29</v>
      </c>
      <c r="K911" s="132">
        <v>-1.9694591123162519E-2</v>
      </c>
      <c r="M911" s="132">
        <v>-1.9694591123162519E-2</v>
      </c>
    </row>
    <row r="912" spans="5:13" x14ac:dyDescent="0.55000000000000004">
      <c r="E912" s="143">
        <v>43313</v>
      </c>
      <c r="F912" s="142">
        <v>2813.36</v>
      </c>
      <c r="K912" s="132">
        <v>-2.0714477160470146E-2</v>
      </c>
      <c r="M912" s="132">
        <v>-2.0714477160470146E-2</v>
      </c>
    </row>
    <row r="913" spans="5:13" x14ac:dyDescent="0.55000000000000004">
      <c r="E913" s="143">
        <v>43314</v>
      </c>
      <c r="F913" s="142">
        <v>2827.22</v>
      </c>
      <c r="K913" s="132">
        <v>-1.5890033311636076E-2</v>
      </c>
      <c r="M913" s="132">
        <v>-1.5890033311636076E-2</v>
      </c>
    </row>
    <row r="914" spans="5:13" x14ac:dyDescent="0.55000000000000004">
      <c r="E914" s="143">
        <v>43315</v>
      </c>
      <c r="F914" s="142">
        <v>2840.35</v>
      </c>
      <c r="K914" s="132">
        <v>-1.1319690762199519E-2</v>
      </c>
      <c r="M914" s="132">
        <v>-1.1319690762199519E-2</v>
      </c>
    </row>
    <row r="915" spans="5:13" x14ac:dyDescent="0.55000000000000004">
      <c r="E915" s="143">
        <v>43318</v>
      </c>
      <c r="F915" s="142">
        <v>2850.4</v>
      </c>
      <c r="K915" s="132">
        <v>-7.8214468458369657E-3</v>
      </c>
      <c r="M915" s="132">
        <v>-7.8214468458369657E-3</v>
      </c>
    </row>
    <row r="916" spans="5:13" x14ac:dyDescent="0.55000000000000004">
      <c r="E916" s="143">
        <v>43319</v>
      </c>
      <c r="F916" s="142">
        <v>2858.45</v>
      </c>
      <c r="K916" s="132">
        <v>-5.019370873029394E-3</v>
      </c>
      <c r="M916" s="132">
        <v>-5.019370873029394E-3</v>
      </c>
    </row>
    <row r="917" spans="5:13" x14ac:dyDescent="0.55000000000000004">
      <c r="E917" s="143">
        <v>43320</v>
      </c>
      <c r="F917" s="142">
        <v>2857.7</v>
      </c>
      <c r="K917" s="132">
        <v>-5.2804338518624983E-3</v>
      </c>
      <c r="M917" s="132">
        <v>-5.2804338518624983E-3</v>
      </c>
    </row>
    <row r="918" spans="5:13" x14ac:dyDescent="0.55000000000000004">
      <c r="E918" s="143">
        <v>43321</v>
      </c>
      <c r="F918" s="142">
        <v>2853.58</v>
      </c>
      <c r="K918" s="132">
        <v>-6.7145398155851188E-3</v>
      </c>
      <c r="M918" s="132">
        <v>-6.7145398155851188E-3</v>
      </c>
    </row>
    <row r="919" spans="5:13" x14ac:dyDescent="0.55000000000000004">
      <c r="E919" s="143">
        <v>43322</v>
      </c>
      <c r="F919" s="142">
        <v>2833.28</v>
      </c>
      <c r="K919" s="132">
        <v>-1.3780644442665246E-2</v>
      </c>
      <c r="M919" s="132">
        <v>-1.3780644442665246E-2</v>
      </c>
    </row>
    <row r="920" spans="5:13" x14ac:dyDescent="0.55000000000000004">
      <c r="E920" s="143">
        <v>43325</v>
      </c>
      <c r="F920" s="142">
        <v>2821.93</v>
      </c>
      <c r="K920" s="132">
        <v>-1.7731397522338321E-2</v>
      </c>
      <c r="M920" s="132">
        <v>-1.7731397522338321E-2</v>
      </c>
    </row>
    <row r="921" spans="5:13" x14ac:dyDescent="0.55000000000000004">
      <c r="E921" s="143">
        <v>43326</v>
      </c>
      <c r="F921" s="142">
        <v>2839.96</v>
      </c>
      <c r="K921" s="132">
        <v>-1.1455443511192542E-2</v>
      </c>
      <c r="M921" s="132">
        <v>-1.1455443511192542E-2</v>
      </c>
    </row>
    <row r="922" spans="5:13" x14ac:dyDescent="0.55000000000000004">
      <c r="E922" s="143">
        <v>43327</v>
      </c>
      <c r="F922" s="142">
        <v>2818.37</v>
      </c>
      <c r="K922" s="132">
        <v>-1.8970576461865618E-2</v>
      </c>
      <c r="M922" s="132">
        <v>-1.8970576461865618E-2</v>
      </c>
    </row>
    <row r="923" spans="5:13" x14ac:dyDescent="0.55000000000000004">
      <c r="E923" s="143">
        <v>43328</v>
      </c>
      <c r="F923" s="142">
        <v>2840.69</v>
      </c>
      <c r="K923" s="132">
        <v>-1.120134221179514E-2</v>
      </c>
      <c r="M923" s="132">
        <v>-1.120134221179514E-2</v>
      </c>
    </row>
    <row r="924" spans="5:13" x14ac:dyDescent="0.55000000000000004">
      <c r="E924" s="143">
        <v>43329</v>
      </c>
      <c r="F924" s="142">
        <v>2850.13</v>
      </c>
      <c r="K924" s="132">
        <v>-7.9154295182168877E-3</v>
      </c>
      <c r="M924" s="132">
        <v>-7.9154295182168877E-3</v>
      </c>
    </row>
    <row r="925" spans="5:13" x14ac:dyDescent="0.55000000000000004">
      <c r="E925" s="143">
        <v>43332</v>
      </c>
      <c r="F925" s="142">
        <v>2857.05</v>
      </c>
      <c r="K925" s="132">
        <v>-5.506688433517648E-3</v>
      </c>
      <c r="M925" s="132">
        <v>-5.506688433517648E-3</v>
      </c>
    </row>
    <row r="926" spans="5:13" x14ac:dyDescent="0.55000000000000004">
      <c r="E926" s="143">
        <v>43333</v>
      </c>
      <c r="F926" s="142">
        <v>2862.96</v>
      </c>
      <c r="K926" s="132">
        <v>-3.4495121603135281E-3</v>
      </c>
      <c r="M926" s="132">
        <v>-3.4495121603135281E-3</v>
      </c>
    </row>
    <row r="927" spans="5:13" x14ac:dyDescent="0.55000000000000004">
      <c r="E927" s="143">
        <v>43334</v>
      </c>
      <c r="F927" s="142">
        <v>2861.82</v>
      </c>
      <c r="K927" s="132">
        <v>-3.8463278881396556E-3</v>
      </c>
      <c r="M927" s="132">
        <v>-3.8463278881396556E-3</v>
      </c>
    </row>
    <row r="928" spans="5:13" x14ac:dyDescent="0.55000000000000004">
      <c r="E928" s="143">
        <v>43335</v>
      </c>
      <c r="F928" s="142">
        <v>2856.98</v>
      </c>
      <c r="K928" s="132">
        <v>-5.5310543115421051E-3</v>
      </c>
      <c r="M928" s="132">
        <v>-5.5310543115421051E-3</v>
      </c>
    </row>
    <row r="929" spans="5:13" x14ac:dyDescent="0.55000000000000004">
      <c r="E929" s="143">
        <v>43336</v>
      </c>
      <c r="F929" s="142">
        <v>2874.69</v>
      </c>
      <c r="K929" s="132">
        <v>0</v>
      </c>
      <c r="M929" s="132">
        <v>0</v>
      </c>
    </row>
    <row r="930" spans="5:13" x14ac:dyDescent="0.55000000000000004">
      <c r="E930" s="143">
        <v>43339</v>
      </c>
      <c r="F930" s="142">
        <v>2896.74</v>
      </c>
      <c r="K930" s="132">
        <v>0</v>
      </c>
      <c r="M930" s="132">
        <v>0</v>
      </c>
    </row>
    <row r="931" spans="5:13" x14ac:dyDescent="0.55000000000000004">
      <c r="E931" s="143">
        <v>43340</v>
      </c>
      <c r="F931" s="142">
        <v>2897.52</v>
      </c>
      <c r="K931" s="132">
        <v>0</v>
      </c>
      <c r="M931" s="132">
        <v>0</v>
      </c>
    </row>
    <row r="932" spans="5:13" x14ac:dyDescent="0.55000000000000004">
      <c r="E932" s="143">
        <v>43341</v>
      </c>
      <c r="F932" s="142">
        <v>2914.04</v>
      </c>
      <c r="K932" s="132">
        <v>0</v>
      </c>
      <c r="M932" s="132">
        <v>0</v>
      </c>
    </row>
    <row r="933" spans="5:13" x14ac:dyDescent="0.55000000000000004">
      <c r="E933" s="143">
        <v>43342</v>
      </c>
      <c r="F933" s="142">
        <v>2901.13</v>
      </c>
      <c r="K933" s="132">
        <v>-4.4302754938161382E-3</v>
      </c>
      <c r="M933" s="132">
        <v>-4.4302754938161382E-3</v>
      </c>
    </row>
    <row r="934" spans="5:13" x14ac:dyDescent="0.55000000000000004">
      <c r="E934" s="143">
        <v>43343</v>
      </c>
      <c r="F934" s="142">
        <v>2901.52</v>
      </c>
      <c r="K934" s="132">
        <v>-4.296440680292668E-3</v>
      </c>
      <c r="M934" s="132">
        <v>-4.296440680292668E-3</v>
      </c>
    </row>
    <row r="935" spans="5:13" x14ac:dyDescent="0.55000000000000004">
      <c r="E935" s="143">
        <v>43347</v>
      </c>
      <c r="F935" s="142">
        <v>2896.72</v>
      </c>
      <c r="K935" s="132">
        <v>-5.9436383851972918E-3</v>
      </c>
      <c r="M935" s="132">
        <v>-5.9436383851972918E-3</v>
      </c>
    </row>
    <row r="936" spans="5:13" x14ac:dyDescent="0.55000000000000004">
      <c r="E936" s="143">
        <v>43348</v>
      </c>
      <c r="F936" s="142">
        <v>2888.6</v>
      </c>
      <c r="K936" s="132">
        <v>-8.7301478359940177E-3</v>
      </c>
      <c r="M936" s="132">
        <v>-8.7301478359940177E-3</v>
      </c>
    </row>
    <row r="937" spans="5:13" x14ac:dyDescent="0.55000000000000004">
      <c r="E937" s="143">
        <v>43349</v>
      </c>
      <c r="F937" s="142">
        <v>2878.05</v>
      </c>
      <c r="K937" s="132">
        <v>-1.235055112489869E-2</v>
      </c>
      <c r="M937" s="132">
        <v>-1.235055112489869E-2</v>
      </c>
    </row>
    <row r="938" spans="5:13" x14ac:dyDescent="0.55000000000000004">
      <c r="E938" s="143">
        <v>43350</v>
      </c>
      <c r="F938" s="142">
        <v>2871.68</v>
      </c>
      <c r="K938" s="132">
        <v>-1.4536519745782517E-2</v>
      </c>
      <c r="M938" s="132">
        <v>-1.4536519745782517E-2</v>
      </c>
    </row>
    <row r="939" spans="5:13" x14ac:dyDescent="0.55000000000000004">
      <c r="E939" s="143">
        <v>43353</v>
      </c>
      <c r="F939" s="142">
        <v>2877.13</v>
      </c>
      <c r="K939" s="132">
        <v>-1.2666264018338702E-2</v>
      </c>
      <c r="M939" s="132">
        <v>-1.2666264018338702E-2</v>
      </c>
    </row>
    <row r="940" spans="5:13" x14ac:dyDescent="0.55000000000000004">
      <c r="E940" s="143">
        <v>43354</v>
      </c>
      <c r="F940" s="142">
        <v>2887.89</v>
      </c>
      <c r="K940" s="132">
        <v>-8.9737958298444775E-3</v>
      </c>
      <c r="M940" s="132">
        <v>-8.9737958298444775E-3</v>
      </c>
    </row>
    <row r="941" spans="5:13" x14ac:dyDescent="0.55000000000000004">
      <c r="E941" s="143">
        <v>43355</v>
      </c>
      <c r="F941" s="142">
        <v>2888.92</v>
      </c>
      <c r="K941" s="132">
        <v>-8.6203346556670279E-3</v>
      </c>
      <c r="M941" s="132">
        <v>-8.6203346556670279E-3</v>
      </c>
    </row>
    <row r="942" spans="5:13" x14ac:dyDescent="0.55000000000000004">
      <c r="E942" s="143">
        <v>43356</v>
      </c>
      <c r="F942" s="142">
        <v>2904.18</v>
      </c>
      <c r="K942" s="132">
        <v>-3.3836186188247463E-3</v>
      </c>
      <c r="M942" s="132">
        <v>-3.3836186188247463E-3</v>
      </c>
    </row>
    <row r="943" spans="5:13" x14ac:dyDescent="0.55000000000000004">
      <c r="E943" s="143">
        <v>43357</v>
      </c>
      <c r="F943" s="142">
        <v>2904.98</v>
      </c>
      <c r="K943" s="132">
        <v>-3.109085668007272E-3</v>
      </c>
      <c r="M943" s="132">
        <v>-3.109085668007272E-3</v>
      </c>
    </row>
    <row r="944" spans="5:13" x14ac:dyDescent="0.55000000000000004">
      <c r="E944" s="143">
        <v>43360</v>
      </c>
      <c r="F944" s="142">
        <v>2888.8</v>
      </c>
      <c r="K944" s="132">
        <v>-8.6615145982895658E-3</v>
      </c>
      <c r="M944" s="132">
        <v>-8.6615145982895658E-3</v>
      </c>
    </row>
    <row r="945" spans="5:13" x14ac:dyDescent="0.55000000000000004">
      <c r="E945" s="143">
        <v>43361</v>
      </c>
      <c r="F945" s="142">
        <v>2904.31</v>
      </c>
      <c r="K945" s="132">
        <v>-3.339007014316886E-3</v>
      </c>
      <c r="M945" s="132">
        <v>-3.339007014316886E-3</v>
      </c>
    </row>
    <row r="946" spans="5:13" x14ac:dyDescent="0.55000000000000004">
      <c r="E946" s="143">
        <v>43362</v>
      </c>
      <c r="F946" s="142">
        <v>2907.95</v>
      </c>
      <c r="K946" s="132">
        <v>-2.0898820880976832E-3</v>
      </c>
      <c r="M946" s="132">
        <v>-2.0898820880976832E-3</v>
      </c>
    </row>
    <row r="947" spans="5:13" x14ac:dyDescent="0.55000000000000004">
      <c r="E947" s="143">
        <v>43363</v>
      </c>
      <c r="F947" s="142">
        <v>2930.75</v>
      </c>
      <c r="K947" s="132">
        <v>0</v>
      </c>
      <c r="M947" s="132">
        <v>0</v>
      </c>
    </row>
    <row r="948" spans="5:13" x14ac:dyDescent="0.55000000000000004">
      <c r="E948" s="143">
        <v>43364</v>
      </c>
      <c r="F948" s="142">
        <v>2929.67</v>
      </c>
      <c r="K948" s="132">
        <v>-3.6850635502849727E-4</v>
      </c>
      <c r="M948" s="132">
        <v>-3.6850635502849727E-4</v>
      </c>
    </row>
    <row r="949" spans="5:13" x14ac:dyDescent="0.55000000000000004">
      <c r="E949" s="143">
        <v>43367</v>
      </c>
      <c r="F949" s="142">
        <v>2919.37</v>
      </c>
      <c r="K949" s="132">
        <v>-3.8829651113196917E-3</v>
      </c>
      <c r="M949" s="132">
        <v>-3.8829651113196917E-3</v>
      </c>
    </row>
    <row r="950" spans="5:13" x14ac:dyDescent="0.55000000000000004">
      <c r="E950" s="143">
        <v>43368</v>
      </c>
      <c r="F950" s="142">
        <v>2915.56</v>
      </c>
      <c r="K950" s="132">
        <v>-5.1829736415593963E-3</v>
      </c>
      <c r="M950" s="132">
        <v>-5.1829736415593963E-3</v>
      </c>
    </row>
    <row r="951" spans="5:13" x14ac:dyDescent="0.55000000000000004">
      <c r="E951" s="143">
        <v>43369</v>
      </c>
      <c r="F951" s="142">
        <v>2905.97</v>
      </c>
      <c r="K951" s="132">
        <v>-8.4551735903779512E-3</v>
      </c>
      <c r="M951" s="132">
        <v>-8.4551735903779512E-3</v>
      </c>
    </row>
    <row r="952" spans="5:13" x14ac:dyDescent="0.55000000000000004">
      <c r="E952" s="143">
        <v>43370</v>
      </c>
      <c r="F952" s="142">
        <v>2914</v>
      </c>
      <c r="K952" s="132">
        <v>-5.71526059882288E-3</v>
      </c>
      <c r="M952" s="132">
        <v>-5.71526059882288E-3</v>
      </c>
    </row>
    <row r="953" spans="5:13" x14ac:dyDescent="0.55000000000000004">
      <c r="E953" s="143">
        <v>43371</v>
      </c>
      <c r="F953" s="142">
        <v>2913.98</v>
      </c>
      <c r="K953" s="132">
        <v>-5.72208479058256E-3</v>
      </c>
      <c r="M953" s="132">
        <v>-5.72208479058256E-3</v>
      </c>
    </row>
    <row r="954" spans="5:13" x14ac:dyDescent="0.55000000000000004">
      <c r="E954" s="143">
        <v>43374</v>
      </c>
      <c r="F954" s="142">
        <v>2924.59</v>
      </c>
      <c r="K954" s="132">
        <v>-2.1018510620147701E-3</v>
      </c>
      <c r="M954" s="132">
        <v>-2.1018510620147701E-3</v>
      </c>
    </row>
    <row r="955" spans="5:13" x14ac:dyDescent="0.55000000000000004">
      <c r="E955" s="143">
        <v>43375</v>
      </c>
      <c r="F955" s="142">
        <v>2923.43</v>
      </c>
      <c r="K955" s="132">
        <v>-2.4976541840826538E-3</v>
      </c>
      <c r="M955" s="132">
        <v>-2.4976541840826538E-3</v>
      </c>
    </row>
    <row r="956" spans="5:13" x14ac:dyDescent="0.55000000000000004">
      <c r="E956" s="143">
        <v>43376</v>
      </c>
      <c r="F956" s="142">
        <v>2925.51</v>
      </c>
      <c r="K956" s="132">
        <v>-1.7879382410644906E-3</v>
      </c>
      <c r="M956" s="132">
        <v>-1.7879382410644906E-3</v>
      </c>
    </row>
    <row r="957" spans="5:13" x14ac:dyDescent="0.55000000000000004">
      <c r="E957" s="143">
        <v>43377</v>
      </c>
      <c r="F957" s="142">
        <v>2901.61</v>
      </c>
      <c r="K957" s="132">
        <v>-9.9428473940117446E-3</v>
      </c>
      <c r="M957" s="132">
        <v>-9.9428473940117446E-3</v>
      </c>
    </row>
    <row r="958" spans="5:13" x14ac:dyDescent="0.55000000000000004">
      <c r="E958" s="143">
        <v>43378</v>
      </c>
      <c r="F958" s="142">
        <v>2885.57</v>
      </c>
      <c r="K958" s="132">
        <v>-1.5415849185362096E-2</v>
      </c>
      <c r="M958" s="132">
        <v>-1.5415849185362096E-2</v>
      </c>
    </row>
    <row r="959" spans="5:13" x14ac:dyDescent="0.55000000000000004">
      <c r="E959" s="143">
        <v>43381</v>
      </c>
      <c r="F959" s="142">
        <v>2884.43</v>
      </c>
      <c r="K959" s="132">
        <v>-1.5804828115670078E-2</v>
      </c>
      <c r="M959" s="132">
        <v>-1.5804828115670078E-2</v>
      </c>
    </row>
    <row r="960" spans="5:13" x14ac:dyDescent="0.55000000000000004">
      <c r="E960" s="143">
        <v>43382</v>
      </c>
      <c r="F960" s="142">
        <v>2880.34</v>
      </c>
      <c r="K960" s="132">
        <v>-1.7200375330546747E-2</v>
      </c>
      <c r="M960" s="132">
        <v>-1.7200375330546747E-2</v>
      </c>
    </row>
    <row r="961" spans="5:13" x14ac:dyDescent="0.55000000000000004">
      <c r="E961" s="143">
        <v>43383</v>
      </c>
      <c r="F961" s="142">
        <v>2785.68</v>
      </c>
      <c r="K961" s="132">
        <v>-4.9499274929625581E-2</v>
      </c>
      <c r="M961" s="132">
        <v>-4.9499274929625581E-2</v>
      </c>
    </row>
    <row r="962" spans="5:13" x14ac:dyDescent="0.55000000000000004">
      <c r="E962" s="143">
        <v>43384</v>
      </c>
      <c r="F962" s="142">
        <v>2728.37</v>
      </c>
      <c r="K962" s="132">
        <v>-6.9053996417299368E-2</v>
      </c>
      <c r="M962" s="132">
        <v>-6.9053996417299368E-2</v>
      </c>
    </row>
    <row r="963" spans="5:13" x14ac:dyDescent="0.55000000000000004">
      <c r="E963" s="143">
        <v>43385</v>
      </c>
      <c r="F963" s="142">
        <v>2767.13</v>
      </c>
      <c r="K963" s="132">
        <v>-5.5828712786829326E-2</v>
      </c>
      <c r="M963" s="132">
        <v>-5.5828712786829326E-2</v>
      </c>
    </row>
    <row r="964" spans="5:13" x14ac:dyDescent="0.55000000000000004">
      <c r="E964" s="143">
        <v>43388</v>
      </c>
      <c r="F964" s="142">
        <v>2750.79</v>
      </c>
      <c r="K964" s="132">
        <v>-6.1404077454576433E-2</v>
      </c>
      <c r="M964" s="132">
        <v>-6.1404077454576433E-2</v>
      </c>
    </row>
    <row r="965" spans="5:13" x14ac:dyDescent="0.55000000000000004">
      <c r="E965" s="143">
        <v>43389</v>
      </c>
      <c r="F965" s="142">
        <v>2809.92</v>
      </c>
      <c r="K965" s="132">
        <v>-4.1228354516761878E-2</v>
      </c>
      <c r="M965" s="132">
        <v>-4.1228354516761878E-2</v>
      </c>
    </row>
    <row r="966" spans="5:13" x14ac:dyDescent="0.55000000000000004">
      <c r="E966" s="143">
        <v>43390</v>
      </c>
      <c r="F966" s="142">
        <v>2809.21</v>
      </c>
      <c r="K966" s="132">
        <v>-4.1470613324234407E-2</v>
      </c>
      <c r="M966" s="132">
        <v>-4.1470613324234407E-2</v>
      </c>
    </row>
    <row r="967" spans="5:13" x14ac:dyDescent="0.55000000000000004">
      <c r="E967" s="143">
        <v>43391</v>
      </c>
      <c r="F967" s="142">
        <v>2768.78</v>
      </c>
      <c r="K967" s="132">
        <v>-5.5265716966646727E-2</v>
      </c>
      <c r="M967" s="132">
        <v>-5.5265716966646727E-2</v>
      </c>
    </row>
    <row r="968" spans="5:13" x14ac:dyDescent="0.55000000000000004">
      <c r="E968" s="143">
        <v>43392</v>
      </c>
      <c r="F968" s="142">
        <v>2767.78</v>
      </c>
      <c r="K968" s="132">
        <v>-5.5606926554636171E-2</v>
      </c>
      <c r="M968" s="132">
        <v>-5.5606926554636171E-2</v>
      </c>
    </row>
    <row r="969" spans="5:13" x14ac:dyDescent="0.55000000000000004">
      <c r="E969" s="143">
        <v>43395</v>
      </c>
      <c r="F969" s="142">
        <v>2755.88</v>
      </c>
      <c r="K969" s="132">
        <v>-5.9667320651710321E-2</v>
      </c>
      <c r="M969" s="132">
        <v>-5.9667320651710321E-2</v>
      </c>
    </row>
    <row r="970" spans="5:13" x14ac:dyDescent="0.55000000000000004">
      <c r="E970" s="143">
        <v>43396</v>
      </c>
      <c r="F970" s="142">
        <v>2740.69</v>
      </c>
      <c r="K970" s="132">
        <v>-6.4850294293269606E-2</v>
      </c>
      <c r="M970" s="132">
        <v>-6.4850294293269606E-2</v>
      </c>
    </row>
    <row r="971" spans="5:13" x14ac:dyDescent="0.55000000000000004">
      <c r="E971" s="143">
        <v>43397</v>
      </c>
      <c r="F971" s="142">
        <v>2656.1</v>
      </c>
      <c r="K971" s="132">
        <v>-9.3713213341294899E-2</v>
      </c>
      <c r="M971" s="132">
        <v>-9.3713213341294899E-2</v>
      </c>
    </row>
    <row r="972" spans="5:13" x14ac:dyDescent="0.55000000000000004">
      <c r="E972" s="143">
        <v>43398</v>
      </c>
      <c r="F972" s="142">
        <v>2705.57</v>
      </c>
      <c r="K972" s="132">
        <v>-7.6833575023458112E-2</v>
      </c>
      <c r="M972" s="132">
        <v>-7.6833575023458112E-2</v>
      </c>
    </row>
    <row r="973" spans="5:13" x14ac:dyDescent="0.55000000000000004">
      <c r="E973" s="143">
        <v>43399</v>
      </c>
      <c r="F973" s="142">
        <v>2658.69</v>
      </c>
      <c r="K973" s="132">
        <v>-9.2829480508402229E-2</v>
      </c>
      <c r="M973" s="132">
        <v>-9.2829480508402229E-2</v>
      </c>
    </row>
    <row r="974" spans="5:13" x14ac:dyDescent="0.55000000000000004">
      <c r="E974" s="143">
        <v>43402</v>
      </c>
      <c r="F974" s="142">
        <v>2641.25</v>
      </c>
      <c r="K974" s="132">
        <v>-9.8780175722937846E-2</v>
      </c>
      <c r="M974" s="132">
        <v>-9.8780175722937846E-2</v>
      </c>
    </row>
    <row r="975" spans="5:13" x14ac:dyDescent="0.55000000000000004">
      <c r="E975" s="143">
        <v>43403</v>
      </c>
      <c r="F975" s="142">
        <v>2682.63</v>
      </c>
      <c r="K975" s="132">
        <v>-8.4660922971935504E-2</v>
      </c>
      <c r="M975" s="132">
        <v>-8.4660922971935504E-2</v>
      </c>
    </row>
    <row r="976" spans="5:13" x14ac:dyDescent="0.55000000000000004">
      <c r="E976" s="143">
        <v>43404</v>
      </c>
      <c r="F976" s="142">
        <v>2711.74</v>
      </c>
      <c r="K976" s="132">
        <v>-7.4728311865563501E-2</v>
      </c>
      <c r="M976" s="132">
        <v>-7.4728311865563501E-2</v>
      </c>
    </row>
    <row r="977" spans="5:13" x14ac:dyDescent="0.55000000000000004">
      <c r="E977" s="143">
        <v>43405</v>
      </c>
      <c r="F977" s="142">
        <v>2740.37</v>
      </c>
      <c r="K977" s="132">
        <v>-6.4959481361426263E-2</v>
      </c>
      <c r="M977" s="132">
        <v>-6.4959481361426263E-2</v>
      </c>
    </row>
    <row r="978" spans="5:13" x14ac:dyDescent="0.55000000000000004">
      <c r="E978" s="143">
        <v>43406</v>
      </c>
      <c r="F978" s="142">
        <v>2723.06</v>
      </c>
      <c r="K978" s="132">
        <v>-7.0865819329523183E-2</v>
      </c>
      <c r="M978" s="132">
        <v>-7.0865819329523183E-2</v>
      </c>
    </row>
    <row r="979" spans="5:13" x14ac:dyDescent="0.55000000000000004">
      <c r="E979" s="143">
        <v>43409</v>
      </c>
      <c r="F979" s="142">
        <v>2738.31</v>
      </c>
      <c r="K979" s="132">
        <v>-6.5662373112684524E-2</v>
      </c>
      <c r="M979" s="132">
        <v>-6.5662373112684524E-2</v>
      </c>
    </row>
    <row r="980" spans="5:13" x14ac:dyDescent="0.55000000000000004">
      <c r="E980" s="143">
        <v>43410</v>
      </c>
      <c r="F980" s="142">
        <v>2755.45</v>
      </c>
      <c r="K980" s="132">
        <v>-5.9814040774545774E-2</v>
      </c>
      <c r="M980" s="132">
        <v>-5.9814040774545774E-2</v>
      </c>
    </row>
    <row r="981" spans="5:13" x14ac:dyDescent="0.55000000000000004">
      <c r="E981" s="143">
        <v>43411</v>
      </c>
      <c r="F981" s="142">
        <v>2813.89</v>
      </c>
      <c r="K981" s="132">
        <v>-3.9873752452443956E-2</v>
      </c>
      <c r="M981" s="132">
        <v>-3.9873752452443956E-2</v>
      </c>
    </row>
    <row r="982" spans="5:13" x14ac:dyDescent="0.55000000000000004">
      <c r="E982" s="143">
        <v>43412</v>
      </c>
      <c r="F982" s="142">
        <v>2806.83</v>
      </c>
      <c r="K982" s="132">
        <v>-4.2282692143649214E-2</v>
      </c>
      <c r="M982" s="132">
        <v>-4.2282692143649214E-2</v>
      </c>
    </row>
    <row r="983" spans="5:13" x14ac:dyDescent="0.55000000000000004">
      <c r="E983" s="143">
        <v>43413</v>
      </c>
      <c r="F983" s="142">
        <v>2781.01</v>
      </c>
      <c r="K983" s="132">
        <v>-5.1092723705536081E-2</v>
      </c>
      <c r="M983" s="132">
        <v>-5.1092723705536081E-2</v>
      </c>
    </row>
    <row r="984" spans="5:13" x14ac:dyDescent="0.55000000000000004">
      <c r="E984" s="143">
        <v>43416</v>
      </c>
      <c r="F984" s="142">
        <v>2726.22</v>
      </c>
      <c r="K984" s="132">
        <v>-6.9787597031476634E-2</v>
      </c>
      <c r="M984" s="132">
        <v>-6.9787597031476634E-2</v>
      </c>
    </row>
    <row r="985" spans="5:13" x14ac:dyDescent="0.55000000000000004">
      <c r="E985" s="143">
        <v>43417</v>
      </c>
      <c r="F985" s="142">
        <v>2722.18</v>
      </c>
      <c r="K985" s="132">
        <v>-7.116608376695388E-2</v>
      </c>
      <c r="M985" s="132">
        <v>-7.116608376695388E-2</v>
      </c>
    </row>
    <row r="986" spans="5:13" x14ac:dyDescent="0.55000000000000004">
      <c r="E986" s="143">
        <v>43418</v>
      </c>
      <c r="F986" s="142">
        <v>2701.58</v>
      </c>
      <c r="K986" s="132">
        <v>-7.8195001279535936E-2</v>
      </c>
      <c r="M986" s="132">
        <v>-7.8195001279535936E-2</v>
      </c>
    </row>
    <row r="987" spans="5:13" x14ac:dyDescent="0.55000000000000004">
      <c r="E987" s="143">
        <v>43419</v>
      </c>
      <c r="F987" s="142">
        <v>2730.2</v>
      </c>
      <c r="K987" s="132">
        <v>-6.842958287127876E-2</v>
      </c>
      <c r="M987" s="132">
        <v>-6.842958287127876E-2</v>
      </c>
    </row>
    <row r="988" spans="5:13" x14ac:dyDescent="0.55000000000000004">
      <c r="E988" s="143">
        <v>43420</v>
      </c>
      <c r="F988" s="142">
        <v>2736.27</v>
      </c>
      <c r="K988" s="132">
        <v>-6.6358440672182883E-2</v>
      </c>
      <c r="M988" s="132">
        <v>-6.6358440672182883E-2</v>
      </c>
    </row>
    <row r="989" spans="5:13" x14ac:dyDescent="0.55000000000000004">
      <c r="E989" s="143">
        <v>43423</v>
      </c>
      <c r="F989" s="142">
        <v>2690.73</v>
      </c>
      <c r="K989" s="132">
        <v>-8.1897125309221219E-2</v>
      </c>
      <c r="M989" s="132">
        <v>-8.1897125309221219E-2</v>
      </c>
    </row>
    <row r="990" spans="5:13" x14ac:dyDescent="0.55000000000000004">
      <c r="E990" s="143">
        <v>43424</v>
      </c>
      <c r="F990" s="142">
        <v>2641.89</v>
      </c>
      <c r="K990" s="132">
        <v>-9.8561801586624642E-2</v>
      </c>
      <c r="M990" s="132">
        <v>-9.8561801586624642E-2</v>
      </c>
    </row>
    <row r="991" spans="5:13" x14ac:dyDescent="0.55000000000000004">
      <c r="E991" s="143">
        <v>43425</v>
      </c>
      <c r="F991" s="142">
        <v>2649.93</v>
      </c>
      <c r="K991" s="132">
        <v>-9.5818476499189731E-2</v>
      </c>
      <c r="M991" s="132">
        <v>-9.5818476499189731E-2</v>
      </c>
    </row>
    <row r="992" spans="5:13" x14ac:dyDescent="0.55000000000000004">
      <c r="E992" s="143">
        <v>43427</v>
      </c>
      <c r="F992" s="142">
        <v>2632.56</v>
      </c>
      <c r="K992" s="132">
        <v>-0.10174528704256591</v>
      </c>
      <c r="M992" s="132">
        <v>-0.10174528704256591</v>
      </c>
    </row>
    <row r="993" spans="5:13" x14ac:dyDescent="0.55000000000000004">
      <c r="E993" s="143">
        <v>43430</v>
      </c>
      <c r="F993" s="142">
        <v>2673.45</v>
      </c>
      <c r="K993" s="132">
        <v>-8.7793226989678508E-2</v>
      </c>
      <c r="M993" s="132">
        <v>-8.7793226989678508E-2</v>
      </c>
    </row>
    <row r="994" spans="5:13" x14ac:dyDescent="0.55000000000000004">
      <c r="E994" s="143">
        <v>43431</v>
      </c>
      <c r="F994" s="142">
        <v>2682.17</v>
      </c>
      <c r="K994" s="132">
        <v>-8.4817879382410588E-2</v>
      </c>
      <c r="M994" s="132">
        <v>-8.4817879382410588E-2</v>
      </c>
    </row>
    <row r="995" spans="5:13" x14ac:dyDescent="0.55000000000000004">
      <c r="E995" s="143">
        <v>43432</v>
      </c>
      <c r="F995" s="142">
        <v>2743.79</v>
      </c>
      <c r="K995" s="132">
        <v>-6.379254457050243E-2</v>
      </c>
      <c r="M995" s="132">
        <v>-6.379254457050243E-2</v>
      </c>
    </row>
    <row r="996" spans="5:13" x14ac:dyDescent="0.55000000000000004">
      <c r="E996" s="143">
        <v>43433</v>
      </c>
      <c r="F996" s="142">
        <v>2737.76</v>
      </c>
      <c r="K996" s="132">
        <v>-6.5850038386078613E-2</v>
      </c>
      <c r="M996" s="132">
        <v>-6.5850038386078613E-2</v>
      </c>
    </row>
    <row r="997" spans="5:13" x14ac:dyDescent="0.55000000000000004">
      <c r="E997" s="143">
        <v>43434</v>
      </c>
      <c r="F997" s="142">
        <v>2760.17</v>
      </c>
      <c r="K997" s="132">
        <v>-5.820353151923563E-2</v>
      </c>
      <c r="M997" s="132">
        <v>-5.820353151923563E-2</v>
      </c>
    </row>
    <row r="998" spans="5:13" x14ac:dyDescent="0.55000000000000004">
      <c r="E998" s="143">
        <v>43437</v>
      </c>
      <c r="F998" s="142">
        <v>2790.37</v>
      </c>
      <c r="K998" s="132">
        <v>-4.7899001961955179E-2</v>
      </c>
      <c r="M998" s="132">
        <v>-4.7899001961955179E-2</v>
      </c>
    </row>
    <row r="999" spans="5:13" x14ac:dyDescent="0.55000000000000004">
      <c r="E999" s="143">
        <v>43438</v>
      </c>
      <c r="F999" s="142">
        <v>2700.06</v>
      </c>
      <c r="K999" s="132">
        <v>-7.8713639853279949E-2</v>
      </c>
      <c r="M999" s="132">
        <v>-7.8713639853279949E-2</v>
      </c>
    </row>
    <row r="1000" spans="5:13" x14ac:dyDescent="0.55000000000000004">
      <c r="E1000" s="143">
        <v>43440</v>
      </c>
      <c r="F1000" s="142">
        <v>2695.95</v>
      </c>
      <c r="K1000" s="132">
        <v>-8.011601125991652E-2</v>
      </c>
      <c r="M1000" s="132">
        <v>-8.011601125991652E-2</v>
      </c>
    </row>
    <row r="1001" spans="5:13" x14ac:dyDescent="0.55000000000000004">
      <c r="E1001" s="143">
        <v>43441</v>
      </c>
      <c r="F1001" s="142">
        <v>2633.08</v>
      </c>
      <c r="K1001" s="132">
        <v>-0.10156785805681146</v>
      </c>
      <c r="M1001" s="132">
        <v>-0.10156785805681146</v>
      </c>
    </row>
    <row r="1002" spans="5:13" x14ac:dyDescent="0.55000000000000004">
      <c r="E1002" s="143">
        <v>43444</v>
      </c>
      <c r="F1002" s="142">
        <v>2637.72</v>
      </c>
      <c r="K1002" s="132">
        <v>-9.9984645568540587E-2</v>
      </c>
      <c r="M1002" s="132">
        <v>-9.9984645568540587E-2</v>
      </c>
    </row>
    <row r="1003" spans="5:13" x14ac:dyDescent="0.55000000000000004">
      <c r="E1003" s="143">
        <v>43445</v>
      </c>
      <c r="F1003" s="142">
        <v>2636.78</v>
      </c>
      <c r="K1003" s="132">
        <v>-0.10030538258125044</v>
      </c>
      <c r="M1003" s="132">
        <v>-0.10030538258125044</v>
      </c>
    </row>
    <row r="1004" spans="5:13" x14ac:dyDescent="0.55000000000000004">
      <c r="E1004" s="143">
        <v>43446</v>
      </c>
      <c r="F1004" s="142">
        <v>2651.07</v>
      </c>
      <c r="K1004" s="132">
        <v>-9.5429497568881638E-2</v>
      </c>
      <c r="M1004" s="132">
        <v>-9.5429497568881638E-2</v>
      </c>
    </row>
    <row r="1005" spans="5:13" x14ac:dyDescent="0.55000000000000004">
      <c r="E1005" s="143">
        <v>43447</v>
      </c>
      <c r="F1005" s="142">
        <v>2650.54</v>
      </c>
      <c r="K1005" s="132">
        <v>-9.5610338650516047E-2</v>
      </c>
      <c r="M1005" s="132">
        <v>-9.5610338650516047E-2</v>
      </c>
    </row>
    <row r="1006" spans="5:13" x14ac:dyDescent="0.55000000000000004">
      <c r="E1006" s="143">
        <v>43448</v>
      </c>
      <c r="F1006" s="142">
        <v>2599.9499999999998</v>
      </c>
      <c r="K1006" s="132">
        <v>-0.11287213170690102</v>
      </c>
      <c r="M1006" s="132">
        <v>-0.11287213170690102</v>
      </c>
    </row>
    <row r="1007" spans="5:13" x14ac:dyDescent="0.55000000000000004">
      <c r="E1007" s="143">
        <v>43451</v>
      </c>
      <c r="F1007" s="142">
        <v>2545.94</v>
      </c>
      <c r="K1007" s="132">
        <v>-0.13130086155420961</v>
      </c>
      <c r="M1007" s="132">
        <v>-0.13130086155420961</v>
      </c>
    </row>
    <row r="1008" spans="5:13" x14ac:dyDescent="0.55000000000000004">
      <c r="E1008" s="143">
        <v>43452</v>
      </c>
      <c r="F1008" s="142">
        <v>2546.16</v>
      </c>
      <c r="K1008" s="132">
        <v>-0.13122579544485202</v>
      </c>
      <c r="M1008" s="132">
        <v>-0.13122579544485202</v>
      </c>
    </row>
    <row r="1009" spans="5:13" x14ac:dyDescent="0.55000000000000004">
      <c r="E1009" s="143">
        <v>43453</v>
      </c>
      <c r="F1009" s="142">
        <v>2506.96</v>
      </c>
      <c r="K1009" s="132">
        <v>-0.14460121129403736</v>
      </c>
      <c r="M1009" s="132">
        <v>-0.14460121129403736</v>
      </c>
    </row>
    <row r="1010" spans="5:13" x14ac:dyDescent="0.55000000000000004">
      <c r="E1010" s="143">
        <v>43454</v>
      </c>
      <c r="F1010" s="142">
        <v>2467.42</v>
      </c>
      <c r="K1010" s="132">
        <v>-0.15809263840313914</v>
      </c>
      <c r="M1010" s="132">
        <v>-0.15809263840313914</v>
      </c>
    </row>
    <row r="1011" spans="5:13" x14ac:dyDescent="0.55000000000000004">
      <c r="E1011" s="143">
        <v>43455</v>
      </c>
      <c r="F1011" s="142">
        <v>2416.62</v>
      </c>
      <c r="K1011" s="132">
        <v>-0.17542608547300187</v>
      </c>
      <c r="M1011" s="132">
        <v>-0.17542608547300187</v>
      </c>
    </row>
    <row r="1012" spans="5:13" x14ac:dyDescent="0.55000000000000004">
      <c r="E1012" s="143">
        <v>43458</v>
      </c>
      <c r="F1012" s="142">
        <v>2351.1</v>
      </c>
      <c r="K1012" s="132">
        <v>-0.19778213767806874</v>
      </c>
      <c r="M1012" s="132">
        <v>-0.19778213767806874</v>
      </c>
    </row>
    <row r="1013" spans="5:13" x14ac:dyDescent="0.55000000000000004">
      <c r="E1013" s="143">
        <v>43460</v>
      </c>
      <c r="F1013" s="142">
        <v>2467.6999999999998</v>
      </c>
      <c r="K1013" s="132">
        <v>-0.15799709971850218</v>
      </c>
      <c r="M1013" s="132">
        <v>-0.15799709971850218</v>
      </c>
    </row>
    <row r="1014" spans="5:13" x14ac:dyDescent="0.55000000000000004">
      <c r="E1014" s="143">
        <v>43461</v>
      </c>
      <c r="F1014" s="142">
        <v>2488.83</v>
      </c>
      <c r="K1014" s="132">
        <v>-0.1507873411242856</v>
      </c>
      <c r="M1014" s="132">
        <v>-0.1507873411242856</v>
      </c>
    </row>
    <row r="1015" spans="5:13" x14ac:dyDescent="0.55000000000000004">
      <c r="E1015" s="143">
        <v>43462</v>
      </c>
      <c r="F1015" s="142">
        <v>2485.7399999999998</v>
      </c>
      <c r="K1015" s="132">
        <v>-0.15184167875117294</v>
      </c>
      <c r="M1015" s="132">
        <v>-0.15184167875117294</v>
      </c>
    </row>
    <row r="1016" spans="5:13" x14ac:dyDescent="0.55000000000000004">
      <c r="E1016" s="143">
        <v>43465</v>
      </c>
      <c r="F1016" s="142">
        <v>2506.85</v>
      </c>
      <c r="K1016" s="132">
        <v>-0.14463874434871626</v>
      </c>
      <c r="M1016" s="132">
        <v>-0.14463874434871626</v>
      </c>
    </row>
    <row r="1017" spans="5:13" x14ac:dyDescent="0.55000000000000004">
      <c r="E1017" s="143">
        <v>43467</v>
      </c>
      <c r="F1017" s="142">
        <v>2510.0300000000002</v>
      </c>
      <c r="K1017" s="132">
        <v>-0.14355369785890981</v>
      </c>
      <c r="M1017" s="132">
        <v>-0.14355369785890981</v>
      </c>
    </row>
    <row r="1018" spans="5:13" x14ac:dyDescent="0.55000000000000004">
      <c r="E1018" s="143">
        <v>43468</v>
      </c>
      <c r="F1018" s="142">
        <v>2447.89</v>
      </c>
      <c r="K1018" s="132">
        <v>-0.16475646165657254</v>
      </c>
      <c r="M1018" s="132">
        <v>-0.16475646165657254</v>
      </c>
    </row>
    <row r="1019" spans="5:13" x14ac:dyDescent="0.55000000000000004">
      <c r="E1019" s="143">
        <v>43469</v>
      </c>
      <c r="F1019" s="142">
        <v>2531.94</v>
      </c>
      <c r="K1019" s="132">
        <v>-0.13607779578606161</v>
      </c>
      <c r="M1019" s="132">
        <v>-0.13607779578606161</v>
      </c>
    </row>
    <row r="1020" spans="5:13" x14ac:dyDescent="0.55000000000000004">
      <c r="E1020" s="143">
        <v>43472</v>
      </c>
      <c r="F1020" s="142">
        <v>2549.69</v>
      </c>
      <c r="K1020" s="132">
        <v>-0.13002132559924928</v>
      </c>
      <c r="M1020" s="132">
        <v>-0.13002132559924928</v>
      </c>
    </row>
    <row r="1021" spans="5:13" x14ac:dyDescent="0.55000000000000004">
      <c r="E1021" s="143">
        <v>43473</v>
      </c>
      <c r="F1021" s="142">
        <v>2574.41</v>
      </c>
      <c r="K1021" s="132">
        <v>-0.12158662458415082</v>
      </c>
      <c r="M1021" s="132">
        <v>-0.12158662458415082</v>
      </c>
    </row>
    <row r="1022" spans="5:13" x14ac:dyDescent="0.55000000000000004">
      <c r="E1022" s="143">
        <v>43474</v>
      </c>
      <c r="F1022" s="142">
        <v>2584.96</v>
      </c>
      <c r="K1022" s="132">
        <v>-0.1179868634308624</v>
      </c>
      <c r="M1022" s="132">
        <v>-0.1179868634308624</v>
      </c>
    </row>
    <row r="1023" spans="5:13" x14ac:dyDescent="0.55000000000000004">
      <c r="E1023" s="143">
        <v>43475</v>
      </c>
      <c r="F1023" s="142">
        <v>2596.64</v>
      </c>
      <c r="K1023" s="132">
        <v>-0.11400153544314595</v>
      </c>
      <c r="M1023" s="132">
        <v>-0.11400153544314595</v>
      </c>
    </row>
    <row r="1024" spans="5:13" x14ac:dyDescent="0.55000000000000004">
      <c r="E1024" s="143">
        <v>43476</v>
      </c>
      <c r="F1024" s="142">
        <v>2596.2600000000002</v>
      </c>
      <c r="K1024" s="132">
        <v>-0.11413119508658187</v>
      </c>
      <c r="M1024" s="132">
        <v>-0.11413119508658187</v>
      </c>
    </row>
    <row r="1025" spans="5:13" x14ac:dyDescent="0.55000000000000004">
      <c r="E1025" s="143">
        <v>43479</v>
      </c>
      <c r="F1025" s="142">
        <v>2582.61</v>
      </c>
      <c r="K1025" s="132">
        <v>-0.11878870596263746</v>
      </c>
      <c r="M1025" s="132">
        <v>-0.11878870596263746</v>
      </c>
    </row>
    <row r="1026" spans="5:13" x14ac:dyDescent="0.55000000000000004">
      <c r="E1026" s="143">
        <v>43480</v>
      </c>
      <c r="F1026" s="142">
        <v>2610.3000000000002</v>
      </c>
      <c r="K1026" s="132">
        <v>-0.10934061247121041</v>
      </c>
      <c r="M1026" s="132">
        <v>-0.10934061247121041</v>
      </c>
    </row>
    <row r="1027" spans="5:13" x14ac:dyDescent="0.55000000000000004">
      <c r="E1027" s="143">
        <v>43481</v>
      </c>
      <c r="F1027" s="142">
        <v>2616.1</v>
      </c>
      <c r="K1027" s="132">
        <v>-0.10736159686087177</v>
      </c>
      <c r="M1027" s="132">
        <v>-0.10736159686087177</v>
      </c>
    </row>
    <row r="1028" spans="5:13" x14ac:dyDescent="0.55000000000000004">
      <c r="E1028" s="143">
        <v>43482</v>
      </c>
      <c r="F1028" s="142">
        <v>2635.96</v>
      </c>
      <c r="K1028" s="132">
        <v>-0.10058517444340187</v>
      </c>
      <c r="M1028" s="132">
        <v>-0.10058517444340187</v>
      </c>
    </row>
    <row r="1029" spans="5:13" x14ac:dyDescent="0.55000000000000004">
      <c r="E1029" s="143">
        <v>43483</v>
      </c>
      <c r="F1029" s="142">
        <v>2670.71</v>
      </c>
      <c r="K1029" s="132">
        <v>-8.8728141260769444E-2</v>
      </c>
      <c r="M1029" s="132">
        <v>-8.8728141260769444E-2</v>
      </c>
    </row>
    <row r="1030" spans="5:13" x14ac:dyDescent="0.55000000000000004">
      <c r="E1030" s="143">
        <v>43487</v>
      </c>
      <c r="F1030" s="142">
        <v>2632.9</v>
      </c>
      <c r="K1030" s="132">
        <v>-0.10162927578264946</v>
      </c>
      <c r="M1030" s="132">
        <v>-0.10162927578264946</v>
      </c>
    </row>
    <row r="1031" spans="5:13" x14ac:dyDescent="0.55000000000000004">
      <c r="E1031" s="143">
        <v>43488</v>
      </c>
      <c r="F1031" s="142">
        <v>2638.7</v>
      </c>
      <c r="K1031" s="132">
        <v>-9.9650260172310934E-2</v>
      </c>
      <c r="M1031" s="132">
        <v>-9.9650260172310934E-2</v>
      </c>
    </row>
    <row r="1032" spans="5:13" x14ac:dyDescent="0.55000000000000004">
      <c r="E1032" s="143">
        <v>43489</v>
      </c>
      <c r="F1032" s="142">
        <v>2642.33</v>
      </c>
      <c r="K1032" s="132">
        <v>-9.8411669367909238E-2</v>
      </c>
      <c r="M1032" s="132">
        <v>-9.8411669367909238E-2</v>
      </c>
    </row>
    <row r="1033" spans="5:13" x14ac:dyDescent="0.55000000000000004">
      <c r="E1033" s="143">
        <v>43490</v>
      </c>
      <c r="F1033" s="142">
        <v>2664.76</v>
      </c>
      <c r="K1033" s="132">
        <v>-9.0758338309306463E-2</v>
      </c>
      <c r="M1033" s="132">
        <v>-9.0758338309306463E-2</v>
      </c>
    </row>
    <row r="1034" spans="5:13" x14ac:dyDescent="0.55000000000000004">
      <c r="E1034" s="143">
        <v>43493</v>
      </c>
      <c r="F1034" s="142">
        <v>2643.85</v>
      </c>
      <c r="K1034" s="132">
        <v>-9.7893030794165337E-2</v>
      </c>
      <c r="M1034" s="132">
        <v>-9.7893030794165337E-2</v>
      </c>
    </row>
    <row r="1035" spans="5:13" x14ac:dyDescent="0.55000000000000004">
      <c r="E1035" s="143">
        <v>43494</v>
      </c>
      <c r="F1035" s="142">
        <v>2640</v>
      </c>
      <c r="K1035" s="132">
        <v>-9.9206687707924623E-2</v>
      </c>
      <c r="M1035" s="132">
        <v>-9.9206687707924623E-2</v>
      </c>
    </row>
    <row r="1036" spans="5:13" x14ac:dyDescent="0.55000000000000004">
      <c r="E1036" s="143">
        <v>43495</v>
      </c>
      <c r="F1036" s="142">
        <v>2681.05</v>
      </c>
      <c r="K1036" s="132">
        <v>-8.5200034120958779E-2</v>
      </c>
      <c r="M1036" s="132">
        <v>-8.5200034120958779E-2</v>
      </c>
    </row>
    <row r="1037" spans="5:13" x14ac:dyDescent="0.55000000000000004">
      <c r="E1037" s="143">
        <v>43496</v>
      </c>
      <c r="F1037" s="142">
        <v>2704.1</v>
      </c>
      <c r="K1037" s="132">
        <v>-7.7335153117802591E-2</v>
      </c>
      <c r="M1037" s="132">
        <v>-7.7335153117802591E-2</v>
      </c>
    </row>
    <row r="1038" spans="5:13" x14ac:dyDescent="0.55000000000000004">
      <c r="E1038" s="143">
        <v>43497</v>
      </c>
      <c r="F1038" s="142">
        <v>2706.53</v>
      </c>
      <c r="K1038" s="132">
        <v>-7.650601381898825E-2</v>
      </c>
      <c r="M1038" s="132">
        <v>-7.650601381898825E-2</v>
      </c>
    </row>
    <row r="1039" spans="5:13" x14ac:dyDescent="0.55000000000000004">
      <c r="E1039" s="143">
        <v>43500</v>
      </c>
      <c r="F1039" s="142">
        <v>2724.87</v>
      </c>
      <c r="K1039" s="132">
        <v>-7.0248229975262366E-2</v>
      </c>
      <c r="M1039" s="132">
        <v>-7.0248229975262366E-2</v>
      </c>
    </row>
    <row r="1040" spans="5:13" x14ac:dyDescent="0.55000000000000004">
      <c r="E1040" s="143">
        <v>43501</v>
      </c>
      <c r="F1040" s="142">
        <v>2737.7</v>
      </c>
      <c r="K1040" s="132">
        <v>-6.5870510961358097E-2</v>
      </c>
      <c r="M1040" s="132">
        <v>-6.5870510961358097E-2</v>
      </c>
    </row>
    <row r="1041" spans="5:13" x14ac:dyDescent="0.55000000000000004">
      <c r="E1041" s="143">
        <v>43502</v>
      </c>
      <c r="F1041" s="142">
        <v>2731.61</v>
      </c>
      <c r="K1041" s="132">
        <v>-6.7948477352213543E-2</v>
      </c>
      <c r="M1041" s="132">
        <v>-6.7948477352213543E-2</v>
      </c>
    </row>
    <row r="1042" spans="5:13" x14ac:dyDescent="0.55000000000000004">
      <c r="E1042" s="143">
        <v>43503</v>
      </c>
      <c r="F1042" s="142">
        <v>2706.05</v>
      </c>
      <c r="K1042" s="132">
        <v>-7.6669794421223125E-2</v>
      </c>
      <c r="M1042" s="132">
        <v>-7.6669794421223125E-2</v>
      </c>
    </row>
    <row r="1043" spans="5:13" x14ac:dyDescent="0.55000000000000004">
      <c r="E1043" s="143">
        <v>43504</v>
      </c>
      <c r="F1043" s="142">
        <v>2707.88</v>
      </c>
      <c r="K1043" s="132">
        <v>-7.6045380875202517E-2</v>
      </c>
      <c r="M1043" s="132">
        <v>-7.6045380875202517E-2</v>
      </c>
    </row>
    <row r="1044" spans="5:13" x14ac:dyDescent="0.55000000000000004">
      <c r="E1044" s="143">
        <v>43507</v>
      </c>
      <c r="F1044" s="142">
        <v>2709.8</v>
      </c>
      <c r="K1044" s="132">
        <v>-7.5390258466262794E-2</v>
      </c>
      <c r="M1044" s="132">
        <v>-7.5390258466262794E-2</v>
      </c>
    </row>
    <row r="1045" spans="5:13" x14ac:dyDescent="0.55000000000000004">
      <c r="E1045" s="143">
        <v>43508</v>
      </c>
      <c r="F1045" s="142">
        <v>2744.73</v>
      </c>
      <c r="K1045" s="132">
        <v>-6.3471807557792359E-2</v>
      </c>
      <c r="M1045" s="132">
        <v>-6.3471807557792359E-2</v>
      </c>
    </row>
    <row r="1046" spans="5:13" x14ac:dyDescent="0.55000000000000004">
      <c r="E1046" s="143">
        <v>43509</v>
      </c>
      <c r="F1046" s="142">
        <v>2753.03</v>
      </c>
      <c r="K1046" s="132">
        <v>-6.0639767977480052E-2</v>
      </c>
      <c r="M1046" s="132">
        <v>-6.0639767977480052E-2</v>
      </c>
    </row>
    <row r="1047" spans="5:13" x14ac:dyDescent="0.55000000000000004">
      <c r="E1047" s="143">
        <v>43510</v>
      </c>
      <c r="F1047" s="142">
        <v>2745.73</v>
      </c>
      <c r="K1047" s="132">
        <v>-6.3130597969802915E-2</v>
      </c>
      <c r="M1047" s="132">
        <v>-6.3130597969802915E-2</v>
      </c>
    </row>
    <row r="1048" spans="5:13" x14ac:dyDescent="0.55000000000000004">
      <c r="E1048" s="143">
        <v>43511</v>
      </c>
      <c r="F1048" s="142">
        <v>2775.6</v>
      </c>
      <c r="K1048" s="132">
        <v>-5.2938667576558962E-2</v>
      </c>
      <c r="M1048" s="132">
        <v>-5.2938667576558962E-2</v>
      </c>
    </row>
    <row r="1049" spans="5:13" x14ac:dyDescent="0.55000000000000004">
      <c r="E1049" s="143">
        <v>43515</v>
      </c>
      <c r="F1049" s="142">
        <v>2779.76</v>
      </c>
      <c r="K1049" s="132">
        <v>-5.1519235690522858E-2</v>
      </c>
      <c r="M1049" s="132">
        <v>-5.1519235690522858E-2</v>
      </c>
    </row>
    <row r="1050" spans="5:13" x14ac:dyDescent="0.55000000000000004">
      <c r="E1050" s="143">
        <v>43516</v>
      </c>
      <c r="F1050" s="142">
        <v>2784.7</v>
      </c>
      <c r="K1050" s="132">
        <v>-4.9833660325855234E-2</v>
      </c>
      <c r="M1050" s="132">
        <v>-4.9833660325855234E-2</v>
      </c>
    </row>
    <row r="1051" spans="5:13" x14ac:dyDescent="0.55000000000000004">
      <c r="E1051" s="143">
        <v>43517</v>
      </c>
      <c r="F1051" s="142">
        <v>2774.88</v>
      </c>
      <c r="K1051" s="132">
        <v>-5.318433847991122E-2</v>
      </c>
      <c r="M1051" s="132">
        <v>-5.318433847991122E-2</v>
      </c>
    </row>
    <row r="1052" spans="5:13" x14ac:dyDescent="0.55000000000000004">
      <c r="E1052" s="143">
        <v>43518</v>
      </c>
      <c r="F1052" s="142">
        <v>2792.67</v>
      </c>
      <c r="K1052" s="132">
        <v>-4.7114219909579425E-2</v>
      </c>
      <c r="M1052" s="132">
        <v>-4.7114219909579425E-2</v>
      </c>
    </row>
    <row r="1053" spans="5:13" x14ac:dyDescent="0.55000000000000004">
      <c r="E1053" s="143">
        <v>43521</v>
      </c>
      <c r="F1053" s="142">
        <v>2796.11</v>
      </c>
      <c r="K1053" s="132">
        <v>-4.59404589268958E-2</v>
      </c>
      <c r="M1053" s="132">
        <v>-4.59404589268958E-2</v>
      </c>
    </row>
    <row r="1054" spans="5:13" x14ac:dyDescent="0.55000000000000004">
      <c r="E1054" s="143">
        <v>43522</v>
      </c>
      <c r="F1054" s="142">
        <v>2793.9</v>
      </c>
      <c r="K1054" s="132">
        <v>-4.6694532116352438E-2</v>
      </c>
      <c r="M1054" s="132">
        <v>-4.6694532116352438E-2</v>
      </c>
    </row>
    <row r="1055" spans="5:13" x14ac:dyDescent="0.55000000000000004">
      <c r="E1055" s="143">
        <v>43523</v>
      </c>
      <c r="F1055" s="142">
        <v>2792.38</v>
      </c>
      <c r="K1055" s="132">
        <v>-4.721317069009634E-2</v>
      </c>
      <c r="M1055" s="132">
        <v>-4.721317069009634E-2</v>
      </c>
    </row>
    <row r="1056" spans="5:13" x14ac:dyDescent="0.55000000000000004">
      <c r="E1056" s="143">
        <v>43524</v>
      </c>
      <c r="F1056" s="142">
        <v>2784.49</v>
      </c>
      <c r="K1056" s="132">
        <v>-4.9905314339332985E-2</v>
      </c>
      <c r="M1056" s="132">
        <v>-4.9905314339332985E-2</v>
      </c>
    </row>
    <row r="1057" spans="5:13" x14ac:dyDescent="0.55000000000000004">
      <c r="E1057" s="143">
        <v>43525</v>
      </c>
      <c r="F1057" s="142">
        <v>2803.69</v>
      </c>
      <c r="K1057" s="132">
        <v>-4.3354090249935973E-2</v>
      </c>
      <c r="M1057" s="132">
        <v>-4.3354090249935973E-2</v>
      </c>
    </row>
    <row r="1058" spans="5:13" x14ac:dyDescent="0.55000000000000004">
      <c r="E1058" s="143">
        <v>43528</v>
      </c>
      <c r="F1058" s="142">
        <v>2792.81</v>
      </c>
      <c r="K1058" s="132">
        <v>-4.7066450567260998E-2</v>
      </c>
      <c r="M1058" s="132">
        <v>-4.7066450567260998E-2</v>
      </c>
    </row>
    <row r="1059" spans="5:13" x14ac:dyDescent="0.55000000000000004">
      <c r="E1059" s="143">
        <v>43529</v>
      </c>
      <c r="F1059" s="142">
        <v>2789.65</v>
      </c>
      <c r="K1059" s="132">
        <v>-4.8144672865307436E-2</v>
      </c>
      <c r="M1059" s="132">
        <v>-4.8144672865307436E-2</v>
      </c>
    </row>
    <row r="1060" spans="5:13" x14ac:dyDescent="0.55000000000000004">
      <c r="E1060" s="143">
        <v>43530</v>
      </c>
      <c r="F1060" s="142">
        <v>2771.45</v>
      </c>
      <c r="K1060" s="132">
        <v>-5.4354687366715115E-2</v>
      </c>
      <c r="M1060" s="132">
        <v>-5.4354687366715115E-2</v>
      </c>
    </row>
    <row r="1061" spans="5:13" x14ac:dyDescent="0.55000000000000004">
      <c r="E1061" s="143">
        <v>43531</v>
      </c>
      <c r="F1061" s="142">
        <v>2748.93</v>
      </c>
      <c r="K1061" s="132">
        <v>-6.2038727288236895E-2</v>
      </c>
      <c r="M1061" s="132">
        <v>-6.2038727288236895E-2</v>
      </c>
    </row>
    <row r="1062" spans="5:13" x14ac:dyDescent="0.55000000000000004">
      <c r="E1062" s="143">
        <v>43532</v>
      </c>
      <c r="F1062" s="142">
        <v>2743.07</v>
      </c>
      <c r="K1062" s="132">
        <v>-6.4038215473854798E-2</v>
      </c>
      <c r="M1062" s="132">
        <v>-6.4038215473854798E-2</v>
      </c>
    </row>
    <row r="1063" spans="5:13" x14ac:dyDescent="0.55000000000000004">
      <c r="E1063" s="143">
        <v>43535</v>
      </c>
      <c r="F1063" s="142">
        <v>2783.3</v>
      </c>
      <c r="K1063" s="132">
        <v>-5.0311353749040277E-2</v>
      </c>
      <c r="M1063" s="132">
        <v>-5.0311353749040277E-2</v>
      </c>
    </row>
    <row r="1064" spans="5:13" x14ac:dyDescent="0.55000000000000004">
      <c r="E1064" s="143">
        <v>43536</v>
      </c>
      <c r="F1064" s="142">
        <v>2791.52</v>
      </c>
      <c r="K1064" s="132">
        <v>-4.7506610935767246E-2</v>
      </c>
      <c r="M1064" s="132">
        <v>-4.7506610935767246E-2</v>
      </c>
    </row>
    <row r="1065" spans="5:13" x14ac:dyDescent="0.55000000000000004">
      <c r="E1065" s="143">
        <v>43537</v>
      </c>
      <c r="F1065" s="142">
        <v>2810.92</v>
      </c>
      <c r="K1065" s="132">
        <v>-4.0887144928772434E-2</v>
      </c>
      <c r="M1065" s="132">
        <v>-4.0887144928772434E-2</v>
      </c>
    </row>
    <row r="1066" spans="5:13" x14ac:dyDescent="0.55000000000000004">
      <c r="E1066" s="143">
        <v>43538</v>
      </c>
      <c r="F1066" s="142">
        <v>2808.48</v>
      </c>
      <c r="K1066" s="132">
        <v>-4.1719696323466726E-2</v>
      </c>
      <c r="M1066" s="132">
        <v>-4.1719696323466726E-2</v>
      </c>
    </row>
    <row r="1067" spans="5:13" x14ac:dyDescent="0.55000000000000004">
      <c r="E1067" s="143">
        <v>43539</v>
      </c>
      <c r="F1067" s="142">
        <v>2822.48</v>
      </c>
      <c r="K1067" s="132">
        <v>-3.6942762091614734E-2</v>
      </c>
      <c r="M1067" s="132">
        <v>-3.6942762091614734E-2</v>
      </c>
    </row>
    <row r="1068" spans="5:13" x14ac:dyDescent="0.55000000000000004">
      <c r="E1068" s="143">
        <v>43542</v>
      </c>
      <c r="F1068" s="142">
        <v>2832.94</v>
      </c>
      <c r="K1068" s="132">
        <v>-3.3373709801245433E-2</v>
      </c>
      <c r="M1068" s="132">
        <v>-3.3373709801245433E-2</v>
      </c>
    </row>
    <row r="1069" spans="5:13" x14ac:dyDescent="0.55000000000000004">
      <c r="E1069" s="143">
        <v>43543</v>
      </c>
      <c r="F1069" s="142">
        <v>2832.57</v>
      </c>
      <c r="K1069" s="132">
        <v>-3.3499957348801401E-2</v>
      </c>
      <c r="M1069" s="132">
        <v>-3.3499957348801401E-2</v>
      </c>
    </row>
    <row r="1070" spans="5:13" x14ac:dyDescent="0.55000000000000004">
      <c r="E1070" s="143">
        <v>43544</v>
      </c>
      <c r="F1070" s="142">
        <v>2824.23</v>
      </c>
      <c r="K1070" s="132">
        <v>-3.634564531263329E-2</v>
      </c>
      <c r="M1070" s="132">
        <v>-3.634564531263329E-2</v>
      </c>
    </row>
    <row r="1071" spans="5:13" x14ac:dyDescent="0.55000000000000004">
      <c r="E1071" s="143">
        <v>43545</v>
      </c>
      <c r="F1071" s="142">
        <v>2854.88</v>
      </c>
      <c r="K1071" s="132">
        <v>-2.5887571440757484E-2</v>
      </c>
      <c r="M1071" s="132">
        <v>-2.5887571440757484E-2</v>
      </c>
    </row>
    <row r="1072" spans="5:13" x14ac:dyDescent="0.55000000000000004">
      <c r="E1072" s="143">
        <v>43546</v>
      </c>
      <c r="F1072" s="142">
        <v>2800.71</v>
      </c>
      <c r="K1072" s="132">
        <v>-4.4370894822144513E-2</v>
      </c>
      <c r="M1072" s="132">
        <v>-4.4370894822144513E-2</v>
      </c>
    </row>
    <row r="1073" spans="5:13" x14ac:dyDescent="0.55000000000000004">
      <c r="E1073" s="143">
        <v>43549</v>
      </c>
      <c r="F1073" s="142">
        <v>2798.36</v>
      </c>
      <c r="K1073" s="132">
        <v>-4.5172737353919579E-2</v>
      </c>
      <c r="M1073" s="132">
        <v>-4.5172737353919579E-2</v>
      </c>
    </row>
    <row r="1074" spans="5:13" x14ac:dyDescent="0.55000000000000004">
      <c r="E1074" s="143">
        <v>43550</v>
      </c>
      <c r="F1074" s="142">
        <v>2818.46</v>
      </c>
      <c r="K1074" s="132">
        <v>-3.8314424635332189E-2</v>
      </c>
      <c r="M1074" s="132">
        <v>-3.8314424635332189E-2</v>
      </c>
    </row>
    <row r="1075" spans="5:13" x14ac:dyDescent="0.55000000000000004">
      <c r="E1075" s="143">
        <v>43551</v>
      </c>
      <c r="F1075" s="142">
        <v>2805.37</v>
      </c>
      <c r="K1075" s="132">
        <v>-4.2780858142113853E-2</v>
      </c>
      <c r="M1075" s="132">
        <v>-4.2780858142113853E-2</v>
      </c>
    </row>
    <row r="1076" spans="5:13" x14ac:dyDescent="0.55000000000000004">
      <c r="E1076" s="143">
        <v>43552</v>
      </c>
      <c r="F1076" s="142">
        <v>2815.44</v>
      </c>
      <c r="K1076" s="132">
        <v>-3.9344877591060312E-2</v>
      </c>
      <c r="M1076" s="132">
        <v>-3.9344877591060312E-2</v>
      </c>
    </row>
    <row r="1077" spans="5:13" x14ac:dyDescent="0.55000000000000004">
      <c r="E1077" s="143">
        <v>43553</v>
      </c>
      <c r="F1077" s="142">
        <v>2834.4</v>
      </c>
      <c r="K1077" s="132">
        <v>-3.2875543802780793E-2</v>
      </c>
      <c r="M1077" s="132">
        <v>-3.2875543802780793E-2</v>
      </c>
    </row>
    <row r="1078" spans="5:13" x14ac:dyDescent="0.55000000000000004">
      <c r="E1078" s="143">
        <v>43556</v>
      </c>
      <c r="F1078" s="142">
        <v>2867.19</v>
      </c>
      <c r="K1078" s="132">
        <v>-2.1687281412607673E-2</v>
      </c>
      <c r="M1078" s="132">
        <v>-2.1687281412607673E-2</v>
      </c>
    </row>
    <row r="1079" spans="5:13" x14ac:dyDescent="0.55000000000000004">
      <c r="E1079" s="143">
        <v>43557</v>
      </c>
      <c r="F1079" s="142">
        <v>2867.24</v>
      </c>
      <c r="K1079" s="132">
        <v>-2.1670220933208251E-2</v>
      </c>
      <c r="M1079" s="132">
        <v>-2.1670220933208251E-2</v>
      </c>
    </row>
    <row r="1080" spans="5:13" x14ac:dyDescent="0.55000000000000004">
      <c r="E1080" s="143">
        <v>43558</v>
      </c>
      <c r="F1080" s="142">
        <v>2873.4</v>
      </c>
      <c r="K1080" s="132">
        <v>-1.956836987119337E-2</v>
      </c>
      <c r="M1080" s="132">
        <v>-1.956836987119337E-2</v>
      </c>
    </row>
    <row r="1081" spans="5:13" x14ac:dyDescent="0.55000000000000004">
      <c r="E1081" s="143">
        <v>43559</v>
      </c>
      <c r="F1081" s="142">
        <v>2879.39</v>
      </c>
      <c r="K1081" s="132">
        <v>-1.7524524439136768E-2</v>
      </c>
      <c r="M1081" s="132">
        <v>-1.7524524439136768E-2</v>
      </c>
    </row>
    <row r="1082" spans="5:13" x14ac:dyDescent="0.55000000000000004">
      <c r="E1082" s="143">
        <v>43560</v>
      </c>
      <c r="F1082" s="142">
        <v>2892.74</v>
      </c>
      <c r="K1082" s="132">
        <v>-1.2969376439478042E-2</v>
      </c>
      <c r="M1082" s="132">
        <v>-1.2969376439478042E-2</v>
      </c>
    </row>
    <row r="1083" spans="5:13" x14ac:dyDescent="0.55000000000000004">
      <c r="E1083" s="143">
        <v>43563</v>
      </c>
      <c r="F1083" s="142">
        <v>2895.77</v>
      </c>
      <c r="K1083" s="132">
        <v>-1.1935511387869968E-2</v>
      </c>
      <c r="M1083" s="132">
        <v>-1.1935511387869968E-2</v>
      </c>
    </row>
    <row r="1084" spans="5:13" x14ac:dyDescent="0.55000000000000004">
      <c r="E1084" s="143">
        <v>43564</v>
      </c>
      <c r="F1084" s="142">
        <v>2878.2</v>
      </c>
      <c r="K1084" s="132">
        <v>-1.7930563848844172E-2</v>
      </c>
      <c r="M1084" s="132">
        <v>-1.7930563848844172E-2</v>
      </c>
    </row>
    <row r="1085" spans="5:13" x14ac:dyDescent="0.55000000000000004">
      <c r="E1085" s="143">
        <v>43565</v>
      </c>
      <c r="F1085" s="142">
        <v>2888.21</v>
      </c>
      <c r="K1085" s="132">
        <v>-1.4515055873070004E-2</v>
      </c>
      <c r="M1085" s="132">
        <v>-1.4515055873070004E-2</v>
      </c>
    </row>
    <row r="1086" spans="5:13" x14ac:dyDescent="0.55000000000000004">
      <c r="E1086" s="143">
        <v>43566</v>
      </c>
      <c r="F1086" s="142">
        <v>2888.32</v>
      </c>
      <c r="K1086" s="132">
        <v>-1.4477522818391098E-2</v>
      </c>
      <c r="M1086" s="132">
        <v>-1.4477522818391098E-2</v>
      </c>
    </row>
    <row r="1087" spans="5:13" x14ac:dyDescent="0.55000000000000004">
      <c r="E1087" s="143">
        <v>43567</v>
      </c>
      <c r="F1087" s="142">
        <v>2907.41</v>
      </c>
      <c r="K1087" s="132">
        <v>-7.9638317836732142E-3</v>
      </c>
      <c r="M1087" s="132">
        <v>-7.9638317836732142E-3</v>
      </c>
    </row>
    <row r="1088" spans="5:13" x14ac:dyDescent="0.55000000000000004">
      <c r="E1088" s="143">
        <v>43570</v>
      </c>
      <c r="F1088" s="142">
        <v>2905.58</v>
      </c>
      <c r="K1088" s="132">
        <v>-8.5882453296938221E-3</v>
      </c>
      <c r="M1088" s="132">
        <v>-8.5882453296938221E-3</v>
      </c>
    </row>
    <row r="1089" spans="5:13" x14ac:dyDescent="0.55000000000000004">
      <c r="E1089" s="143">
        <v>43571</v>
      </c>
      <c r="F1089" s="142">
        <v>2907.06</v>
      </c>
      <c r="K1089" s="132">
        <v>-8.0832551394693919E-3</v>
      </c>
      <c r="M1089" s="132">
        <v>-8.0832551394693919E-3</v>
      </c>
    </row>
    <row r="1090" spans="5:13" x14ac:dyDescent="0.55000000000000004">
      <c r="E1090" s="143">
        <v>43572</v>
      </c>
      <c r="F1090" s="142">
        <v>2900.45</v>
      </c>
      <c r="K1090" s="132">
        <v>-1.0338650516079517E-2</v>
      </c>
      <c r="M1090" s="132">
        <v>-1.0338650516079517E-2</v>
      </c>
    </row>
    <row r="1091" spans="5:13" x14ac:dyDescent="0.55000000000000004">
      <c r="E1091" s="143">
        <v>43573</v>
      </c>
      <c r="F1091" s="142">
        <v>2905.03</v>
      </c>
      <c r="K1091" s="132">
        <v>-8.7759106030879108E-3</v>
      </c>
      <c r="M1091" s="132">
        <v>-8.7759106030879108E-3</v>
      </c>
    </row>
    <row r="1092" spans="5:13" x14ac:dyDescent="0.55000000000000004">
      <c r="E1092" s="143">
        <v>43577</v>
      </c>
      <c r="F1092" s="142">
        <v>2907.97</v>
      </c>
      <c r="K1092" s="132">
        <v>-7.7727544143990634E-3</v>
      </c>
      <c r="M1092" s="132">
        <v>-7.7727544143990634E-3</v>
      </c>
    </row>
    <row r="1093" spans="5:13" x14ac:dyDescent="0.55000000000000004">
      <c r="E1093" s="143">
        <v>43578</v>
      </c>
      <c r="F1093" s="142">
        <v>2933.68</v>
      </c>
      <c r="K1093" s="132">
        <v>0</v>
      </c>
      <c r="M1093" s="132">
        <v>0</v>
      </c>
    </row>
    <row r="1094" spans="5:13" x14ac:dyDescent="0.55000000000000004">
      <c r="E1094" s="143">
        <v>43579</v>
      </c>
      <c r="F1094" s="142">
        <v>2927.25</v>
      </c>
      <c r="K1094" s="132">
        <v>-2.1917864252406494E-3</v>
      </c>
      <c r="M1094" s="132">
        <v>-2.1917864252406494E-3</v>
      </c>
    </row>
    <row r="1095" spans="5:13" x14ac:dyDescent="0.55000000000000004">
      <c r="E1095" s="143">
        <v>43580</v>
      </c>
      <c r="F1095" s="142">
        <v>2926.17</v>
      </c>
      <c r="K1095" s="132">
        <v>-2.559924736167507E-3</v>
      </c>
      <c r="M1095" s="132">
        <v>-2.559924736167507E-3</v>
      </c>
    </row>
    <row r="1096" spans="5:13" x14ac:dyDescent="0.55000000000000004">
      <c r="E1096" s="143">
        <v>43581</v>
      </c>
      <c r="F1096" s="142">
        <v>2939.88</v>
      </c>
      <c r="K1096" s="132">
        <v>0</v>
      </c>
      <c r="M1096" s="132">
        <v>0</v>
      </c>
    </row>
    <row r="1097" spans="5:13" x14ac:dyDescent="0.55000000000000004">
      <c r="E1097" s="143">
        <v>43584</v>
      </c>
      <c r="F1097" s="142">
        <v>2943.03</v>
      </c>
      <c r="K1097" s="132">
        <v>0</v>
      </c>
      <c r="M1097" s="132">
        <v>0</v>
      </c>
    </row>
    <row r="1098" spans="5:13" x14ac:dyDescent="0.55000000000000004">
      <c r="E1098" s="143">
        <v>43585</v>
      </c>
      <c r="F1098" s="142">
        <v>2945.83</v>
      </c>
      <c r="K1098" s="132">
        <v>0</v>
      </c>
      <c r="M1098" s="132">
        <v>0</v>
      </c>
    </row>
    <row r="1099" spans="5:13" x14ac:dyDescent="0.55000000000000004">
      <c r="E1099" s="143">
        <v>43586</v>
      </c>
      <c r="F1099" s="142">
        <v>2923.73</v>
      </c>
      <c r="K1099" s="132">
        <v>-7.502130129708795E-3</v>
      </c>
      <c r="M1099" s="132">
        <v>-7.502130129708795E-3</v>
      </c>
    </row>
    <row r="1100" spans="5:13" x14ac:dyDescent="0.55000000000000004">
      <c r="E1100" s="143">
        <v>43587</v>
      </c>
      <c r="F1100" s="142">
        <v>2917.52</v>
      </c>
      <c r="K1100" s="132">
        <v>-9.6101947498667961E-3</v>
      </c>
      <c r="M1100" s="132">
        <v>-9.6101947498667961E-3</v>
      </c>
    </row>
    <row r="1101" spans="5:13" x14ac:dyDescent="0.55000000000000004">
      <c r="E1101" s="143">
        <v>43588</v>
      </c>
      <c r="F1101" s="142">
        <v>2945.64</v>
      </c>
      <c r="K1101" s="132">
        <v>-6.4497951341446758E-5</v>
      </c>
      <c r="M1101" s="132">
        <v>-6.4497951341446758E-5</v>
      </c>
    </row>
    <row r="1102" spans="5:13" x14ac:dyDescent="0.55000000000000004">
      <c r="E1102" s="143">
        <v>43591</v>
      </c>
      <c r="F1102" s="142">
        <v>2932.47</v>
      </c>
      <c r="K1102" s="132">
        <v>-4.5352243680050197E-3</v>
      </c>
      <c r="M1102" s="132">
        <v>-4.5352243680050197E-3</v>
      </c>
    </row>
    <row r="1103" spans="5:13" x14ac:dyDescent="0.55000000000000004">
      <c r="E1103" s="143">
        <v>43592</v>
      </c>
      <c r="F1103" s="142">
        <v>2884.05</v>
      </c>
      <c r="K1103" s="132">
        <v>-2.0972018073004861E-2</v>
      </c>
      <c r="M1103" s="132">
        <v>-2.0972018073004861E-2</v>
      </c>
    </row>
    <row r="1104" spans="5:13" x14ac:dyDescent="0.55000000000000004">
      <c r="E1104" s="143">
        <v>43593</v>
      </c>
      <c r="F1104" s="142">
        <v>2879.42</v>
      </c>
      <c r="K1104" s="132">
        <v>-2.2543731308323878E-2</v>
      </c>
      <c r="M1104" s="132">
        <v>-2.2543731308323878E-2</v>
      </c>
    </row>
    <row r="1105" spans="5:13" x14ac:dyDescent="0.55000000000000004">
      <c r="E1105" s="143">
        <v>43594</v>
      </c>
      <c r="F1105" s="142">
        <v>2870.72</v>
      </c>
      <c r="K1105" s="132">
        <v>-2.5497058553956009E-2</v>
      </c>
      <c r="M1105" s="132">
        <v>-2.5497058553956009E-2</v>
      </c>
    </row>
    <row r="1106" spans="5:13" x14ac:dyDescent="0.55000000000000004">
      <c r="E1106" s="143">
        <v>43595</v>
      </c>
      <c r="F1106" s="142">
        <v>2881.4</v>
      </c>
      <c r="K1106" s="132">
        <v>-2.1871594762766344E-2</v>
      </c>
      <c r="M1106" s="132">
        <v>-2.1871594762766344E-2</v>
      </c>
    </row>
    <row r="1107" spans="5:13" x14ac:dyDescent="0.55000000000000004">
      <c r="E1107" s="143">
        <v>43598</v>
      </c>
      <c r="F1107" s="142">
        <v>2811.87</v>
      </c>
      <c r="K1107" s="132">
        <v>-4.5474450324696325E-2</v>
      </c>
      <c r="M1107" s="132">
        <v>-4.5474450324696325E-2</v>
      </c>
    </row>
    <row r="1108" spans="5:13" x14ac:dyDescent="0.55000000000000004">
      <c r="E1108" s="143">
        <v>43599</v>
      </c>
      <c r="F1108" s="142">
        <v>2834.41</v>
      </c>
      <c r="K1108" s="132">
        <v>-3.7822956518196893E-2</v>
      </c>
      <c r="M1108" s="132">
        <v>-3.7822956518196893E-2</v>
      </c>
    </row>
    <row r="1109" spans="5:13" x14ac:dyDescent="0.55000000000000004">
      <c r="E1109" s="143">
        <v>43600</v>
      </c>
      <c r="F1109" s="142">
        <v>2850.96</v>
      </c>
      <c r="K1109" s="132">
        <v>-3.2204845493460255E-2</v>
      </c>
      <c r="M1109" s="132">
        <v>-3.2204845493460255E-2</v>
      </c>
    </row>
    <row r="1110" spans="5:13" x14ac:dyDescent="0.55000000000000004">
      <c r="E1110" s="143">
        <v>43601</v>
      </c>
      <c r="F1110" s="142">
        <v>2876.32</v>
      </c>
      <c r="K1110" s="132">
        <v>-2.3596066303893881E-2</v>
      </c>
      <c r="M1110" s="132">
        <v>-2.3596066303893881E-2</v>
      </c>
    </row>
    <row r="1111" spans="5:13" x14ac:dyDescent="0.55000000000000004">
      <c r="E1111" s="143">
        <v>43602</v>
      </c>
      <c r="F1111" s="142">
        <v>2859.53</v>
      </c>
      <c r="K1111" s="132">
        <v>-2.9295648425061827E-2</v>
      </c>
      <c r="M1111" s="132">
        <v>-2.9295648425061827E-2</v>
      </c>
    </row>
    <row r="1112" spans="5:13" x14ac:dyDescent="0.55000000000000004">
      <c r="E1112" s="143">
        <v>43605</v>
      </c>
      <c r="F1112" s="142">
        <v>2840.23</v>
      </c>
      <c r="K1112" s="132">
        <v>-3.5847282429739669E-2</v>
      </c>
      <c r="M1112" s="132">
        <v>-3.5847282429739669E-2</v>
      </c>
    </row>
    <row r="1113" spans="5:13" x14ac:dyDescent="0.55000000000000004">
      <c r="E1113" s="143">
        <v>43606</v>
      </c>
      <c r="F1113" s="142">
        <v>2864.36</v>
      </c>
      <c r="K1113" s="132">
        <v>-2.7656042609383369E-2</v>
      </c>
      <c r="M1113" s="132">
        <v>-2.7656042609383369E-2</v>
      </c>
    </row>
    <row r="1114" spans="5:13" x14ac:dyDescent="0.55000000000000004">
      <c r="E1114" s="143">
        <v>43607</v>
      </c>
      <c r="F1114" s="142">
        <v>2856.27</v>
      </c>
      <c r="K1114" s="132">
        <v>-3.0402297484919294E-2</v>
      </c>
      <c r="M1114" s="132">
        <v>-3.0402297484919294E-2</v>
      </c>
    </row>
    <row r="1115" spans="5:13" x14ac:dyDescent="0.55000000000000004">
      <c r="E1115" s="143">
        <v>43608</v>
      </c>
      <c r="F1115" s="142">
        <v>2822.24</v>
      </c>
      <c r="K1115" s="132">
        <v>-4.1954220033063705E-2</v>
      </c>
      <c r="M1115" s="132">
        <v>-4.1954220033063705E-2</v>
      </c>
    </row>
    <row r="1116" spans="5:13" x14ac:dyDescent="0.55000000000000004">
      <c r="E1116" s="143">
        <v>43609</v>
      </c>
      <c r="F1116" s="142">
        <v>2826.06</v>
      </c>
      <c r="K1116" s="132">
        <v>-4.0657471748200003E-2</v>
      </c>
      <c r="M1116" s="132">
        <v>-4.0657471748200003E-2</v>
      </c>
    </row>
    <row r="1117" spans="5:13" x14ac:dyDescent="0.55000000000000004">
      <c r="E1117" s="143">
        <v>43613</v>
      </c>
      <c r="F1117" s="142">
        <v>2802.39</v>
      </c>
      <c r="K1117" s="132">
        <v>-4.8692558633729788E-2</v>
      </c>
      <c r="M1117" s="132">
        <v>-4.8692558633729788E-2</v>
      </c>
    </row>
    <row r="1118" spans="5:13" x14ac:dyDescent="0.55000000000000004">
      <c r="E1118" s="143">
        <v>43614</v>
      </c>
      <c r="F1118" s="142">
        <v>2783.02</v>
      </c>
      <c r="K1118" s="132">
        <v>-5.5267955041533257E-2</v>
      </c>
      <c r="M1118" s="132">
        <v>-5.5267955041533257E-2</v>
      </c>
    </row>
    <row r="1119" spans="5:13" x14ac:dyDescent="0.55000000000000004">
      <c r="E1119" s="143">
        <v>43615</v>
      </c>
      <c r="F1119" s="142">
        <v>2788.86</v>
      </c>
      <c r="K1119" s="132">
        <v>-5.3285491695040044E-2</v>
      </c>
      <c r="M1119" s="132">
        <v>-5.3285491695040044E-2</v>
      </c>
    </row>
    <row r="1120" spans="5:13" x14ac:dyDescent="0.55000000000000004">
      <c r="E1120" s="143">
        <v>43616</v>
      </c>
      <c r="F1120" s="142">
        <v>2752.06</v>
      </c>
      <c r="K1120" s="132">
        <v>-6.5777726481161536E-2</v>
      </c>
      <c r="M1120" s="132">
        <v>-6.5777726481161536E-2</v>
      </c>
    </row>
    <row r="1121" spans="5:13" x14ac:dyDescent="0.55000000000000004">
      <c r="E1121" s="143">
        <v>43619</v>
      </c>
      <c r="F1121" s="142">
        <v>2744.45</v>
      </c>
      <c r="K1121" s="132">
        <v>-6.8361039163835069E-2</v>
      </c>
      <c r="M1121" s="132">
        <v>-6.8361039163835069E-2</v>
      </c>
    </row>
    <row r="1122" spans="5:13" x14ac:dyDescent="0.55000000000000004">
      <c r="E1122" s="143">
        <v>43620</v>
      </c>
      <c r="F1122" s="142">
        <v>2803.27</v>
      </c>
      <c r="K1122" s="132">
        <v>-4.8393831280148514E-2</v>
      </c>
      <c r="M1122" s="132">
        <v>-4.8393831280148514E-2</v>
      </c>
    </row>
    <row r="1123" spans="5:13" x14ac:dyDescent="0.55000000000000004">
      <c r="E1123" s="143">
        <v>43621</v>
      </c>
      <c r="F1123" s="142">
        <v>2826.15</v>
      </c>
      <c r="K1123" s="132">
        <v>-4.0626920087038276E-2</v>
      </c>
      <c r="M1123" s="132">
        <v>-4.0626920087038276E-2</v>
      </c>
    </row>
    <row r="1124" spans="5:13" x14ac:dyDescent="0.55000000000000004">
      <c r="E1124" s="143">
        <v>43622</v>
      </c>
      <c r="F1124" s="142">
        <v>2843.49</v>
      </c>
      <c r="K1124" s="132">
        <v>-3.4740633369882201E-2</v>
      </c>
      <c r="M1124" s="132">
        <v>-3.4740633369882201E-2</v>
      </c>
    </row>
    <row r="1125" spans="5:13" x14ac:dyDescent="0.55000000000000004">
      <c r="E1125" s="143">
        <v>43623</v>
      </c>
      <c r="F1125" s="142">
        <v>2873.34</v>
      </c>
      <c r="K1125" s="132">
        <v>-2.4607665751248287E-2</v>
      </c>
      <c r="M1125" s="132">
        <v>-2.4607665751248287E-2</v>
      </c>
    </row>
    <row r="1126" spans="5:13" x14ac:dyDescent="0.55000000000000004">
      <c r="E1126" s="143">
        <v>43626</v>
      </c>
      <c r="F1126" s="142">
        <v>2886.73</v>
      </c>
      <c r="K1126" s="132">
        <v>-2.0062257496189506E-2</v>
      </c>
      <c r="M1126" s="132">
        <v>-2.0062257496189506E-2</v>
      </c>
    </row>
    <row r="1127" spans="5:13" x14ac:dyDescent="0.55000000000000004">
      <c r="E1127" s="143">
        <v>43627</v>
      </c>
      <c r="F1127" s="142">
        <v>2885.72</v>
      </c>
      <c r="K1127" s="132">
        <v>-2.0405115027004372E-2</v>
      </c>
      <c r="M1127" s="132">
        <v>-2.0405115027004372E-2</v>
      </c>
    </row>
    <row r="1128" spans="5:13" x14ac:dyDescent="0.55000000000000004">
      <c r="E1128" s="143">
        <v>43628</v>
      </c>
      <c r="F1128" s="142">
        <v>2879.84</v>
      </c>
      <c r="K1128" s="132">
        <v>-2.2401156889569229E-2</v>
      </c>
      <c r="M1128" s="132">
        <v>-2.2401156889569229E-2</v>
      </c>
    </row>
    <row r="1129" spans="5:13" x14ac:dyDescent="0.55000000000000004">
      <c r="E1129" s="143">
        <v>43629</v>
      </c>
      <c r="F1129" s="142">
        <v>2891.64</v>
      </c>
      <c r="K1129" s="132">
        <v>-1.8395494648367428E-2</v>
      </c>
      <c r="M1129" s="132">
        <v>-1.8395494648367428E-2</v>
      </c>
    </row>
    <row r="1130" spans="5:13" x14ac:dyDescent="0.55000000000000004">
      <c r="E1130" s="143">
        <v>43630</v>
      </c>
      <c r="F1130" s="142">
        <v>2886.98</v>
      </c>
      <c r="K1130" s="132">
        <v>-1.9977391770740316E-2</v>
      </c>
      <c r="M1130" s="132">
        <v>-1.9977391770740316E-2</v>
      </c>
    </row>
    <row r="1131" spans="5:13" x14ac:dyDescent="0.55000000000000004">
      <c r="E1131" s="143">
        <v>43633</v>
      </c>
      <c r="F1131" s="142">
        <v>2889.67</v>
      </c>
      <c r="K1131" s="132">
        <v>-1.9064236564906967E-2</v>
      </c>
      <c r="M1131" s="132">
        <v>-1.9064236564906967E-2</v>
      </c>
    </row>
    <row r="1132" spans="5:13" x14ac:dyDescent="0.55000000000000004">
      <c r="E1132" s="143">
        <v>43634</v>
      </c>
      <c r="F1132" s="142">
        <v>2917.75</v>
      </c>
      <c r="K1132" s="132">
        <v>-9.5321182824534834E-3</v>
      </c>
      <c r="M1132" s="132">
        <v>-9.5321182824534834E-3</v>
      </c>
    </row>
    <row r="1133" spans="5:13" x14ac:dyDescent="0.55000000000000004">
      <c r="E1133" s="143">
        <v>43635</v>
      </c>
      <c r="F1133" s="142">
        <v>2926.46</v>
      </c>
      <c r="K1133" s="132">
        <v>-6.5753964078035798E-3</v>
      </c>
      <c r="M1133" s="132">
        <v>-6.5753964078035798E-3</v>
      </c>
    </row>
    <row r="1134" spans="5:13" x14ac:dyDescent="0.55000000000000004">
      <c r="E1134" s="143">
        <v>43636</v>
      </c>
      <c r="F1134" s="142">
        <v>2954.18</v>
      </c>
      <c r="K1134" s="132">
        <v>0</v>
      </c>
      <c r="M1134" s="132">
        <v>0</v>
      </c>
    </row>
    <row r="1135" spans="5:13" x14ac:dyDescent="0.55000000000000004">
      <c r="E1135" s="143">
        <v>43637</v>
      </c>
      <c r="F1135" s="142">
        <v>2950.46</v>
      </c>
      <c r="K1135" s="132">
        <v>-1.2592326804730103E-3</v>
      </c>
      <c r="M1135" s="132">
        <v>-1.2592326804730103E-3</v>
      </c>
    </row>
    <row r="1136" spans="5:13" x14ac:dyDescent="0.55000000000000004">
      <c r="E1136" s="143">
        <v>43640</v>
      </c>
      <c r="F1136" s="142">
        <v>2945.35</v>
      </c>
      <c r="K1136" s="132">
        <v>-2.988985099079966E-3</v>
      </c>
      <c r="M1136" s="132">
        <v>-2.988985099079966E-3</v>
      </c>
    </row>
    <row r="1137" spans="5:13" x14ac:dyDescent="0.55000000000000004">
      <c r="E1137" s="143">
        <v>43641</v>
      </c>
      <c r="F1137" s="142">
        <v>2917.38</v>
      </c>
      <c r="K1137" s="132">
        <v>-1.2456925441239108E-2</v>
      </c>
      <c r="M1137" s="132">
        <v>-1.2456925441239108E-2</v>
      </c>
    </row>
    <row r="1138" spans="5:13" x14ac:dyDescent="0.55000000000000004">
      <c r="E1138" s="143">
        <v>43642</v>
      </c>
      <c r="F1138" s="142">
        <v>2913.78</v>
      </c>
      <c r="K1138" s="132">
        <v>-1.3675537712664609E-2</v>
      </c>
      <c r="M1138" s="132">
        <v>-1.3675537712664609E-2</v>
      </c>
    </row>
    <row r="1139" spans="5:13" x14ac:dyDescent="0.55000000000000004">
      <c r="E1139" s="143">
        <v>43643</v>
      </c>
      <c r="F1139" s="142">
        <v>2924.92</v>
      </c>
      <c r="K1139" s="132">
        <v>-9.9046097394199784E-3</v>
      </c>
      <c r="M1139" s="132">
        <v>-9.9046097394199784E-3</v>
      </c>
    </row>
    <row r="1140" spans="5:13" x14ac:dyDescent="0.55000000000000004">
      <c r="E1140" s="143">
        <v>43644</v>
      </c>
      <c r="F1140" s="142">
        <v>2941.76</v>
      </c>
      <c r="K1140" s="132">
        <v>-4.2042123364181005E-3</v>
      </c>
      <c r="M1140" s="132">
        <v>-4.2042123364181005E-3</v>
      </c>
    </row>
    <row r="1141" spans="5:13" x14ac:dyDescent="0.55000000000000004">
      <c r="E1141" s="143">
        <v>43647</v>
      </c>
      <c r="F1141" s="142">
        <v>2964.33</v>
      </c>
      <c r="K1141" s="132">
        <v>0</v>
      </c>
      <c r="M1141" s="132">
        <v>0</v>
      </c>
    </row>
    <row r="1142" spans="5:13" x14ac:dyDescent="0.55000000000000004">
      <c r="E1142" s="143">
        <v>43648</v>
      </c>
      <c r="F1142" s="142">
        <v>2973.01</v>
      </c>
      <c r="K1142" s="132">
        <v>0</v>
      </c>
      <c r="M1142" s="132">
        <v>0</v>
      </c>
    </row>
    <row r="1143" spans="5:13" x14ac:dyDescent="0.55000000000000004">
      <c r="E1143" s="143">
        <v>43649</v>
      </c>
      <c r="F1143" s="142">
        <v>2995.82</v>
      </c>
      <c r="K1143" s="132">
        <v>0</v>
      </c>
      <c r="M1143" s="132">
        <v>0</v>
      </c>
    </row>
    <row r="1144" spans="5:13" x14ac:dyDescent="0.55000000000000004">
      <c r="E1144" s="143">
        <v>43651</v>
      </c>
      <c r="F1144" s="142">
        <v>2990.41</v>
      </c>
      <c r="K1144" s="132">
        <v>-1.8058494836139527E-3</v>
      </c>
      <c r="M1144" s="132">
        <v>-1.8058494836139527E-3</v>
      </c>
    </row>
    <row r="1145" spans="5:13" x14ac:dyDescent="0.55000000000000004">
      <c r="E1145" s="143">
        <v>43654</v>
      </c>
      <c r="F1145" s="142">
        <v>2975.95</v>
      </c>
      <c r="K1145" s="132">
        <v>-6.6325747207777175E-3</v>
      </c>
      <c r="M1145" s="132">
        <v>-6.6325747207777175E-3</v>
      </c>
    </row>
    <row r="1146" spans="5:13" x14ac:dyDescent="0.55000000000000004">
      <c r="E1146" s="143">
        <v>43655</v>
      </c>
      <c r="F1146" s="142">
        <v>2979.63</v>
      </c>
      <c r="K1146" s="132">
        <v>-5.4041965138093007E-3</v>
      </c>
      <c r="M1146" s="132">
        <v>-5.4041965138093007E-3</v>
      </c>
    </row>
    <row r="1147" spans="5:13" x14ac:dyDescent="0.55000000000000004">
      <c r="E1147" s="143">
        <v>43656</v>
      </c>
      <c r="F1147" s="142">
        <v>2993.07</v>
      </c>
      <c r="K1147" s="132">
        <v>-9.1794567096825652E-4</v>
      </c>
      <c r="M1147" s="132">
        <v>-9.1794567096825652E-4</v>
      </c>
    </row>
    <row r="1148" spans="5:13" x14ac:dyDescent="0.55000000000000004">
      <c r="E1148" s="143">
        <v>43657</v>
      </c>
      <c r="F1148" s="142">
        <v>2999.91</v>
      </c>
      <c r="K1148" s="132">
        <v>0</v>
      </c>
      <c r="M1148" s="132">
        <v>0</v>
      </c>
    </row>
    <row r="1149" spans="5:13" x14ac:dyDescent="0.55000000000000004">
      <c r="E1149" s="143">
        <v>43658</v>
      </c>
      <c r="F1149" s="142">
        <v>3013.77</v>
      </c>
      <c r="K1149" s="132">
        <v>0</v>
      </c>
      <c r="M1149" s="132">
        <v>0</v>
      </c>
    </row>
    <row r="1150" spans="5:13" x14ac:dyDescent="0.55000000000000004">
      <c r="E1150" s="143">
        <v>43661</v>
      </c>
      <c r="F1150" s="142">
        <v>3014.3</v>
      </c>
      <c r="K1150" s="132">
        <v>0</v>
      </c>
      <c r="M1150" s="132">
        <v>0</v>
      </c>
    </row>
    <row r="1151" spans="5:13" x14ac:dyDescent="0.55000000000000004">
      <c r="E1151" s="143">
        <v>43662</v>
      </c>
      <c r="F1151" s="142">
        <v>3004.04</v>
      </c>
      <c r="K1151" s="132">
        <v>-3.4037753375577573E-3</v>
      </c>
      <c r="M1151" s="132">
        <v>-3.4037753375577573E-3</v>
      </c>
    </row>
    <row r="1152" spans="5:13" x14ac:dyDescent="0.55000000000000004">
      <c r="E1152" s="143">
        <v>43663</v>
      </c>
      <c r="F1152" s="142">
        <v>2984.42</v>
      </c>
      <c r="K1152" s="132">
        <v>-9.9127492286766872E-3</v>
      </c>
      <c r="M1152" s="132">
        <v>-9.9127492286766872E-3</v>
      </c>
    </row>
    <row r="1153" spans="5:13" x14ac:dyDescent="0.55000000000000004">
      <c r="E1153" s="143">
        <v>43664</v>
      </c>
      <c r="F1153" s="142">
        <v>2995.11</v>
      </c>
      <c r="K1153" s="132">
        <v>-6.366320538765291E-3</v>
      </c>
      <c r="M1153" s="132">
        <v>-6.366320538765291E-3</v>
      </c>
    </row>
    <row r="1154" spans="5:13" x14ac:dyDescent="0.55000000000000004">
      <c r="E1154" s="143">
        <v>43665</v>
      </c>
      <c r="F1154" s="142">
        <v>2976.61</v>
      </c>
      <c r="K1154" s="132">
        <v>-1.2503732209799945E-2</v>
      </c>
      <c r="M1154" s="132">
        <v>-1.2503732209799945E-2</v>
      </c>
    </row>
    <row r="1155" spans="5:13" x14ac:dyDescent="0.55000000000000004">
      <c r="E1155" s="143">
        <v>43668</v>
      </c>
      <c r="F1155" s="142">
        <v>2985.03</v>
      </c>
      <c r="K1155" s="132">
        <v>-9.7103805195235537E-3</v>
      </c>
      <c r="M1155" s="132">
        <v>-9.7103805195235537E-3</v>
      </c>
    </row>
    <row r="1156" spans="5:13" x14ac:dyDescent="0.55000000000000004">
      <c r="E1156" s="143">
        <v>43669</v>
      </c>
      <c r="F1156" s="142">
        <v>3005.47</v>
      </c>
      <c r="K1156" s="132">
        <v>-2.929370002985876E-3</v>
      </c>
      <c r="M1156" s="132">
        <v>-2.929370002985876E-3</v>
      </c>
    </row>
    <row r="1157" spans="5:13" x14ac:dyDescent="0.55000000000000004">
      <c r="E1157" s="143">
        <v>43670</v>
      </c>
      <c r="F1157" s="142">
        <v>3019.56</v>
      </c>
      <c r="K1157" s="132">
        <v>0</v>
      </c>
      <c r="M1157" s="132">
        <v>0</v>
      </c>
    </row>
    <row r="1158" spans="5:13" x14ac:dyDescent="0.55000000000000004">
      <c r="E1158" s="143">
        <v>43671</v>
      </c>
      <c r="F1158" s="142">
        <v>3003.67</v>
      </c>
      <c r="K1158" s="132">
        <v>-5.2623561048629197E-3</v>
      </c>
      <c r="M1158" s="132">
        <v>-5.2623561048629197E-3</v>
      </c>
    </row>
    <row r="1159" spans="5:13" x14ac:dyDescent="0.55000000000000004">
      <c r="E1159" s="143">
        <v>43672</v>
      </c>
      <c r="F1159" s="142">
        <v>3025.86</v>
      </c>
      <c r="K1159" s="132">
        <v>0</v>
      </c>
      <c r="M1159" s="132">
        <v>0</v>
      </c>
    </row>
    <row r="1160" spans="5:13" x14ac:dyDescent="0.55000000000000004">
      <c r="E1160" s="143">
        <v>43675</v>
      </c>
      <c r="F1160" s="142">
        <v>3020.97</v>
      </c>
      <c r="K1160" s="132">
        <v>-1.6160694810732901E-3</v>
      </c>
      <c r="M1160" s="132">
        <v>-1.6160694810732901E-3</v>
      </c>
    </row>
    <row r="1161" spans="5:13" x14ac:dyDescent="0.55000000000000004">
      <c r="E1161" s="143">
        <v>43676</v>
      </c>
      <c r="F1161" s="142">
        <v>3013.18</v>
      </c>
      <c r="K1161" s="132">
        <v>-4.1905441758707251E-3</v>
      </c>
      <c r="M1161" s="132">
        <v>-4.1905441758707251E-3</v>
      </c>
    </row>
    <row r="1162" spans="5:13" x14ac:dyDescent="0.55000000000000004">
      <c r="E1162" s="143">
        <v>43677</v>
      </c>
      <c r="F1162" s="142">
        <v>2980.38</v>
      </c>
      <c r="K1162" s="132">
        <v>-1.5030437627649662E-2</v>
      </c>
      <c r="M1162" s="132">
        <v>-1.5030437627649662E-2</v>
      </c>
    </row>
    <row r="1163" spans="5:13" x14ac:dyDescent="0.55000000000000004">
      <c r="E1163" s="143">
        <v>43678</v>
      </c>
      <c r="F1163" s="142">
        <v>2953.56</v>
      </c>
      <c r="K1163" s="132">
        <v>-2.389403343181784E-2</v>
      </c>
      <c r="M1163" s="132">
        <v>-2.389403343181784E-2</v>
      </c>
    </row>
    <row r="1164" spans="5:13" x14ac:dyDescent="0.55000000000000004">
      <c r="E1164" s="143">
        <v>43679</v>
      </c>
      <c r="F1164" s="142">
        <v>2932.05</v>
      </c>
      <c r="K1164" s="132">
        <v>-3.1002756241200857E-2</v>
      </c>
      <c r="M1164" s="132">
        <v>-3.1002756241200857E-2</v>
      </c>
    </row>
    <row r="1165" spans="5:13" x14ac:dyDescent="0.55000000000000004">
      <c r="E1165" s="143">
        <v>43682</v>
      </c>
      <c r="F1165" s="142">
        <v>2844.74</v>
      </c>
      <c r="K1165" s="132">
        <v>-5.9857362865433417E-2</v>
      </c>
      <c r="M1165" s="132">
        <v>-5.9857362865433417E-2</v>
      </c>
    </row>
    <row r="1166" spans="5:13" x14ac:dyDescent="0.55000000000000004">
      <c r="E1166" s="143">
        <v>43683</v>
      </c>
      <c r="F1166" s="142">
        <v>2881.77</v>
      </c>
      <c r="K1166" s="132">
        <v>-4.7619519739842575E-2</v>
      </c>
      <c r="M1166" s="132">
        <v>-4.7619519739842575E-2</v>
      </c>
    </row>
    <row r="1167" spans="5:13" x14ac:dyDescent="0.55000000000000004">
      <c r="E1167" s="143">
        <v>43684</v>
      </c>
      <c r="F1167" s="142">
        <v>2883.98</v>
      </c>
      <c r="K1167" s="132">
        <v>-4.6889148870073338E-2</v>
      </c>
      <c r="M1167" s="132">
        <v>-4.6889148870073338E-2</v>
      </c>
    </row>
    <row r="1168" spans="5:13" x14ac:dyDescent="0.55000000000000004">
      <c r="E1168" s="143">
        <v>43685</v>
      </c>
      <c r="F1168" s="142">
        <v>2938.09</v>
      </c>
      <c r="K1168" s="132">
        <v>-2.9006629520202498E-2</v>
      </c>
      <c r="M1168" s="132">
        <v>-2.9006629520202498E-2</v>
      </c>
    </row>
    <row r="1169" spans="5:13" x14ac:dyDescent="0.55000000000000004">
      <c r="E1169" s="143">
        <v>43686</v>
      </c>
      <c r="F1169" s="142">
        <v>2918.65</v>
      </c>
      <c r="K1169" s="132">
        <v>-3.5431249297720346E-2</v>
      </c>
      <c r="M1169" s="132">
        <v>-3.5431249297720346E-2</v>
      </c>
    </row>
    <row r="1170" spans="5:13" x14ac:dyDescent="0.55000000000000004">
      <c r="E1170" s="143">
        <v>43689</v>
      </c>
      <c r="F1170" s="142">
        <v>2883.75</v>
      </c>
      <c r="K1170" s="132">
        <v>-4.6965160318058419E-2</v>
      </c>
      <c r="M1170" s="132">
        <v>-4.6965160318058419E-2</v>
      </c>
    </row>
    <row r="1171" spans="5:13" x14ac:dyDescent="0.55000000000000004">
      <c r="E1171" s="143">
        <v>43690</v>
      </c>
      <c r="F1171" s="142">
        <v>2926.32</v>
      </c>
      <c r="K1171" s="132">
        <v>-3.2896432749697557E-2</v>
      </c>
      <c r="M1171" s="132">
        <v>-3.2896432749697557E-2</v>
      </c>
    </row>
    <row r="1172" spans="5:13" x14ac:dyDescent="0.55000000000000004">
      <c r="E1172" s="143">
        <v>43691</v>
      </c>
      <c r="F1172" s="142">
        <v>2840.6</v>
      </c>
      <c r="K1172" s="132">
        <v>-6.1225568929163976E-2</v>
      </c>
      <c r="M1172" s="132">
        <v>-6.1225568929163976E-2</v>
      </c>
    </row>
    <row r="1173" spans="5:13" x14ac:dyDescent="0.55000000000000004">
      <c r="E1173" s="143">
        <v>43692</v>
      </c>
      <c r="F1173" s="142">
        <v>2847.6</v>
      </c>
      <c r="K1173" s="132">
        <v>-5.8912177033967228E-2</v>
      </c>
      <c r="M1173" s="132">
        <v>-5.8912177033967228E-2</v>
      </c>
    </row>
    <row r="1174" spans="5:13" x14ac:dyDescent="0.55000000000000004">
      <c r="E1174" s="143">
        <v>43693</v>
      </c>
      <c r="F1174" s="142">
        <v>2888.68</v>
      </c>
      <c r="K1174" s="132">
        <v>-4.5335871454727061E-2</v>
      </c>
      <c r="M1174" s="132">
        <v>-4.5335871454727061E-2</v>
      </c>
    </row>
    <row r="1175" spans="5:13" x14ac:dyDescent="0.55000000000000004">
      <c r="E1175" s="143">
        <v>43696</v>
      </c>
      <c r="F1175" s="142">
        <v>2923.65</v>
      </c>
      <c r="K1175" s="132">
        <v>-3.3778826515436955E-2</v>
      </c>
      <c r="M1175" s="132">
        <v>-3.3778826515436955E-2</v>
      </c>
    </row>
    <row r="1176" spans="5:13" x14ac:dyDescent="0.55000000000000004">
      <c r="E1176" s="143">
        <v>43697</v>
      </c>
      <c r="F1176" s="142">
        <v>2900.51</v>
      </c>
      <c r="K1176" s="132">
        <v>-4.1426239151844402E-2</v>
      </c>
      <c r="M1176" s="132">
        <v>-4.1426239151844402E-2</v>
      </c>
    </row>
    <row r="1177" spans="5:13" x14ac:dyDescent="0.55000000000000004">
      <c r="E1177" s="143">
        <v>43698</v>
      </c>
      <c r="F1177" s="142">
        <v>2924.43</v>
      </c>
      <c r="K1177" s="132">
        <v>-3.3521048561400812E-2</v>
      </c>
      <c r="M1177" s="132">
        <v>-3.3521048561400812E-2</v>
      </c>
    </row>
    <row r="1178" spans="5:13" x14ac:dyDescent="0.55000000000000004">
      <c r="E1178" s="143">
        <v>43699</v>
      </c>
      <c r="F1178" s="142">
        <v>2922.95</v>
      </c>
      <c r="K1178" s="132">
        <v>-3.4010165704956741E-2</v>
      </c>
      <c r="M1178" s="132">
        <v>-3.4010165704956741E-2</v>
      </c>
    </row>
    <row r="1179" spans="5:13" x14ac:dyDescent="0.55000000000000004">
      <c r="E1179" s="143">
        <v>43700</v>
      </c>
      <c r="F1179" s="142">
        <v>2847.11</v>
      </c>
      <c r="K1179" s="132">
        <v>-5.9074114466631023E-2</v>
      </c>
      <c r="M1179" s="132">
        <v>-5.9074114466631023E-2</v>
      </c>
    </row>
    <row r="1180" spans="5:13" x14ac:dyDescent="0.55000000000000004">
      <c r="E1180" s="143">
        <v>43703</v>
      </c>
      <c r="F1180" s="142">
        <v>2878.38</v>
      </c>
      <c r="K1180" s="132">
        <v>-4.8739862386230737E-2</v>
      </c>
      <c r="M1180" s="132">
        <v>-4.8739862386230737E-2</v>
      </c>
    </row>
    <row r="1181" spans="5:13" x14ac:dyDescent="0.55000000000000004">
      <c r="E1181" s="143">
        <v>43704</v>
      </c>
      <c r="F1181" s="142">
        <v>2869.16</v>
      </c>
      <c r="K1181" s="132">
        <v>-5.1786929996761377E-2</v>
      </c>
      <c r="M1181" s="132">
        <v>-5.1786929996761377E-2</v>
      </c>
    </row>
    <row r="1182" spans="5:13" x14ac:dyDescent="0.55000000000000004">
      <c r="E1182" s="143">
        <v>43705</v>
      </c>
      <c r="F1182" s="142">
        <v>2887.94</v>
      </c>
      <c r="K1182" s="132">
        <v>-4.5580430026504914E-2</v>
      </c>
      <c r="M1182" s="132">
        <v>-4.5580430026504914E-2</v>
      </c>
    </row>
    <row r="1183" spans="5:13" x14ac:dyDescent="0.55000000000000004">
      <c r="E1183" s="143">
        <v>43706</v>
      </c>
      <c r="F1183" s="142">
        <v>2924.58</v>
      </c>
      <c r="K1183" s="132">
        <v>-3.3471475877932311E-2</v>
      </c>
      <c r="M1183" s="132">
        <v>-3.3471475877932311E-2</v>
      </c>
    </row>
    <row r="1184" spans="5:13" x14ac:dyDescent="0.55000000000000004">
      <c r="E1184" s="143">
        <v>43707</v>
      </c>
      <c r="F1184" s="142">
        <v>2926.46</v>
      </c>
      <c r="K1184" s="132">
        <v>-3.2850164911793711E-2</v>
      </c>
      <c r="M1184" s="132">
        <v>-3.2850164911793711E-2</v>
      </c>
    </row>
    <row r="1185" spans="5:13" x14ac:dyDescent="0.55000000000000004">
      <c r="E1185" s="143">
        <v>43711</v>
      </c>
      <c r="F1185" s="142">
        <v>2906.27</v>
      </c>
      <c r="K1185" s="132">
        <v>-3.9522648106654068E-2</v>
      </c>
      <c r="M1185" s="132">
        <v>-3.9522648106654068E-2</v>
      </c>
    </row>
    <row r="1186" spans="5:13" x14ac:dyDescent="0.55000000000000004">
      <c r="E1186" s="143">
        <v>43712</v>
      </c>
      <c r="F1186" s="142">
        <v>2937.78</v>
      </c>
      <c r="K1186" s="132">
        <v>-2.9109079732704046E-2</v>
      </c>
      <c r="M1186" s="132">
        <v>-2.9109079732704046E-2</v>
      </c>
    </row>
    <row r="1187" spans="5:13" x14ac:dyDescent="0.55000000000000004">
      <c r="E1187" s="143">
        <v>43713</v>
      </c>
      <c r="F1187" s="142">
        <v>2976</v>
      </c>
      <c r="K1187" s="132">
        <v>-1.6477959984929957E-2</v>
      </c>
      <c r="M1187" s="132">
        <v>-1.6477959984929957E-2</v>
      </c>
    </row>
    <row r="1188" spans="5:13" x14ac:dyDescent="0.55000000000000004">
      <c r="E1188" s="143">
        <v>43714</v>
      </c>
      <c r="F1188" s="142">
        <v>2978.71</v>
      </c>
      <c r="K1188" s="132">
        <v>-1.5582346836932381E-2</v>
      </c>
      <c r="M1188" s="132">
        <v>-1.5582346836932381E-2</v>
      </c>
    </row>
    <row r="1189" spans="5:13" x14ac:dyDescent="0.55000000000000004">
      <c r="E1189" s="143">
        <v>43717</v>
      </c>
      <c r="F1189" s="142">
        <v>2978.43</v>
      </c>
      <c r="K1189" s="132">
        <v>-1.5674882512740296E-2</v>
      </c>
      <c r="M1189" s="132">
        <v>-1.5674882512740296E-2</v>
      </c>
    </row>
    <row r="1190" spans="5:13" x14ac:dyDescent="0.55000000000000004">
      <c r="E1190" s="143">
        <v>43718</v>
      </c>
      <c r="F1190" s="142">
        <v>2979.39</v>
      </c>
      <c r="K1190" s="132">
        <v>-1.5357617338541907E-2</v>
      </c>
      <c r="M1190" s="132">
        <v>-1.5357617338541907E-2</v>
      </c>
    </row>
    <row r="1191" spans="5:13" x14ac:dyDescent="0.55000000000000004">
      <c r="E1191" s="143">
        <v>43719</v>
      </c>
      <c r="F1191" s="142">
        <v>3000.93</v>
      </c>
      <c r="K1191" s="132">
        <v>-8.2389799924650342E-3</v>
      </c>
      <c r="M1191" s="132">
        <v>-8.2389799924650342E-3</v>
      </c>
    </row>
    <row r="1192" spans="5:13" x14ac:dyDescent="0.55000000000000004">
      <c r="E1192" s="143">
        <v>43720</v>
      </c>
      <c r="F1192" s="142">
        <v>3009.57</v>
      </c>
      <c r="K1192" s="132">
        <v>-5.3835934246792005E-3</v>
      </c>
      <c r="M1192" s="132">
        <v>-5.3835934246792005E-3</v>
      </c>
    </row>
    <row r="1193" spans="5:13" x14ac:dyDescent="0.55000000000000004">
      <c r="E1193" s="143">
        <v>43721</v>
      </c>
      <c r="F1193" s="142">
        <v>3007.39</v>
      </c>
      <c r="K1193" s="132">
        <v>-6.1040497577549147E-3</v>
      </c>
      <c r="M1193" s="132">
        <v>-6.1040497577549147E-3</v>
      </c>
    </row>
    <row r="1194" spans="5:13" x14ac:dyDescent="0.55000000000000004">
      <c r="E1194" s="143">
        <v>43724</v>
      </c>
      <c r="F1194" s="142">
        <v>2997.96</v>
      </c>
      <c r="K1194" s="132">
        <v>-9.2205191251413243E-3</v>
      </c>
      <c r="M1194" s="132">
        <v>-9.2205191251413243E-3</v>
      </c>
    </row>
    <row r="1195" spans="5:13" x14ac:dyDescent="0.55000000000000004">
      <c r="E1195" s="143">
        <v>43725</v>
      </c>
      <c r="F1195" s="142">
        <v>3005.7</v>
      </c>
      <c r="K1195" s="132">
        <v>-6.6625686581667232E-3</v>
      </c>
      <c r="M1195" s="132">
        <v>-6.6625686581667232E-3</v>
      </c>
    </row>
    <row r="1196" spans="5:13" x14ac:dyDescent="0.55000000000000004">
      <c r="E1196" s="143">
        <v>43726</v>
      </c>
      <c r="F1196" s="142">
        <v>3006.73</v>
      </c>
      <c r="K1196" s="132">
        <v>-6.3221695650163001E-3</v>
      </c>
      <c r="M1196" s="132">
        <v>-6.3221695650163001E-3</v>
      </c>
    </row>
    <row r="1197" spans="5:13" x14ac:dyDescent="0.55000000000000004">
      <c r="E1197" s="143">
        <v>43727</v>
      </c>
      <c r="F1197" s="142">
        <v>3006.79</v>
      </c>
      <c r="K1197" s="132">
        <v>-6.3023404916289216E-3</v>
      </c>
      <c r="M1197" s="132">
        <v>-6.3023404916289216E-3</v>
      </c>
    </row>
    <row r="1198" spans="5:13" x14ac:dyDescent="0.55000000000000004">
      <c r="E1198" s="143">
        <v>43728</v>
      </c>
      <c r="F1198" s="142">
        <v>2992.07</v>
      </c>
      <c r="K1198" s="132">
        <v>-1.1167073162671071E-2</v>
      </c>
      <c r="M1198" s="132">
        <v>-1.1167073162671071E-2</v>
      </c>
    </row>
    <row r="1199" spans="5:13" x14ac:dyDescent="0.55000000000000004">
      <c r="E1199" s="143">
        <v>43731</v>
      </c>
      <c r="F1199" s="142">
        <v>2991.78</v>
      </c>
      <c r="K1199" s="132">
        <v>-1.126291368404353E-2</v>
      </c>
      <c r="M1199" s="132">
        <v>-1.126291368404353E-2</v>
      </c>
    </row>
    <row r="1200" spans="5:13" x14ac:dyDescent="0.55000000000000004">
      <c r="E1200" s="143">
        <v>43732</v>
      </c>
      <c r="F1200" s="142">
        <v>2966.6</v>
      </c>
      <c r="K1200" s="132">
        <v>-1.9584514815622733E-2</v>
      </c>
      <c r="M1200" s="132">
        <v>-1.9584514815622733E-2</v>
      </c>
    </row>
    <row r="1201" spans="5:13" x14ac:dyDescent="0.55000000000000004">
      <c r="E1201" s="143">
        <v>43733</v>
      </c>
      <c r="F1201" s="142">
        <v>2984.87</v>
      </c>
      <c r="K1201" s="132">
        <v>-1.3546561969159265E-2</v>
      </c>
      <c r="M1201" s="132">
        <v>-1.3546561969159265E-2</v>
      </c>
    </row>
    <row r="1202" spans="5:13" x14ac:dyDescent="0.55000000000000004">
      <c r="E1202" s="143">
        <v>43734</v>
      </c>
      <c r="F1202" s="142">
        <v>2977.62</v>
      </c>
      <c r="K1202" s="132">
        <v>-1.5942575003470183E-2</v>
      </c>
      <c r="M1202" s="132">
        <v>-1.5942575003470183E-2</v>
      </c>
    </row>
    <row r="1203" spans="5:13" x14ac:dyDescent="0.55000000000000004">
      <c r="E1203" s="143">
        <v>43735</v>
      </c>
      <c r="F1203" s="142">
        <v>2961.79</v>
      </c>
      <c r="K1203" s="132">
        <v>-2.1174145532179334E-2</v>
      </c>
      <c r="M1203" s="132">
        <v>-2.1174145532179334E-2</v>
      </c>
    </row>
    <row r="1204" spans="5:13" x14ac:dyDescent="0.55000000000000004">
      <c r="E1204" s="143">
        <v>43738</v>
      </c>
      <c r="F1204" s="142">
        <v>2976.74</v>
      </c>
      <c r="K1204" s="132">
        <v>-1.6233401413152104E-2</v>
      </c>
      <c r="M1204" s="132">
        <v>-1.6233401413152104E-2</v>
      </c>
    </row>
    <row r="1205" spans="5:13" x14ac:dyDescent="0.55000000000000004">
      <c r="E1205" s="143">
        <v>43739</v>
      </c>
      <c r="F1205" s="142">
        <v>2940.25</v>
      </c>
      <c r="K1205" s="132">
        <v>-2.8292782878256095E-2</v>
      </c>
      <c r="M1205" s="132">
        <v>-2.8292782878256095E-2</v>
      </c>
    </row>
    <row r="1206" spans="5:13" x14ac:dyDescent="0.55000000000000004">
      <c r="E1206" s="143">
        <v>43740</v>
      </c>
      <c r="F1206" s="142">
        <v>2887.61</v>
      </c>
      <c r="K1206" s="132">
        <v>-4.5689489930135552E-2</v>
      </c>
      <c r="M1206" s="132">
        <v>-4.5689489930135552E-2</v>
      </c>
    </row>
    <row r="1207" spans="5:13" x14ac:dyDescent="0.55000000000000004">
      <c r="E1207" s="143">
        <v>43741</v>
      </c>
      <c r="F1207" s="142">
        <v>2910.63</v>
      </c>
      <c r="K1207" s="132">
        <v>-3.8081735440502862E-2</v>
      </c>
      <c r="M1207" s="132">
        <v>-3.8081735440502862E-2</v>
      </c>
    </row>
    <row r="1208" spans="5:13" x14ac:dyDescent="0.55000000000000004">
      <c r="E1208" s="143">
        <v>43742</v>
      </c>
      <c r="F1208" s="142">
        <v>2952.01</v>
      </c>
      <c r="K1208" s="132">
        <v>-2.4406284494325581E-2</v>
      </c>
      <c r="M1208" s="132">
        <v>-2.4406284494325581E-2</v>
      </c>
    </row>
    <row r="1209" spans="5:13" x14ac:dyDescent="0.55000000000000004">
      <c r="E1209" s="143">
        <v>43745</v>
      </c>
      <c r="F1209" s="142">
        <v>2938.79</v>
      </c>
      <c r="K1209" s="132">
        <v>-2.8775290330682934E-2</v>
      </c>
      <c r="M1209" s="132">
        <v>-2.8775290330682934E-2</v>
      </c>
    </row>
    <row r="1210" spans="5:13" x14ac:dyDescent="0.55000000000000004">
      <c r="E1210" s="143">
        <v>43746</v>
      </c>
      <c r="F1210" s="142">
        <v>2893.06</v>
      </c>
      <c r="K1210" s="132">
        <v>-4.3888349097446766E-2</v>
      </c>
      <c r="M1210" s="132">
        <v>-4.3888349097446766E-2</v>
      </c>
    </row>
    <row r="1211" spans="5:13" x14ac:dyDescent="0.55000000000000004">
      <c r="E1211" s="143">
        <v>43747</v>
      </c>
      <c r="F1211" s="142">
        <v>2919.4</v>
      </c>
      <c r="K1211" s="132">
        <v>-3.5183385880377838E-2</v>
      </c>
      <c r="M1211" s="132">
        <v>-3.5183385880377838E-2</v>
      </c>
    </row>
    <row r="1212" spans="5:13" x14ac:dyDescent="0.55000000000000004">
      <c r="E1212" s="143">
        <v>43748</v>
      </c>
      <c r="F1212" s="142">
        <v>2938.13</v>
      </c>
      <c r="K1212" s="132">
        <v>-2.8993410137944209E-2</v>
      </c>
      <c r="M1212" s="132">
        <v>-2.8993410137944209E-2</v>
      </c>
    </row>
    <row r="1213" spans="5:13" x14ac:dyDescent="0.55000000000000004">
      <c r="E1213" s="143">
        <v>43749</v>
      </c>
      <c r="F1213" s="142">
        <v>2970.27</v>
      </c>
      <c r="K1213" s="132">
        <v>-1.8371636493426657E-2</v>
      </c>
      <c r="M1213" s="132">
        <v>-1.8371636493426657E-2</v>
      </c>
    </row>
    <row r="1214" spans="5:13" x14ac:dyDescent="0.55000000000000004">
      <c r="E1214" s="143">
        <v>43752</v>
      </c>
      <c r="F1214" s="142">
        <v>2966.15</v>
      </c>
      <c r="K1214" s="132">
        <v>-1.9733232866028128E-2</v>
      </c>
      <c r="M1214" s="132">
        <v>-1.9733232866028128E-2</v>
      </c>
    </row>
    <row r="1215" spans="5:13" x14ac:dyDescent="0.55000000000000004">
      <c r="E1215" s="143">
        <v>43753</v>
      </c>
      <c r="F1215" s="142">
        <v>2995.68</v>
      </c>
      <c r="K1215" s="132">
        <v>-9.9740239138625952E-3</v>
      </c>
      <c r="M1215" s="132">
        <v>-9.9740239138625952E-3</v>
      </c>
    </row>
    <row r="1216" spans="5:13" x14ac:dyDescent="0.55000000000000004">
      <c r="E1216" s="143">
        <v>43754</v>
      </c>
      <c r="F1216" s="142">
        <v>2989.69</v>
      </c>
      <c r="K1216" s="132">
        <v>-1.1953626407038009E-2</v>
      </c>
      <c r="M1216" s="132">
        <v>-1.1953626407038009E-2</v>
      </c>
    </row>
    <row r="1217" spans="5:13" x14ac:dyDescent="0.55000000000000004">
      <c r="E1217" s="143">
        <v>43755</v>
      </c>
      <c r="F1217" s="142">
        <v>2997.95</v>
      </c>
      <c r="K1217" s="132">
        <v>-9.2238239707059799E-3</v>
      </c>
      <c r="M1217" s="132">
        <v>-9.2238239707059799E-3</v>
      </c>
    </row>
    <row r="1218" spans="5:13" x14ac:dyDescent="0.55000000000000004">
      <c r="E1218" s="143">
        <v>43756</v>
      </c>
      <c r="F1218" s="142">
        <v>2986.2</v>
      </c>
      <c r="K1218" s="132">
        <v>-1.310701750907195E-2</v>
      </c>
      <c r="M1218" s="132">
        <v>-1.310701750907195E-2</v>
      </c>
    </row>
    <row r="1219" spans="5:13" x14ac:dyDescent="0.55000000000000004">
      <c r="E1219" s="143">
        <v>43759</v>
      </c>
      <c r="F1219" s="142">
        <v>3006.72</v>
      </c>
      <c r="K1219" s="132">
        <v>-6.3254744105809557E-3</v>
      </c>
      <c r="M1219" s="132">
        <v>-6.3254744105809557E-3</v>
      </c>
    </row>
    <row r="1220" spans="5:13" x14ac:dyDescent="0.55000000000000004">
      <c r="E1220" s="143">
        <v>43760</v>
      </c>
      <c r="F1220" s="142">
        <v>2995.99</v>
      </c>
      <c r="K1220" s="132">
        <v>-9.8715737013610472E-3</v>
      </c>
      <c r="M1220" s="132">
        <v>-9.8715737013610472E-3</v>
      </c>
    </row>
    <row r="1221" spans="5:13" x14ac:dyDescent="0.55000000000000004">
      <c r="E1221" s="143">
        <v>43761</v>
      </c>
      <c r="F1221" s="142">
        <v>3004.52</v>
      </c>
      <c r="K1221" s="132">
        <v>-7.0525404347855369E-3</v>
      </c>
      <c r="M1221" s="132">
        <v>-7.0525404347855369E-3</v>
      </c>
    </row>
    <row r="1222" spans="5:13" x14ac:dyDescent="0.55000000000000004">
      <c r="E1222" s="143">
        <v>43762</v>
      </c>
      <c r="F1222" s="142">
        <v>3010.29</v>
      </c>
      <c r="K1222" s="132">
        <v>-5.1456445440305476E-3</v>
      </c>
      <c r="M1222" s="132">
        <v>-5.1456445440305476E-3</v>
      </c>
    </row>
    <row r="1223" spans="5:13" x14ac:dyDescent="0.55000000000000004">
      <c r="E1223" s="143">
        <v>43763</v>
      </c>
      <c r="F1223" s="142">
        <v>3022.55</v>
      </c>
      <c r="K1223" s="132">
        <v>-1.0939038818715829E-3</v>
      </c>
      <c r="M1223" s="132">
        <v>-1.0939038818715829E-3</v>
      </c>
    </row>
    <row r="1224" spans="5:13" x14ac:dyDescent="0.55000000000000004">
      <c r="E1224" s="143">
        <v>43766</v>
      </c>
      <c r="F1224" s="142">
        <v>3039.42</v>
      </c>
      <c r="K1224" s="132">
        <v>0</v>
      </c>
      <c r="M1224" s="132">
        <v>0</v>
      </c>
    </row>
    <row r="1225" spans="5:13" x14ac:dyDescent="0.55000000000000004">
      <c r="E1225" s="143">
        <v>43767</v>
      </c>
      <c r="F1225" s="142">
        <v>3036.89</v>
      </c>
      <c r="K1225" s="132">
        <v>-8.323956544341593E-4</v>
      </c>
      <c r="M1225" s="132">
        <v>-8.323956544341593E-4</v>
      </c>
    </row>
    <row r="1226" spans="5:13" x14ac:dyDescent="0.55000000000000004">
      <c r="E1226" s="143">
        <v>43768</v>
      </c>
      <c r="F1226" s="142">
        <v>3046.77</v>
      </c>
      <c r="K1226" s="132">
        <v>0</v>
      </c>
      <c r="M1226" s="132">
        <v>0</v>
      </c>
    </row>
    <row r="1227" spans="5:13" x14ac:dyDescent="0.55000000000000004">
      <c r="E1227" s="143">
        <v>43769</v>
      </c>
      <c r="F1227" s="142">
        <v>3037.56</v>
      </c>
      <c r="K1227" s="132">
        <v>-3.0228734036372717E-3</v>
      </c>
      <c r="M1227" s="132">
        <v>-3.0228734036372717E-3</v>
      </c>
    </row>
    <row r="1228" spans="5:13" x14ac:dyDescent="0.55000000000000004">
      <c r="E1228" s="143">
        <v>43770</v>
      </c>
      <c r="F1228" s="142">
        <v>3066.91</v>
      </c>
      <c r="K1228" s="132">
        <v>0</v>
      </c>
      <c r="M1228" s="132">
        <v>0</v>
      </c>
    </row>
    <row r="1229" spans="5:13" x14ac:dyDescent="0.55000000000000004">
      <c r="E1229" s="143">
        <v>43773</v>
      </c>
      <c r="F1229" s="142">
        <v>3078.27</v>
      </c>
      <c r="K1229" s="132">
        <v>0</v>
      </c>
      <c r="M1229" s="132">
        <v>0</v>
      </c>
    </row>
    <row r="1230" spans="5:13" x14ac:dyDescent="0.55000000000000004">
      <c r="E1230" s="143">
        <v>43774</v>
      </c>
      <c r="F1230" s="142">
        <v>3074.62</v>
      </c>
      <c r="K1230" s="132">
        <v>-1.1857309462782739E-3</v>
      </c>
      <c r="M1230" s="132">
        <v>-1.1857309462782739E-3</v>
      </c>
    </row>
    <row r="1231" spans="5:13" x14ac:dyDescent="0.55000000000000004">
      <c r="E1231" s="143">
        <v>43775</v>
      </c>
      <c r="F1231" s="142">
        <v>3076.78</v>
      </c>
      <c r="K1231" s="132">
        <v>-4.8403811231623184E-4</v>
      </c>
      <c r="M1231" s="132">
        <v>-4.8403811231623184E-4</v>
      </c>
    </row>
    <row r="1232" spans="5:13" x14ac:dyDescent="0.55000000000000004">
      <c r="E1232" s="143">
        <v>43776</v>
      </c>
      <c r="F1232" s="142">
        <v>3085.18</v>
      </c>
      <c r="K1232" s="132">
        <v>0</v>
      </c>
      <c r="M1232" s="132">
        <v>0</v>
      </c>
    </row>
    <row r="1233" spans="5:13" x14ac:dyDescent="0.55000000000000004">
      <c r="E1233" s="143">
        <v>43777</v>
      </c>
      <c r="F1233" s="142">
        <v>3093.08</v>
      </c>
      <c r="K1233" s="132">
        <v>0</v>
      </c>
      <c r="M1233" s="132">
        <v>0</v>
      </c>
    </row>
    <row r="1234" spans="5:13" x14ac:dyDescent="0.55000000000000004">
      <c r="E1234" s="143">
        <v>43780</v>
      </c>
      <c r="F1234" s="142">
        <v>3087.01</v>
      </c>
      <c r="K1234" s="132">
        <v>-1.9624452002533488E-3</v>
      </c>
      <c r="M1234" s="132">
        <v>-1.9624452002533488E-3</v>
      </c>
    </row>
    <row r="1235" spans="5:13" x14ac:dyDescent="0.55000000000000004">
      <c r="E1235" s="143">
        <v>43781</v>
      </c>
      <c r="F1235" s="142">
        <v>3091.84</v>
      </c>
      <c r="K1235" s="132">
        <v>-4.0089490087547031E-4</v>
      </c>
      <c r="M1235" s="132">
        <v>-4.0089490087547031E-4</v>
      </c>
    </row>
    <row r="1236" spans="5:13" x14ac:dyDescent="0.55000000000000004">
      <c r="E1236" s="143">
        <v>43782</v>
      </c>
      <c r="F1236" s="142">
        <v>3094.04</v>
      </c>
      <c r="K1236" s="132">
        <v>0</v>
      </c>
      <c r="M1236" s="132">
        <v>0</v>
      </c>
    </row>
    <row r="1237" spans="5:13" x14ac:dyDescent="0.55000000000000004">
      <c r="E1237" s="143">
        <v>43783</v>
      </c>
      <c r="F1237" s="142">
        <v>3096.63</v>
      </c>
      <c r="K1237" s="132">
        <v>0</v>
      </c>
      <c r="M1237" s="132">
        <v>0</v>
      </c>
    </row>
    <row r="1238" spans="5:13" x14ac:dyDescent="0.55000000000000004">
      <c r="E1238" s="143">
        <v>43784</v>
      </c>
      <c r="F1238" s="142">
        <v>3120.46</v>
      </c>
      <c r="K1238" s="132">
        <v>0</v>
      </c>
      <c r="M1238" s="132">
        <v>0</v>
      </c>
    </row>
    <row r="1239" spans="5:13" x14ac:dyDescent="0.55000000000000004">
      <c r="E1239" s="143">
        <v>43787</v>
      </c>
      <c r="F1239" s="142">
        <v>3122.03</v>
      </c>
      <c r="K1239" s="132">
        <v>0</v>
      </c>
      <c r="M1239" s="132">
        <v>0</v>
      </c>
    </row>
    <row r="1240" spans="5:13" x14ac:dyDescent="0.55000000000000004">
      <c r="E1240" s="143">
        <v>43788</v>
      </c>
      <c r="F1240" s="142">
        <v>3120.18</v>
      </c>
      <c r="K1240" s="132">
        <v>-5.9256317203881803E-4</v>
      </c>
      <c r="M1240" s="132">
        <v>-5.9256317203881803E-4</v>
      </c>
    </row>
    <row r="1241" spans="5:13" x14ac:dyDescent="0.55000000000000004">
      <c r="E1241" s="143">
        <v>43789</v>
      </c>
      <c r="F1241" s="142">
        <v>3108.46</v>
      </c>
      <c r="K1241" s="132">
        <v>-4.3465309430082977E-3</v>
      </c>
      <c r="M1241" s="132">
        <v>-4.3465309430082977E-3</v>
      </c>
    </row>
    <row r="1242" spans="5:13" x14ac:dyDescent="0.55000000000000004">
      <c r="E1242" s="143">
        <v>43790</v>
      </c>
      <c r="F1242" s="142">
        <v>3103.54</v>
      </c>
      <c r="K1242" s="132">
        <v>-5.9224286762139533E-3</v>
      </c>
      <c r="M1242" s="132">
        <v>-5.9224286762139533E-3</v>
      </c>
    </row>
    <row r="1243" spans="5:13" x14ac:dyDescent="0.55000000000000004">
      <c r="E1243" s="143">
        <v>43791</v>
      </c>
      <c r="F1243" s="142">
        <v>3110.29</v>
      </c>
      <c r="K1243" s="132">
        <v>-3.7603738593159353E-3</v>
      </c>
      <c r="M1243" s="132">
        <v>-3.7603738593159353E-3</v>
      </c>
    </row>
    <row r="1244" spans="5:13" x14ac:dyDescent="0.55000000000000004">
      <c r="E1244" s="143">
        <v>43794</v>
      </c>
      <c r="F1244" s="142">
        <v>3133.64</v>
      </c>
      <c r="K1244" s="132">
        <v>0</v>
      </c>
      <c r="M1244" s="132">
        <v>0</v>
      </c>
    </row>
    <row r="1245" spans="5:13" x14ac:dyDescent="0.55000000000000004">
      <c r="E1245" s="143">
        <v>43795</v>
      </c>
      <c r="F1245" s="142">
        <v>3140.52</v>
      </c>
      <c r="K1245" s="132">
        <v>0</v>
      </c>
      <c r="M1245" s="132">
        <v>0</v>
      </c>
    </row>
    <row r="1246" spans="5:13" x14ac:dyDescent="0.55000000000000004">
      <c r="E1246" s="143">
        <v>43796</v>
      </c>
      <c r="F1246" s="142">
        <v>3153.63</v>
      </c>
      <c r="K1246" s="132">
        <v>0</v>
      </c>
      <c r="M1246" s="132">
        <v>0</v>
      </c>
    </row>
    <row r="1247" spans="5:13" x14ac:dyDescent="0.55000000000000004">
      <c r="E1247" s="143">
        <v>43798</v>
      </c>
      <c r="F1247" s="142">
        <v>3140.98</v>
      </c>
      <c r="K1247" s="132">
        <v>-4.0112505271703291E-3</v>
      </c>
      <c r="M1247" s="132">
        <v>-4.0112505271703291E-3</v>
      </c>
    </row>
    <row r="1248" spans="5:13" x14ac:dyDescent="0.55000000000000004">
      <c r="E1248" s="143">
        <v>43801</v>
      </c>
      <c r="F1248" s="142">
        <v>3113.87</v>
      </c>
      <c r="K1248" s="132">
        <v>-1.2607693356544769E-2</v>
      </c>
      <c r="M1248" s="132">
        <v>-1.2607693356544769E-2</v>
      </c>
    </row>
    <row r="1249" spans="5:13" x14ac:dyDescent="0.55000000000000004">
      <c r="E1249" s="143">
        <v>43802</v>
      </c>
      <c r="F1249" s="142">
        <v>3093.2</v>
      </c>
      <c r="K1249" s="132">
        <v>-1.9162045008450646E-2</v>
      </c>
      <c r="M1249" s="132">
        <v>-1.9162045008450646E-2</v>
      </c>
    </row>
    <row r="1250" spans="5:13" x14ac:dyDescent="0.55000000000000004">
      <c r="E1250" s="143">
        <v>43803</v>
      </c>
      <c r="F1250" s="142">
        <v>3112.76</v>
      </c>
      <c r="K1250" s="132">
        <v>-1.2959668699244919E-2</v>
      </c>
      <c r="M1250" s="132">
        <v>-1.2959668699244919E-2</v>
      </c>
    </row>
    <row r="1251" spans="5:13" x14ac:dyDescent="0.55000000000000004">
      <c r="E1251" s="143">
        <v>43804</v>
      </c>
      <c r="F1251" s="142">
        <v>3117.43</v>
      </c>
      <c r="K1251" s="132">
        <v>-1.1478835500677076E-2</v>
      </c>
      <c r="M1251" s="132">
        <v>-1.1478835500677076E-2</v>
      </c>
    </row>
    <row r="1252" spans="5:13" x14ac:dyDescent="0.55000000000000004">
      <c r="E1252" s="143">
        <v>43805</v>
      </c>
      <c r="F1252" s="142">
        <v>3145.91</v>
      </c>
      <c r="K1252" s="132">
        <v>-2.4479726537356417E-3</v>
      </c>
      <c r="M1252" s="132">
        <v>-2.4479726537356417E-3</v>
      </c>
    </row>
    <row r="1253" spans="5:13" x14ac:dyDescent="0.55000000000000004">
      <c r="E1253" s="143">
        <v>43808</v>
      </c>
      <c r="F1253" s="142">
        <v>3135.96</v>
      </c>
      <c r="K1253" s="132">
        <v>-5.6030669419050438E-3</v>
      </c>
      <c r="M1253" s="132">
        <v>-5.6030669419050438E-3</v>
      </c>
    </row>
    <row r="1254" spans="5:13" x14ac:dyDescent="0.55000000000000004">
      <c r="E1254" s="143">
        <v>43809</v>
      </c>
      <c r="F1254" s="142">
        <v>3132.52</v>
      </c>
      <c r="K1254" s="132">
        <v>-6.6938734093727748E-3</v>
      </c>
      <c r="M1254" s="132">
        <v>-6.6938734093727748E-3</v>
      </c>
    </row>
    <row r="1255" spans="5:13" x14ac:dyDescent="0.55000000000000004">
      <c r="E1255" s="143">
        <v>43810</v>
      </c>
      <c r="F1255" s="142">
        <v>3141.63</v>
      </c>
      <c r="K1255" s="132">
        <v>-3.8051388400034414E-3</v>
      </c>
      <c r="M1255" s="132">
        <v>-3.8051388400034414E-3</v>
      </c>
    </row>
    <row r="1256" spans="5:13" x14ac:dyDescent="0.55000000000000004">
      <c r="E1256" s="143">
        <v>43811</v>
      </c>
      <c r="F1256" s="142">
        <v>3168.57</v>
      </c>
      <c r="K1256" s="132">
        <v>0</v>
      </c>
      <c r="M1256" s="132">
        <v>0</v>
      </c>
    </row>
    <row r="1257" spans="5:13" x14ac:dyDescent="0.55000000000000004">
      <c r="E1257" s="143">
        <v>43812</v>
      </c>
      <c r="F1257" s="142">
        <v>3168.8</v>
      </c>
      <c r="K1257" s="132">
        <v>0</v>
      </c>
      <c r="M1257" s="132">
        <v>0</v>
      </c>
    </row>
    <row r="1258" spans="5:13" x14ac:dyDescent="0.55000000000000004">
      <c r="E1258" s="143">
        <v>43815</v>
      </c>
      <c r="F1258" s="142">
        <v>3191.45</v>
      </c>
      <c r="K1258" s="132">
        <v>0</v>
      </c>
      <c r="M1258" s="132">
        <v>0</v>
      </c>
    </row>
    <row r="1259" spans="5:13" x14ac:dyDescent="0.55000000000000004">
      <c r="E1259" s="143">
        <v>43816</v>
      </c>
      <c r="F1259" s="142">
        <v>3192.52</v>
      </c>
      <c r="K1259" s="132">
        <v>0</v>
      </c>
      <c r="M1259" s="132">
        <v>0</v>
      </c>
    </row>
    <row r="1260" spans="5:13" x14ac:dyDescent="0.55000000000000004">
      <c r="E1260" s="143">
        <v>43817</v>
      </c>
      <c r="F1260" s="142">
        <v>3191.14</v>
      </c>
      <c r="K1260" s="132">
        <v>-4.3226040870536497E-4</v>
      </c>
      <c r="M1260" s="132">
        <v>-4.3226040870536497E-4</v>
      </c>
    </row>
    <row r="1261" spans="5:13" x14ac:dyDescent="0.55000000000000004">
      <c r="E1261" s="143">
        <v>43818</v>
      </c>
      <c r="F1261" s="142">
        <v>3205.37</v>
      </c>
      <c r="K1261" s="132">
        <v>0</v>
      </c>
      <c r="M1261" s="132">
        <v>0</v>
      </c>
    </row>
    <row r="1262" spans="5:13" x14ac:dyDescent="0.55000000000000004">
      <c r="E1262" s="143">
        <v>43819</v>
      </c>
      <c r="F1262" s="142">
        <v>3221.22</v>
      </c>
      <c r="K1262" s="132">
        <v>0</v>
      </c>
      <c r="M1262" s="132">
        <v>0</v>
      </c>
    </row>
    <row r="1263" spans="5:13" x14ac:dyDescent="0.55000000000000004">
      <c r="E1263" s="143">
        <v>43822</v>
      </c>
      <c r="F1263" s="142">
        <v>3224.01</v>
      </c>
      <c r="K1263" s="132">
        <v>0</v>
      </c>
      <c r="M1263" s="132">
        <v>0</v>
      </c>
    </row>
    <row r="1264" spans="5:13" x14ac:dyDescent="0.55000000000000004">
      <c r="E1264" s="143">
        <v>43823</v>
      </c>
      <c r="F1264" s="142">
        <v>3223.38</v>
      </c>
      <c r="K1264" s="132">
        <v>-1.9540882317370389E-4</v>
      </c>
      <c r="M1264" s="132">
        <v>-1.9540882317370389E-4</v>
      </c>
    </row>
    <row r="1265" spans="5:13" x14ac:dyDescent="0.55000000000000004">
      <c r="E1265" s="143">
        <v>43825</v>
      </c>
      <c r="F1265" s="142">
        <v>3239.91</v>
      </c>
      <c r="K1265" s="132">
        <v>0</v>
      </c>
      <c r="M1265" s="132">
        <v>0</v>
      </c>
    </row>
    <row r="1266" spans="5:13" x14ac:dyDescent="0.55000000000000004">
      <c r="E1266" s="143">
        <v>43826</v>
      </c>
      <c r="F1266" s="142">
        <v>3240.02</v>
      </c>
      <c r="K1266" s="132">
        <v>0</v>
      </c>
      <c r="M1266" s="132">
        <v>0</v>
      </c>
    </row>
    <row r="1267" spans="5:13" x14ac:dyDescent="0.55000000000000004">
      <c r="E1267" s="143">
        <v>43829</v>
      </c>
      <c r="F1267" s="142">
        <v>3221.29</v>
      </c>
      <c r="K1267" s="132">
        <v>-5.7808285134042237E-3</v>
      </c>
      <c r="M1267" s="132">
        <v>-5.7808285134042237E-3</v>
      </c>
    </row>
    <row r="1268" spans="5:13" x14ac:dyDescent="0.55000000000000004">
      <c r="E1268" s="143">
        <v>43830</v>
      </c>
      <c r="F1268" s="142">
        <v>3230.78</v>
      </c>
      <c r="K1268" s="132">
        <v>-2.8518342479366687E-3</v>
      </c>
      <c r="M1268" s="132">
        <v>-2.8518342479366687E-3</v>
      </c>
    </row>
  </sheetData>
  <pageMargins left="0.511811024" right="0.511811024" top="0.78740157499999996" bottom="0.78740157499999996" header="0.31496062000000002" footer="0.31496062000000002"/>
  <drawing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2DF89-2FD2-4A27-B651-1792EA2EF4D1}">
  <sheetPr codeName="Planilha88">
    <tabColor theme="9" tint="0.59999389629810485"/>
  </sheetPr>
  <dimension ref="A1:V45"/>
  <sheetViews>
    <sheetView showGridLines="0" workbookViewId="0">
      <selection activeCell="P8" sqref="P8"/>
    </sheetView>
  </sheetViews>
  <sheetFormatPr defaultColWidth="8.796875" defaultRowHeight="18" x14ac:dyDescent="0.55000000000000004"/>
  <cols>
    <col min="1" max="1" width="12.6640625" style="17" customWidth="1"/>
    <col min="2" max="2" width="55" customWidth="1"/>
    <col min="5" max="6" width="12.33203125" bestFit="1" customWidth="1"/>
    <col min="16" max="16" width="11.33203125" style="15" bestFit="1" customWidth="1"/>
    <col min="17" max="22" width="8.796875" style="15"/>
    <col min="23" max="24" width="12.33203125" bestFit="1" customWidth="1"/>
  </cols>
  <sheetData>
    <row r="1" spans="1:22" x14ac:dyDescent="0.55000000000000004">
      <c r="A1" s="16" t="s">
        <v>1044</v>
      </c>
      <c r="P1" s="14"/>
      <c r="Q1" s="14"/>
      <c r="R1" s="14"/>
      <c r="S1" s="14"/>
      <c r="T1" s="14"/>
      <c r="U1" s="14"/>
      <c r="V1" s="14"/>
    </row>
    <row r="2" spans="1:22" x14ac:dyDescent="0.55000000000000004">
      <c r="A2" s="17" t="s">
        <v>1045</v>
      </c>
      <c r="P2" s="14"/>
      <c r="Q2" s="14"/>
      <c r="R2" s="14"/>
      <c r="S2" s="14"/>
      <c r="T2" s="14"/>
      <c r="U2" s="14"/>
      <c r="V2" s="14"/>
    </row>
    <row r="4" spans="1:22" ht="15.75" x14ac:dyDescent="0.5">
      <c r="A4" s="2" t="s">
        <v>15</v>
      </c>
      <c r="B4" s="2" t="s">
        <v>16</v>
      </c>
    </row>
    <row r="5" spans="1:22" ht="110.25" x14ac:dyDescent="0.45">
      <c r="A5" s="23" t="s">
        <v>1242</v>
      </c>
      <c r="B5" s="26" t="s">
        <v>1243</v>
      </c>
    </row>
    <row r="6" spans="1:22" ht="15.75" x14ac:dyDescent="0.45">
      <c r="A6" s="23" t="s">
        <v>1062</v>
      </c>
      <c r="B6" s="26" t="s">
        <v>1063</v>
      </c>
    </row>
    <row r="7" spans="1:22" ht="15.75" x14ac:dyDescent="0.5">
      <c r="A7" s="19"/>
      <c r="B7" s="18"/>
    </row>
    <row r="8" spans="1:22" x14ac:dyDescent="0.55000000000000004">
      <c r="D8" s="1" t="s">
        <v>17</v>
      </c>
      <c r="E8" s="13" t="s">
        <v>244</v>
      </c>
      <c r="F8" s="12">
        <v>1</v>
      </c>
      <c r="G8" s="12">
        <v>0</v>
      </c>
      <c r="H8" s="12">
        <v>3</v>
      </c>
      <c r="M8" s="13" t="s">
        <v>1062</v>
      </c>
      <c r="N8" s="12"/>
      <c r="P8" s="15" cm="1">
        <f t="array" ref="P8:R10">_xlfn.LAMBDA(_xlop.a,_xlop.default, _xlfn.LET(_xlpm.default, IF(OR(_xlfn.ISOMITTED(_xlpm.default), ISBLANK(_xlpm.default)), 0, _xlpm.default), IF(OR(_xlfn.ISOMITTED(_xlpm.a), ISBLANK(_xlpm.a)), _xlfn.HSTACK({0,0}, _xlpm.default), _xlfn.LET(_xlpm.elems, VEC(_xlpm.a), _xlpm.linCol, REPMAT(_xlfn.SEQUENCE(ROWS(_xlpm.a), 1), COLUMNS(_xlpm.a), 1, FALSE), _xlpm.colCol, REPMAT(_xlfn.SEQUENCE(COLUMNS(_xlpm.a), 1), ROWS(_xlpm.a), 1, TRUE), _xlpm.final, _xlfn.HSTACK(_xlpm.linCol, _xlpm.colCol, _xlpm.elems), _xlpm.filtered, _xlfn._xlws.FILTER(_xlpm.final, _xlpm.elems &lt;&gt; _xlpm.default), _xlpm.head, _xlfn.EXPAND(TRANSPOSE(DIM(_xlpm.a)), 1, 3, _xlpm.default), IF(ISERR(INDEX(_xlpm.filtered, 1, 1)), _xlpm.head, _xlfn.VSTACK(_xlpm.head, _xlpm.filtered))))))(F8:H8, N8)</f>
        <v>1</v>
      </c>
      <c r="Q8" s="15">
        <v>3</v>
      </c>
      <c r="R8" s="15">
        <v>0</v>
      </c>
    </row>
    <row r="9" spans="1:22" x14ac:dyDescent="0.55000000000000004">
      <c r="P9" s="15">
        <v>1</v>
      </c>
      <c r="Q9" s="15">
        <v>1</v>
      </c>
      <c r="R9" s="15">
        <v>1</v>
      </c>
    </row>
    <row r="10" spans="1:22" x14ac:dyDescent="0.55000000000000004">
      <c r="P10" s="15">
        <v>1</v>
      </c>
      <c r="Q10" s="15">
        <v>3</v>
      </c>
      <c r="R10" s="15">
        <v>3</v>
      </c>
    </row>
    <row r="13" spans="1:22" x14ac:dyDescent="0.55000000000000004">
      <c r="D13" s="1" t="s">
        <v>17</v>
      </c>
      <c r="E13" s="13" t="s">
        <v>244</v>
      </c>
      <c r="F13" s="12">
        <v>1</v>
      </c>
      <c r="G13" s="12">
        <v>0</v>
      </c>
      <c r="H13" s="12">
        <v>3</v>
      </c>
      <c r="M13" s="13" t="s">
        <v>1062</v>
      </c>
      <c r="N13" s="12"/>
      <c r="P13" s="15" cm="1">
        <f t="array" ref="P13:R18">SPARSE(F13:H15,N13)</f>
        <v>3</v>
      </c>
      <c r="Q13" s="15">
        <v>3</v>
      </c>
      <c r="R13" s="15">
        <v>0</v>
      </c>
    </row>
    <row r="14" spans="1:22" x14ac:dyDescent="0.55000000000000004">
      <c r="F14" s="12">
        <v>4</v>
      </c>
      <c r="G14" s="12">
        <v>0</v>
      </c>
      <c r="H14" s="12">
        <v>0</v>
      </c>
      <c r="P14" s="15">
        <v>1</v>
      </c>
      <c r="Q14" s="15">
        <v>1</v>
      </c>
      <c r="R14" s="15">
        <v>1</v>
      </c>
    </row>
    <row r="15" spans="1:22" x14ac:dyDescent="0.55000000000000004">
      <c r="F15" s="12">
        <v>7</v>
      </c>
      <c r="G15" s="12">
        <v>8</v>
      </c>
      <c r="H15" s="12">
        <v>0</v>
      </c>
      <c r="P15" s="15">
        <v>2</v>
      </c>
      <c r="Q15" s="15">
        <v>1</v>
      </c>
      <c r="R15" s="15">
        <v>4</v>
      </c>
    </row>
    <row r="16" spans="1:22" x14ac:dyDescent="0.55000000000000004">
      <c r="P16" s="15">
        <v>3</v>
      </c>
      <c r="Q16" s="15">
        <v>1</v>
      </c>
      <c r="R16" s="15">
        <v>7</v>
      </c>
    </row>
    <row r="17" spans="1:22" x14ac:dyDescent="0.55000000000000004">
      <c r="P17" s="15">
        <v>3</v>
      </c>
      <c r="Q17" s="15">
        <v>2</v>
      </c>
      <c r="R17" s="15">
        <v>8</v>
      </c>
    </row>
    <row r="18" spans="1:22" x14ac:dyDescent="0.55000000000000004">
      <c r="P18" s="15">
        <v>1</v>
      </c>
      <c r="Q18" s="15">
        <v>3</v>
      </c>
      <c r="R18" s="15">
        <v>3</v>
      </c>
    </row>
    <row r="21" spans="1:22" s="21" customFormat="1" x14ac:dyDescent="0.55000000000000004">
      <c r="A21" s="17"/>
      <c r="B21"/>
      <c r="C21"/>
      <c r="D21" s="1" t="s">
        <v>17</v>
      </c>
      <c r="E21" s="13" t="s">
        <v>244</v>
      </c>
      <c r="F21" s="12">
        <v>1</v>
      </c>
      <c r="G21" s="12">
        <v>2</v>
      </c>
      <c r="H21" s="12">
        <v>3</v>
      </c>
      <c r="I21" s="12">
        <v>4</v>
      </c>
      <c r="J21" s="12">
        <v>5</v>
      </c>
      <c r="K21" s="12">
        <v>6</v>
      </c>
      <c r="L21"/>
      <c r="M21" s="13" t="s">
        <v>1062</v>
      </c>
      <c r="N21" s="12"/>
      <c r="O21"/>
      <c r="P21" s="15" cm="1">
        <f t="array" ref="P21:R45">SPARSE(F21:K24,N21)</f>
        <v>4</v>
      </c>
      <c r="Q21" s="15">
        <v>6</v>
      </c>
      <c r="R21" s="15">
        <v>0</v>
      </c>
      <c r="S21" s="15"/>
      <c r="T21" s="15"/>
      <c r="U21" s="15"/>
      <c r="V21" s="15"/>
    </row>
    <row r="22" spans="1:22" s="21" customFormat="1" x14ac:dyDescent="0.55000000000000004">
      <c r="A22" s="17"/>
      <c r="B22"/>
      <c r="C22"/>
      <c r="D22"/>
      <c r="E22"/>
      <c r="F22" s="12">
        <v>7</v>
      </c>
      <c r="G22" s="12">
        <v>8</v>
      </c>
      <c r="H22" s="12">
        <v>9</v>
      </c>
      <c r="I22" s="12">
        <v>10</v>
      </c>
      <c r="J22" s="12">
        <v>11</v>
      </c>
      <c r="K22" s="12">
        <v>12</v>
      </c>
      <c r="L22"/>
      <c r="M22"/>
      <c r="N22"/>
      <c r="O22"/>
      <c r="P22" s="15">
        <v>1</v>
      </c>
      <c r="Q22" s="15">
        <v>1</v>
      </c>
      <c r="R22" s="15">
        <v>1</v>
      </c>
      <c r="S22" s="15"/>
      <c r="T22" s="15"/>
      <c r="U22" s="15"/>
      <c r="V22" s="15"/>
    </row>
    <row r="23" spans="1:22" s="21" customFormat="1" x14ac:dyDescent="0.55000000000000004">
      <c r="A23" s="17"/>
      <c r="B23"/>
      <c r="C23"/>
      <c r="D23"/>
      <c r="E23"/>
      <c r="F23" s="12">
        <v>13</v>
      </c>
      <c r="G23" s="12">
        <v>14</v>
      </c>
      <c r="H23" s="12">
        <v>15</v>
      </c>
      <c r="I23" s="12">
        <v>16</v>
      </c>
      <c r="J23" s="12">
        <v>17</v>
      </c>
      <c r="K23" s="12">
        <v>18</v>
      </c>
      <c r="L23"/>
      <c r="M23"/>
      <c r="N23"/>
      <c r="O23"/>
      <c r="P23" s="15">
        <v>2</v>
      </c>
      <c r="Q23" s="15">
        <v>1</v>
      </c>
      <c r="R23" s="15">
        <v>7</v>
      </c>
      <c r="S23" s="15"/>
      <c r="T23" s="15"/>
      <c r="U23" s="15"/>
      <c r="V23" s="15"/>
    </row>
    <row r="24" spans="1:22" s="21" customFormat="1" x14ac:dyDescent="0.55000000000000004">
      <c r="A24" s="17"/>
      <c r="B24"/>
      <c r="C24"/>
      <c r="D24"/>
      <c r="E24"/>
      <c r="F24" s="12">
        <v>19</v>
      </c>
      <c r="G24" s="12">
        <v>20</v>
      </c>
      <c r="H24" s="12">
        <v>21</v>
      </c>
      <c r="I24" s="12">
        <v>22</v>
      </c>
      <c r="J24" s="12">
        <v>23</v>
      </c>
      <c r="K24" s="12">
        <v>24</v>
      </c>
      <c r="L24"/>
      <c r="M24"/>
      <c r="N24"/>
      <c r="O24"/>
      <c r="P24" s="15">
        <v>3</v>
      </c>
      <c r="Q24" s="15">
        <v>1</v>
      </c>
      <c r="R24" s="15">
        <v>13</v>
      </c>
      <c r="S24" s="15"/>
      <c r="T24" s="15"/>
      <c r="U24" s="15"/>
      <c r="V24" s="15"/>
    </row>
    <row r="25" spans="1:22" x14ac:dyDescent="0.55000000000000004">
      <c r="P25" s="15">
        <v>4</v>
      </c>
      <c r="Q25" s="15">
        <v>1</v>
      </c>
      <c r="R25" s="15">
        <v>19</v>
      </c>
    </row>
    <row r="26" spans="1:22" s="21" customFormat="1" x14ac:dyDescent="0.55000000000000004">
      <c r="A26" s="17"/>
      <c r="B26"/>
      <c r="C26"/>
      <c r="D26"/>
      <c r="E26"/>
      <c r="F26"/>
      <c r="G26"/>
      <c r="H26"/>
      <c r="I26"/>
      <c r="J26"/>
      <c r="K26"/>
      <c r="L26"/>
      <c r="M26"/>
      <c r="N26"/>
      <c r="O26"/>
      <c r="P26" s="15">
        <v>1</v>
      </c>
      <c r="Q26" s="15">
        <v>2</v>
      </c>
      <c r="R26" s="15">
        <v>2</v>
      </c>
      <c r="S26" s="15"/>
      <c r="T26" s="15"/>
      <c r="U26" s="15"/>
      <c r="V26" s="15"/>
    </row>
    <row r="27" spans="1:22" x14ac:dyDescent="0.55000000000000004">
      <c r="P27" s="15">
        <v>2</v>
      </c>
      <c r="Q27" s="15">
        <v>2</v>
      </c>
      <c r="R27" s="15">
        <v>8</v>
      </c>
    </row>
    <row r="28" spans="1:22" x14ac:dyDescent="0.55000000000000004">
      <c r="P28" s="15">
        <v>3</v>
      </c>
      <c r="Q28" s="15">
        <v>2</v>
      </c>
      <c r="R28" s="15">
        <v>14</v>
      </c>
    </row>
    <row r="29" spans="1:22" x14ac:dyDescent="0.55000000000000004">
      <c r="P29" s="15">
        <v>4</v>
      </c>
      <c r="Q29" s="15">
        <v>2</v>
      </c>
      <c r="R29" s="15">
        <v>20</v>
      </c>
    </row>
    <row r="30" spans="1:22" x14ac:dyDescent="0.55000000000000004">
      <c r="P30" s="15">
        <v>1</v>
      </c>
      <c r="Q30" s="15">
        <v>3</v>
      </c>
      <c r="R30" s="15">
        <v>3</v>
      </c>
    </row>
    <row r="31" spans="1:22" x14ac:dyDescent="0.55000000000000004">
      <c r="P31" s="15">
        <v>2</v>
      </c>
      <c r="Q31" s="15">
        <v>3</v>
      </c>
      <c r="R31" s="15">
        <v>9</v>
      </c>
    </row>
    <row r="32" spans="1:22" x14ac:dyDescent="0.55000000000000004">
      <c r="P32" s="15">
        <v>3</v>
      </c>
      <c r="Q32" s="15">
        <v>3</v>
      </c>
      <c r="R32" s="15">
        <v>15</v>
      </c>
    </row>
    <row r="33" spans="16:18" x14ac:dyDescent="0.55000000000000004">
      <c r="P33" s="15">
        <v>4</v>
      </c>
      <c r="Q33" s="15">
        <v>3</v>
      </c>
      <c r="R33" s="15">
        <v>21</v>
      </c>
    </row>
    <row r="34" spans="16:18" x14ac:dyDescent="0.55000000000000004">
      <c r="P34" s="15">
        <v>1</v>
      </c>
      <c r="Q34" s="15">
        <v>4</v>
      </c>
      <c r="R34" s="15">
        <v>4</v>
      </c>
    </row>
    <row r="35" spans="16:18" x14ac:dyDescent="0.55000000000000004">
      <c r="P35" s="15">
        <v>2</v>
      </c>
      <c r="Q35" s="15">
        <v>4</v>
      </c>
      <c r="R35" s="15">
        <v>10</v>
      </c>
    </row>
    <row r="36" spans="16:18" x14ac:dyDescent="0.55000000000000004">
      <c r="P36" s="15">
        <v>3</v>
      </c>
      <c r="Q36" s="15">
        <v>4</v>
      </c>
      <c r="R36" s="15">
        <v>16</v>
      </c>
    </row>
    <row r="37" spans="16:18" x14ac:dyDescent="0.55000000000000004">
      <c r="P37" s="15">
        <v>4</v>
      </c>
      <c r="Q37" s="15">
        <v>4</v>
      </c>
      <c r="R37" s="15">
        <v>22</v>
      </c>
    </row>
    <row r="38" spans="16:18" x14ac:dyDescent="0.55000000000000004">
      <c r="P38" s="15">
        <v>1</v>
      </c>
      <c r="Q38" s="15">
        <v>5</v>
      </c>
      <c r="R38" s="15">
        <v>5</v>
      </c>
    </row>
    <row r="39" spans="16:18" x14ac:dyDescent="0.55000000000000004">
      <c r="P39" s="15">
        <v>2</v>
      </c>
      <c r="Q39" s="15">
        <v>5</v>
      </c>
      <c r="R39" s="15">
        <v>11</v>
      </c>
    </row>
    <row r="40" spans="16:18" x14ac:dyDescent="0.55000000000000004">
      <c r="P40" s="15">
        <v>3</v>
      </c>
      <c r="Q40" s="15">
        <v>5</v>
      </c>
      <c r="R40" s="15">
        <v>17</v>
      </c>
    </row>
    <row r="41" spans="16:18" x14ac:dyDescent="0.55000000000000004">
      <c r="P41" s="15">
        <v>4</v>
      </c>
      <c r="Q41" s="15">
        <v>5</v>
      </c>
      <c r="R41" s="15">
        <v>23</v>
      </c>
    </row>
    <row r="42" spans="16:18" x14ac:dyDescent="0.55000000000000004">
      <c r="P42" s="15">
        <v>1</v>
      </c>
      <c r="Q42" s="15">
        <v>6</v>
      </c>
      <c r="R42" s="15">
        <v>6</v>
      </c>
    </row>
    <row r="43" spans="16:18" x14ac:dyDescent="0.55000000000000004">
      <c r="P43" s="15">
        <v>2</v>
      </c>
      <c r="Q43" s="15">
        <v>6</v>
      </c>
      <c r="R43" s="15">
        <v>12</v>
      </c>
    </row>
    <row r="44" spans="16:18" x14ac:dyDescent="0.55000000000000004">
      <c r="P44" s="15">
        <v>3</v>
      </c>
      <c r="Q44" s="15">
        <v>6</v>
      </c>
      <c r="R44" s="15">
        <v>18</v>
      </c>
    </row>
    <row r="45" spans="16:18" x14ac:dyDescent="0.55000000000000004">
      <c r="P45" s="15">
        <v>4</v>
      </c>
      <c r="Q45" s="15">
        <v>6</v>
      </c>
      <c r="R45" s="15">
        <v>24</v>
      </c>
    </row>
  </sheetData>
  <pageMargins left="0.511811024" right="0.511811024" top="0.78740157499999996" bottom="0.78740157499999996" header="0.31496062000000002" footer="0.3149606200000000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FAA00-54ED-4839-8B0B-C88EEF569666}">
  <sheetPr codeName="Planilha89">
    <tabColor theme="9" tint="0.59999389629810485"/>
  </sheetPr>
  <dimension ref="A1:P45"/>
  <sheetViews>
    <sheetView showGridLines="0" workbookViewId="0"/>
  </sheetViews>
  <sheetFormatPr defaultColWidth="8.796875" defaultRowHeight="18" x14ac:dyDescent="0.55000000000000004"/>
  <cols>
    <col min="1" max="1" width="12.6640625" style="17" customWidth="1"/>
    <col min="2" max="2" width="55" customWidth="1"/>
    <col min="5" max="6" width="12.33203125" bestFit="1" customWidth="1"/>
    <col min="9" max="9" width="6.1328125" customWidth="1"/>
    <col min="10" max="10" width="11.33203125" style="15" bestFit="1" customWidth="1"/>
    <col min="11" max="16" width="8.796875" style="15"/>
    <col min="17" max="18" width="12.33203125" bestFit="1" customWidth="1"/>
  </cols>
  <sheetData>
    <row r="1" spans="1:16" x14ac:dyDescent="0.55000000000000004">
      <c r="A1" s="16" t="s">
        <v>1046</v>
      </c>
      <c r="J1" s="14"/>
      <c r="K1" s="14"/>
      <c r="L1" s="14"/>
      <c r="M1" s="14"/>
      <c r="N1" s="14"/>
      <c r="O1" s="14"/>
      <c r="P1" s="14"/>
    </row>
    <row r="2" spans="1:16" x14ac:dyDescent="0.55000000000000004">
      <c r="A2" s="17" t="s">
        <v>1047</v>
      </c>
      <c r="J2" s="14"/>
      <c r="K2" s="14"/>
      <c r="L2" s="14"/>
      <c r="M2" s="14"/>
      <c r="N2" s="14"/>
      <c r="O2" s="14"/>
      <c r="P2" s="14"/>
    </row>
    <row r="4" spans="1:16" ht="15.75" x14ac:dyDescent="0.5">
      <c r="A4" s="2" t="s">
        <v>15</v>
      </c>
      <c r="B4" s="2" t="s">
        <v>16</v>
      </c>
    </row>
    <row r="5" spans="1:16" ht="130.5" customHeight="1" x14ac:dyDescent="0.45">
      <c r="A5" s="23" t="s">
        <v>1048</v>
      </c>
      <c r="B5" s="26" t="s">
        <v>1071</v>
      </c>
    </row>
    <row r="6" spans="1:16" ht="15.75" x14ac:dyDescent="0.45">
      <c r="A6" s="23"/>
      <c r="B6" s="26"/>
    </row>
    <row r="7" spans="1:16" ht="15.75" x14ac:dyDescent="0.5">
      <c r="A7" s="19"/>
      <c r="B7" s="18"/>
    </row>
    <row r="8" spans="1:16" x14ac:dyDescent="0.55000000000000004">
      <c r="D8" s="1" t="s">
        <v>17</v>
      </c>
      <c r="E8" s="13" t="s">
        <v>1048</v>
      </c>
      <c r="F8" s="12">
        <v>1</v>
      </c>
      <c r="G8" s="12">
        <v>3</v>
      </c>
      <c r="H8" s="12">
        <v>0</v>
      </c>
      <c r="J8" s="15" cm="1">
        <f t="array" ref="J8:L8">_xlfn.LAMBDA(_xlpm.s, _xlfn.LET(_xlpm.n, INDEX(_xlpm.s, 1, 1), _xlpm.m, INDEX(_xlpm.s, 1, 2), _xlpm.default, INDEX(_xlpm.s, 1, 3), IF(OR(_xlpm.n = 0, _xlpm.m = 0), #NULL!, _xlfn.LET(_xlpm.s, _xlfn.DROP(_xlpm.s, 1, 0), _xlpm.idxsLin, INDEX(_xlpm.s, 0, 1), _xlpm.idxsCol, INDEX(_xlpm.s, 0, 2), _xlpm.baseMatrix, _xlfn.EXPAND(_xlpm.default, _xlpm.n, _xlpm.m, _xlpm.default), _xlpm.final, IF(ISERR(INDEX(_xlpm.s, 1, 1)), _xlpm.baseMatrix, _xlfn.REDUCE(_xlpm.baseMatrix, _xlfn.SEQUENCE(ROWS(_xlpm.s)), _xlfn.LAMBDA(_xlpm.accum,_xlpm.x, _xlfn.LET(_xlpm.lin, INDEX(_xlpm.idxsLin, _xlpm.x, 1), _xlpm.col, INDEX(_xlpm.idxsCol, _xlpm.x, 1), SLICE(_xlpm.accum, _xlpm.lin, _xlpm.lin, _xlpm.col, _xlpm.col, INDEX(_xlpm.s, _xlpm.x, 3)))))), _xlpm.final))))($F$8:$H$10)</f>
        <v>1</v>
      </c>
      <c r="K8" s="15">
        <v>0</v>
      </c>
      <c r="L8" s="15">
        <v>3</v>
      </c>
    </row>
    <row r="9" spans="1:16" x14ac:dyDescent="0.55000000000000004">
      <c r="F9" s="12">
        <v>1</v>
      </c>
      <c r="G9" s="12">
        <v>1</v>
      </c>
      <c r="H9" s="12">
        <v>1</v>
      </c>
    </row>
    <row r="10" spans="1:16" x14ac:dyDescent="0.55000000000000004">
      <c r="F10" s="12">
        <v>1</v>
      </c>
      <c r="G10" s="12">
        <v>3</v>
      </c>
      <c r="H10" s="12">
        <v>3</v>
      </c>
    </row>
    <row r="13" spans="1:16" x14ac:dyDescent="0.55000000000000004">
      <c r="D13" s="1" t="s">
        <v>17</v>
      </c>
      <c r="E13" s="13" t="s">
        <v>1048</v>
      </c>
      <c r="F13" s="12">
        <v>3</v>
      </c>
      <c r="G13" s="12">
        <v>3</v>
      </c>
      <c r="H13" s="12">
        <v>0</v>
      </c>
      <c r="J13" s="15" cm="1">
        <f t="array" ref="J13:L15">_xludf.FULL($F$13:$H$18)</f>
        <v>1</v>
      </c>
      <c r="K13" s="15">
        <v>0</v>
      </c>
      <c r="L13" s="15">
        <v>3</v>
      </c>
    </row>
    <row r="14" spans="1:16" x14ac:dyDescent="0.55000000000000004">
      <c r="F14" s="12">
        <v>1</v>
      </c>
      <c r="G14" s="12">
        <v>1</v>
      </c>
      <c r="H14" s="12">
        <v>1</v>
      </c>
      <c r="J14" s="15">
        <v>4</v>
      </c>
      <c r="K14" s="15">
        <v>0</v>
      </c>
      <c r="L14" s="15">
        <v>0</v>
      </c>
    </row>
    <row r="15" spans="1:16" x14ac:dyDescent="0.55000000000000004">
      <c r="F15" s="12">
        <v>2</v>
      </c>
      <c r="G15" s="12">
        <v>1</v>
      </c>
      <c r="H15" s="12">
        <v>4</v>
      </c>
      <c r="J15" s="15">
        <v>7</v>
      </c>
      <c r="K15" s="15">
        <v>8</v>
      </c>
      <c r="L15" s="15">
        <v>0</v>
      </c>
    </row>
    <row r="16" spans="1:16" x14ac:dyDescent="0.55000000000000004">
      <c r="F16" s="12">
        <v>3</v>
      </c>
      <c r="G16" s="12">
        <v>1</v>
      </c>
      <c r="H16" s="12">
        <v>7</v>
      </c>
    </row>
    <row r="17" spans="1:16" x14ac:dyDescent="0.55000000000000004">
      <c r="F17" s="12">
        <v>3</v>
      </c>
      <c r="G17" s="12">
        <v>2</v>
      </c>
      <c r="H17" s="12">
        <v>8</v>
      </c>
    </row>
    <row r="18" spans="1:16" x14ac:dyDescent="0.55000000000000004">
      <c r="F18" s="12">
        <v>1</v>
      </c>
      <c r="G18" s="12">
        <v>3</v>
      </c>
      <c r="H18" s="12">
        <v>3</v>
      </c>
    </row>
    <row r="21" spans="1:16" s="21" customFormat="1" x14ac:dyDescent="0.55000000000000004">
      <c r="A21" s="17"/>
      <c r="B21"/>
      <c r="C21"/>
      <c r="D21" s="1" t="s">
        <v>17</v>
      </c>
      <c r="E21" s="13" t="s">
        <v>1048</v>
      </c>
      <c r="F21" s="12">
        <v>4</v>
      </c>
      <c r="G21" s="12">
        <v>6</v>
      </c>
      <c r="H21" s="12">
        <v>0</v>
      </c>
      <c r="I21"/>
      <c r="J21" s="15" cm="1">
        <f t="array" ref="J21:O24">_xludf.FULL($F$21:$H$45)</f>
        <v>1</v>
      </c>
      <c r="K21" s="15">
        <v>2</v>
      </c>
      <c r="L21" s="15">
        <v>3</v>
      </c>
      <c r="M21" s="15">
        <v>4</v>
      </c>
      <c r="N21" s="15">
        <v>5</v>
      </c>
      <c r="O21" s="15">
        <v>6</v>
      </c>
      <c r="P21" s="15"/>
    </row>
    <row r="22" spans="1:16" s="21" customFormat="1" x14ac:dyDescent="0.55000000000000004">
      <c r="A22" s="17"/>
      <c r="B22"/>
      <c r="C22"/>
      <c r="D22"/>
      <c r="E22"/>
      <c r="F22" s="12">
        <v>1</v>
      </c>
      <c r="G22" s="12">
        <v>1</v>
      </c>
      <c r="H22" s="12">
        <v>1</v>
      </c>
      <c r="I22"/>
      <c r="J22" s="15">
        <v>7</v>
      </c>
      <c r="K22" s="15">
        <v>8</v>
      </c>
      <c r="L22" s="15">
        <v>9</v>
      </c>
      <c r="M22" s="15">
        <v>10</v>
      </c>
      <c r="N22" s="15">
        <v>11</v>
      </c>
      <c r="O22" s="15">
        <v>12</v>
      </c>
      <c r="P22" s="15"/>
    </row>
    <row r="23" spans="1:16" s="21" customFormat="1" x14ac:dyDescent="0.55000000000000004">
      <c r="A23" s="17"/>
      <c r="B23"/>
      <c r="C23"/>
      <c r="D23"/>
      <c r="E23"/>
      <c r="F23" s="12">
        <v>2</v>
      </c>
      <c r="G23" s="12">
        <v>1</v>
      </c>
      <c r="H23" s="12">
        <v>7</v>
      </c>
      <c r="I23"/>
      <c r="J23" s="15">
        <v>13</v>
      </c>
      <c r="K23" s="15">
        <v>14</v>
      </c>
      <c r="L23" s="15">
        <v>15</v>
      </c>
      <c r="M23" s="15">
        <v>16</v>
      </c>
      <c r="N23" s="15">
        <v>17</v>
      </c>
      <c r="O23" s="15">
        <v>18</v>
      </c>
      <c r="P23" s="15"/>
    </row>
    <row r="24" spans="1:16" s="21" customFormat="1" x14ac:dyDescent="0.55000000000000004">
      <c r="A24" s="17"/>
      <c r="B24"/>
      <c r="C24"/>
      <c r="D24"/>
      <c r="E24"/>
      <c r="F24" s="12">
        <v>3</v>
      </c>
      <c r="G24" s="12">
        <v>1</v>
      </c>
      <c r="H24" s="12">
        <v>13</v>
      </c>
      <c r="I24"/>
      <c r="J24" s="15">
        <v>19</v>
      </c>
      <c r="K24" s="15">
        <v>20</v>
      </c>
      <c r="L24" s="15">
        <v>21</v>
      </c>
      <c r="M24" s="15">
        <v>22</v>
      </c>
      <c r="N24" s="15">
        <v>23</v>
      </c>
      <c r="O24" s="15">
        <v>24</v>
      </c>
      <c r="P24" s="15"/>
    </row>
    <row r="25" spans="1:16" x14ac:dyDescent="0.55000000000000004">
      <c r="F25" s="12">
        <v>4</v>
      </c>
      <c r="G25" s="12">
        <v>1</v>
      </c>
      <c r="H25" s="12">
        <v>19</v>
      </c>
    </row>
    <row r="26" spans="1:16" s="21" customFormat="1" x14ac:dyDescent="0.55000000000000004">
      <c r="A26" s="17"/>
      <c r="B26"/>
      <c r="C26"/>
      <c r="D26"/>
      <c r="E26"/>
      <c r="F26" s="12">
        <v>1</v>
      </c>
      <c r="G26" s="12">
        <v>2</v>
      </c>
      <c r="H26" s="12">
        <v>2</v>
      </c>
      <c r="I26"/>
      <c r="J26" s="15"/>
      <c r="K26" s="15"/>
      <c r="L26" s="15"/>
      <c r="M26" s="15"/>
      <c r="N26" s="15"/>
      <c r="O26" s="15"/>
      <c r="P26" s="15"/>
    </row>
    <row r="27" spans="1:16" x14ac:dyDescent="0.55000000000000004">
      <c r="F27" s="12">
        <v>2</v>
      </c>
      <c r="G27" s="12">
        <v>2</v>
      </c>
      <c r="H27" s="12">
        <v>8</v>
      </c>
    </row>
    <row r="28" spans="1:16" x14ac:dyDescent="0.55000000000000004">
      <c r="F28" s="12">
        <v>3</v>
      </c>
      <c r="G28" s="12">
        <v>2</v>
      </c>
      <c r="H28" s="12">
        <v>14</v>
      </c>
    </row>
    <row r="29" spans="1:16" x14ac:dyDescent="0.55000000000000004">
      <c r="F29" s="12">
        <v>4</v>
      </c>
      <c r="G29" s="12">
        <v>2</v>
      </c>
      <c r="H29" s="12">
        <v>20</v>
      </c>
    </row>
    <row r="30" spans="1:16" x14ac:dyDescent="0.55000000000000004">
      <c r="F30" s="12">
        <v>1</v>
      </c>
      <c r="G30" s="12">
        <v>3</v>
      </c>
      <c r="H30" s="12">
        <v>3</v>
      </c>
    </row>
    <row r="31" spans="1:16" x14ac:dyDescent="0.55000000000000004">
      <c r="F31" s="12">
        <v>2</v>
      </c>
      <c r="G31" s="12">
        <v>3</v>
      </c>
      <c r="H31" s="12">
        <v>9</v>
      </c>
    </row>
    <row r="32" spans="1:16" x14ac:dyDescent="0.55000000000000004">
      <c r="F32" s="12">
        <v>3</v>
      </c>
      <c r="G32" s="12">
        <v>3</v>
      </c>
      <c r="H32" s="12">
        <v>15</v>
      </c>
    </row>
    <row r="33" spans="6:8" x14ac:dyDescent="0.55000000000000004">
      <c r="F33" s="12">
        <v>4</v>
      </c>
      <c r="G33" s="12">
        <v>3</v>
      </c>
      <c r="H33" s="12">
        <v>21</v>
      </c>
    </row>
    <row r="34" spans="6:8" x14ac:dyDescent="0.55000000000000004">
      <c r="F34" s="12">
        <v>1</v>
      </c>
      <c r="G34" s="12">
        <v>4</v>
      </c>
      <c r="H34" s="12">
        <v>4</v>
      </c>
    </row>
    <row r="35" spans="6:8" x14ac:dyDescent="0.55000000000000004">
      <c r="F35" s="12">
        <v>2</v>
      </c>
      <c r="G35" s="12">
        <v>4</v>
      </c>
      <c r="H35" s="12">
        <v>10</v>
      </c>
    </row>
    <row r="36" spans="6:8" x14ac:dyDescent="0.55000000000000004">
      <c r="F36" s="12">
        <v>3</v>
      </c>
      <c r="G36" s="12">
        <v>4</v>
      </c>
      <c r="H36" s="12">
        <v>16</v>
      </c>
    </row>
    <row r="37" spans="6:8" x14ac:dyDescent="0.55000000000000004">
      <c r="F37" s="12">
        <v>4</v>
      </c>
      <c r="G37" s="12">
        <v>4</v>
      </c>
      <c r="H37" s="12">
        <v>22</v>
      </c>
    </row>
    <row r="38" spans="6:8" x14ac:dyDescent="0.55000000000000004">
      <c r="F38" s="12">
        <v>1</v>
      </c>
      <c r="G38" s="12">
        <v>5</v>
      </c>
      <c r="H38" s="12">
        <v>5</v>
      </c>
    </row>
    <row r="39" spans="6:8" x14ac:dyDescent="0.55000000000000004">
      <c r="F39" s="12">
        <v>2</v>
      </c>
      <c r="G39" s="12">
        <v>5</v>
      </c>
      <c r="H39" s="12">
        <v>11</v>
      </c>
    </row>
    <row r="40" spans="6:8" x14ac:dyDescent="0.55000000000000004">
      <c r="F40" s="12">
        <v>3</v>
      </c>
      <c r="G40" s="12">
        <v>5</v>
      </c>
      <c r="H40" s="12">
        <v>17</v>
      </c>
    </row>
    <row r="41" spans="6:8" x14ac:dyDescent="0.55000000000000004">
      <c r="F41" s="12">
        <v>4</v>
      </c>
      <c r="G41" s="12">
        <v>5</v>
      </c>
      <c r="H41" s="12">
        <v>23</v>
      </c>
    </row>
    <row r="42" spans="6:8" x14ac:dyDescent="0.55000000000000004">
      <c r="F42" s="12">
        <v>1</v>
      </c>
      <c r="G42" s="12">
        <v>6</v>
      </c>
      <c r="H42" s="12">
        <v>6</v>
      </c>
    </row>
    <row r="43" spans="6:8" x14ac:dyDescent="0.55000000000000004">
      <c r="F43" s="12">
        <v>2</v>
      </c>
      <c r="G43" s="12">
        <v>6</v>
      </c>
      <c r="H43" s="12">
        <v>12</v>
      </c>
    </row>
    <row r="44" spans="6:8" x14ac:dyDescent="0.55000000000000004">
      <c r="F44" s="12">
        <v>3</v>
      </c>
      <c r="G44" s="12">
        <v>6</v>
      </c>
      <c r="H44" s="12">
        <v>18</v>
      </c>
    </row>
    <row r="45" spans="6:8" x14ac:dyDescent="0.55000000000000004">
      <c r="F45" s="12">
        <v>4</v>
      </c>
      <c r="G45" s="12">
        <v>6</v>
      </c>
      <c r="H45" s="12">
        <v>24</v>
      </c>
    </row>
  </sheetData>
  <pageMargins left="0.511811024" right="0.511811024" top="0.78740157499999996" bottom="0.78740157499999996" header="0.31496062000000002" footer="0.3149606200000000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C9F91-E44A-403C-95FD-258085053518}">
  <sheetPr codeName="Planilha87">
    <tabColor theme="9" tint="0.59999389629810485"/>
  </sheetPr>
  <dimension ref="A1:P110"/>
  <sheetViews>
    <sheetView showGridLines="0" workbookViewId="0">
      <selection activeCell="H11" sqref="H11"/>
    </sheetView>
  </sheetViews>
  <sheetFormatPr defaultColWidth="8.796875" defaultRowHeight="18" x14ac:dyDescent="0.55000000000000004"/>
  <cols>
    <col min="1" max="1" width="12.6640625" style="17" customWidth="1"/>
    <col min="2" max="2" width="30.796875" customWidth="1"/>
    <col min="8" max="8" width="11.33203125" style="15" bestFit="1" customWidth="1"/>
    <col min="9" max="9" width="8.796875" style="15"/>
    <col min="15" max="16" width="8.796875" style="15"/>
  </cols>
  <sheetData>
    <row r="1" spans="1:15" x14ac:dyDescent="0.55000000000000004">
      <c r="A1" s="16" t="s">
        <v>1080</v>
      </c>
      <c r="H1" s="14"/>
      <c r="I1" s="14"/>
      <c r="O1" s="14"/>
    </row>
    <row r="2" spans="1:15" x14ac:dyDescent="0.55000000000000004">
      <c r="A2" s="17" t="s">
        <v>1081</v>
      </c>
      <c r="H2" s="14"/>
      <c r="I2" s="14"/>
      <c r="O2" s="14"/>
    </row>
    <row r="3" spans="1:15" x14ac:dyDescent="0.55000000000000004">
      <c r="O3" s="27"/>
    </row>
    <row r="4" spans="1:15" ht="15.75" x14ac:dyDescent="0.5">
      <c r="A4" s="2" t="s">
        <v>15</v>
      </c>
      <c r="B4" s="2" t="s">
        <v>16</v>
      </c>
      <c r="O4" s="27"/>
    </row>
    <row r="5" spans="1:15" ht="15.75" x14ac:dyDescent="0.45">
      <c r="A5" s="23" t="s">
        <v>108</v>
      </c>
      <c r="B5" s="26" t="s">
        <v>1084</v>
      </c>
      <c r="O5" s="27"/>
    </row>
    <row r="6" spans="1:15" ht="15.75" x14ac:dyDescent="0.45">
      <c r="A6" s="23" t="s">
        <v>109</v>
      </c>
      <c r="B6" s="26" t="s">
        <v>1085</v>
      </c>
      <c r="O6" s="27"/>
    </row>
    <row r="7" spans="1:15" ht="15.75" x14ac:dyDescent="0.45">
      <c r="A7" s="23" t="s">
        <v>1082</v>
      </c>
      <c r="B7" s="26" t="s">
        <v>1083</v>
      </c>
      <c r="O7" s="27"/>
    </row>
    <row r="8" spans="1:15" x14ac:dyDescent="0.55000000000000004">
      <c r="O8" s="27"/>
    </row>
    <row r="9" spans="1:15" x14ac:dyDescent="0.55000000000000004">
      <c r="O9" s="27"/>
    </row>
    <row r="10" spans="1:15" x14ac:dyDescent="0.55000000000000004">
      <c r="O10" s="27"/>
    </row>
    <row r="11" spans="1:15" x14ac:dyDescent="0.55000000000000004">
      <c r="D11" s="1" t="s">
        <v>17</v>
      </c>
      <c r="E11" s="13" t="s">
        <v>108</v>
      </c>
      <c r="F11" s="12">
        <v>-1</v>
      </c>
      <c r="H11" s="27" cm="1">
        <f t="array" ref="H11:H14">_xlfn.LAMBDA(_xlpm.lb,_xlpm.ub,_xlop.spacing, _xlfn.LET(_xlpm.nLags, (_xlpm.ub-_xlpm.lb+1)/_xlpm.spacing, _xlpm.nElems, _xlpm.spacing, _xlfn.DROP(_xlfn.REDUCE(0,_xlfn.SEQUENCE(_xlpm.nElems,1,_xlpm.lb), _xlfn.LAMBDA(_xlpm.accum,_xlpm.val, _xlfn.VSTACK(_xlpm.accum, _xlfn.SEQUENCE(_xlpm.nLags, 1, _xlpm.val, _xlpm.nElems)))),1)))($F$11,$F$12,F13)</f>
        <v>-1</v>
      </c>
      <c r="K11" s="1" t="s">
        <v>17</v>
      </c>
      <c r="L11" s="13" t="s">
        <v>108</v>
      </c>
      <c r="M11" s="12">
        <v>-1</v>
      </c>
      <c r="O11" s="27" cm="1">
        <f t="array" ref="O11:O14">EVERY($M$11,$M$12,$M$13)</f>
        <v>-1</v>
      </c>
    </row>
    <row r="12" spans="1:15" x14ac:dyDescent="0.55000000000000004">
      <c r="E12" s="13" t="s">
        <v>109</v>
      </c>
      <c r="F12" s="12">
        <v>3</v>
      </c>
      <c r="H12" s="27">
        <v>1</v>
      </c>
      <c r="L12" s="13" t="s">
        <v>109</v>
      </c>
      <c r="M12" s="12">
        <v>3</v>
      </c>
      <c r="O12" s="27">
        <v>1</v>
      </c>
    </row>
    <row r="13" spans="1:15" x14ac:dyDescent="0.55000000000000004">
      <c r="E13" s="13" t="s">
        <v>1082</v>
      </c>
      <c r="F13" s="12">
        <v>2</v>
      </c>
      <c r="H13" s="27">
        <v>0</v>
      </c>
      <c r="L13" s="13" t="s">
        <v>1082</v>
      </c>
      <c r="M13" s="12">
        <v>2</v>
      </c>
      <c r="O13" s="27">
        <v>0</v>
      </c>
    </row>
    <row r="14" spans="1:15" x14ac:dyDescent="0.55000000000000004">
      <c r="H14" s="27">
        <v>2</v>
      </c>
      <c r="O14" s="27">
        <v>2</v>
      </c>
    </row>
    <row r="15" spans="1:15" x14ac:dyDescent="0.55000000000000004">
      <c r="H15" s="27"/>
      <c r="O15" s="27"/>
    </row>
    <row r="16" spans="1:15" x14ac:dyDescent="0.55000000000000004">
      <c r="H16" s="27"/>
      <c r="O16" s="27"/>
    </row>
    <row r="17" spans="8:15" x14ac:dyDescent="0.55000000000000004">
      <c r="H17" s="27"/>
      <c r="O17" s="27"/>
    </row>
    <row r="18" spans="8:15" x14ac:dyDescent="0.55000000000000004">
      <c r="H18" s="27"/>
      <c r="O18" s="27"/>
    </row>
    <row r="19" spans="8:15" x14ac:dyDescent="0.55000000000000004">
      <c r="H19" s="27"/>
      <c r="O19" s="27"/>
    </row>
    <row r="20" spans="8:15" x14ac:dyDescent="0.55000000000000004">
      <c r="H20" s="27"/>
      <c r="O20" s="27"/>
    </row>
    <row r="21" spans="8:15" x14ac:dyDescent="0.55000000000000004">
      <c r="H21" s="27"/>
      <c r="O21" s="27"/>
    </row>
    <row r="22" spans="8:15" x14ac:dyDescent="0.55000000000000004">
      <c r="H22" s="27"/>
      <c r="O22" s="27"/>
    </row>
    <row r="23" spans="8:15" x14ac:dyDescent="0.55000000000000004">
      <c r="H23" s="27"/>
      <c r="O23" s="27"/>
    </row>
    <row r="24" spans="8:15" x14ac:dyDescent="0.55000000000000004">
      <c r="H24" s="27"/>
      <c r="O24" s="27"/>
    </row>
    <row r="25" spans="8:15" x14ac:dyDescent="0.55000000000000004">
      <c r="H25" s="27"/>
      <c r="O25" s="27"/>
    </row>
    <row r="26" spans="8:15" x14ac:dyDescent="0.55000000000000004">
      <c r="H26" s="27"/>
      <c r="O26" s="27"/>
    </row>
    <row r="27" spans="8:15" x14ac:dyDescent="0.55000000000000004">
      <c r="H27" s="27"/>
      <c r="O27" s="27"/>
    </row>
    <row r="28" spans="8:15" x14ac:dyDescent="0.55000000000000004">
      <c r="H28" s="27"/>
      <c r="O28" s="27"/>
    </row>
    <row r="29" spans="8:15" x14ac:dyDescent="0.55000000000000004">
      <c r="H29" s="27"/>
      <c r="O29" s="27"/>
    </row>
    <row r="30" spans="8:15" x14ac:dyDescent="0.55000000000000004">
      <c r="H30" s="27"/>
      <c r="O30" s="27"/>
    </row>
    <row r="31" spans="8:15" x14ac:dyDescent="0.55000000000000004">
      <c r="H31" s="27"/>
      <c r="O31" s="27"/>
    </row>
    <row r="32" spans="8:15" x14ac:dyDescent="0.55000000000000004">
      <c r="H32" s="27"/>
      <c r="O32" s="27"/>
    </row>
    <row r="33" spans="8:8" x14ac:dyDescent="0.55000000000000004">
      <c r="H33" s="27"/>
    </row>
    <row r="34" spans="8:8" x14ac:dyDescent="0.55000000000000004">
      <c r="H34" s="27"/>
    </row>
    <row r="35" spans="8:8" x14ac:dyDescent="0.55000000000000004">
      <c r="H35" s="27"/>
    </row>
    <row r="36" spans="8:8" x14ac:dyDescent="0.55000000000000004">
      <c r="H36" s="27"/>
    </row>
    <row r="37" spans="8:8" x14ac:dyDescent="0.55000000000000004">
      <c r="H37" s="27"/>
    </row>
    <row r="38" spans="8:8" x14ac:dyDescent="0.55000000000000004">
      <c r="H38" s="27"/>
    </row>
    <row r="39" spans="8:8" x14ac:dyDescent="0.55000000000000004">
      <c r="H39" s="27"/>
    </row>
    <row r="40" spans="8:8" x14ac:dyDescent="0.55000000000000004">
      <c r="H40" s="27"/>
    </row>
    <row r="41" spans="8:8" x14ac:dyDescent="0.55000000000000004">
      <c r="H41" s="27"/>
    </row>
    <row r="42" spans="8:8" x14ac:dyDescent="0.55000000000000004">
      <c r="H42" s="27"/>
    </row>
    <row r="43" spans="8:8" x14ac:dyDescent="0.55000000000000004">
      <c r="H43" s="27"/>
    </row>
    <row r="44" spans="8:8" x14ac:dyDescent="0.55000000000000004">
      <c r="H44" s="27"/>
    </row>
    <row r="45" spans="8:8" x14ac:dyDescent="0.55000000000000004">
      <c r="H45" s="27"/>
    </row>
    <row r="46" spans="8:8" x14ac:dyDescent="0.55000000000000004">
      <c r="H46" s="27"/>
    </row>
    <row r="47" spans="8:8" x14ac:dyDescent="0.55000000000000004">
      <c r="H47" s="27"/>
    </row>
    <row r="48" spans="8:8" x14ac:dyDescent="0.55000000000000004">
      <c r="H48" s="27"/>
    </row>
    <row r="49" spans="8:8" x14ac:dyDescent="0.55000000000000004">
      <c r="H49" s="27"/>
    </row>
    <row r="50" spans="8:8" x14ac:dyDescent="0.55000000000000004">
      <c r="H50" s="27"/>
    </row>
    <row r="51" spans="8:8" x14ac:dyDescent="0.55000000000000004">
      <c r="H51" s="27"/>
    </row>
    <row r="52" spans="8:8" x14ac:dyDescent="0.55000000000000004">
      <c r="H52" s="27"/>
    </row>
    <row r="53" spans="8:8" x14ac:dyDescent="0.55000000000000004">
      <c r="H53" s="27"/>
    </row>
    <row r="54" spans="8:8" x14ac:dyDescent="0.55000000000000004">
      <c r="H54" s="27"/>
    </row>
    <row r="55" spans="8:8" x14ac:dyDescent="0.55000000000000004">
      <c r="H55" s="27"/>
    </row>
    <row r="56" spans="8:8" x14ac:dyDescent="0.55000000000000004">
      <c r="H56" s="27"/>
    </row>
    <row r="57" spans="8:8" x14ac:dyDescent="0.55000000000000004">
      <c r="H57" s="27"/>
    </row>
    <row r="58" spans="8:8" x14ac:dyDescent="0.55000000000000004">
      <c r="H58" s="27"/>
    </row>
    <row r="59" spans="8:8" x14ac:dyDescent="0.55000000000000004">
      <c r="H59" s="27"/>
    </row>
    <row r="60" spans="8:8" x14ac:dyDescent="0.55000000000000004">
      <c r="H60" s="27"/>
    </row>
    <row r="61" spans="8:8" x14ac:dyDescent="0.55000000000000004">
      <c r="H61" s="27"/>
    </row>
    <row r="62" spans="8:8" x14ac:dyDescent="0.55000000000000004">
      <c r="H62" s="27"/>
    </row>
    <row r="63" spans="8:8" x14ac:dyDescent="0.55000000000000004">
      <c r="H63" s="27"/>
    </row>
    <row r="64" spans="8:8" x14ac:dyDescent="0.55000000000000004">
      <c r="H64" s="27"/>
    </row>
    <row r="65" spans="8:8" x14ac:dyDescent="0.55000000000000004">
      <c r="H65" s="27"/>
    </row>
    <row r="66" spans="8:8" x14ac:dyDescent="0.55000000000000004">
      <c r="H66" s="27"/>
    </row>
    <row r="67" spans="8:8" x14ac:dyDescent="0.55000000000000004">
      <c r="H67" s="27"/>
    </row>
    <row r="68" spans="8:8" x14ac:dyDescent="0.55000000000000004">
      <c r="H68" s="27"/>
    </row>
    <row r="69" spans="8:8" x14ac:dyDescent="0.55000000000000004">
      <c r="H69" s="27"/>
    </row>
    <row r="70" spans="8:8" x14ac:dyDescent="0.55000000000000004">
      <c r="H70" s="27"/>
    </row>
    <row r="71" spans="8:8" x14ac:dyDescent="0.55000000000000004">
      <c r="H71" s="27"/>
    </row>
    <row r="72" spans="8:8" x14ac:dyDescent="0.55000000000000004">
      <c r="H72" s="27"/>
    </row>
    <row r="73" spans="8:8" x14ac:dyDescent="0.55000000000000004">
      <c r="H73" s="27"/>
    </row>
    <row r="74" spans="8:8" x14ac:dyDescent="0.55000000000000004">
      <c r="H74" s="27"/>
    </row>
    <row r="75" spans="8:8" x14ac:dyDescent="0.55000000000000004">
      <c r="H75" s="27"/>
    </row>
    <row r="76" spans="8:8" x14ac:dyDescent="0.55000000000000004">
      <c r="H76" s="27"/>
    </row>
    <row r="77" spans="8:8" x14ac:dyDescent="0.55000000000000004">
      <c r="H77" s="27"/>
    </row>
    <row r="78" spans="8:8" x14ac:dyDescent="0.55000000000000004">
      <c r="H78" s="27"/>
    </row>
    <row r="79" spans="8:8" x14ac:dyDescent="0.55000000000000004">
      <c r="H79" s="27"/>
    </row>
    <row r="80" spans="8:8" x14ac:dyDescent="0.55000000000000004">
      <c r="H80" s="27"/>
    </row>
    <row r="81" spans="8:8" x14ac:dyDescent="0.55000000000000004">
      <c r="H81" s="27"/>
    </row>
    <row r="82" spans="8:8" x14ac:dyDescent="0.55000000000000004">
      <c r="H82" s="27"/>
    </row>
    <row r="83" spans="8:8" x14ac:dyDescent="0.55000000000000004">
      <c r="H83" s="27"/>
    </row>
    <row r="84" spans="8:8" x14ac:dyDescent="0.55000000000000004">
      <c r="H84" s="27"/>
    </row>
    <row r="85" spans="8:8" x14ac:dyDescent="0.55000000000000004">
      <c r="H85" s="27"/>
    </row>
    <row r="86" spans="8:8" x14ac:dyDescent="0.55000000000000004">
      <c r="H86" s="27"/>
    </row>
    <row r="87" spans="8:8" x14ac:dyDescent="0.55000000000000004">
      <c r="H87" s="27"/>
    </row>
    <row r="88" spans="8:8" x14ac:dyDescent="0.55000000000000004">
      <c r="H88" s="27"/>
    </row>
    <row r="89" spans="8:8" x14ac:dyDescent="0.55000000000000004">
      <c r="H89" s="27"/>
    </row>
    <row r="90" spans="8:8" x14ac:dyDescent="0.55000000000000004">
      <c r="H90" s="27"/>
    </row>
    <row r="91" spans="8:8" x14ac:dyDescent="0.55000000000000004">
      <c r="H91" s="27"/>
    </row>
    <row r="92" spans="8:8" x14ac:dyDescent="0.55000000000000004">
      <c r="H92" s="27"/>
    </row>
    <row r="93" spans="8:8" x14ac:dyDescent="0.55000000000000004">
      <c r="H93" s="27"/>
    </row>
    <row r="94" spans="8:8" x14ac:dyDescent="0.55000000000000004">
      <c r="H94" s="27"/>
    </row>
    <row r="95" spans="8:8" x14ac:dyDescent="0.55000000000000004">
      <c r="H95" s="27"/>
    </row>
    <row r="96" spans="8:8" x14ac:dyDescent="0.55000000000000004">
      <c r="H96" s="27"/>
    </row>
    <row r="97" spans="8:8" x14ac:dyDescent="0.55000000000000004">
      <c r="H97" s="27"/>
    </row>
    <row r="98" spans="8:8" x14ac:dyDescent="0.55000000000000004">
      <c r="H98" s="27"/>
    </row>
    <row r="99" spans="8:8" x14ac:dyDescent="0.55000000000000004">
      <c r="H99" s="27"/>
    </row>
    <row r="100" spans="8:8" x14ac:dyDescent="0.55000000000000004">
      <c r="H100" s="27"/>
    </row>
    <row r="101" spans="8:8" x14ac:dyDescent="0.55000000000000004">
      <c r="H101" s="27"/>
    </row>
    <row r="102" spans="8:8" x14ac:dyDescent="0.55000000000000004">
      <c r="H102" s="27"/>
    </row>
    <row r="103" spans="8:8" x14ac:dyDescent="0.55000000000000004">
      <c r="H103" s="27"/>
    </row>
    <row r="104" spans="8:8" x14ac:dyDescent="0.55000000000000004">
      <c r="H104" s="27"/>
    </row>
    <row r="105" spans="8:8" x14ac:dyDescent="0.55000000000000004">
      <c r="H105" s="27"/>
    </row>
    <row r="106" spans="8:8" x14ac:dyDescent="0.55000000000000004">
      <c r="H106" s="27"/>
    </row>
    <row r="107" spans="8:8" x14ac:dyDescent="0.55000000000000004">
      <c r="H107" s="27"/>
    </row>
    <row r="108" spans="8:8" x14ac:dyDescent="0.55000000000000004">
      <c r="H108" s="27"/>
    </row>
    <row r="109" spans="8:8" x14ac:dyDescent="0.55000000000000004">
      <c r="H109" s="27"/>
    </row>
    <row r="110" spans="8:8" x14ac:dyDescent="0.55000000000000004">
      <c r="H110" s="27"/>
    </row>
  </sheetData>
  <pageMargins left="0.511811024" right="0.511811024" top="0.78740157499999996" bottom="0.78740157499999996" header="0.31496062000000002" footer="0.3149606200000000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2C769-85B8-4A0E-9BE7-617318943772}">
  <sheetPr codeName="Planilha104">
    <tabColor theme="9" tint="0.59999389629810485"/>
  </sheetPr>
  <dimension ref="A1:T31"/>
  <sheetViews>
    <sheetView showGridLines="0" workbookViewId="0"/>
  </sheetViews>
  <sheetFormatPr defaultColWidth="8.796875" defaultRowHeight="18" x14ac:dyDescent="0.55000000000000004"/>
  <cols>
    <col min="1" max="1" width="12.6640625" style="17" customWidth="1"/>
    <col min="2" max="2" width="69.6640625" customWidth="1"/>
    <col min="10" max="10" width="11.1328125" customWidth="1"/>
    <col min="12" max="20" width="8.796875" style="15"/>
  </cols>
  <sheetData>
    <row r="1" spans="1:20" x14ac:dyDescent="0.55000000000000004">
      <c r="A1" s="83" t="s">
        <v>1200</v>
      </c>
      <c r="L1" s="14"/>
      <c r="M1" s="14"/>
      <c r="N1" s="14"/>
      <c r="O1" s="14"/>
      <c r="P1" s="14"/>
      <c r="Q1" s="14"/>
      <c r="R1" s="14"/>
      <c r="S1" s="14"/>
      <c r="T1" s="14"/>
    </row>
    <row r="2" spans="1:20" x14ac:dyDescent="0.55000000000000004">
      <c r="A2" s="17" t="s">
        <v>1201</v>
      </c>
      <c r="L2" s="14"/>
      <c r="M2" s="14"/>
      <c r="N2" s="14"/>
      <c r="O2" s="14"/>
      <c r="P2" s="14"/>
      <c r="Q2" s="14"/>
      <c r="R2" s="14"/>
      <c r="S2" s="14"/>
      <c r="T2" s="14"/>
    </row>
    <row r="4" spans="1:20" ht="39.75" customHeight="1" x14ac:dyDescent="0.45">
      <c r="A4" s="172" t="s">
        <v>1208</v>
      </c>
      <c r="B4" s="172"/>
      <c r="C4" s="172"/>
      <c r="D4" s="172"/>
      <c r="E4" s="172"/>
      <c r="F4" s="172"/>
      <c r="G4" s="172"/>
      <c r="H4" s="172"/>
      <c r="I4" s="172"/>
      <c r="J4" s="172"/>
    </row>
    <row r="6" spans="1:20" ht="15.75" x14ac:dyDescent="0.5">
      <c r="A6" s="2" t="s">
        <v>15</v>
      </c>
      <c r="B6" s="2" t="s">
        <v>16</v>
      </c>
    </row>
    <row r="7" spans="1:20" ht="15.75" x14ac:dyDescent="0.45">
      <c r="A7" s="23" t="s">
        <v>1202</v>
      </c>
      <c r="B7" s="26" t="s">
        <v>1204</v>
      </c>
    </row>
    <row r="8" spans="1:20" ht="15.75" x14ac:dyDescent="0.45">
      <c r="A8" s="23" t="s">
        <v>1203</v>
      </c>
      <c r="B8" s="26" t="s">
        <v>1205</v>
      </c>
    </row>
    <row r="9" spans="1:20" ht="78.75" x14ac:dyDescent="0.45">
      <c r="A9" s="23" t="s">
        <v>1206</v>
      </c>
      <c r="B9" s="26" t="s">
        <v>1209</v>
      </c>
    </row>
    <row r="10" spans="1:20" ht="15.75" x14ac:dyDescent="0.5">
      <c r="A10" s="19"/>
      <c r="B10" s="18"/>
    </row>
    <row r="11" spans="1:20" x14ac:dyDescent="0.55000000000000004">
      <c r="F11" s="13" t="s">
        <v>1202</v>
      </c>
      <c r="H11" s="13" t="s">
        <v>1203</v>
      </c>
      <c r="J11" s="48" t="s">
        <v>1206</v>
      </c>
    </row>
    <row r="12" spans="1:20" x14ac:dyDescent="0.55000000000000004">
      <c r="D12" s="1" t="s">
        <v>17</v>
      </c>
      <c r="F12" s="12">
        <v>1</v>
      </c>
      <c r="H12" s="12">
        <v>2</v>
      </c>
      <c r="J12" s="12" t="s">
        <v>1207</v>
      </c>
      <c r="L12" s="15" cm="1">
        <f t="array" ref="L12:L16">_xlfn.LAMBDA(_xlpm.u,_xlpm.v,_xlop.shape, _xlfn.LET(_xlpm.u, VEC(_xlpm.u), _xlpm.v, VEC(_xlpm.v), _xlpm.m, ROWS(_xlpm.u), _xlpm.N, ROWS(_xlpm.v), _xlpm.shape, IF(OR(_xlfn.ISOMITTED(_xlpm.shape), ISBLANK(_xlpm.shape)), "full", _xlpm.shape), _xlpm.prematrix, _xlpm.u * TRANSPOSE(_xlpm.v), _xlpm.matrix, _xlfn.EXPAND(_xlpm.prematrix, ROWS(_xlpm.prematrix), (MAX(COLUMNS(_xlpm.prematrix), ROWS(_xlpm.prematrix)) - 1) * 2, 0), _xlpm.THUNK, _xlfn.LAMBDA(_xlpm.x, _xlfn.LAMBDA(_xlpm.x)), _xlpm.EXPAND_THUNK_H, _xlfn.LAMBDA(_xlpm.arraythunks, IFERROR(_xlfn.DROP(_xlfn.REDUCE(0, _xlpm.arraythunks, _xlfn.LAMBDA(_xlpm.init,_xlpm.arraythunks, _xlfn.HSTACK(_xlpm.init, _xlpm.arraythunks()))), , 1), "")), _xlpm.out, TRANSPOSE(_xlfn.BYCOL(IFERROR(INDEX(_xlpm.matrix, _xlfn.SEQUENCE(ROWS(_xlpm.matrix)), _xlpm.EXPAND_THUNK_H(_xlfn.BYCOL(_xlfn.SEQUENCE(, COLUMNS(_xlpm.matrix)), _xlfn.LAMBDA(_xlpm.a, _xlpm.THUNK(FLIPUD(_xlfn.SEQUENCE(_xlfn.SINGLE(_xlpm.a), 1, 1, 1))))))), ""), _xlfn.LAMBDA(_xlpm.a, SUM(_xlpm.a)))), _xlpm.final, _xlfn.VSTACK(INDEX(_xlpm.out, _xlfn.SEQUENCE(ROWS(_xlpm.u) + ROWS(_xlpm.v) - 2)), _xlfn.TAKE(_xlpm.u, -1) * _xlfn.TAKE(_xlpm.v, -1)), _xlfn.SWITCH(_xlpm.shape, "full", _xlpm.final, "same", INDEX(_xlpm.final, _xlfn.SEQUENCE(_xlpm.m, 1, 2)), "valid", IFERROR(INDEX(_xlpm.final, _xlfn.SEQUENCE(MAX(_xlpm.m - MAX(0, _xlpm.N - 1)), 1, _xlpm.N)), NA()))))($F$12:$F$14, $H$12:$H$14, $J$12)</f>
        <v>2</v>
      </c>
    </row>
    <row r="13" spans="1:20" x14ac:dyDescent="0.55000000000000004">
      <c r="F13" s="12">
        <v>4</v>
      </c>
      <c r="H13" s="12">
        <v>5</v>
      </c>
      <c r="L13" s="15">
        <v>13</v>
      </c>
    </row>
    <row r="14" spans="1:20" x14ac:dyDescent="0.55000000000000004">
      <c r="F14" s="12">
        <v>7</v>
      </c>
      <c r="H14" s="12">
        <v>8</v>
      </c>
      <c r="L14" s="15">
        <v>42</v>
      </c>
    </row>
    <row r="15" spans="1:20" ht="14.25" x14ac:dyDescent="0.45">
      <c r="A15"/>
      <c r="L15" s="15">
        <v>67</v>
      </c>
    </row>
    <row r="16" spans="1:20" x14ac:dyDescent="0.55000000000000004">
      <c r="L16" s="15">
        <v>56</v>
      </c>
    </row>
    <row r="22" spans="1:20" ht="14.25" x14ac:dyDescent="0.45">
      <c r="A22"/>
    </row>
    <row r="23" spans="1:20" x14ac:dyDescent="0.55000000000000004">
      <c r="F23" s="13" t="s">
        <v>1202</v>
      </c>
      <c r="H23" s="13" t="s">
        <v>1203</v>
      </c>
      <c r="J23" s="48" t="s">
        <v>1206</v>
      </c>
    </row>
    <row r="24" spans="1:20" x14ac:dyDescent="0.55000000000000004">
      <c r="D24" s="1" t="s">
        <v>17</v>
      </c>
      <c r="F24" s="12">
        <v>1</v>
      </c>
      <c r="H24" s="12">
        <v>2</v>
      </c>
      <c r="J24" s="12" t="s">
        <v>1207</v>
      </c>
      <c r="L24" s="15" cm="1">
        <f t="array" ref="L24:L28">CONV($F$24:$F$26,$H$24:$H$26,$J$24)</f>
        <v>2</v>
      </c>
    </row>
    <row r="25" spans="1:20" x14ac:dyDescent="0.55000000000000004">
      <c r="F25" s="12">
        <v>4</v>
      </c>
      <c r="H25" s="12">
        <v>5</v>
      </c>
      <c r="L25" s="15">
        <v>13</v>
      </c>
    </row>
    <row r="26" spans="1:20" x14ac:dyDescent="0.55000000000000004">
      <c r="F26" s="12">
        <v>7</v>
      </c>
      <c r="H26" s="12">
        <v>8</v>
      </c>
      <c r="L26" s="15">
        <v>42</v>
      </c>
    </row>
    <row r="27" spans="1:20" s="21" customFormat="1" x14ac:dyDescent="0.55000000000000004">
      <c r="A27" s="17"/>
      <c r="B27"/>
      <c r="C27"/>
      <c r="D27"/>
      <c r="E27"/>
      <c r="F27"/>
      <c r="G27"/>
      <c r="H27"/>
      <c r="I27"/>
      <c r="J27"/>
      <c r="K27"/>
      <c r="L27" s="15">
        <v>67</v>
      </c>
      <c r="M27" s="15"/>
      <c r="N27" s="15"/>
      <c r="O27" s="15"/>
      <c r="P27" s="15"/>
      <c r="Q27" s="15"/>
      <c r="R27" s="15"/>
      <c r="S27" s="15"/>
      <c r="T27" s="15"/>
    </row>
    <row r="28" spans="1:20" s="21" customFormat="1" x14ac:dyDescent="0.55000000000000004">
      <c r="A28" s="17"/>
      <c r="B28"/>
      <c r="C28"/>
      <c r="D28"/>
      <c r="E28"/>
      <c r="F28"/>
      <c r="G28"/>
      <c r="H28"/>
      <c r="I28"/>
      <c r="J28"/>
      <c r="K28"/>
      <c r="L28" s="15">
        <v>56</v>
      </c>
      <c r="M28" s="15"/>
      <c r="N28" s="15"/>
      <c r="O28" s="15"/>
      <c r="P28" s="15"/>
      <c r="Q28" s="15"/>
      <c r="R28" s="15"/>
      <c r="S28" s="15"/>
      <c r="T28" s="15"/>
    </row>
    <row r="29" spans="1:20" s="21" customFormat="1" x14ac:dyDescent="0.55000000000000004">
      <c r="A29" s="17"/>
      <c r="B29"/>
      <c r="C29"/>
      <c r="D29"/>
      <c r="E29"/>
      <c r="F29"/>
      <c r="G29"/>
      <c r="H29"/>
      <c r="I29"/>
      <c r="J29"/>
      <c r="K29"/>
      <c r="L29" s="15"/>
      <c r="M29" s="15"/>
      <c r="N29" s="15"/>
      <c r="O29" s="15"/>
      <c r="P29" s="15"/>
      <c r="Q29" s="15"/>
      <c r="R29" s="15"/>
      <c r="S29" s="15"/>
      <c r="T29" s="15"/>
    </row>
    <row r="30" spans="1:20" s="21" customFormat="1" x14ac:dyDescent="0.55000000000000004">
      <c r="A30" s="17"/>
      <c r="B30"/>
      <c r="C30"/>
      <c r="D30"/>
      <c r="E30"/>
      <c r="F30"/>
      <c r="G30"/>
      <c r="H30"/>
      <c r="I30"/>
      <c r="J30"/>
      <c r="K30"/>
      <c r="L30" s="15"/>
      <c r="M30" s="15"/>
      <c r="N30" s="15"/>
      <c r="O30" s="15"/>
      <c r="P30" s="15"/>
      <c r="Q30" s="15"/>
      <c r="R30" s="15"/>
      <c r="S30" s="15"/>
      <c r="T30" s="15"/>
    </row>
    <row r="31" spans="1:20" s="21" customFormat="1" x14ac:dyDescent="0.55000000000000004">
      <c r="A31" s="17"/>
      <c r="B31"/>
      <c r="C31"/>
      <c r="D31"/>
      <c r="E31"/>
      <c r="F31"/>
      <c r="G31"/>
      <c r="H31"/>
      <c r="I31"/>
      <c r="J31"/>
      <c r="K31"/>
      <c r="L31" s="15"/>
      <c r="M31" s="15"/>
      <c r="N31" s="15"/>
      <c r="O31" s="15"/>
      <c r="P31" s="15"/>
      <c r="Q31" s="15"/>
      <c r="R31" s="15"/>
      <c r="S31" s="15"/>
      <c r="T31" s="15"/>
    </row>
  </sheetData>
  <mergeCells count="1">
    <mergeCell ref="A4:J4"/>
  </mergeCells>
  <pageMargins left="0.511811024" right="0.511811024" top="0.78740157499999996" bottom="0.78740157499999996" header="0.31496062000000002" footer="0.31496062000000002"/>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027745-FD23-4246-94D9-0F07FB16536E}">
  <sheetPr codeName="Planilha123">
    <tabColor theme="9" tint="0.59999389629810485"/>
  </sheetPr>
  <dimension ref="A1:T30"/>
  <sheetViews>
    <sheetView showGridLines="0" workbookViewId="0">
      <selection activeCell="L10" sqref="L10"/>
    </sheetView>
  </sheetViews>
  <sheetFormatPr defaultColWidth="8.796875" defaultRowHeight="18" x14ac:dyDescent="0.55000000000000004"/>
  <cols>
    <col min="1" max="1" width="12.6640625" style="17" customWidth="1"/>
    <col min="2" max="2" width="69.6640625" customWidth="1"/>
    <col min="12" max="20" width="8.796875" style="15"/>
  </cols>
  <sheetData>
    <row r="1" spans="1:20" x14ac:dyDescent="0.55000000000000004">
      <c r="A1" s="83" t="s">
        <v>1323</v>
      </c>
      <c r="L1" s="14"/>
      <c r="M1" s="14"/>
      <c r="N1" s="14"/>
      <c r="O1" s="14"/>
      <c r="P1" s="14"/>
      <c r="Q1" s="14"/>
      <c r="R1" s="14"/>
      <c r="S1" s="14"/>
      <c r="T1" s="14"/>
    </row>
    <row r="2" spans="1:20" x14ac:dyDescent="0.55000000000000004">
      <c r="A2" s="17" t="s">
        <v>1324</v>
      </c>
      <c r="L2" s="14"/>
      <c r="M2" s="14"/>
      <c r="N2" s="14"/>
      <c r="O2" s="14"/>
      <c r="P2" s="14"/>
      <c r="Q2" s="14"/>
      <c r="R2" s="14"/>
      <c r="S2" s="14"/>
      <c r="T2" s="14"/>
    </row>
    <row r="5" spans="1:20" ht="15.75" x14ac:dyDescent="0.5">
      <c r="A5" s="2" t="s">
        <v>15</v>
      </c>
      <c r="B5" s="2" t="s">
        <v>16</v>
      </c>
    </row>
    <row r="6" spans="1:20" ht="15.75" x14ac:dyDescent="0.45">
      <c r="A6" s="23" t="s">
        <v>1202</v>
      </c>
      <c r="B6" s="161" t="s">
        <v>1325</v>
      </c>
    </row>
    <row r="7" spans="1:20" ht="15.75" x14ac:dyDescent="0.45">
      <c r="A7" s="23" t="s">
        <v>1203</v>
      </c>
      <c r="B7" s="161" t="s">
        <v>1326</v>
      </c>
    </row>
    <row r="8" spans="1:20" ht="15.75" x14ac:dyDescent="0.5">
      <c r="A8" s="19"/>
      <c r="B8" s="18"/>
    </row>
    <row r="9" spans="1:20" x14ac:dyDescent="0.55000000000000004">
      <c r="F9" s="171" t="s">
        <v>1202</v>
      </c>
      <c r="G9" s="170"/>
      <c r="I9" s="171" t="s">
        <v>1203</v>
      </c>
      <c r="J9" s="170"/>
    </row>
    <row r="10" spans="1:20" x14ac:dyDescent="0.55000000000000004">
      <c r="D10" s="1" t="s">
        <v>17</v>
      </c>
      <c r="F10" s="12">
        <v>1</v>
      </c>
      <c r="G10" s="12">
        <v>3</v>
      </c>
      <c r="I10" s="12">
        <v>2</v>
      </c>
      <c r="J10" s="12">
        <v>9</v>
      </c>
      <c r="L10" s="15" cm="1">
        <f t="array" ref="L10:O18">_xlfn.LAMBDA(_xlpm.u,_xlpm.v, _xlfn.LET(_xlpm.m, ROWS(_xlpm.u), _xlpm.n, ROWS(_xlpm.v), _xlfn.HSTACK(REPMAT(_xlpm.u, _xlpm.n, 1, TRUE), REPMAT(_xlpm.v, _xlpm.m, 1))))($F$10:$G$12, $I$10:$J$12)</f>
        <v>1</v>
      </c>
      <c r="M10" s="15">
        <v>3</v>
      </c>
      <c r="N10" s="15">
        <v>2</v>
      </c>
      <c r="O10" s="15">
        <v>9</v>
      </c>
    </row>
    <row r="11" spans="1:20" x14ac:dyDescent="0.55000000000000004">
      <c r="F11" s="12">
        <v>4</v>
      </c>
      <c r="G11" s="12">
        <v>6</v>
      </c>
      <c r="I11" s="12">
        <v>5</v>
      </c>
      <c r="J11" s="12">
        <v>0</v>
      </c>
      <c r="L11" s="15">
        <v>1</v>
      </c>
      <c r="M11" s="15">
        <v>3</v>
      </c>
      <c r="N11" s="15">
        <v>5</v>
      </c>
      <c r="O11" s="15">
        <v>0</v>
      </c>
    </row>
    <row r="12" spans="1:20" x14ac:dyDescent="0.55000000000000004">
      <c r="F12" s="12">
        <v>7</v>
      </c>
      <c r="G12" s="12">
        <v>7</v>
      </c>
      <c r="I12" s="12">
        <v>8</v>
      </c>
      <c r="J12" s="12">
        <v>8</v>
      </c>
      <c r="L12" s="15">
        <v>1</v>
      </c>
      <c r="M12" s="15">
        <v>3</v>
      </c>
      <c r="N12" s="15">
        <v>8</v>
      </c>
      <c r="O12" s="15">
        <v>8</v>
      </c>
    </row>
    <row r="13" spans="1:20" ht="14.25" x14ac:dyDescent="0.45">
      <c r="A13"/>
      <c r="L13" s="15">
        <v>4</v>
      </c>
      <c r="M13" s="15">
        <v>6</v>
      </c>
      <c r="N13" s="15">
        <v>2</v>
      </c>
      <c r="O13" s="15">
        <v>9</v>
      </c>
    </row>
    <row r="14" spans="1:20" x14ac:dyDescent="0.55000000000000004">
      <c r="L14" s="15">
        <v>4</v>
      </c>
      <c r="M14" s="15">
        <v>6</v>
      </c>
      <c r="N14" s="15">
        <v>5</v>
      </c>
      <c r="O14" s="15">
        <v>0</v>
      </c>
    </row>
    <row r="15" spans="1:20" x14ac:dyDescent="0.55000000000000004">
      <c r="L15" s="15">
        <v>4</v>
      </c>
      <c r="M15" s="15">
        <v>6</v>
      </c>
      <c r="N15" s="15">
        <v>8</v>
      </c>
      <c r="O15" s="15">
        <v>8</v>
      </c>
    </row>
    <row r="16" spans="1:20" x14ac:dyDescent="0.55000000000000004">
      <c r="L16" s="15">
        <v>7</v>
      </c>
      <c r="M16" s="15">
        <v>7</v>
      </c>
      <c r="N16" s="15">
        <v>2</v>
      </c>
      <c r="O16" s="15">
        <v>9</v>
      </c>
    </row>
    <row r="17" spans="1:20" x14ac:dyDescent="0.55000000000000004">
      <c r="L17" s="15">
        <v>7</v>
      </c>
      <c r="M17" s="15">
        <v>7</v>
      </c>
      <c r="N17" s="15">
        <v>5</v>
      </c>
      <c r="O17" s="15">
        <v>0</v>
      </c>
    </row>
    <row r="18" spans="1:20" x14ac:dyDescent="0.55000000000000004">
      <c r="L18" s="15">
        <v>7</v>
      </c>
      <c r="M18" s="15">
        <v>7</v>
      </c>
      <c r="N18" s="15">
        <v>8</v>
      </c>
      <c r="O18" s="15">
        <v>8</v>
      </c>
    </row>
    <row r="20" spans="1:20" ht="14.25" x14ac:dyDescent="0.45">
      <c r="A20"/>
    </row>
    <row r="21" spans="1:20" x14ac:dyDescent="0.55000000000000004">
      <c r="F21" s="171" t="s">
        <v>1202</v>
      </c>
      <c r="G21" s="170"/>
      <c r="I21" s="171" t="s">
        <v>1203</v>
      </c>
      <c r="J21" s="170"/>
    </row>
    <row r="22" spans="1:20" x14ac:dyDescent="0.55000000000000004">
      <c r="D22" s="1" t="s">
        <v>17</v>
      </c>
      <c r="F22" s="12">
        <v>1</v>
      </c>
      <c r="G22" s="12">
        <v>3</v>
      </c>
      <c r="I22" s="12">
        <v>2</v>
      </c>
      <c r="J22" s="12">
        <v>9</v>
      </c>
      <c r="L22" s="15" cm="1">
        <f t="array" ref="L22:O30">COMBINATIONS($F$22:$G$24,$I$22:$J$24)</f>
        <v>1</v>
      </c>
      <c r="M22" s="15">
        <v>3</v>
      </c>
      <c r="N22" s="15">
        <v>2</v>
      </c>
      <c r="O22" s="15">
        <v>9</v>
      </c>
    </row>
    <row r="23" spans="1:20" x14ac:dyDescent="0.55000000000000004">
      <c r="F23" s="12">
        <v>4</v>
      </c>
      <c r="G23" s="12">
        <v>6</v>
      </c>
      <c r="I23" s="12">
        <v>5</v>
      </c>
      <c r="J23" s="12">
        <v>0</v>
      </c>
      <c r="L23" s="15">
        <v>1</v>
      </c>
      <c r="M23" s="15">
        <v>3</v>
      </c>
      <c r="N23" s="15">
        <v>5</v>
      </c>
      <c r="O23" s="15">
        <v>0</v>
      </c>
    </row>
    <row r="24" spans="1:20" x14ac:dyDescent="0.55000000000000004">
      <c r="F24" s="12">
        <v>7</v>
      </c>
      <c r="G24" s="12">
        <v>7</v>
      </c>
      <c r="I24" s="12">
        <v>8</v>
      </c>
      <c r="J24" s="12">
        <v>8</v>
      </c>
      <c r="L24" s="15">
        <v>1</v>
      </c>
      <c r="M24" s="15">
        <v>3</v>
      </c>
      <c r="N24" s="15">
        <v>8</v>
      </c>
      <c r="O24" s="15">
        <v>8</v>
      </c>
    </row>
    <row r="25" spans="1:20" s="21" customFormat="1" x14ac:dyDescent="0.55000000000000004">
      <c r="A25" s="17"/>
      <c r="B25"/>
      <c r="C25"/>
      <c r="D25"/>
      <c r="E25"/>
      <c r="F25"/>
      <c r="G25"/>
      <c r="H25"/>
      <c r="I25"/>
      <c r="J25"/>
      <c r="K25"/>
      <c r="L25" s="15">
        <v>4</v>
      </c>
      <c r="M25" s="15">
        <v>6</v>
      </c>
      <c r="N25" s="15">
        <v>2</v>
      </c>
      <c r="O25" s="15">
        <v>9</v>
      </c>
      <c r="P25" s="15"/>
      <c r="Q25" s="15"/>
      <c r="R25" s="15"/>
      <c r="S25" s="15"/>
      <c r="T25" s="15"/>
    </row>
    <row r="26" spans="1:20" s="21" customFormat="1" x14ac:dyDescent="0.55000000000000004">
      <c r="A26" s="17"/>
      <c r="B26"/>
      <c r="C26"/>
      <c r="D26"/>
      <c r="E26"/>
      <c r="F26"/>
      <c r="G26"/>
      <c r="H26"/>
      <c r="I26"/>
      <c r="J26"/>
      <c r="K26"/>
      <c r="L26" s="15">
        <v>4</v>
      </c>
      <c r="M26" s="15">
        <v>6</v>
      </c>
      <c r="N26" s="15">
        <v>5</v>
      </c>
      <c r="O26" s="15">
        <v>0</v>
      </c>
      <c r="P26" s="15"/>
      <c r="Q26" s="15"/>
      <c r="R26" s="15"/>
      <c r="S26" s="15"/>
      <c r="T26" s="15"/>
    </row>
    <row r="27" spans="1:20" s="21" customFormat="1" x14ac:dyDescent="0.55000000000000004">
      <c r="A27" s="17"/>
      <c r="B27"/>
      <c r="C27"/>
      <c r="D27"/>
      <c r="E27"/>
      <c r="F27"/>
      <c r="G27"/>
      <c r="H27"/>
      <c r="I27"/>
      <c r="J27"/>
      <c r="K27"/>
      <c r="L27" s="15">
        <v>4</v>
      </c>
      <c r="M27" s="15">
        <v>6</v>
      </c>
      <c r="N27" s="15">
        <v>8</v>
      </c>
      <c r="O27" s="15">
        <v>8</v>
      </c>
      <c r="P27" s="15"/>
      <c r="Q27" s="15"/>
      <c r="R27" s="15"/>
      <c r="S27" s="15"/>
      <c r="T27" s="15"/>
    </row>
    <row r="28" spans="1:20" s="21" customFormat="1" x14ac:dyDescent="0.55000000000000004">
      <c r="A28" s="17"/>
      <c r="B28"/>
      <c r="C28"/>
      <c r="D28"/>
      <c r="E28"/>
      <c r="F28"/>
      <c r="G28"/>
      <c r="H28"/>
      <c r="I28"/>
      <c r="J28"/>
      <c r="K28"/>
      <c r="L28" s="15">
        <v>7</v>
      </c>
      <c r="M28" s="15">
        <v>7</v>
      </c>
      <c r="N28" s="15">
        <v>2</v>
      </c>
      <c r="O28" s="15">
        <v>9</v>
      </c>
      <c r="P28" s="15"/>
      <c r="Q28" s="15"/>
      <c r="R28" s="15"/>
      <c r="S28" s="15"/>
      <c r="T28" s="15"/>
    </row>
    <row r="29" spans="1:20" s="21" customFormat="1" x14ac:dyDescent="0.55000000000000004">
      <c r="A29" s="17"/>
      <c r="B29"/>
      <c r="C29"/>
      <c r="D29"/>
      <c r="E29"/>
      <c r="F29"/>
      <c r="G29"/>
      <c r="H29"/>
      <c r="I29"/>
      <c r="J29"/>
      <c r="K29"/>
      <c r="L29" s="15">
        <v>7</v>
      </c>
      <c r="M29" s="15">
        <v>7</v>
      </c>
      <c r="N29" s="15">
        <v>5</v>
      </c>
      <c r="O29" s="15">
        <v>0</v>
      </c>
      <c r="P29" s="15"/>
      <c r="Q29" s="15"/>
      <c r="R29" s="15"/>
      <c r="S29" s="15"/>
      <c r="T29" s="15"/>
    </row>
    <row r="30" spans="1:20" x14ac:dyDescent="0.55000000000000004">
      <c r="L30" s="15">
        <v>7</v>
      </c>
      <c r="M30" s="15">
        <v>7</v>
      </c>
      <c r="N30" s="15">
        <v>8</v>
      </c>
      <c r="O30" s="15">
        <v>8</v>
      </c>
    </row>
  </sheetData>
  <mergeCells count="4">
    <mergeCell ref="F9:G9"/>
    <mergeCell ref="F21:G21"/>
    <mergeCell ref="I9:J9"/>
    <mergeCell ref="I21:J21"/>
  </mergeCells>
  <pageMargins left="0.511811024" right="0.511811024" top="0.78740157499999996" bottom="0.78740157499999996" header="0.31496062000000002" footer="0.3149606200000000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E4E2E-FD95-49B4-8E97-0D38C37B558F}">
  <sheetPr codeName="Planilha106">
    <tabColor theme="9" tint="0.59999389629810485"/>
  </sheetPr>
  <dimension ref="A1:X43"/>
  <sheetViews>
    <sheetView showGridLines="0" topLeftCell="D1" workbookViewId="0">
      <selection activeCell="T12" sqref="T12"/>
    </sheetView>
  </sheetViews>
  <sheetFormatPr defaultColWidth="8.796875" defaultRowHeight="18" x14ac:dyDescent="0.55000000000000004"/>
  <cols>
    <col min="1" max="1" width="12.6640625" style="17" customWidth="1"/>
    <col min="2" max="2" width="55" customWidth="1"/>
    <col min="5" max="6" width="12.33203125" bestFit="1" customWidth="1"/>
    <col min="10" max="10" width="11.1328125" bestFit="1" customWidth="1"/>
    <col min="15" max="15" width="11.33203125" style="15" bestFit="1" customWidth="1"/>
    <col min="16" max="21" width="8.796875" style="15"/>
    <col min="22" max="23" width="12.33203125" bestFit="1" customWidth="1"/>
  </cols>
  <sheetData>
    <row r="1" spans="1:24" x14ac:dyDescent="0.55000000000000004">
      <c r="A1" s="16" t="s">
        <v>1214</v>
      </c>
      <c r="O1" s="14"/>
      <c r="P1" s="14"/>
      <c r="Q1" s="14"/>
      <c r="R1" s="14"/>
      <c r="S1" s="14"/>
      <c r="T1" s="14"/>
      <c r="U1" s="14"/>
    </row>
    <row r="2" spans="1:24" x14ac:dyDescent="0.55000000000000004">
      <c r="A2" s="17" t="s">
        <v>1215</v>
      </c>
      <c r="O2" s="14"/>
      <c r="P2" s="14"/>
      <c r="Q2" s="14"/>
      <c r="R2" s="14"/>
      <c r="S2" s="14"/>
      <c r="T2" s="14"/>
      <c r="U2" s="14"/>
    </row>
    <row r="4" spans="1:24" ht="15.75" x14ac:dyDescent="0.5">
      <c r="A4" s="2" t="s">
        <v>15</v>
      </c>
      <c r="B4" s="2" t="s">
        <v>16</v>
      </c>
    </row>
    <row r="5" spans="1:24" ht="15.75" x14ac:dyDescent="0.45">
      <c r="A5" s="23" t="s">
        <v>244</v>
      </c>
      <c r="B5" s="26" t="s">
        <v>1212</v>
      </c>
    </row>
    <row r="6" spans="1:24" ht="15.75" x14ac:dyDescent="0.45">
      <c r="A6" s="23" t="s">
        <v>245</v>
      </c>
      <c r="B6" s="26" t="s">
        <v>1211</v>
      </c>
    </row>
    <row r="7" spans="1:24" ht="31.5" x14ac:dyDescent="0.45">
      <c r="A7" s="23" t="s">
        <v>1216</v>
      </c>
      <c r="B7" s="26" t="s">
        <v>1217</v>
      </c>
      <c r="V7" s="21"/>
      <c r="W7" s="21"/>
      <c r="X7" s="21"/>
    </row>
    <row r="8" spans="1:24" ht="31.5" x14ac:dyDescent="0.45">
      <c r="A8" s="23" t="s">
        <v>1062</v>
      </c>
      <c r="B8" s="26" t="s">
        <v>1213</v>
      </c>
      <c r="V8" s="21"/>
      <c r="W8" s="21"/>
      <c r="X8" s="21"/>
    </row>
    <row r="9" spans="1:24" ht="15.75" x14ac:dyDescent="0.5">
      <c r="A9" s="19"/>
      <c r="B9" s="18"/>
    </row>
    <row r="10" spans="1:24" x14ac:dyDescent="0.55000000000000004">
      <c r="D10" s="1" t="s">
        <v>17</v>
      </c>
      <c r="E10" s="13" t="s">
        <v>244</v>
      </c>
      <c r="F10" s="12">
        <v>1</v>
      </c>
      <c r="G10" s="12">
        <v>3</v>
      </c>
      <c r="H10" s="12">
        <v>0</v>
      </c>
      <c r="J10" s="13" t="s">
        <v>1216</v>
      </c>
      <c r="K10" s="156"/>
      <c r="L10" s="13" t="s">
        <v>1062</v>
      </c>
      <c r="M10" s="12"/>
      <c r="O10" s="15" cm="1">
        <f t="array" ref="O10:Q13">_xlfn.LAMBDA(_xlpm.A,_xlpm.B,_xlop.operation,_xlop.default, _xlfn.LET(_xlpm.default, IF(OR(_xlfn.ISOMITTED(_xlpm.default), ISBLANK(_xlpm.default)), INDEX(_xlpm.A, 1, 3), _xlpm.default), _xlpm.operation, IF(OR(_xlfn.ISOMITTED(_xlpm.operation), ISBLANK(_xlpm.operation)), _xleta.SUM, _xlfn.LAMBDA(_xlpm.x, _xlfn.LET(_xlpm.f, _xlpm.operation, IF(ROWS(_xlpm.x) = 2, _xlpm.f(_xlpm.x), _xlpm.f(_xlpm.x, _xlpm.default))))), _xlpm.A_2, IF(_xlpm.default = INDEX(_xlpm.A, 1, 3), _xlpm.A, SPARSE(_xludf.FULL(_xlpm.A), _xlpm.default)), _xlpm.B_2, IF(_xlpm.default = INDEX(_xlpm.B, 1, 3), _xlpm.B, SPARSE(_xludf.FULL(_xlpm.B), _xlpm.default)), _xlpm.sameSize, SUM(1 * (INDEX(_xlpm.A_2, 1, {1,2}) = INDEX(_xlpm.B_2, 1, {1,2}))) = 2, IF(_xlpm.sameSize = FALSE, "# sparse matrices have different dimensions", _xlfn.LET(_xlpm.head, _xlfn.TAKE(_xlpm.A_2, 1), _xlpm.c, _xlfn.VSTACK(_xlfn.DROP(_xlpm.A_2, 1), _xlfn.DROP(_xlpm.B_2, 1)), _xlpm.d, _xlfn.GROUPBY(_xlfn.TAKE(_xlpm.c, , 2), INDEX(_xlpm.c, 0, 3), _xlpm.operation, FALSE, FALSE), _xlpm.e, _xlfn._xlws.FILTER(_xlpm.d, _xlpm.default &lt;&gt; INDEX(_xlpm.d, 0, 3)), _xlfn.VSTACK(_xlpm.head, _xlpm.e)))))($F$10:$H$12, $F$14:$H$16, $K$10, $M$10)</f>
        <v>1</v>
      </c>
      <c r="P10" s="15">
        <v>3</v>
      </c>
      <c r="Q10" s="15">
        <v>0</v>
      </c>
    </row>
    <row r="11" spans="1:24" x14ac:dyDescent="0.55000000000000004">
      <c r="F11" s="12">
        <v>1</v>
      </c>
      <c r="G11" s="12">
        <v>1</v>
      </c>
      <c r="H11" s="12">
        <v>1</v>
      </c>
      <c r="O11" s="15">
        <v>1</v>
      </c>
      <c r="P11" s="15">
        <v>1</v>
      </c>
      <c r="Q11" s="15">
        <v>1</v>
      </c>
    </row>
    <row r="12" spans="1:24" x14ac:dyDescent="0.55000000000000004">
      <c r="F12" s="12">
        <v>1</v>
      </c>
      <c r="G12" s="12">
        <v>3</v>
      </c>
      <c r="H12" s="12">
        <v>3</v>
      </c>
      <c r="O12" s="15">
        <v>1</v>
      </c>
      <c r="P12" s="15">
        <v>2</v>
      </c>
      <c r="Q12" s="15">
        <v>2</v>
      </c>
    </row>
    <row r="13" spans="1:24" x14ac:dyDescent="0.55000000000000004">
      <c r="O13" s="15">
        <v>1</v>
      </c>
      <c r="P13" s="15">
        <v>3</v>
      </c>
      <c r="Q13" s="15">
        <v>7</v>
      </c>
    </row>
    <row r="14" spans="1:24" x14ac:dyDescent="0.55000000000000004">
      <c r="E14" s="13" t="s">
        <v>245</v>
      </c>
      <c r="F14" s="12">
        <v>1</v>
      </c>
      <c r="G14" s="12">
        <v>3</v>
      </c>
      <c r="H14" s="12">
        <v>0</v>
      </c>
    </row>
    <row r="15" spans="1:24" x14ac:dyDescent="0.55000000000000004">
      <c r="F15" s="12">
        <v>1</v>
      </c>
      <c r="G15" s="12">
        <v>2</v>
      </c>
      <c r="H15" s="12">
        <v>2</v>
      </c>
    </row>
    <row r="16" spans="1:24" x14ac:dyDescent="0.55000000000000004">
      <c r="F16" s="12">
        <v>1</v>
      </c>
      <c r="G16" s="12">
        <v>3</v>
      </c>
      <c r="H16" s="12">
        <v>4</v>
      </c>
    </row>
    <row r="19" spans="1:21" x14ac:dyDescent="0.55000000000000004">
      <c r="D19" s="1" t="s">
        <v>17</v>
      </c>
      <c r="E19" s="13" t="s">
        <v>244</v>
      </c>
      <c r="F19" s="12">
        <v>1</v>
      </c>
      <c r="G19" s="12">
        <v>3</v>
      </c>
      <c r="H19" s="12">
        <v>0</v>
      </c>
      <c r="J19" s="13" t="s">
        <v>1216</v>
      </c>
      <c r="K19" s="156"/>
      <c r="L19" s="13" t="s">
        <v>1062</v>
      </c>
      <c r="M19" s="12"/>
      <c r="O19" s="15" cm="1">
        <f t="array" ref="O19:Q22">SPARSEWISE(F19:H21,$F$23:$H$25,$K$19,$M$19)</f>
        <v>1</v>
      </c>
      <c r="P19" s="15">
        <v>3</v>
      </c>
      <c r="Q19" s="15">
        <v>0</v>
      </c>
    </row>
    <row r="20" spans="1:21" x14ac:dyDescent="0.55000000000000004">
      <c r="F20" s="12">
        <v>1</v>
      </c>
      <c r="G20" s="12">
        <v>1</v>
      </c>
      <c r="H20" s="12">
        <v>1</v>
      </c>
      <c r="O20" s="15">
        <v>1</v>
      </c>
      <c r="P20" s="15">
        <v>1</v>
      </c>
      <c r="Q20" s="15">
        <v>1</v>
      </c>
    </row>
    <row r="21" spans="1:21" s="21" customFormat="1" x14ac:dyDescent="0.55000000000000004">
      <c r="A21" s="17"/>
      <c r="B21"/>
      <c r="C21"/>
      <c r="D21"/>
      <c r="E21"/>
      <c r="F21" s="12">
        <v>1</v>
      </c>
      <c r="G21" s="12">
        <v>3</v>
      </c>
      <c r="H21" s="12">
        <v>3</v>
      </c>
      <c r="I21"/>
      <c r="J21"/>
      <c r="K21"/>
      <c r="L21"/>
      <c r="M21"/>
      <c r="N21"/>
      <c r="O21" s="15">
        <v>1</v>
      </c>
      <c r="P21" s="15">
        <v>2</v>
      </c>
      <c r="Q21" s="15">
        <v>2</v>
      </c>
      <c r="R21" s="15"/>
      <c r="S21" s="15"/>
      <c r="T21" s="15"/>
      <c r="U21" s="15"/>
    </row>
    <row r="22" spans="1:21" s="21" customFormat="1" x14ac:dyDescent="0.55000000000000004">
      <c r="A22" s="17"/>
      <c r="B22"/>
      <c r="C22"/>
      <c r="D22"/>
      <c r="E22"/>
      <c r="F22"/>
      <c r="G22"/>
      <c r="H22"/>
      <c r="I22"/>
      <c r="J22"/>
      <c r="K22"/>
      <c r="L22"/>
      <c r="M22"/>
      <c r="N22"/>
      <c r="O22" s="15">
        <v>1</v>
      </c>
      <c r="P22" s="15">
        <v>3</v>
      </c>
      <c r="Q22" s="15">
        <v>7</v>
      </c>
      <c r="R22" s="15"/>
      <c r="S22" s="15"/>
      <c r="T22" s="15"/>
      <c r="U22" s="15"/>
    </row>
    <row r="23" spans="1:21" s="21" customFormat="1" x14ac:dyDescent="0.55000000000000004">
      <c r="A23" s="17"/>
      <c r="B23"/>
      <c r="C23"/>
      <c r="D23"/>
      <c r="E23" s="13" t="s">
        <v>245</v>
      </c>
      <c r="F23" s="12">
        <v>1</v>
      </c>
      <c r="G23" s="12">
        <v>3</v>
      </c>
      <c r="H23" s="12">
        <v>0</v>
      </c>
      <c r="I23"/>
      <c r="J23"/>
      <c r="K23"/>
      <c r="L23"/>
      <c r="M23"/>
      <c r="N23"/>
      <c r="O23" s="15"/>
      <c r="P23" s="15"/>
      <c r="Q23" s="15"/>
      <c r="R23" s="15"/>
      <c r="S23" s="15"/>
      <c r="T23" s="15"/>
      <c r="U23" s="15"/>
    </row>
    <row r="24" spans="1:21" s="21" customFormat="1" x14ac:dyDescent="0.55000000000000004">
      <c r="A24" s="17"/>
      <c r="B24"/>
      <c r="C24"/>
      <c r="D24"/>
      <c r="E24"/>
      <c r="F24" s="12">
        <v>1</v>
      </c>
      <c r="G24" s="12">
        <v>2</v>
      </c>
      <c r="H24" s="12">
        <v>2</v>
      </c>
      <c r="I24"/>
      <c r="J24"/>
      <c r="K24"/>
      <c r="L24"/>
      <c r="M24"/>
      <c r="N24"/>
      <c r="O24" s="15"/>
      <c r="P24" s="15"/>
      <c r="Q24" s="15"/>
      <c r="R24" s="15"/>
      <c r="S24" s="15"/>
      <c r="T24" s="15"/>
      <c r="U24" s="15"/>
    </row>
    <row r="25" spans="1:21" x14ac:dyDescent="0.55000000000000004">
      <c r="F25" s="12">
        <v>1</v>
      </c>
      <c r="G25" s="12">
        <v>3</v>
      </c>
      <c r="H25" s="12">
        <v>4</v>
      </c>
    </row>
    <row r="31" spans="1:21" s="15" customFormat="1" x14ac:dyDescent="0.55000000000000004">
      <c r="A31" s="17"/>
      <c r="B31"/>
      <c r="C31"/>
      <c r="D31"/>
      <c r="E31"/>
      <c r="F31"/>
      <c r="G31"/>
      <c r="H31"/>
      <c r="I31"/>
      <c r="J31"/>
      <c r="K31"/>
      <c r="L31"/>
      <c r="M31"/>
      <c r="N31"/>
    </row>
    <row r="32" spans="1:21" s="15" customFormat="1" x14ac:dyDescent="0.55000000000000004">
      <c r="A32" s="17"/>
      <c r="B32"/>
      <c r="C32"/>
      <c r="D32"/>
      <c r="E32"/>
      <c r="F32"/>
      <c r="G32"/>
      <c r="H32"/>
      <c r="I32"/>
      <c r="J32"/>
      <c r="K32"/>
      <c r="L32"/>
      <c r="M32"/>
      <c r="N32"/>
    </row>
    <row r="33" spans="1:14" s="15" customFormat="1" x14ac:dyDescent="0.55000000000000004">
      <c r="A33" s="17"/>
      <c r="B33"/>
      <c r="C33"/>
      <c r="D33"/>
      <c r="E33"/>
      <c r="F33"/>
      <c r="G33"/>
      <c r="H33"/>
      <c r="I33"/>
      <c r="J33"/>
      <c r="K33"/>
      <c r="L33"/>
      <c r="M33"/>
      <c r="N33"/>
    </row>
    <row r="34" spans="1:14" s="15" customFormat="1" x14ac:dyDescent="0.55000000000000004">
      <c r="A34" s="17"/>
      <c r="B34"/>
      <c r="C34"/>
      <c r="D34"/>
      <c r="E34"/>
      <c r="F34"/>
      <c r="G34"/>
      <c r="H34"/>
      <c r="I34"/>
      <c r="J34"/>
      <c r="K34"/>
      <c r="L34"/>
      <c r="M34"/>
      <c r="N34"/>
    </row>
    <row r="35" spans="1:14" s="15" customFormat="1" x14ac:dyDescent="0.55000000000000004">
      <c r="A35" s="17"/>
      <c r="B35"/>
      <c r="C35"/>
      <c r="D35"/>
      <c r="E35"/>
      <c r="F35"/>
      <c r="G35"/>
      <c r="H35"/>
      <c r="I35"/>
      <c r="J35"/>
      <c r="K35"/>
      <c r="L35"/>
      <c r="M35"/>
      <c r="N35"/>
    </row>
    <row r="36" spans="1:14" s="15" customFormat="1" x14ac:dyDescent="0.55000000000000004">
      <c r="A36" s="17"/>
      <c r="B36"/>
      <c r="C36"/>
      <c r="D36"/>
      <c r="E36"/>
      <c r="F36"/>
      <c r="G36"/>
      <c r="H36"/>
      <c r="I36"/>
      <c r="J36"/>
      <c r="K36"/>
      <c r="L36"/>
      <c r="M36"/>
      <c r="N36"/>
    </row>
    <row r="37" spans="1:14" s="15" customFormat="1" x14ac:dyDescent="0.55000000000000004">
      <c r="A37" s="17"/>
      <c r="B37"/>
      <c r="C37"/>
      <c r="D37"/>
      <c r="E37"/>
      <c r="F37"/>
      <c r="G37"/>
      <c r="H37"/>
      <c r="I37"/>
      <c r="J37"/>
      <c r="K37"/>
      <c r="L37"/>
      <c r="M37"/>
      <c r="N37"/>
    </row>
    <row r="38" spans="1:14" s="15" customFormat="1" x14ac:dyDescent="0.55000000000000004">
      <c r="A38" s="17"/>
      <c r="B38"/>
      <c r="C38"/>
      <c r="D38"/>
      <c r="E38"/>
      <c r="F38"/>
      <c r="G38"/>
      <c r="H38"/>
      <c r="I38"/>
      <c r="J38"/>
      <c r="K38"/>
      <c r="L38"/>
      <c r="M38"/>
      <c r="N38"/>
    </row>
    <row r="39" spans="1:14" s="15" customFormat="1" x14ac:dyDescent="0.55000000000000004">
      <c r="A39" s="17"/>
      <c r="B39"/>
      <c r="C39"/>
      <c r="D39"/>
      <c r="E39"/>
      <c r="F39"/>
      <c r="G39"/>
      <c r="H39"/>
      <c r="I39"/>
      <c r="J39"/>
      <c r="K39"/>
      <c r="L39"/>
      <c r="M39"/>
      <c r="N39"/>
    </row>
    <row r="40" spans="1:14" s="15" customFormat="1" x14ac:dyDescent="0.55000000000000004">
      <c r="A40" s="17"/>
      <c r="B40"/>
      <c r="C40"/>
      <c r="D40"/>
      <c r="E40"/>
      <c r="F40"/>
      <c r="G40"/>
      <c r="H40"/>
      <c r="I40"/>
      <c r="J40"/>
      <c r="K40"/>
      <c r="L40"/>
      <c r="M40"/>
      <c r="N40"/>
    </row>
    <row r="41" spans="1:14" s="15" customFormat="1" x14ac:dyDescent="0.55000000000000004">
      <c r="A41" s="17"/>
      <c r="B41"/>
      <c r="C41"/>
      <c r="D41"/>
      <c r="E41"/>
      <c r="F41"/>
      <c r="G41"/>
      <c r="H41"/>
      <c r="I41"/>
      <c r="J41"/>
      <c r="K41"/>
      <c r="L41"/>
      <c r="M41"/>
      <c r="N41"/>
    </row>
    <row r="42" spans="1:14" s="15" customFormat="1" x14ac:dyDescent="0.55000000000000004">
      <c r="A42" s="17"/>
      <c r="B42"/>
      <c r="C42"/>
      <c r="D42"/>
      <c r="E42"/>
      <c r="F42"/>
      <c r="G42"/>
      <c r="H42"/>
      <c r="I42"/>
      <c r="J42"/>
      <c r="K42"/>
      <c r="L42"/>
      <c r="M42"/>
      <c r="N42"/>
    </row>
    <row r="43" spans="1:14" s="15" customFormat="1" x14ac:dyDescent="0.55000000000000004">
      <c r="A43" s="17"/>
      <c r="B43"/>
      <c r="C43"/>
      <c r="D43"/>
      <c r="E43"/>
      <c r="F43"/>
      <c r="G43"/>
      <c r="H43"/>
      <c r="I43"/>
      <c r="J43"/>
      <c r="K43"/>
      <c r="L43"/>
      <c r="M43"/>
      <c r="N43"/>
    </row>
  </sheetData>
  <pageMargins left="0.511811024" right="0.511811024" top="0.78740157499999996" bottom="0.78740157499999996" header="0.31496062000000002" footer="0.31496062000000002"/>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EDDCD-DBE3-42F6-B48F-A1A3C5A65247}">
  <sheetPr codeName="Planilha107">
    <tabColor theme="9" tint="0.59999389629810485"/>
  </sheetPr>
  <dimension ref="A1:V42"/>
  <sheetViews>
    <sheetView showGridLines="0" topLeftCell="C1" workbookViewId="0">
      <selection activeCell="Q9" sqref="Q9"/>
    </sheetView>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22" x14ac:dyDescent="0.55000000000000004">
      <c r="A1" s="16" t="s">
        <v>1219</v>
      </c>
      <c r="M1" s="14"/>
      <c r="N1" s="14"/>
      <c r="O1" s="14"/>
      <c r="P1" s="14"/>
      <c r="Q1" s="14"/>
      <c r="R1" s="14"/>
      <c r="S1" s="14"/>
    </row>
    <row r="2" spans="1:22" x14ac:dyDescent="0.55000000000000004">
      <c r="A2" s="17" t="s">
        <v>1218</v>
      </c>
      <c r="M2" s="14"/>
      <c r="N2" s="14"/>
      <c r="O2" s="14"/>
      <c r="P2" s="14"/>
      <c r="Q2" s="14"/>
      <c r="R2" s="14"/>
      <c r="S2" s="14"/>
    </row>
    <row r="4" spans="1:22" ht="15.75" x14ac:dyDescent="0.5">
      <c r="A4" s="2" t="s">
        <v>15</v>
      </c>
      <c r="B4" s="2" t="s">
        <v>16</v>
      </c>
    </row>
    <row r="5" spans="1:22" ht="15.75" x14ac:dyDescent="0.45">
      <c r="A5" s="23" t="s">
        <v>244</v>
      </c>
      <c r="B5" s="26" t="s">
        <v>1212</v>
      </c>
    </row>
    <row r="6" spans="1:22" ht="15.75" x14ac:dyDescent="0.45">
      <c r="A6" s="23" t="s">
        <v>245</v>
      </c>
      <c r="B6" s="26" t="s">
        <v>1211</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1</v>
      </c>
      <c r="G9" s="12">
        <v>3</v>
      </c>
      <c r="H9" s="12">
        <v>0</v>
      </c>
      <c r="J9" s="13" t="s">
        <v>1062</v>
      </c>
      <c r="K9" s="12"/>
      <c r="M9" s="15" cm="1">
        <f t="array" ref="M9:O12">_xlfn.LAMBDA(_xlpm.A,_xlpm.B,_xlop.default, _xlfn.LET(_xlpm.A, IF(AND(ROWS(_xlpm.A) = 1, COLUMNS(_xlpm.A) = 1), SPARSE(_xlpm.A * ONES(INDEX(_xlpm.B, 1, 1), INDEX(_xlpm.B, 1, 2)), INDEX(_xlpm.B, 1, 3)), _xlpm.A), _xlpm.B, IF(AND(ROWS(_xlpm.B) = 1, COLUMNS(_xlpm.B) = 1), SPARSE(_xlpm.B * ONES(INDEX(_xlpm.A, 1, 1), INDEX(_xlpm.A, 1, 2)), INDEX(_xlpm.A, 1, 3)), _xlpm.B), SPARSEWISE(_xlpm.A, _xlpm.B, _xleta.SUM, _xlpm.default)))($F$9:$H$11, $F$13:$H$15, $K$9)</f>
        <v>1</v>
      </c>
      <c r="N9" s="15">
        <v>3</v>
      </c>
      <c r="O9" s="15">
        <v>0</v>
      </c>
    </row>
    <row r="10" spans="1:22" x14ac:dyDescent="0.55000000000000004">
      <c r="F10" s="12">
        <v>1</v>
      </c>
      <c r="G10" s="12">
        <v>1</v>
      </c>
      <c r="H10" s="12">
        <v>1</v>
      </c>
      <c r="M10" s="15">
        <v>1</v>
      </c>
      <c r="N10" s="15">
        <v>1</v>
      </c>
      <c r="O10" s="15">
        <v>1</v>
      </c>
    </row>
    <row r="11" spans="1:22" x14ac:dyDescent="0.55000000000000004">
      <c r="F11" s="12">
        <v>1</v>
      </c>
      <c r="G11" s="12">
        <v>3</v>
      </c>
      <c r="H11" s="12">
        <v>3</v>
      </c>
      <c r="M11" s="15">
        <v>1</v>
      </c>
      <c r="N11" s="15">
        <v>2</v>
      </c>
      <c r="O11" s="15">
        <v>2</v>
      </c>
    </row>
    <row r="12" spans="1:22" x14ac:dyDescent="0.55000000000000004">
      <c r="M12" s="15">
        <v>1</v>
      </c>
      <c r="N12" s="15">
        <v>3</v>
      </c>
      <c r="O12" s="15">
        <v>7</v>
      </c>
    </row>
    <row r="13" spans="1:22" x14ac:dyDescent="0.55000000000000004">
      <c r="E13" s="13" t="s">
        <v>245</v>
      </c>
      <c r="F13" s="12">
        <v>1</v>
      </c>
      <c r="G13" s="12">
        <v>3</v>
      </c>
      <c r="H13" s="12">
        <v>0</v>
      </c>
    </row>
    <row r="14" spans="1:22" x14ac:dyDescent="0.55000000000000004">
      <c r="F14" s="12">
        <v>1</v>
      </c>
      <c r="G14" s="12">
        <v>2</v>
      </c>
      <c r="H14" s="12">
        <v>2</v>
      </c>
    </row>
    <row r="15" spans="1:22" x14ac:dyDescent="0.55000000000000004">
      <c r="F15" s="12">
        <v>1</v>
      </c>
      <c r="G15" s="12">
        <v>3</v>
      </c>
      <c r="H15" s="12">
        <v>4</v>
      </c>
    </row>
    <row r="18" spans="1:19" x14ac:dyDescent="0.55000000000000004">
      <c r="D18" s="1" t="s">
        <v>17</v>
      </c>
      <c r="E18" s="13" t="s">
        <v>244</v>
      </c>
      <c r="F18" s="12">
        <v>1</v>
      </c>
      <c r="G18" s="12">
        <v>3</v>
      </c>
      <c r="H18" s="12">
        <v>0</v>
      </c>
      <c r="J18" s="13" t="s">
        <v>1062</v>
      </c>
      <c r="K18" s="12"/>
      <c r="M18" s="15" cm="1">
        <f t="array" ref="M18:O21">SPARSEPLUS(F18:H20,$F$22:$H$24,$K$18)</f>
        <v>1</v>
      </c>
      <c r="N18" s="15">
        <v>3</v>
      </c>
      <c r="O18" s="15">
        <v>0</v>
      </c>
    </row>
    <row r="19" spans="1:19" x14ac:dyDescent="0.55000000000000004">
      <c r="F19" s="12">
        <v>1</v>
      </c>
      <c r="G19" s="12">
        <v>1</v>
      </c>
      <c r="H19" s="12">
        <v>1</v>
      </c>
      <c r="M19" s="15">
        <v>1</v>
      </c>
      <c r="N19" s="15">
        <v>1</v>
      </c>
      <c r="O19" s="15">
        <v>1</v>
      </c>
    </row>
    <row r="20" spans="1:19" s="21" customFormat="1" x14ac:dyDescent="0.55000000000000004">
      <c r="A20" s="17"/>
      <c r="B20"/>
      <c r="C20"/>
      <c r="D20"/>
      <c r="E20"/>
      <c r="F20" s="12">
        <v>1</v>
      </c>
      <c r="G20" s="12">
        <v>3</v>
      </c>
      <c r="H20" s="12">
        <v>3</v>
      </c>
      <c r="I20"/>
      <c r="J20"/>
      <c r="K20"/>
      <c r="L20"/>
      <c r="M20" s="15">
        <v>1</v>
      </c>
      <c r="N20" s="15">
        <v>2</v>
      </c>
      <c r="O20" s="15">
        <v>2</v>
      </c>
      <c r="P20" s="15"/>
      <c r="Q20" s="15"/>
      <c r="R20" s="15"/>
      <c r="S20" s="15"/>
    </row>
    <row r="21" spans="1:19" s="21" customFormat="1" x14ac:dyDescent="0.55000000000000004">
      <c r="A21" s="17"/>
      <c r="B21"/>
      <c r="C21"/>
      <c r="D21"/>
      <c r="E21"/>
      <c r="F21"/>
      <c r="G21"/>
      <c r="H21"/>
      <c r="I21"/>
      <c r="J21"/>
      <c r="K21"/>
      <c r="L21"/>
      <c r="M21" s="15">
        <v>1</v>
      </c>
      <c r="N21" s="15">
        <v>3</v>
      </c>
      <c r="O21" s="15">
        <v>7</v>
      </c>
      <c r="P21" s="15"/>
      <c r="Q21" s="15"/>
      <c r="R21" s="15"/>
      <c r="S21" s="15"/>
    </row>
    <row r="22" spans="1:19" s="21" customFormat="1" x14ac:dyDescent="0.55000000000000004">
      <c r="A22" s="17"/>
      <c r="B22"/>
      <c r="C22"/>
      <c r="D22"/>
      <c r="E22" s="13" t="s">
        <v>245</v>
      </c>
      <c r="F22" s="12">
        <v>1</v>
      </c>
      <c r="G22" s="12">
        <v>3</v>
      </c>
      <c r="H22" s="12">
        <v>0</v>
      </c>
      <c r="I22"/>
      <c r="J22"/>
      <c r="K22"/>
      <c r="L22"/>
      <c r="M22" s="15"/>
      <c r="N22" s="15"/>
      <c r="O22" s="15"/>
      <c r="P22" s="15"/>
      <c r="Q22" s="15"/>
      <c r="R22" s="15"/>
      <c r="S22" s="15"/>
    </row>
    <row r="23" spans="1:19" s="21" customFormat="1" x14ac:dyDescent="0.55000000000000004">
      <c r="A23" s="17"/>
      <c r="B23"/>
      <c r="C23"/>
      <c r="D23"/>
      <c r="E23"/>
      <c r="F23" s="12">
        <v>1</v>
      </c>
      <c r="G23" s="12">
        <v>2</v>
      </c>
      <c r="H23" s="12">
        <v>2</v>
      </c>
      <c r="I23"/>
      <c r="J23"/>
      <c r="K23"/>
      <c r="L23"/>
      <c r="M23" s="15"/>
      <c r="N23" s="15"/>
      <c r="O23" s="15"/>
      <c r="P23" s="15"/>
      <c r="Q23" s="15"/>
      <c r="R23" s="15"/>
      <c r="S23" s="15"/>
    </row>
    <row r="24" spans="1:19" x14ac:dyDescent="0.55000000000000004">
      <c r="F24" s="12">
        <v>1</v>
      </c>
      <c r="G24" s="12">
        <v>3</v>
      </c>
      <c r="H24" s="12">
        <v>4</v>
      </c>
    </row>
    <row r="30" spans="1:19" s="15" customFormat="1" x14ac:dyDescent="0.55000000000000004">
      <c r="A30" s="17"/>
      <c r="B30"/>
      <c r="C30"/>
      <c r="D30"/>
      <c r="E30"/>
      <c r="F30"/>
      <c r="G30"/>
      <c r="H30"/>
      <c r="I30"/>
      <c r="J30"/>
      <c r="K30"/>
      <c r="L30"/>
    </row>
    <row r="31" spans="1:19" s="15" customFormat="1" x14ac:dyDescent="0.55000000000000004">
      <c r="A31" s="17"/>
      <c r="B31"/>
      <c r="C31"/>
      <c r="D31"/>
      <c r="E31"/>
      <c r="F31"/>
      <c r="G31"/>
      <c r="H31"/>
      <c r="I31"/>
      <c r="J31"/>
      <c r="K31"/>
      <c r="L31"/>
    </row>
    <row r="32" spans="1:19" s="15" customFormat="1" x14ac:dyDescent="0.55000000000000004">
      <c r="A32" s="17"/>
      <c r="B32"/>
      <c r="C32"/>
      <c r="D32"/>
      <c r="E32"/>
      <c r="F32"/>
      <c r="G32"/>
      <c r="H32"/>
      <c r="I32"/>
      <c r="J32"/>
      <c r="K32"/>
      <c r="L32"/>
    </row>
    <row r="33" spans="1:12" s="15" customFormat="1" x14ac:dyDescent="0.55000000000000004">
      <c r="A33" s="17"/>
      <c r="B33"/>
      <c r="C33"/>
      <c r="D33"/>
      <c r="E33"/>
      <c r="F33"/>
      <c r="G33"/>
      <c r="H33"/>
      <c r="I33"/>
      <c r="J33"/>
      <c r="K33"/>
      <c r="L33"/>
    </row>
    <row r="34" spans="1:12" s="15" customFormat="1" x14ac:dyDescent="0.55000000000000004">
      <c r="A34" s="17"/>
      <c r="B34"/>
      <c r="C34"/>
      <c r="D34"/>
      <c r="E34"/>
      <c r="F34"/>
      <c r="G34"/>
      <c r="H34"/>
      <c r="I34"/>
      <c r="J34"/>
      <c r="K34"/>
      <c r="L34"/>
    </row>
    <row r="35" spans="1:12" s="15" customFormat="1" x14ac:dyDescent="0.55000000000000004">
      <c r="A35" s="17"/>
      <c r="B35"/>
      <c r="C35"/>
      <c r="D35"/>
      <c r="E35"/>
      <c r="F35"/>
      <c r="G35"/>
      <c r="H35"/>
      <c r="I35"/>
      <c r="J35"/>
      <c r="K35"/>
      <c r="L35"/>
    </row>
    <row r="36" spans="1:12" s="15" customFormat="1" x14ac:dyDescent="0.55000000000000004">
      <c r="A36" s="17"/>
      <c r="B36"/>
      <c r="C36"/>
      <c r="D36"/>
      <c r="E36"/>
      <c r="F36"/>
      <c r="G36"/>
      <c r="H36"/>
      <c r="I36"/>
      <c r="J36"/>
      <c r="K36"/>
      <c r="L36"/>
    </row>
    <row r="37" spans="1:12" s="15" customFormat="1" x14ac:dyDescent="0.55000000000000004">
      <c r="A37" s="17"/>
      <c r="B37"/>
      <c r="C37"/>
      <c r="D37"/>
      <c r="E37"/>
      <c r="F37"/>
      <c r="G37"/>
      <c r="H37"/>
      <c r="I37"/>
      <c r="J37"/>
      <c r="K37"/>
      <c r="L37"/>
    </row>
    <row r="38" spans="1:12" s="15" customFormat="1" x14ac:dyDescent="0.55000000000000004">
      <c r="A38" s="17"/>
      <c r="B38"/>
      <c r="C38"/>
      <c r="D38"/>
      <c r="E38"/>
      <c r="F38"/>
      <c r="G38"/>
      <c r="H38"/>
      <c r="I38"/>
      <c r="J38"/>
      <c r="K38"/>
      <c r="L38"/>
    </row>
    <row r="39" spans="1:12" s="15" customFormat="1" x14ac:dyDescent="0.55000000000000004">
      <c r="A39" s="17"/>
      <c r="B39"/>
      <c r="C39"/>
      <c r="D39"/>
      <c r="E39"/>
      <c r="F39"/>
      <c r="G39"/>
      <c r="H39"/>
      <c r="I39"/>
      <c r="J39"/>
      <c r="K39"/>
      <c r="L39"/>
    </row>
    <row r="40" spans="1:12" s="15" customFormat="1" x14ac:dyDescent="0.55000000000000004">
      <c r="A40" s="17"/>
      <c r="B40"/>
      <c r="C40"/>
      <c r="D40"/>
      <c r="E40"/>
      <c r="F40"/>
      <c r="G40"/>
      <c r="H40"/>
      <c r="I40"/>
      <c r="J40"/>
      <c r="K40"/>
      <c r="L40"/>
    </row>
    <row r="41" spans="1:12" s="15" customFormat="1" x14ac:dyDescent="0.55000000000000004">
      <c r="A41" s="17"/>
      <c r="B41"/>
      <c r="C41"/>
      <c r="D41"/>
      <c r="E41"/>
      <c r="F41"/>
      <c r="G41"/>
      <c r="H41"/>
      <c r="I41"/>
      <c r="J41"/>
      <c r="K41"/>
      <c r="L41"/>
    </row>
    <row r="42" spans="1:12" s="15" customFormat="1" x14ac:dyDescent="0.55000000000000004">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3635A-FFA2-4AE3-BC55-E180159706F4}">
  <sheetPr codeName="Planilha108">
    <tabColor theme="9" tint="0.59999389629810485"/>
  </sheetPr>
  <dimension ref="A1:V42"/>
  <sheetViews>
    <sheetView showGridLines="0" topLeftCell="D1" workbookViewId="0">
      <selection activeCell="Q9" sqref="Q9"/>
    </sheetView>
  </sheetViews>
  <sheetFormatPr defaultColWidth="8.796875" defaultRowHeight="18" x14ac:dyDescent="0.55000000000000004"/>
  <cols>
    <col min="1" max="1" width="12.6640625" style="17" customWidth="1"/>
    <col min="2" max="2" width="55" customWidth="1"/>
    <col min="5" max="6" width="12.33203125" bestFit="1" customWidth="1"/>
    <col min="11" max="11" width="8.796875" customWidth="1"/>
    <col min="13" max="13" width="11.33203125" style="15" bestFit="1" customWidth="1"/>
    <col min="14" max="19" width="8.796875" style="15"/>
    <col min="20" max="21" width="12.33203125" bestFit="1" customWidth="1"/>
  </cols>
  <sheetData>
    <row r="1" spans="1:22" x14ac:dyDescent="0.55000000000000004">
      <c r="A1" s="16" t="s">
        <v>1220</v>
      </c>
      <c r="M1" s="14"/>
      <c r="N1" s="14"/>
      <c r="O1" s="14"/>
      <c r="P1" s="14"/>
      <c r="Q1" s="14"/>
      <c r="R1" s="14"/>
      <c r="S1" s="14"/>
    </row>
    <row r="2" spans="1:22" x14ac:dyDescent="0.55000000000000004">
      <c r="A2" s="17" t="s">
        <v>1221</v>
      </c>
      <c r="M2" s="14"/>
      <c r="N2" s="14"/>
      <c r="O2" s="14"/>
      <c r="P2" s="14"/>
      <c r="Q2" s="14"/>
      <c r="R2" s="14"/>
      <c r="S2" s="14"/>
    </row>
    <row r="4" spans="1:22" ht="15.75" x14ac:dyDescent="0.5">
      <c r="A4" s="2" t="s">
        <v>15</v>
      </c>
      <c r="B4" s="2" t="s">
        <v>16</v>
      </c>
    </row>
    <row r="5" spans="1:22" ht="15.75" x14ac:dyDescent="0.45">
      <c r="A5" s="23" t="s">
        <v>244</v>
      </c>
      <c r="B5" s="26" t="s">
        <v>1222</v>
      </c>
    </row>
    <row r="6" spans="1:22" ht="15.75" x14ac:dyDescent="0.45">
      <c r="A6" s="23" t="s">
        <v>245</v>
      </c>
      <c r="B6" s="26" t="s">
        <v>1223</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1</v>
      </c>
      <c r="G9" s="12">
        <v>3</v>
      </c>
      <c r="H9" s="12">
        <v>0</v>
      </c>
      <c r="J9" s="13" t="s">
        <v>1062</v>
      </c>
      <c r="K9" s="12"/>
      <c r="M9" s="15" cm="1">
        <f t="array" ref="M9:O12">_xlfn.LAMBDA(_xlpm.A,_xlpm.B,_xlop.default, _xlfn.LET(_xlpm.A, IF(AND(ROWS(_xlpm.A) = 1, COLUMNS(_xlpm.A) = 1), SPARSE(_xlpm.A * ONES(INDEX(_xlpm.B, 1, 1), INDEX(_xlpm.B, 1, 2)), INDEX(_xlpm.B, 1, 3)), _xlpm.A), _xlpm.B, IF(AND(ROWS(_xlpm.B) = 1, COLUMNS(_xlpm.B) = 1), SPARSE(_xlpm.B * ONES(INDEX(_xlpm.A, 1, 1), INDEX(_xlpm.A, 1, 2)), INDEX(_xlpm.A, 1, 3)), _xlpm.B), _xlpm.Bvalues, -_xlfn.DROP(INDEX(_xlpm.B, 0, 3), 1), _xlpm.B_2, _xlfn.HSTACK(_xlfn.TAKE(_xlpm.B, , 2), _xlfn.VSTACK(INDEX(_xlpm.B, 1, 3), _xlpm.Bvalues)), SPARSEWISE(_xlpm.A, _xlpm.B_2, _xleta.SUM, _xlpm.default)))($F$9:$H$11, $F$13:$H$15, $K$9)</f>
        <v>1</v>
      </c>
      <c r="N9" s="15">
        <v>3</v>
      </c>
      <c r="O9" s="15">
        <v>0</v>
      </c>
    </row>
    <row r="10" spans="1:22" x14ac:dyDescent="0.55000000000000004">
      <c r="F10" s="12">
        <v>1</v>
      </c>
      <c r="G10" s="12">
        <v>1</v>
      </c>
      <c r="H10" s="12">
        <v>1</v>
      </c>
      <c r="M10" s="15">
        <v>1</v>
      </c>
      <c r="N10" s="15">
        <v>1</v>
      </c>
      <c r="O10" s="15">
        <v>1</v>
      </c>
    </row>
    <row r="11" spans="1:22" x14ac:dyDescent="0.55000000000000004">
      <c r="F11" s="12">
        <v>1</v>
      </c>
      <c r="G11" s="12">
        <v>3</v>
      </c>
      <c r="H11" s="12">
        <v>3</v>
      </c>
      <c r="M11" s="15">
        <v>1</v>
      </c>
      <c r="N11" s="15">
        <v>2</v>
      </c>
      <c r="O11" s="15">
        <v>-2</v>
      </c>
    </row>
    <row r="12" spans="1:22" x14ac:dyDescent="0.55000000000000004">
      <c r="M12" s="15">
        <v>1</v>
      </c>
      <c r="N12" s="15">
        <v>3</v>
      </c>
      <c r="O12" s="15">
        <v>-1</v>
      </c>
    </row>
    <row r="13" spans="1:22" x14ac:dyDescent="0.55000000000000004">
      <c r="E13" s="13" t="s">
        <v>245</v>
      </c>
      <c r="F13" s="12">
        <v>1</v>
      </c>
      <c r="G13" s="12">
        <v>3</v>
      </c>
      <c r="H13" s="12">
        <v>0</v>
      </c>
    </row>
    <row r="14" spans="1:22" x14ac:dyDescent="0.55000000000000004">
      <c r="F14" s="12">
        <v>1</v>
      </c>
      <c r="G14" s="12">
        <v>2</v>
      </c>
      <c r="H14" s="12">
        <v>2</v>
      </c>
    </row>
    <row r="15" spans="1:22" x14ac:dyDescent="0.55000000000000004">
      <c r="F15" s="12">
        <v>1</v>
      </c>
      <c r="G15" s="12">
        <v>3</v>
      </c>
      <c r="H15" s="12">
        <v>4</v>
      </c>
    </row>
    <row r="18" spans="1:19" x14ac:dyDescent="0.55000000000000004">
      <c r="D18" s="1" t="s">
        <v>17</v>
      </c>
      <c r="E18" s="13" t="s">
        <v>244</v>
      </c>
      <c r="F18" s="12">
        <v>1</v>
      </c>
      <c r="G18" s="12">
        <v>3</v>
      </c>
      <c r="H18" s="12">
        <v>0</v>
      </c>
      <c r="J18" s="13" t="s">
        <v>1062</v>
      </c>
      <c r="K18" s="12"/>
      <c r="M18" s="15" cm="1">
        <f t="array" ref="M18:O21">SPARSEMINUS(F18:H20,$F$22:$H$24,$K$18)</f>
        <v>1</v>
      </c>
      <c r="N18" s="15">
        <v>3</v>
      </c>
      <c r="O18" s="15">
        <v>0</v>
      </c>
    </row>
    <row r="19" spans="1:19" x14ac:dyDescent="0.55000000000000004">
      <c r="F19" s="12">
        <v>1</v>
      </c>
      <c r="G19" s="12">
        <v>1</v>
      </c>
      <c r="H19" s="12">
        <v>1</v>
      </c>
      <c r="M19" s="15">
        <v>1</v>
      </c>
      <c r="N19" s="15">
        <v>1</v>
      </c>
      <c r="O19" s="15">
        <v>1</v>
      </c>
    </row>
    <row r="20" spans="1:19" s="21" customFormat="1" x14ac:dyDescent="0.55000000000000004">
      <c r="A20" s="17"/>
      <c r="B20"/>
      <c r="C20"/>
      <c r="D20"/>
      <c r="E20"/>
      <c r="F20" s="12">
        <v>1</v>
      </c>
      <c r="G20" s="12">
        <v>3</v>
      </c>
      <c r="H20" s="12">
        <v>3</v>
      </c>
      <c r="I20"/>
      <c r="J20"/>
      <c r="K20"/>
      <c r="L20"/>
      <c r="M20" s="15">
        <v>1</v>
      </c>
      <c r="N20" s="15">
        <v>2</v>
      </c>
      <c r="O20" s="15">
        <v>-2</v>
      </c>
      <c r="P20" s="15"/>
      <c r="Q20" s="15"/>
      <c r="R20" s="15"/>
      <c r="S20" s="15"/>
    </row>
    <row r="21" spans="1:19" s="21" customFormat="1" x14ac:dyDescent="0.55000000000000004">
      <c r="A21" s="17"/>
      <c r="B21"/>
      <c r="C21"/>
      <c r="D21"/>
      <c r="E21"/>
      <c r="F21"/>
      <c r="G21"/>
      <c r="H21"/>
      <c r="I21"/>
      <c r="J21"/>
      <c r="K21"/>
      <c r="L21"/>
      <c r="M21" s="15">
        <v>1</v>
      </c>
      <c r="N21" s="15">
        <v>3</v>
      </c>
      <c r="O21" s="15">
        <v>-1</v>
      </c>
      <c r="P21" s="15"/>
      <c r="Q21" s="15"/>
      <c r="R21" s="15"/>
      <c r="S21" s="15"/>
    </row>
    <row r="22" spans="1:19" s="21" customFormat="1" x14ac:dyDescent="0.55000000000000004">
      <c r="A22" s="17"/>
      <c r="B22"/>
      <c r="C22"/>
      <c r="D22"/>
      <c r="E22" s="13" t="s">
        <v>245</v>
      </c>
      <c r="F22" s="12">
        <v>1</v>
      </c>
      <c r="G22" s="12">
        <v>3</v>
      </c>
      <c r="H22" s="12">
        <v>0</v>
      </c>
      <c r="I22"/>
      <c r="J22"/>
      <c r="K22"/>
      <c r="L22"/>
      <c r="M22" s="15"/>
      <c r="N22" s="15"/>
      <c r="O22" s="15"/>
      <c r="P22" s="15"/>
      <c r="Q22" s="15"/>
      <c r="R22" s="15"/>
      <c r="S22" s="15"/>
    </row>
    <row r="23" spans="1:19" s="21" customFormat="1" x14ac:dyDescent="0.55000000000000004">
      <c r="A23" s="17"/>
      <c r="B23"/>
      <c r="C23"/>
      <c r="D23"/>
      <c r="E23"/>
      <c r="F23" s="12">
        <v>1</v>
      </c>
      <c r="G23" s="12">
        <v>2</v>
      </c>
      <c r="H23" s="12">
        <v>2</v>
      </c>
      <c r="I23"/>
      <c r="J23"/>
      <c r="K23"/>
      <c r="L23"/>
      <c r="M23" s="15"/>
      <c r="N23" s="15"/>
      <c r="O23" s="15"/>
      <c r="P23" s="15"/>
      <c r="Q23" s="15"/>
      <c r="R23" s="15"/>
      <c r="S23" s="15"/>
    </row>
    <row r="24" spans="1:19" x14ac:dyDescent="0.55000000000000004">
      <c r="F24" s="12">
        <v>1</v>
      </c>
      <c r="G24" s="12">
        <v>3</v>
      </c>
      <c r="H24" s="12">
        <v>4</v>
      </c>
    </row>
    <row r="30" spans="1:19" s="15" customFormat="1" x14ac:dyDescent="0.55000000000000004">
      <c r="A30" s="17"/>
      <c r="B30"/>
      <c r="C30"/>
      <c r="D30"/>
      <c r="E30"/>
      <c r="F30"/>
      <c r="G30"/>
      <c r="H30"/>
      <c r="I30"/>
      <c r="J30"/>
      <c r="K30"/>
      <c r="L30"/>
    </row>
    <row r="31" spans="1:19" s="15" customFormat="1" x14ac:dyDescent="0.55000000000000004">
      <c r="A31" s="17"/>
      <c r="B31"/>
      <c r="C31"/>
      <c r="D31"/>
      <c r="E31"/>
      <c r="F31"/>
      <c r="G31"/>
      <c r="H31"/>
      <c r="I31"/>
      <c r="J31"/>
      <c r="K31"/>
      <c r="L31"/>
    </row>
    <row r="32" spans="1:19" s="15" customFormat="1" x14ac:dyDescent="0.55000000000000004">
      <c r="A32" s="17"/>
      <c r="B32"/>
      <c r="C32"/>
      <c r="D32"/>
      <c r="E32"/>
      <c r="F32"/>
      <c r="G32"/>
      <c r="H32"/>
      <c r="I32"/>
      <c r="J32"/>
      <c r="K32"/>
      <c r="L32"/>
    </row>
    <row r="33" spans="1:12" s="15" customFormat="1" x14ac:dyDescent="0.55000000000000004">
      <c r="A33" s="17"/>
      <c r="B33"/>
      <c r="C33"/>
      <c r="D33"/>
      <c r="E33"/>
      <c r="F33"/>
      <c r="G33"/>
      <c r="H33"/>
      <c r="I33"/>
      <c r="J33"/>
      <c r="K33"/>
      <c r="L33"/>
    </row>
    <row r="34" spans="1:12" s="15" customFormat="1" x14ac:dyDescent="0.55000000000000004">
      <c r="A34" s="17"/>
      <c r="B34"/>
      <c r="C34"/>
      <c r="D34"/>
      <c r="E34"/>
      <c r="F34"/>
      <c r="G34"/>
      <c r="H34"/>
      <c r="I34"/>
      <c r="J34"/>
      <c r="K34"/>
      <c r="L34"/>
    </row>
    <row r="35" spans="1:12" s="15" customFormat="1" x14ac:dyDescent="0.55000000000000004">
      <c r="A35" s="17"/>
      <c r="B35"/>
      <c r="C35"/>
      <c r="D35"/>
      <c r="E35"/>
      <c r="F35"/>
      <c r="G35"/>
      <c r="H35"/>
      <c r="I35"/>
      <c r="J35"/>
      <c r="K35"/>
      <c r="L35"/>
    </row>
    <row r="36" spans="1:12" s="15" customFormat="1" x14ac:dyDescent="0.55000000000000004">
      <c r="A36" s="17"/>
      <c r="B36"/>
      <c r="C36"/>
      <c r="D36"/>
      <c r="E36"/>
      <c r="F36"/>
      <c r="G36"/>
      <c r="H36"/>
      <c r="I36"/>
      <c r="J36"/>
      <c r="K36"/>
      <c r="L36"/>
    </row>
    <row r="37" spans="1:12" s="15" customFormat="1" x14ac:dyDescent="0.55000000000000004">
      <c r="A37" s="17"/>
      <c r="B37"/>
      <c r="C37"/>
      <c r="D37"/>
      <c r="E37"/>
      <c r="F37"/>
      <c r="G37"/>
      <c r="H37"/>
      <c r="I37"/>
      <c r="J37"/>
      <c r="K37"/>
      <c r="L37"/>
    </row>
    <row r="38" spans="1:12" s="15" customFormat="1" x14ac:dyDescent="0.55000000000000004">
      <c r="A38" s="17"/>
      <c r="B38"/>
      <c r="C38"/>
      <c r="D38"/>
      <c r="E38"/>
      <c r="F38"/>
      <c r="G38"/>
      <c r="H38"/>
      <c r="I38"/>
      <c r="J38"/>
      <c r="K38"/>
      <c r="L38"/>
    </row>
    <row r="39" spans="1:12" s="15" customFormat="1" x14ac:dyDescent="0.55000000000000004">
      <c r="A39" s="17"/>
      <c r="B39"/>
      <c r="C39"/>
      <c r="D39"/>
      <c r="E39"/>
      <c r="F39"/>
      <c r="G39"/>
      <c r="H39"/>
      <c r="I39"/>
      <c r="J39"/>
      <c r="K39"/>
      <c r="L39"/>
    </row>
    <row r="40" spans="1:12" s="15" customFormat="1" x14ac:dyDescent="0.55000000000000004">
      <c r="A40" s="17"/>
      <c r="B40"/>
      <c r="C40"/>
      <c r="D40"/>
      <c r="E40"/>
      <c r="F40"/>
      <c r="G40"/>
      <c r="H40"/>
      <c r="I40"/>
      <c r="J40"/>
      <c r="K40"/>
      <c r="L40"/>
    </row>
    <row r="41" spans="1:12" s="15" customFormat="1" x14ac:dyDescent="0.55000000000000004">
      <c r="A41" s="17"/>
      <c r="B41"/>
      <c r="C41"/>
      <c r="D41"/>
      <c r="E41"/>
      <c r="F41"/>
      <c r="G41"/>
      <c r="H41"/>
      <c r="I41"/>
      <c r="J41"/>
      <c r="K41"/>
      <c r="L41"/>
    </row>
    <row r="42" spans="1:12" s="15" customFormat="1" x14ac:dyDescent="0.55000000000000004">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C3A01-13D5-49FD-A3D6-560E04ABCFCA}">
  <sheetPr codeName="Planilha111">
    <tabColor theme="9" tint="0.59999389629810485"/>
  </sheetPr>
  <dimension ref="A1:V45"/>
  <sheetViews>
    <sheetView showGridLines="0" workbookViewId="0">
      <selection activeCell="I17" sqref="I17"/>
    </sheetView>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22" x14ac:dyDescent="0.55000000000000004">
      <c r="A1" s="83" t="s">
        <v>1232</v>
      </c>
      <c r="M1" s="14"/>
      <c r="N1" s="14"/>
      <c r="O1" s="14"/>
      <c r="P1" s="14"/>
      <c r="Q1" s="14"/>
      <c r="R1" s="14"/>
      <c r="S1" s="14"/>
    </row>
    <row r="2" spans="1:22" x14ac:dyDescent="0.55000000000000004">
      <c r="A2" s="17" t="s">
        <v>1233</v>
      </c>
      <c r="M2" s="14"/>
      <c r="N2" s="14"/>
      <c r="O2" s="14"/>
      <c r="P2" s="14"/>
      <c r="Q2" s="14"/>
      <c r="R2" s="14"/>
      <c r="S2" s="14"/>
    </row>
    <row r="4" spans="1:22" ht="15.75" x14ac:dyDescent="0.5">
      <c r="A4" s="2" t="s">
        <v>15</v>
      </c>
      <c r="B4" s="2" t="s">
        <v>16</v>
      </c>
    </row>
    <row r="5" spans="1:22" ht="15.75" x14ac:dyDescent="0.45">
      <c r="A5" s="23" t="s">
        <v>244</v>
      </c>
      <c r="B5" s="26" t="s">
        <v>1212</v>
      </c>
    </row>
    <row r="6" spans="1:22" ht="15.75" x14ac:dyDescent="0.45">
      <c r="A6" s="23" t="s">
        <v>245</v>
      </c>
      <c r="B6" s="26" t="s">
        <v>1211</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3</v>
      </c>
      <c r="G9" s="12">
        <v>1</v>
      </c>
      <c r="H9" s="12">
        <v>0</v>
      </c>
      <c r="J9" s="13" t="s">
        <v>1062</v>
      </c>
      <c r="K9" s="12">
        <v>0</v>
      </c>
      <c r="M9" s="15" cm="1">
        <f t="array" ref="M9:O13">_xlfn.LAMBDA(_xlpm.A,_xlpm.B,_xlop.default, _xlfn.LET(_xlpm.default, IF(OR(_xlfn.ISOMITTED(_xlpm.default), ISBLANK(_xlpm.default)), INDEX(_xlpm.A, 1, 3), _xlpm.default), _xlpm.A, IF(_xlpm.default = INDEX(_xlpm.A, 1, 3), _xlpm.A, SPARSE(_xludf.FULL(_xlpm.A), _xlpm.default)), _xlpm.B, IF(_xlpm.default = INDEX(_xlpm.B, 1, 3), _xlpm.B, SPARSE(_xludf.FULL(_xlpm.B), _xlpm.default)), _xlpm.rightSize, SUM(1 * (INDEX(_xlpm.A, 1, 2) = INDEX(_xlpm.B, 1, 1))) = 1, IF(_xlpm.rightSize = FALSE, "# sparse matrix A must have as many columns as B rows", _xlfn.LET(_xlpm.nLins, INDEX(_xlpm.A, 1, 1), _xlpm.nCols, INDEX(_xlpm.B, 1, 2), _xlpm.head, _xlfn.HSTACK(_xlpm.nLins, _xlpm.nCols, _xlpm.default), _xlpm.hA, _xlfn.DROP(_xlpm.A, 1), _xlpm.hB, _xlfn.DROP(_xlpm.B, 1), _xlpm.rowsA, INDEX(_xlpm.hA, 0, 1), _xlpm.colsA, INDEX(_xlpm.hA, 0, 2), _xlpm.valsA, INDEX(_xlpm.hA, 0, 3), _xlpm.rowsB, INDEX(_xlpm.hB, 0, 1), _xlpm.colsB, INDEX(_xlpm.hB, 0, 2), _xlpm.valsB, INDEX(_xlpm.hB, 0, 3), _xlpm.maxColA, MAX(_xlpm.colsA), _xlpm.final, _xlfn.MAKEARRAY(_xlpm.nLins, _xlpm.nCols, _xlfn.LAMBDA(_xlpm.row,_xlpm.col, _xlfn.LET(_xlpm.hAfilt, _xlfn._xlws.FILTER(_xlpm.hA, _xlpm.rowsA = _xlpm.row, _xlfn.HSTACK(_xlpm.row, 1, _xlpm.default)), _xlpm.hBfilt, _xlfn._xlws.FILTER(_xlpm.hB, _xlpm.colsB = _xlpm.col, _xlfn.HSTACK(1, _xlpm.col, _xlpm.default)), _xlpm.hAvals, _xlfn.XLOOKUP(_xlfn.SEQUENCE(_xlpm.maxColA), INDEX(_xlpm.hAfilt, 0, 2), INDEX(_xlpm.hAfilt, 0, 3), _xlpm.default), _xlpm.hBvals, _xlfn.XLOOKUP(_xlfn.SEQUENCE(_xlpm.maxColA), INDEX(_xlpm.hBfilt, 0, 1), INDEX(_xlpm.hBfilt, 0, 3), _xlpm.default), SUM(_xlpm.hAvals * _xlpm.hBvals)))), SPARSE(_xlpm.final, _xlpm.default)))))($F$9:$H$11, $F$13:$H$15, $K$9)</f>
        <v>3</v>
      </c>
      <c r="N9" s="15">
        <v>3</v>
      </c>
      <c r="O9" s="15">
        <v>0</v>
      </c>
      <c r="Q9" s="15" cm="1">
        <f t="array" ref="Q9:S13">SPARSE(MMULT(_xludf.FULL(F9:H11),_xludf.FULL(F13:H15)),$K$9)</f>
        <v>3</v>
      </c>
      <c r="R9" s="15">
        <v>3</v>
      </c>
      <c r="S9" s="15">
        <v>0</v>
      </c>
    </row>
    <row r="10" spans="1:22" x14ac:dyDescent="0.55000000000000004">
      <c r="F10" s="12">
        <v>1</v>
      </c>
      <c r="G10" s="12">
        <v>1</v>
      </c>
      <c r="H10" s="12">
        <v>2</v>
      </c>
      <c r="M10" s="15">
        <v>1</v>
      </c>
      <c r="N10" s="15">
        <v>1</v>
      </c>
      <c r="O10" s="15">
        <v>4</v>
      </c>
      <c r="Q10" s="15">
        <v>1</v>
      </c>
      <c r="R10" s="15">
        <v>1</v>
      </c>
      <c r="S10" s="15">
        <v>4</v>
      </c>
    </row>
    <row r="11" spans="1:22" x14ac:dyDescent="0.55000000000000004">
      <c r="F11" s="12">
        <v>3</v>
      </c>
      <c r="G11" s="12">
        <v>1</v>
      </c>
      <c r="H11" s="12">
        <v>3</v>
      </c>
      <c r="M11" s="15">
        <v>3</v>
      </c>
      <c r="N11" s="15">
        <v>1</v>
      </c>
      <c r="O11" s="15">
        <v>6</v>
      </c>
      <c r="Q11" s="15">
        <v>3</v>
      </c>
      <c r="R11" s="15">
        <v>1</v>
      </c>
      <c r="S11" s="15">
        <v>6</v>
      </c>
    </row>
    <row r="12" spans="1:22" x14ac:dyDescent="0.55000000000000004">
      <c r="M12" s="15">
        <v>1</v>
      </c>
      <c r="N12" s="15">
        <v>3</v>
      </c>
      <c r="O12" s="15">
        <v>8</v>
      </c>
      <c r="Q12" s="15">
        <v>1</v>
      </c>
      <c r="R12" s="15">
        <v>3</v>
      </c>
      <c r="S12" s="15">
        <v>8</v>
      </c>
    </row>
    <row r="13" spans="1:22" x14ac:dyDescent="0.55000000000000004">
      <c r="E13" s="13" t="s">
        <v>245</v>
      </c>
      <c r="F13" s="12">
        <v>1</v>
      </c>
      <c r="G13" s="12">
        <v>3</v>
      </c>
      <c r="H13" s="12">
        <v>0</v>
      </c>
      <c r="M13" s="15">
        <v>3</v>
      </c>
      <c r="N13" s="15">
        <v>3</v>
      </c>
      <c r="O13" s="15">
        <v>12</v>
      </c>
      <c r="Q13" s="15">
        <v>3</v>
      </c>
      <c r="R13" s="15">
        <v>3</v>
      </c>
      <c r="S13" s="15">
        <v>12</v>
      </c>
    </row>
    <row r="14" spans="1:22" x14ac:dyDescent="0.55000000000000004">
      <c r="F14" s="12">
        <v>1</v>
      </c>
      <c r="G14" s="12">
        <v>1</v>
      </c>
      <c r="H14" s="12">
        <v>2</v>
      </c>
    </row>
    <row r="15" spans="1:22" x14ac:dyDescent="0.55000000000000004">
      <c r="F15" s="12">
        <v>1</v>
      </c>
      <c r="G15" s="12">
        <v>3</v>
      </c>
      <c r="H15" s="12">
        <v>4</v>
      </c>
    </row>
    <row r="21" spans="1:19" x14ac:dyDescent="0.55000000000000004">
      <c r="D21" s="1" t="s">
        <v>17</v>
      </c>
      <c r="E21" s="13" t="s">
        <v>244</v>
      </c>
      <c r="F21" s="12">
        <v>3</v>
      </c>
      <c r="G21" s="12">
        <v>1</v>
      </c>
      <c r="H21" s="12">
        <v>0</v>
      </c>
      <c r="J21" s="13" t="s">
        <v>1062</v>
      </c>
      <c r="K21" s="12">
        <v>0</v>
      </c>
      <c r="M21" s="15" cm="1">
        <f t="array" ref="M21:O25">SPARSEMULT(F21:H23,$F$25:$H$27,$K$21)</f>
        <v>3</v>
      </c>
      <c r="N21" s="15">
        <v>3</v>
      </c>
      <c r="O21" s="15">
        <v>0</v>
      </c>
    </row>
    <row r="22" spans="1:19" x14ac:dyDescent="0.55000000000000004">
      <c r="F22" s="12">
        <v>1</v>
      </c>
      <c r="G22" s="12">
        <v>1</v>
      </c>
      <c r="H22" s="12">
        <v>2</v>
      </c>
      <c r="M22" s="15">
        <v>1</v>
      </c>
      <c r="N22" s="15">
        <v>1</v>
      </c>
      <c r="O22" s="15">
        <v>4</v>
      </c>
    </row>
    <row r="23" spans="1:19" s="21" customFormat="1" x14ac:dyDescent="0.55000000000000004">
      <c r="A23" s="17"/>
      <c r="B23"/>
      <c r="C23"/>
      <c r="D23"/>
      <c r="E23"/>
      <c r="F23" s="12">
        <v>3</v>
      </c>
      <c r="G23" s="12">
        <v>1</v>
      </c>
      <c r="H23" s="12">
        <v>3</v>
      </c>
      <c r="I23"/>
      <c r="J23"/>
      <c r="K23"/>
      <c r="L23"/>
      <c r="M23" s="15">
        <v>3</v>
      </c>
      <c r="N23" s="15">
        <v>1</v>
      </c>
      <c r="O23" s="15">
        <v>6</v>
      </c>
      <c r="P23" s="15"/>
      <c r="Q23" s="15"/>
      <c r="R23" s="15"/>
      <c r="S23" s="15"/>
    </row>
    <row r="24" spans="1:19" s="21" customFormat="1" x14ac:dyDescent="0.55000000000000004">
      <c r="A24" s="17"/>
      <c r="B24"/>
      <c r="C24"/>
      <c r="D24"/>
      <c r="E24"/>
      <c r="F24"/>
      <c r="G24"/>
      <c r="H24"/>
      <c r="I24"/>
      <c r="J24"/>
      <c r="K24"/>
      <c r="L24"/>
      <c r="M24" s="15">
        <v>1</v>
      </c>
      <c r="N24" s="15">
        <v>3</v>
      </c>
      <c r="O24" s="15">
        <v>8</v>
      </c>
      <c r="P24" s="15"/>
      <c r="Q24" s="15"/>
      <c r="R24" s="15"/>
      <c r="S24" s="15"/>
    </row>
    <row r="25" spans="1:19" s="21" customFormat="1" x14ac:dyDescent="0.55000000000000004">
      <c r="A25" s="17"/>
      <c r="B25"/>
      <c r="C25"/>
      <c r="D25"/>
      <c r="E25" s="13" t="s">
        <v>245</v>
      </c>
      <c r="F25" s="12">
        <v>1</v>
      </c>
      <c r="G25" s="12">
        <v>3</v>
      </c>
      <c r="H25" s="12">
        <v>0</v>
      </c>
      <c r="I25"/>
      <c r="J25"/>
      <c r="K25"/>
      <c r="L25"/>
      <c r="M25" s="15">
        <v>3</v>
      </c>
      <c r="N25" s="15">
        <v>3</v>
      </c>
      <c r="O25" s="15">
        <v>12</v>
      </c>
      <c r="P25" s="15"/>
      <c r="Q25" s="15"/>
      <c r="R25" s="15"/>
      <c r="S25" s="15"/>
    </row>
    <row r="26" spans="1:19" s="21" customFormat="1" x14ac:dyDescent="0.55000000000000004">
      <c r="A26" s="17"/>
      <c r="B26"/>
      <c r="C26"/>
      <c r="D26"/>
      <c r="E26"/>
      <c r="F26" s="12">
        <v>1</v>
      </c>
      <c r="G26" s="12">
        <v>1</v>
      </c>
      <c r="H26" s="12">
        <v>2</v>
      </c>
      <c r="I26"/>
      <c r="J26"/>
      <c r="K26"/>
      <c r="L26"/>
      <c r="M26" s="15"/>
      <c r="N26" s="15"/>
      <c r="O26" s="15"/>
      <c r="P26" s="15"/>
      <c r="Q26" s="15"/>
      <c r="R26" s="15"/>
      <c r="S26" s="15"/>
    </row>
    <row r="27" spans="1:19" x14ac:dyDescent="0.55000000000000004">
      <c r="F27" s="12">
        <v>1</v>
      </c>
      <c r="G27" s="12">
        <v>3</v>
      </c>
      <c r="H27" s="12">
        <v>4</v>
      </c>
    </row>
    <row r="33" spans="1:19" s="21" customFormat="1" x14ac:dyDescent="0.55000000000000004">
      <c r="A33" s="17"/>
      <c r="B33"/>
      <c r="C33"/>
      <c r="D33"/>
      <c r="E33"/>
      <c r="F33"/>
      <c r="G33"/>
      <c r="H33"/>
      <c r="I33"/>
      <c r="J33"/>
      <c r="K33"/>
      <c r="L33"/>
      <c r="M33" s="15"/>
      <c r="N33" s="15"/>
      <c r="O33" s="15"/>
      <c r="P33" s="15"/>
      <c r="Q33" s="15"/>
      <c r="R33" s="15"/>
      <c r="S33" s="15"/>
    </row>
    <row r="34" spans="1:19" s="21" customFormat="1" x14ac:dyDescent="0.55000000000000004">
      <c r="A34" s="17"/>
      <c r="B34"/>
      <c r="C34"/>
      <c r="D34"/>
      <c r="E34"/>
      <c r="F34"/>
      <c r="G34"/>
      <c r="H34"/>
      <c r="I34"/>
      <c r="J34"/>
      <c r="K34"/>
      <c r="L34"/>
      <c r="M34" s="15"/>
      <c r="N34" s="15"/>
      <c r="O34" s="15"/>
      <c r="P34" s="15"/>
      <c r="Q34" s="15"/>
      <c r="R34" s="15"/>
      <c r="S34" s="15"/>
    </row>
    <row r="35" spans="1:19" s="21" customFormat="1" x14ac:dyDescent="0.55000000000000004">
      <c r="A35" s="17"/>
      <c r="B35"/>
      <c r="C35"/>
      <c r="D35"/>
      <c r="E35"/>
      <c r="F35"/>
      <c r="G35"/>
      <c r="H35"/>
      <c r="I35"/>
      <c r="J35"/>
      <c r="K35"/>
      <c r="L35"/>
      <c r="M35" s="15"/>
      <c r="N35" s="15"/>
      <c r="O35" s="15"/>
      <c r="P35" s="15"/>
      <c r="Q35" s="15"/>
      <c r="R35" s="15"/>
      <c r="S35" s="15"/>
    </row>
    <row r="36" spans="1:19" s="21" customFormat="1" x14ac:dyDescent="0.55000000000000004">
      <c r="A36" s="17"/>
      <c r="B36"/>
      <c r="C36"/>
      <c r="D36"/>
      <c r="E36"/>
      <c r="F36"/>
      <c r="G36"/>
      <c r="H36"/>
      <c r="I36"/>
      <c r="J36"/>
      <c r="K36"/>
      <c r="L36"/>
      <c r="M36" s="15"/>
      <c r="N36" s="15"/>
      <c r="O36" s="15"/>
      <c r="P36" s="15"/>
      <c r="Q36" s="15"/>
      <c r="R36" s="15"/>
      <c r="S36" s="15"/>
    </row>
    <row r="37" spans="1:19" s="21" customFormat="1" x14ac:dyDescent="0.55000000000000004">
      <c r="A37" s="17"/>
      <c r="B37"/>
      <c r="C37"/>
      <c r="D37"/>
      <c r="E37"/>
      <c r="F37"/>
      <c r="G37"/>
      <c r="H37"/>
      <c r="I37"/>
      <c r="J37"/>
      <c r="K37"/>
      <c r="L37"/>
      <c r="M37" s="15"/>
      <c r="N37" s="15"/>
      <c r="O37" s="15"/>
      <c r="P37" s="15"/>
      <c r="Q37" s="15"/>
      <c r="R37" s="15"/>
      <c r="S37" s="15"/>
    </row>
    <row r="38" spans="1:19" s="21" customFormat="1" x14ac:dyDescent="0.55000000000000004">
      <c r="A38" s="17"/>
      <c r="B38"/>
      <c r="C38"/>
      <c r="D38"/>
      <c r="E38"/>
      <c r="F38"/>
      <c r="G38"/>
      <c r="H38"/>
      <c r="I38"/>
      <c r="J38"/>
      <c r="K38"/>
      <c r="L38"/>
      <c r="M38" s="15"/>
      <c r="N38" s="15"/>
      <c r="O38" s="15"/>
      <c r="P38" s="15"/>
      <c r="Q38" s="15"/>
      <c r="R38" s="15"/>
      <c r="S38" s="15"/>
    </row>
    <row r="39" spans="1:19" s="21" customFormat="1" x14ac:dyDescent="0.55000000000000004">
      <c r="A39" s="17"/>
      <c r="B39"/>
      <c r="C39"/>
      <c r="D39"/>
      <c r="E39"/>
      <c r="F39"/>
      <c r="G39"/>
      <c r="H39"/>
      <c r="I39"/>
      <c r="J39"/>
      <c r="K39"/>
      <c r="L39"/>
      <c r="M39" s="15"/>
      <c r="N39" s="15"/>
      <c r="O39" s="15"/>
      <c r="P39" s="15"/>
      <c r="Q39" s="15"/>
      <c r="R39" s="15"/>
      <c r="S39" s="15"/>
    </row>
    <row r="40" spans="1:19" s="21" customFormat="1" x14ac:dyDescent="0.55000000000000004">
      <c r="A40" s="17"/>
      <c r="B40"/>
      <c r="C40"/>
      <c r="D40"/>
      <c r="E40"/>
      <c r="F40"/>
      <c r="G40"/>
      <c r="H40"/>
      <c r="I40"/>
      <c r="J40"/>
      <c r="K40"/>
      <c r="L40"/>
      <c r="M40" s="15"/>
      <c r="N40" s="15"/>
      <c r="O40" s="15"/>
      <c r="P40" s="15"/>
      <c r="Q40" s="15"/>
      <c r="R40" s="15"/>
      <c r="S40" s="15"/>
    </row>
    <row r="41" spans="1:19" s="21" customFormat="1" x14ac:dyDescent="0.55000000000000004">
      <c r="A41" s="17"/>
      <c r="B41"/>
      <c r="C41"/>
      <c r="D41"/>
      <c r="E41"/>
      <c r="F41"/>
      <c r="G41"/>
      <c r="H41"/>
      <c r="I41"/>
      <c r="J41"/>
      <c r="K41"/>
      <c r="L41"/>
      <c r="M41" s="15"/>
      <c r="N41" s="15"/>
      <c r="O41" s="15"/>
      <c r="P41" s="15"/>
      <c r="Q41" s="15"/>
      <c r="R41" s="15"/>
      <c r="S41" s="15"/>
    </row>
    <row r="42" spans="1:19" s="21" customFormat="1" x14ac:dyDescent="0.55000000000000004">
      <c r="A42" s="17"/>
      <c r="B42"/>
      <c r="C42"/>
      <c r="D42"/>
      <c r="E42"/>
      <c r="F42"/>
      <c r="G42"/>
      <c r="H42"/>
      <c r="I42"/>
      <c r="J42"/>
      <c r="K42"/>
      <c r="L42"/>
      <c r="M42" s="15"/>
      <c r="N42" s="15"/>
      <c r="O42" s="15"/>
      <c r="P42" s="15"/>
      <c r="Q42" s="15"/>
      <c r="R42" s="15"/>
      <c r="S42" s="15"/>
    </row>
    <row r="43" spans="1:19" s="21" customFormat="1" x14ac:dyDescent="0.55000000000000004">
      <c r="A43" s="17"/>
      <c r="B43"/>
      <c r="C43"/>
      <c r="D43"/>
      <c r="E43"/>
      <c r="F43"/>
      <c r="G43"/>
      <c r="H43"/>
      <c r="I43"/>
      <c r="J43"/>
      <c r="K43"/>
      <c r="L43"/>
      <c r="M43" s="15"/>
      <c r="N43" s="15"/>
      <c r="O43" s="15"/>
      <c r="P43" s="15"/>
      <c r="Q43" s="15"/>
      <c r="R43" s="15"/>
      <c r="S43" s="15"/>
    </row>
    <row r="44" spans="1:19" s="21" customFormat="1" x14ac:dyDescent="0.55000000000000004">
      <c r="A44" s="17"/>
      <c r="B44"/>
      <c r="C44"/>
      <c r="D44"/>
      <c r="E44"/>
      <c r="F44"/>
      <c r="G44"/>
      <c r="H44"/>
      <c r="I44"/>
      <c r="J44"/>
      <c r="K44"/>
      <c r="L44"/>
      <c r="M44" s="15"/>
      <c r="N44" s="15"/>
      <c r="O44" s="15"/>
      <c r="P44" s="15"/>
      <c r="Q44" s="15"/>
      <c r="R44" s="15"/>
      <c r="S44" s="15"/>
    </row>
    <row r="45" spans="1:19" s="21" customFormat="1" x14ac:dyDescent="0.55000000000000004">
      <c r="A45" s="17"/>
      <c r="B45"/>
      <c r="C45"/>
      <c r="D45"/>
      <c r="E45"/>
      <c r="F45"/>
      <c r="G45"/>
      <c r="H45"/>
      <c r="I45"/>
      <c r="J45"/>
      <c r="K45"/>
      <c r="L45"/>
      <c r="M45" s="15"/>
      <c r="N45" s="15"/>
      <c r="O45" s="15"/>
      <c r="P45" s="15"/>
      <c r="Q45" s="15"/>
      <c r="R45" s="15"/>
      <c r="S45" s="15"/>
    </row>
  </sheetData>
  <pageMargins left="0.511811024" right="0.511811024" top="0.78740157499999996" bottom="0.78740157499999996" header="0.31496062000000002" footer="0.3149606200000000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3023-891E-4269-AD82-E8D23013A459}">
  <sheetPr codeName="Planilha118">
    <tabColor theme="9" tint="0.59999389629810485"/>
  </sheetPr>
  <dimension ref="A1:V42"/>
  <sheetViews>
    <sheetView showGridLines="0" workbookViewId="0">
      <selection activeCell="M9" sqref="M9"/>
    </sheetView>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22" x14ac:dyDescent="0.55000000000000004">
      <c r="A1" s="16" t="s">
        <v>1286</v>
      </c>
      <c r="M1" s="14"/>
      <c r="N1" s="14"/>
      <c r="O1" s="14"/>
      <c r="P1" s="14"/>
      <c r="Q1" s="14"/>
      <c r="R1" s="14"/>
      <c r="S1" s="14"/>
    </row>
    <row r="2" spans="1:22" x14ac:dyDescent="0.55000000000000004">
      <c r="A2" s="17" t="s">
        <v>1287</v>
      </c>
      <c r="M2" s="14"/>
      <c r="N2" s="14"/>
      <c r="O2" s="14"/>
      <c r="P2" s="14"/>
      <c r="Q2" s="14"/>
      <c r="R2" s="14"/>
      <c r="S2" s="14"/>
    </row>
    <row r="4" spans="1:22" ht="15.75" x14ac:dyDescent="0.5">
      <c r="A4" s="2" t="s">
        <v>15</v>
      </c>
      <c r="B4" s="2" t="s">
        <v>16</v>
      </c>
    </row>
    <row r="5" spans="1:22" ht="31.5" x14ac:dyDescent="0.45">
      <c r="A5" s="23" t="s">
        <v>244</v>
      </c>
      <c r="B5" s="26" t="s">
        <v>1281</v>
      </c>
    </row>
    <row r="6" spans="1:22" ht="31.5" x14ac:dyDescent="0.45">
      <c r="A6" s="23" t="s">
        <v>245</v>
      </c>
      <c r="B6" s="26" t="s">
        <v>1282</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1</v>
      </c>
      <c r="G9" s="12">
        <v>3</v>
      </c>
      <c r="H9" s="12">
        <v>1</v>
      </c>
      <c r="J9" s="13" t="s">
        <v>1062</v>
      </c>
      <c r="K9" s="12"/>
      <c r="M9" s="15" cm="1">
        <f t="array" ref="M9:O11">_xlfn.LAMBDA(_xlpm.A,_xlpm.B,_xlop.default, _xlfn.LET(_xlpm.A, IF(AND(ROWS(_xlpm.A) = 1, COLUMNS(_xlpm.A) = 1), SPARSE(_xlpm.A * ONES(INDEX(_xlpm.B, 1, 1), INDEX(_xlpm.B, 1, 2)), INDEX(_xlpm.B, 1, 3)), _xlpm.A), _xlpm.B, IF(AND(ROWS(_xlpm.B) = 1, COLUMNS(_xlpm.B) = 1), SPARSE(1 / _xlpm.B * ONES(INDEX(_xlpm.A, 1, 1), INDEX(_xlpm.A, 1, 2)), INDEX(_xlpm.A, 1, 3)), SLICE(_xlpm.B, 2, ROWS(_xlpm.B), 3, 3, 1 / SLICE(_xlpm.B, 2, ROWS(_xlpm.B), 3, 3))), IF(AND(NNZ(_xlpm.B) &lt; ROWS(_xlpm.B) * COLUMNS(_xlpm.B), ROWS(_xlpm.B) &lt; 1 + INDEX(_xlpm.B, 1, 1) * INDEX(_xlpm.B, 1, 2)), #DIV/0!, SPARSEWISE(_xlpm.A, _xlpm.B, _xleta.PRODUCT, _xlpm.default))))($F$9:$H$11, $F$13:$H$15, $K$9)</f>
        <v>1</v>
      </c>
      <c r="N9" s="15">
        <v>3</v>
      </c>
      <c r="O9" s="15">
        <v>1</v>
      </c>
    </row>
    <row r="10" spans="1:22" x14ac:dyDescent="0.55000000000000004">
      <c r="F10" s="12">
        <v>1</v>
      </c>
      <c r="G10" s="12">
        <v>1</v>
      </c>
      <c r="H10" s="12">
        <v>1</v>
      </c>
      <c r="M10" s="15">
        <v>1</v>
      </c>
      <c r="N10" s="15">
        <v>2</v>
      </c>
      <c r="O10" s="15">
        <v>0.5</v>
      </c>
    </row>
    <row r="11" spans="1:22" x14ac:dyDescent="0.55000000000000004">
      <c r="F11" s="12">
        <v>1</v>
      </c>
      <c r="G11" s="12">
        <v>3</v>
      </c>
      <c r="H11" s="12">
        <v>3</v>
      </c>
      <c r="M11" s="15">
        <v>1</v>
      </c>
      <c r="N11" s="15">
        <v>3</v>
      </c>
      <c r="O11" s="15">
        <v>0.75</v>
      </c>
    </row>
    <row r="13" spans="1:22" x14ac:dyDescent="0.55000000000000004">
      <c r="E13" s="13" t="s">
        <v>245</v>
      </c>
      <c r="F13" s="12">
        <v>1</v>
      </c>
      <c r="G13" s="12">
        <v>3</v>
      </c>
      <c r="H13" s="12">
        <v>1</v>
      </c>
    </row>
    <row r="14" spans="1:22" x14ac:dyDescent="0.55000000000000004">
      <c r="F14" s="12">
        <v>1</v>
      </c>
      <c r="G14" s="12">
        <v>2</v>
      </c>
      <c r="H14" s="12">
        <v>2</v>
      </c>
    </row>
    <row r="15" spans="1:22" x14ac:dyDescent="0.55000000000000004">
      <c r="F15" s="12">
        <v>1</v>
      </c>
      <c r="G15" s="12">
        <v>3</v>
      </c>
      <c r="H15" s="12">
        <v>4</v>
      </c>
    </row>
    <row r="18" spans="1:19" x14ac:dyDescent="0.55000000000000004">
      <c r="D18" s="1" t="s">
        <v>17</v>
      </c>
      <c r="E18" s="13" t="s">
        <v>244</v>
      </c>
      <c r="F18" s="12">
        <v>1</v>
      </c>
      <c r="G18" s="12">
        <v>3</v>
      </c>
      <c r="H18" s="12">
        <v>1</v>
      </c>
      <c r="J18" s="13" t="s">
        <v>1062</v>
      </c>
      <c r="K18" s="12"/>
      <c r="M18" s="15" cm="1">
        <f t="array" ref="M18:O20">SPARSEDIV(F18:H20,$F$22:$H$24,$K$18)</f>
        <v>1</v>
      </c>
      <c r="N18" s="15">
        <v>3</v>
      </c>
      <c r="O18" s="15">
        <v>1</v>
      </c>
    </row>
    <row r="19" spans="1:19" x14ac:dyDescent="0.55000000000000004">
      <c r="F19" s="12">
        <v>1</v>
      </c>
      <c r="G19" s="12">
        <v>1</v>
      </c>
      <c r="H19" s="12">
        <v>1</v>
      </c>
      <c r="M19" s="15">
        <v>1</v>
      </c>
      <c r="N19" s="15">
        <v>2</v>
      </c>
      <c r="O19" s="15">
        <v>0.5</v>
      </c>
    </row>
    <row r="20" spans="1:19" s="21" customFormat="1" x14ac:dyDescent="0.55000000000000004">
      <c r="A20" s="17"/>
      <c r="B20"/>
      <c r="C20"/>
      <c r="D20"/>
      <c r="E20"/>
      <c r="F20" s="12">
        <v>1</v>
      </c>
      <c r="G20" s="12">
        <v>3</v>
      </c>
      <c r="H20" s="12">
        <v>3</v>
      </c>
      <c r="I20"/>
      <c r="J20"/>
      <c r="K20"/>
      <c r="L20"/>
      <c r="M20" s="15">
        <v>1</v>
      </c>
      <c r="N20" s="15">
        <v>3</v>
      </c>
      <c r="O20" s="15">
        <v>0.75</v>
      </c>
      <c r="P20" s="15"/>
      <c r="Q20" s="15"/>
      <c r="R20" s="15"/>
      <c r="S20" s="15"/>
    </row>
    <row r="21" spans="1:19" s="21" customFormat="1" x14ac:dyDescent="0.55000000000000004">
      <c r="A21" s="17"/>
      <c r="B21"/>
      <c r="C21"/>
      <c r="D21"/>
      <c r="E21"/>
      <c r="F21"/>
      <c r="G21"/>
      <c r="H21"/>
      <c r="I21"/>
      <c r="J21"/>
      <c r="K21"/>
      <c r="L21"/>
      <c r="M21" s="15"/>
      <c r="N21" s="15"/>
      <c r="O21" s="15"/>
      <c r="P21" s="15"/>
      <c r="Q21" s="15"/>
      <c r="R21" s="15"/>
      <c r="S21" s="15"/>
    </row>
    <row r="22" spans="1:19" s="21" customFormat="1" x14ac:dyDescent="0.55000000000000004">
      <c r="A22" s="17"/>
      <c r="B22"/>
      <c r="C22"/>
      <c r="D22"/>
      <c r="E22" s="13" t="s">
        <v>245</v>
      </c>
      <c r="F22" s="12">
        <v>1</v>
      </c>
      <c r="G22" s="12">
        <v>3</v>
      </c>
      <c r="H22" s="12">
        <v>1</v>
      </c>
      <c r="I22"/>
      <c r="J22"/>
      <c r="K22"/>
      <c r="L22"/>
      <c r="M22" s="15"/>
      <c r="N22" s="15"/>
      <c r="O22" s="15"/>
      <c r="P22" s="15"/>
      <c r="Q22" s="15"/>
      <c r="R22" s="15"/>
      <c r="S22" s="15"/>
    </row>
    <row r="23" spans="1:19" s="21" customFormat="1" x14ac:dyDescent="0.55000000000000004">
      <c r="A23" s="17"/>
      <c r="B23"/>
      <c r="C23"/>
      <c r="D23"/>
      <c r="E23"/>
      <c r="F23" s="12">
        <v>1</v>
      </c>
      <c r="G23" s="12">
        <v>2</v>
      </c>
      <c r="H23" s="12">
        <v>2</v>
      </c>
      <c r="I23"/>
      <c r="J23"/>
      <c r="K23"/>
      <c r="L23"/>
      <c r="M23" s="15"/>
      <c r="N23" s="15"/>
      <c r="O23" s="15"/>
      <c r="P23" s="15"/>
      <c r="Q23" s="15"/>
      <c r="R23" s="15"/>
      <c r="S23" s="15"/>
    </row>
    <row r="24" spans="1:19" x14ac:dyDescent="0.55000000000000004">
      <c r="F24" s="12">
        <v>1</v>
      </c>
      <c r="G24" s="12">
        <v>3</v>
      </c>
      <c r="H24" s="12">
        <v>4</v>
      </c>
    </row>
    <row r="30" spans="1:19" s="15" customFormat="1" x14ac:dyDescent="0.55000000000000004">
      <c r="A30" s="17"/>
      <c r="B30"/>
      <c r="C30"/>
      <c r="D30"/>
      <c r="E30"/>
      <c r="F30"/>
      <c r="G30"/>
      <c r="H30"/>
      <c r="I30"/>
      <c r="J30"/>
      <c r="K30"/>
      <c r="L30"/>
    </row>
    <row r="31" spans="1:19" s="15" customFormat="1" x14ac:dyDescent="0.55000000000000004">
      <c r="A31" s="17"/>
      <c r="B31"/>
      <c r="C31"/>
      <c r="D31"/>
      <c r="E31"/>
      <c r="F31"/>
      <c r="G31"/>
      <c r="H31"/>
      <c r="I31"/>
      <c r="J31"/>
      <c r="K31"/>
      <c r="L31"/>
    </row>
    <row r="32" spans="1:19" s="15" customFormat="1" x14ac:dyDescent="0.55000000000000004">
      <c r="A32" s="17"/>
      <c r="B32"/>
      <c r="C32"/>
      <c r="D32"/>
      <c r="E32"/>
      <c r="F32"/>
      <c r="G32"/>
      <c r="H32"/>
      <c r="I32"/>
      <c r="J32"/>
      <c r="K32"/>
      <c r="L32"/>
    </row>
    <row r="33" spans="1:12" s="15" customFormat="1" x14ac:dyDescent="0.55000000000000004">
      <c r="A33" s="17"/>
      <c r="B33"/>
      <c r="C33"/>
      <c r="D33"/>
      <c r="E33"/>
      <c r="F33"/>
      <c r="G33"/>
      <c r="H33"/>
      <c r="I33"/>
      <c r="J33"/>
      <c r="K33"/>
      <c r="L33"/>
    </row>
    <row r="34" spans="1:12" s="15" customFormat="1" x14ac:dyDescent="0.55000000000000004">
      <c r="A34" s="17"/>
      <c r="B34"/>
      <c r="C34"/>
      <c r="D34"/>
      <c r="E34"/>
      <c r="F34"/>
      <c r="G34"/>
      <c r="H34"/>
      <c r="I34"/>
      <c r="J34"/>
      <c r="K34"/>
      <c r="L34"/>
    </row>
    <row r="35" spans="1:12" s="15" customFormat="1" x14ac:dyDescent="0.55000000000000004">
      <c r="A35" s="17"/>
      <c r="B35"/>
      <c r="C35"/>
      <c r="D35"/>
      <c r="E35"/>
      <c r="F35"/>
      <c r="G35"/>
      <c r="H35"/>
      <c r="I35"/>
      <c r="J35"/>
      <c r="K35"/>
      <c r="L35"/>
    </row>
    <row r="36" spans="1:12" s="15" customFormat="1" x14ac:dyDescent="0.55000000000000004">
      <c r="A36" s="17"/>
      <c r="B36"/>
      <c r="C36"/>
      <c r="D36"/>
      <c r="E36"/>
      <c r="F36"/>
      <c r="G36"/>
      <c r="H36"/>
      <c r="I36"/>
      <c r="J36"/>
      <c r="K36"/>
      <c r="L36"/>
    </row>
    <row r="37" spans="1:12" s="15" customFormat="1" x14ac:dyDescent="0.55000000000000004">
      <c r="A37" s="17"/>
      <c r="B37"/>
      <c r="C37"/>
      <c r="D37"/>
      <c r="E37"/>
      <c r="F37"/>
      <c r="G37"/>
      <c r="H37"/>
      <c r="I37"/>
      <c r="J37"/>
      <c r="K37"/>
      <c r="L37"/>
    </row>
    <row r="38" spans="1:12" s="15" customFormat="1" x14ac:dyDescent="0.55000000000000004">
      <c r="A38" s="17"/>
      <c r="B38"/>
      <c r="C38"/>
      <c r="D38"/>
      <c r="E38"/>
      <c r="F38"/>
      <c r="G38"/>
      <c r="H38"/>
      <c r="I38"/>
      <c r="J38"/>
      <c r="K38"/>
      <c r="L38"/>
    </row>
    <row r="39" spans="1:12" s="15" customFormat="1" x14ac:dyDescent="0.55000000000000004">
      <c r="A39" s="17"/>
      <c r="B39"/>
      <c r="C39"/>
      <c r="D39"/>
      <c r="E39"/>
      <c r="F39"/>
      <c r="G39"/>
      <c r="H39"/>
      <c r="I39"/>
      <c r="J39"/>
      <c r="K39"/>
      <c r="L39"/>
    </row>
    <row r="40" spans="1:12" s="15" customFormat="1" x14ac:dyDescent="0.55000000000000004">
      <c r="A40" s="17"/>
      <c r="B40"/>
      <c r="C40"/>
      <c r="D40"/>
      <c r="E40"/>
      <c r="F40"/>
      <c r="G40"/>
      <c r="H40"/>
      <c r="I40"/>
      <c r="J40"/>
      <c r="K40"/>
      <c r="L40"/>
    </row>
    <row r="41" spans="1:12" s="15" customFormat="1" x14ac:dyDescent="0.55000000000000004">
      <c r="A41" s="17"/>
      <c r="B41"/>
      <c r="C41"/>
      <c r="D41"/>
      <c r="E41"/>
      <c r="F41"/>
      <c r="G41"/>
      <c r="H41"/>
      <c r="I41"/>
      <c r="J41"/>
      <c r="K41"/>
      <c r="L41"/>
    </row>
    <row r="42" spans="1:12" s="15" customFormat="1" x14ac:dyDescent="0.55000000000000004">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5290C-9DFF-4DAC-B3A4-FF4D1BB24F9F}">
  <sheetPr codeName="Planilha109">
    <tabColor theme="9" tint="0.59999389629810485"/>
  </sheetPr>
  <dimension ref="A1:V42"/>
  <sheetViews>
    <sheetView showGridLines="0" workbookViewId="0">
      <selection activeCell="R18" sqref="R18"/>
    </sheetView>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22" x14ac:dyDescent="0.55000000000000004">
      <c r="A1" s="16" t="s">
        <v>1224</v>
      </c>
      <c r="M1" s="14"/>
      <c r="N1" s="14"/>
      <c r="O1" s="14"/>
      <c r="P1" s="14"/>
      <c r="Q1" s="14"/>
      <c r="R1" s="14"/>
      <c r="S1" s="14"/>
    </row>
    <row r="2" spans="1:22" x14ac:dyDescent="0.55000000000000004">
      <c r="A2" s="17" t="s">
        <v>1280</v>
      </c>
      <c r="M2" s="14"/>
      <c r="N2" s="14"/>
      <c r="O2" s="14"/>
      <c r="P2" s="14"/>
      <c r="Q2" s="14"/>
      <c r="R2" s="14"/>
      <c r="S2" s="14"/>
    </row>
    <row r="4" spans="1:22" ht="15.75" x14ac:dyDescent="0.5">
      <c r="A4" s="2" t="s">
        <v>15</v>
      </c>
      <c r="B4" s="2" t="s">
        <v>16</v>
      </c>
    </row>
    <row r="5" spans="1:22" ht="31.5" x14ac:dyDescent="0.45">
      <c r="A5" s="23" t="s">
        <v>244</v>
      </c>
      <c r="B5" s="26" t="s">
        <v>1281</v>
      </c>
    </row>
    <row r="6" spans="1:22" ht="31.5" x14ac:dyDescent="0.45">
      <c r="A6" s="23" t="s">
        <v>245</v>
      </c>
      <c r="B6" s="26" t="s">
        <v>1282</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1</v>
      </c>
      <c r="G9" s="12">
        <v>3</v>
      </c>
      <c r="H9" s="12">
        <v>0</v>
      </c>
      <c r="J9" s="13" t="s">
        <v>1062</v>
      </c>
      <c r="K9" s="12"/>
      <c r="M9" s="15" cm="1">
        <f t="array" ref="M9:O10">_xlfn.LAMBDA(_xlpm.A,_xlpm.B,_xlop.default, _xlfn.LET(_xlpm.A, IF(AND(ROWS(_xlpm.A) = 1, COLUMNS(_xlpm.A) = 1), SPARSE(_xlpm.A * ONES(INDEX(_xlpm.B, 1, 1), INDEX(_xlpm.B, 1, 2)), INDEX(_xlpm.B, 1, 3)), _xlpm.A), _xlpm.B, IF(AND(ROWS(_xlpm.B) = 1, COLUMNS(_xlpm.B) = 1), SPARSE(_xlpm.B * ONES(INDEX(_xlpm.A, 1, 1), INDEX(_xlpm.A, 1, 2)), INDEX(_xlpm.A, 1, 3)), _xlpm.B), SPARSEWISE(_xlpm.A, _xlpm.B, _xleta.PRODUCT, _xlpm.default)))($F$9:$H$11, $F$13:$H$15, $K$9)</f>
        <v>1</v>
      </c>
      <c r="N9" s="15">
        <v>3</v>
      </c>
      <c r="O9" s="15">
        <v>0</v>
      </c>
    </row>
    <row r="10" spans="1:22" x14ac:dyDescent="0.55000000000000004">
      <c r="F10" s="12">
        <v>1</v>
      </c>
      <c r="G10" s="12">
        <v>1</v>
      </c>
      <c r="H10" s="12">
        <v>1</v>
      </c>
      <c r="M10" s="15">
        <v>1</v>
      </c>
      <c r="N10" s="15">
        <v>3</v>
      </c>
      <c r="O10" s="15">
        <v>12</v>
      </c>
    </row>
    <row r="11" spans="1:22" x14ac:dyDescent="0.55000000000000004">
      <c r="F11" s="12">
        <v>1</v>
      </c>
      <c r="G11" s="12">
        <v>3</v>
      </c>
      <c r="H11" s="12">
        <v>3</v>
      </c>
    </row>
    <row r="13" spans="1:22" x14ac:dyDescent="0.55000000000000004">
      <c r="E13" s="13" t="s">
        <v>245</v>
      </c>
      <c r="F13" s="12">
        <v>1</v>
      </c>
      <c r="G13" s="12">
        <v>3</v>
      </c>
      <c r="H13" s="12">
        <v>0</v>
      </c>
    </row>
    <row r="14" spans="1:22" x14ac:dyDescent="0.55000000000000004">
      <c r="F14" s="12">
        <v>1</v>
      </c>
      <c r="G14" s="12">
        <v>2</v>
      </c>
      <c r="H14" s="12">
        <v>2</v>
      </c>
    </row>
    <row r="15" spans="1:22" x14ac:dyDescent="0.55000000000000004">
      <c r="F15" s="12">
        <v>1</v>
      </c>
      <c r="G15" s="12">
        <v>3</v>
      </c>
      <c r="H15" s="12">
        <v>4</v>
      </c>
    </row>
    <row r="18" spans="1:19" x14ac:dyDescent="0.55000000000000004">
      <c r="D18" s="1" t="s">
        <v>17</v>
      </c>
      <c r="E18" s="13" t="s">
        <v>244</v>
      </c>
      <c r="F18" s="12">
        <v>1</v>
      </c>
      <c r="G18" s="12">
        <v>3</v>
      </c>
      <c r="H18" s="12">
        <v>0</v>
      </c>
      <c r="J18" s="13" t="s">
        <v>1062</v>
      </c>
      <c r="K18" s="12"/>
      <c r="M18" s="15" cm="1">
        <f t="array" ref="M18:O19">SPARSEDOT(F18:H20,$F$22:$H$24,$K$18)</f>
        <v>1</v>
      </c>
      <c r="N18" s="15">
        <v>3</v>
      </c>
      <c r="O18" s="15">
        <v>0</v>
      </c>
    </row>
    <row r="19" spans="1:19" x14ac:dyDescent="0.55000000000000004">
      <c r="F19" s="12">
        <v>1</v>
      </c>
      <c r="G19" s="12">
        <v>1</v>
      </c>
      <c r="H19" s="12">
        <v>1</v>
      </c>
      <c r="M19" s="15">
        <v>1</v>
      </c>
      <c r="N19" s="15">
        <v>3</v>
      </c>
      <c r="O19" s="15">
        <v>12</v>
      </c>
    </row>
    <row r="20" spans="1:19" s="21" customFormat="1" x14ac:dyDescent="0.55000000000000004">
      <c r="A20" s="17"/>
      <c r="B20"/>
      <c r="C20"/>
      <c r="D20"/>
      <c r="E20"/>
      <c r="F20" s="12">
        <v>1</v>
      </c>
      <c r="G20" s="12">
        <v>3</v>
      </c>
      <c r="H20" s="12">
        <v>3</v>
      </c>
      <c r="I20"/>
      <c r="J20"/>
      <c r="K20"/>
      <c r="L20"/>
      <c r="M20" s="15"/>
      <c r="N20" s="15"/>
      <c r="O20" s="15"/>
      <c r="P20" s="15"/>
      <c r="Q20" s="15"/>
      <c r="R20" s="15"/>
      <c r="S20" s="15"/>
    </row>
    <row r="21" spans="1:19" s="21" customFormat="1" x14ac:dyDescent="0.55000000000000004">
      <c r="A21" s="17"/>
      <c r="B21"/>
      <c r="C21"/>
      <c r="D21"/>
      <c r="E21"/>
      <c r="F21"/>
      <c r="G21"/>
      <c r="H21"/>
      <c r="I21"/>
      <c r="J21"/>
      <c r="K21"/>
      <c r="L21"/>
      <c r="M21" s="15"/>
      <c r="N21" s="15"/>
      <c r="O21" s="15"/>
      <c r="P21" s="15"/>
      <c r="Q21" s="15"/>
      <c r="R21" s="15"/>
      <c r="S21" s="15"/>
    </row>
    <row r="22" spans="1:19" s="21" customFormat="1" x14ac:dyDescent="0.55000000000000004">
      <c r="A22" s="17"/>
      <c r="B22"/>
      <c r="C22"/>
      <c r="D22"/>
      <c r="E22" s="13" t="s">
        <v>245</v>
      </c>
      <c r="F22" s="12">
        <v>1</v>
      </c>
      <c r="G22" s="12">
        <v>3</v>
      </c>
      <c r="H22" s="12">
        <v>0</v>
      </c>
      <c r="I22"/>
      <c r="J22"/>
      <c r="K22"/>
      <c r="L22"/>
      <c r="M22" s="15"/>
      <c r="N22" s="15"/>
      <c r="O22" s="15"/>
      <c r="P22" s="15"/>
      <c r="Q22" s="15"/>
      <c r="R22" s="15"/>
      <c r="S22" s="15"/>
    </row>
    <row r="23" spans="1:19" s="21" customFormat="1" x14ac:dyDescent="0.55000000000000004">
      <c r="A23" s="17"/>
      <c r="B23"/>
      <c r="C23"/>
      <c r="D23"/>
      <c r="E23"/>
      <c r="F23" s="12">
        <v>1</v>
      </c>
      <c r="G23" s="12">
        <v>2</v>
      </c>
      <c r="H23" s="12">
        <v>2</v>
      </c>
      <c r="I23"/>
      <c r="J23"/>
      <c r="K23"/>
      <c r="L23"/>
      <c r="M23" s="15"/>
      <c r="N23" s="15"/>
      <c r="O23" s="15"/>
      <c r="P23" s="15"/>
      <c r="Q23" s="15"/>
      <c r="R23" s="15"/>
      <c r="S23" s="15"/>
    </row>
    <row r="24" spans="1:19" x14ac:dyDescent="0.55000000000000004">
      <c r="F24" s="12">
        <v>1</v>
      </c>
      <c r="G24" s="12">
        <v>3</v>
      </c>
      <c r="H24" s="12">
        <v>4</v>
      </c>
    </row>
    <row r="30" spans="1:19" s="15" customFormat="1" x14ac:dyDescent="0.55000000000000004">
      <c r="A30" s="17"/>
      <c r="B30"/>
      <c r="C30"/>
      <c r="D30"/>
      <c r="E30"/>
      <c r="F30"/>
      <c r="G30"/>
      <c r="H30"/>
      <c r="I30"/>
      <c r="J30"/>
      <c r="K30"/>
      <c r="L30"/>
    </row>
    <row r="31" spans="1:19" s="15" customFormat="1" x14ac:dyDescent="0.55000000000000004">
      <c r="A31" s="17"/>
      <c r="B31"/>
      <c r="C31"/>
      <c r="D31"/>
      <c r="E31"/>
      <c r="F31"/>
      <c r="G31"/>
      <c r="H31"/>
      <c r="I31"/>
      <c r="J31"/>
      <c r="K31"/>
      <c r="L31"/>
    </row>
    <row r="32" spans="1:19" s="15" customFormat="1" x14ac:dyDescent="0.55000000000000004">
      <c r="A32" s="17"/>
      <c r="B32"/>
      <c r="C32"/>
      <c r="D32"/>
      <c r="E32"/>
      <c r="F32"/>
      <c r="G32"/>
      <c r="H32"/>
      <c r="I32"/>
      <c r="J32"/>
      <c r="K32"/>
      <c r="L32"/>
    </row>
    <row r="33" spans="1:12" s="15" customFormat="1" x14ac:dyDescent="0.55000000000000004">
      <c r="A33" s="17"/>
      <c r="B33"/>
      <c r="C33"/>
      <c r="D33"/>
      <c r="E33"/>
      <c r="F33"/>
      <c r="G33"/>
      <c r="H33"/>
      <c r="I33"/>
      <c r="J33"/>
      <c r="K33"/>
      <c r="L33"/>
    </row>
    <row r="34" spans="1:12" s="15" customFormat="1" x14ac:dyDescent="0.55000000000000004">
      <c r="A34" s="17"/>
      <c r="B34"/>
      <c r="C34"/>
      <c r="D34"/>
      <c r="E34"/>
      <c r="F34"/>
      <c r="G34"/>
      <c r="H34"/>
      <c r="I34"/>
      <c r="J34"/>
      <c r="K34"/>
      <c r="L34"/>
    </row>
    <row r="35" spans="1:12" s="15" customFormat="1" x14ac:dyDescent="0.55000000000000004">
      <c r="A35" s="17"/>
      <c r="B35"/>
      <c r="C35"/>
      <c r="D35"/>
      <c r="E35"/>
      <c r="F35"/>
      <c r="G35"/>
      <c r="H35"/>
      <c r="I35"/>
      <c r="J35"/>
      <c r="K35"/>
      <c r="L35"/>
    </row>
    <row r="36" spans="1:12" s="15" customFormat="1" x14ac:dyDescent="0.55000000000000004">
      <c r="A36" s="17"/>
      <c r="B36"/>
      <c r="C36"/>
      <c r="D36"/>
      <c r="E36"/>
      <c r="F36"/>
      <c r="G36"/>
      <c r="H36"/>
      <c r="I36"/>
      <c r="J36"/>
      <c r="K36"/>
      <c r="L36"/>
    </row>
    <row r="37" spans="1:12" s="15" customFormat="1" x14ac:dyDescent="0.55000000000000004">
      <c r="A37" s="17"/>
      <c r="B37"/>
      <c r="C37"/>
      <c r="D37"/>
      <c r="E37"/>
      <c r="F37"/>
      <c r="G37"/>
      <c r="H37"/>
      <c r="I37"/>
      <c r="J37"/>
      <c r="K37"/>
      <c r="L37"/>
    </row>
    <row r="38" spans="1:12" s="15" customFormat="1" x14ac:dyDescent="0.55000000000000004">
      <c r="A38" s="17"/>
      <c r="B38"/>
      <c r="C38"/>
      <c r="D38"/>
      <c r="E38"/>
      <c r="F38"/>
      <c r="G38"/>
      <c r="H38"/>
      <c r="I38"/>
      <c r="J38"/>
      <c r="K38"/>
      <c r="L38"/>
    </row>
    <row r="39" spans="1:12" s="15" customFormat="1" x14ac:dyDescent="0.55000000000000004">
      <c r="A39" s="17"/>
      <c r="B39"/>
      <c r="C39"/>
      <c r="D39"/>
      <c r="E39"/>
      <c r="F39"/>
      <c r="G39"/>
      <c r="H39"/>
      <c r="I39"/>
      <c r="J39"/>
      <c r="K39"/>
      <c r="L39"/>
    </row>
    <row r="40" spans="1:12" s="15" customFormat="1" x14ac:dyDescent="0.55000000000000004">
      <c r="A40" s="17"/>
      <c r="B40"/>
      <c r="C40"/>
      <c r="D40"/>
      <c r="E40"/>
      <c r="F40"/>
      <c r="G40"/>
      <c r="H40"/>
      <c r="I40"/>
      <c r="J40"/>
      <c r="K40"/>
      <c r="L40"/>
    </row>
    <row r="41" spans="1:12" s="15" customFormat="1" x14ac:dyDescent="0.55000000000000004">
      <c r="A41" s="17"/>
      <c r="B41"/>
      <c r="C41"/>
      <c r="D41"/>
      <c r="E41"/>
      <c r="F41"/>
      <c r="G41"/>
      <c r="H41"/>
      <c r="I41"/>
      <c r="J41"/>
      <c r="K41"/>
      <c r="L41"/>
    </row>
    <row r="42" spans="1:12" s="15" customFormat="1" x14ac:dyDescent="0.55000000000000004">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DA81-8CF8-42C5-AE39-675C2A9E3B76}">
  <sheetPr codeName="Planilha110">
    <tabColor theme="9" tint="0.59999389629810485"/>
  </sheetPr>
  <dimension ref="A1:Y34"/>
  <sheetViews>
    <sheetView showGridLines="0" workbookViewId="0"/>
  </sheetViews>
  <sheetFormatPr defaultColWidth="8.796875" defaultRowHeight="18" x14ac:dyDescent="0.55000000000000004"/>
  <cols>
    <col min="1" max="1" width="22.33203125" style="17" customWidth="1"/>
    <col min="2" max="2" width="55" customWidth="1"/>
    <col min="5" max="6" width="12.33203125" bestFit="1" customWidth="1"/>
    <col min="9" max="9" width="4.33203125" customWidth="1"/>
    <col min="10" max="10" width="14.1328125" customWidth="1"/>
    <col min="11" max="11" width="4.796875" customWidth="1"/>
    <col min="12" max="12" width="5.6640625" customWidth="1"/>
    <col min="13" max="13" width="14.1328125" customWidth="1"/>
    <col min="14" max="14" width="12.33203125" bestFit="1" customWidth="1"/>
    <col min="16" max="16" width="11.33203125" style="15" bestFit="1" customWidth="1"/>
    <col min="17" max="22" width="8.796875" style="15"/>
    <col min="23" max="24" width="12.33203125" bestFit="1" customWidth="1"/>
  </cols>
  <sheetData>
    <row r="1" spans="1:25" x14ac:dyDescent="0.55000000000000004">
      <c r="A1" s="16" t="s">
        <v>1225</v>
      </c>
      <c r="P1" s="14"/>
      <c r="Q1" s="14"/>
      <c r="R1" s="14"/>
      <c r="S1" s="14"/>
      <c r="T1" s="14"/>
      <c r="U1" s="14"/>
      <c r="V1" s="14"/>
    </row>
    <row r="2" spans="1:25" x14ac:dyDescent="0.55000000000000004">
      <c r="A2" s="17" t="s">
        <v>1226</v>
      </c>
      <c r="P2" s="14"/>
      <c r="Q2" s="14"/>
      <c r="R2" s="14"/>
      <c r="S2" s="14"/>
      <c r="T2" s="14"/>
      <c r="U2" s="14"/>
      <c r="V2" s="14"/>
    </row>
    <row r="4" spans="1:25" ht="15.75" x14ac:dyDescent="0.5">
      <c r="A4" s="2" t="s">
        <v>15</v>
      </c>
      <c r="B4" s="2" t="s">
        <v>16</v>
      </c>
    </row>
    <row r="5" spans="1:25" ht="15.75" x14ac:dyDescent="0.45">
      <c r="A5" s="23" t="s">
        <v>244</v>
      </c>
      <c r="B5" s="26" t="s">
        <v>1229</v>
      </c>
    </row>
    <row r="6" spans="1:25" ht="15.75" x14ac:dyDescent="0.45">
      <c r="A6" s="23" t="s">
        <v>1227</v>
      </c>
      <c r="B6" s="26" t="s">
        <v>1228</v>
      </c>
    </row>
    <row r="7" spans="1:25" ht="31.5" x14ac:dyDescent="0.45">
      <c r="A7" s="23" t="s">
        <v>1231</v>
      </c>
      <c r="B7" s="26" t="s">
        <v>1230</v>
      </c>
      <c r="W7" s="21"/>
      <c r="X7" s="21"/>
      <c r="Y7" s="21"/>
    </row>
    <row r="8" spans="1:25" ht="15.75" x14ac:dyDescent="0.5">
      <c r="A8" s="19"/>
      <c r="B8" s="18"/>
    </row>
    <row r="9" spans="1:25" x14ac:dyDescent="0.55000000000000004">
      <c r="D9" s="1" t="s">
        <v>17</v>
      </c>
      <c r="E9" s="13" t="s">
        <v>244</v>
      </c>
      <c r="F9" s="12">
        <v>1</v>
      </c>
      <c r="G9" s="12">
        <v>3</v>
      </c>
      <c r="H9" s="12">
        <v>0</v>
      </c>
      <c r="J9" s="13" t="s">
        <v>1227</v>
      </c>
      <c r="K9" s="12">
        <v>2</v>
      </c>
      <c r="M9" s="13" t="s">
        <v>1231</v>
      </c>
      <c r="N9" s="12" t="b">
        <v>1</v>
      </c>
      <c r="P9" s="15" cm="1">
        <f t="array" ref="P9:R11">_xlfn.LAMBDA(_xlpm.A,_xlpm.power,_xlop.raiseDefault, _xlfn.LET(_xlpm.raiseDefault, IF(OR(_xlfn.ISOMITTED(_xlpm.raiseDefault), ISBLANK(_xlpm.raiseDefault)), TRUE, _xlpm.raiseDefault), _xlfn.HSTACK(_xlfn.TAKE(_xlpm.A, , 2), IF(ROWS(_xlpm.A) = 1, IF(_xlpm.raiseDefault, INDEX(_xlpm.A, 1, 3) ^ _xlpm.power, INDEX(_xlpm.A, 1, 3)), _xlfn.VSTACK(IF(_xlpm.raiseDefault, INDEX(_xlpm.A, 1, 3) ^ _xlpm.power, INDEX(_xlpm.A, 1, 3)), _xlfn.DROP(_xlfn.TAKE(_xlpm.A, , -1), 1) ^ _xlpm.power)))))($F$9:$H$11, $K$9, $N$9)</f>
        <v>1</v>
      </c>
      <c r="Q9" s="15">
        <v>3</v>
      </c>
      <c r="R9" s="15">
        <v>0</v>
      </c>
    </row>
    <row r="10" spans="1:25" x14ac:dyDescent="0.55000000000000004">
      <c r="F10" s="12">
        <v>1</v>
      </c>
      <c r="G10" s="12">
        <v>1</v>
      </c>
      <c r="H10" s="12">
        <v>1</v>
      </c>
      <c r="P10" s="15">
        <v>1</v>
      </c>
      <c r="Q10" s="15">
        <v>1</v>
      </c>
      <c r="R10" s="15">
        <v>1</v>
      </c>
    </row>
    <row r="11" spans="1:25" s="21" customFormat="1" x14ac:dyDescent="0.55000000000000004">
      <c r="A11" s="17"/>
      <c r="B11"/>
      <c r="C11"/>
      <c r="D11"/>
      <c r="E11"/>
      <c r="F11" s="12">
        <v>1</v>
      </c>
      <c r="G11" s="12">
        <v>3</v>
      </c>
      <c r="H11" s="12">
        <v>3</v>
      </c>
      <c r="I11"/>
      <c r="J11"/>
      <c r="K11"/>
      <c r="L11"/>
      <c r="M11"/>
      <c r="N11"/>
      <c r="O11"/>
      <c r="P11" s="15">
        <v>1</v>
      </c>
      <c r="Q11" s="15">
        <v>3</v>
      </c>
      <c r="R11" s="15">
        <v>9</v>
      </c>
      <c r="S11" s="15"/>
      <c r="T11" s="15"/>
      <c r="U11" s="15"/>
      <c r="V11" s="15"/>
    </row>
    <row r="14" spans="1:25" x14ac:dyDescent="0.55000000000000004">
      <c r="D14" s="1" t="s">
        <v>17</v>
      </c>
      <c r="E14" s="13" t="s">
        <v>244</v>
      </c>
      <c r="F14" s="12">
        <v>1</v>
      </c>
      <c r="G14" s="12">
        <v>3</v>
      </c>
      <c r="H14" s="12">
        <v>0</v>
      </c>
      <c r="J14" s="13" t="s">
        <v>1227</v>
      </c>
      <c r="K14" s="12">
        <v>2</v>
      </c>
      <c r="M14" s="13" t="s">
        <v>1231</v>
      </c>
      <c r="N14" s="12" t="b">
        <v>1</v>
      </c>
      <c r="P14" s="15" cm="1">
        <f t="array" ref="P14:R16">SPARSEPOWER(F14:H16,$K$14,$N$14)</f>
        <v>1</v>
      </c>
      <c r="Q14" s="15">
        <v>3</v>
      </c>
      <c r="R14" s="15">
        <v>0</v>
      </c>
    </row>
    <row r="15" spans="1:25" x14ac:dyDescent="0.55000000000000004">
      <c r="F15" s="12">
        <v>1</v>
      </c>
      <c r="G15" s="12">
        <v>1</v>
      </c>
      <c r="H15" s="12">
        <v>1</v>
      </c>
      <c r="P15" s="15">
        <v>1</v>
      </c>
      <c r="Q15" s="15">
        <v>1</v>
      </c>
      <c r="R15" s="15">
        <v>1</v>
      </c>
    </row>
    <row r="16" spans="1:25" s="21" customFormat="1" x14ac:dyDescent="0.55000000000000004">
      <c r="A16" s="17"/>
      <c r="B16"/>
      <c r="C16"/>
      <c r="D16"/>
      <c r="E16"/>
      <c r="F16" s="12">
        <v>1</v>
      </c>
      <c r="G16" s="12">
        <v>3</v>
      </c>
      <c r="H16" s="12">
        <v>3</v>
      </c>
      <c r="I16"/>
      <c r="J16"/>
      <c r="K16"/>
      <c r="L16"/>
      <c r="M16"/>
      <c r="N16"/>
      <c r="O16"/>
      <c r="P16" s="15">
        <v>1</v>
      </c>
      <c r="Q16" s="15">
        <v>3</v>
      </c>
      <c r="R16" s="15">
        <v>9</v>
      </c>
      <c r="S16" s="15"/>
      <c r="T16" s="15"/>
      <c r="U16" s="15"/>
      <c r="V16" s="15"/>
    </row>
    <row r="22" spans="1:22" s="21" customFormat="1" x14ac:dyDescent="0.55000000000000004">
      <c r="A22" s="17"/>
      <c r="B22"/>
      <c r="C22"/>
      <c r="D22"/>
      <c r="E22"/>
      <c r="F22"/>
      <c r="G22"/>
      <c r="H22"/>
      <c r="I22"/>
      <c r="J22"/>
      <c r="K22"/>
      <c r="L22"/>
      <c r="M22"/>
      <c r="N22"/>
      <c r="O22"/>
      <c r="P22" s="15"/>
      <c r="Q22" s="15"/>
      <c r="R22" s="15"/>
      <c r="S22" s="15"/>
      <c r="T22" s="15"/>
      <c r="U22" s="15"/>
      <c r="V22" s="15"/>
    </row>
    <row r="23" spans="1:22" s="21" customFormat="1" x14ac:dyDescent="0.55000000000000004">
      <c r="A23" s="17"/>
      <c r="B23"/>
      <c r="C23"/>
      <c r="D23"/>
      <c r="E23"/>
      <c r="F23"/>
      <c r="G23"/>
      <c r="H23"/>
      <c r="I23"/>
      <c r="J23"/>
      <c r="K23"/>
      <c r="L23"/>
      <c r="M23"/>
      <c r="N23"/>
      <c r="O23"/>
      <c r="P23" s="15"/>
      <c r="Q23" s="15"/>
      <c r="R23" s="15"/>
      <c r="S23" s="15"/>
      <c r="T23" s="15"/>
      <c r="U23" s="15"/>
      <c r="V23" s="15"/>
    </row>
    <row r="24" spans="1:22" s="21" customFormat="1" x14ac:dyDescent="0.55000000000000004">
      <c r="A24" s="17"/>
      <c r="B24"/>
      <c r="C24"/>
      <c r="D24"/>
      <c r="E24"/>
      <c r="F24"/>
      <c r="G24"/>
      <c r="H24"/>
      <c r="I24"/>
      <c r="J24"/>
      <c r="K24"/>
      <c r="L24"/>
      <c r="M24"/>
      <c r="N24"/>
      <c r="O24"/>
      <c r="P24" s="15"/>
      <c r="Q24" s="15"/>
      <c r="R24" s="15"/>
      <c r="S24" s="15"/>
      <c r="T24" s="15"/>
      <c r="U24" s="15"/>
      <c r="V24" s="15"/>
    </row>
    <row r="25" spans="1:22" s="21" customFormat="1" x14ac:dyDescent="0.55000000000000004">
      <c r="A25" s="17"/>
      <c r="B25"/>
      <c r="C25"/>
      <c r="D25"/>
      <c r="E25"/>
      <c r="F25"/>
      <c r="G25"/>
      <c r="H25"/>
      <c r="I25"/>
      <c r="J25"/>
      <c r="K25"/>
      <c r="L25"/>
      <c r="M25"/>
      <c r="N25"/>
      <c r="O25"/>
      <c r="P25" s="15"/>
      <c r="Q25" s="15"/>
      <c r="R25" s="15"/>
      <c r="S25" s="15"/>
      <c r="T25" s="15"/>
      <c r="U25" s="15"/>
      <c r="V25" s="15"/>
    </row>
    <row r="26" spans="1:22" s="21" customFormat="1" x14ac:dyDescent="0.55000000000000004">
      <c r="A26" s="17"/>
      <c r="B26"/>
      <c r="C26"/>
      <c r="D26"/>
      <c r="E26"/>
      <c r="F26"/>
      <c r="G26"/>
      <c r="H26"/>
      <c r="I26"/>
      <c r="J26"/>
      <c r="K26"/>
      <c r="L26"/>
      <c r="M26"/>
      <c r="N26"/>
      <c r="O26"/>
      <c r="P26" s="15"/>
      <c r="Q26" s="15"/>
      <c r="R26" s="15"/>
      <c r="S26" s="15"/>
      <c r="T26" s="15"/>
      <c r="U26" s="15"/>
      <c r="V26" s="15"/>
    </row>
    <row r="27" spans="1:22" s="21" customFormat="1" x14ac:dyDescent="0.55000000000000004">
      <c r="A27" s="17"/>
      <c r="B27"/>
      <c r="C27"/>
      <c r="D27"/>
      <c r="E27"/>
      <c r="F27"/>
      <c r="G27"/>
      <c r="H27"/>
      <c r="I27"/>
      <c r="J27"/>
      <c r="K27"/>
      <c r="L27"/>
      <c r="M27"/>
      <c r="N27"/>
      <c r="O27"/>
      <c r="P27" s="15"/>
      <c r="Q27" s="15"/>
      <c r="R27" s="15"/>
      <c r="S27" s="15"/>
      <c r="T27" s="15"/>
      <c r="U27" s="15"/>
      <c r="V27" s="15"/>
    </row>
    <row r="28" spans="1:22" s="21" customFormat="1" x14ac:dyDescent="0.55000000000000004">
      <c r="A28" s="17"/>
      <c r="B28"/>
      <c r="C28"/>
      <c r="D28"/>
      <c r="E28"/>
      <c r="F28"/>
      <c r="G28"/>
      <c r="H28"/>
      <c r="I28"/>
      <c r="J28"/>
      <c r="K28"/>
      <c r="L28"/>
      <c r="M28"/>
      <c r="N28"/>
      <c r="O28"/>
      <c r="P28" s="15"/>
      <c r="Q28" s="15"/>
      <c r="R28" s="15"/>
      <c r="S28" s="15"/>
      <c r="T28" s="15"/>
      <c r="U28" s="15"/>
      <c r="V28" s="15"/>
    </row>
    <row r="29" spans="1:22" s="21" customFormat="1" x14ac:dyDescent="0.55000000000000004">
      <c r="A29" s="17"/>
      <c r="B29"/>
      <c r="C29"/>
      <c r="D29"/>
      <c r="E29"/>
      <c r="F29"/>
      <c r="G29"/>
      <c r="H29"/>
      <c r="I29"/>
      <c r="J29"/>
      <c r="K29"/>
      <c r="L29"/>
      <c r="M29"/>
      <c r="N29"/>
      <c r="O29"/>
      <c r="P29" s="15"/>
      <c r="Q29" s="15"/>
      <c r="R29" s="15"/>
      <c r="S29" s="15"/>
      <c r="T29" s="15"/>
      <c r="U29" s="15"/>
      <c r="V29" s="15"/>
    </row>
    <row r="30" spans="1:22" s="21" customFormat="1" x14ac:dyDescent="0.55000000000000004">
      <c r="A30" s="17"/>
      <c r="B30"/>
      <c r="C30"/>
      <c r="D30"/>
      <c r="E30"/>
      <c r="F30"/>
      <c r="G30"/>
      <c r="H30"/>
      <c r="I30"/>
      <c r="J30"/>
      <c r="K30"/>
      <c r="L30"/>
      <c r="M30"/>
      <c r="N30"/>
      <c r="O30"/>
      <c r="P30" s="15"/>
      <c r="Q30" s="15"/>
      <c r="R30" s="15"/>
      <c r="S30" s="15"/>
      <c r="T30" s="15"/>
      <c r="U30" s="15"/>
      <c r="V30" s="15"/>
    </row>
    <row r="31" spans="1:22" s="21" customFormat="1" x14ac:dyDescent="0.55000000000000004">
      <c r="A31" s="17"/>
      <c r="B31"/>
      <c r="C31"/>
      <c r="D31"/>
      <c r="E31"/>
      <c r="F31"/>
      <c r="G31"/>
      <c r="H31"/>
      <c r="I31"/>
      <c r="J31"/>
      <c r="K31"/>
      <c r="L31"/>
      <c r="M31"/>
      <c r="N31"/>
      <c r="O31"/>
      <c r="P31" s="15"/>
      <c r="Q31" s="15"/>
      <c r="R31" s="15"/>
      <c r="S31" s="15"/>
      <c r="T31" s="15"/>
      <c r="U31" s="15"/>
      <c r="V31" s="15"/>
    </row>
    <row r="32" spans="1:22" s="21" customFormat="1" x14ac:dyDescent="0.55000000000000004">
      <c r="A32" s="17"/>
      <c r="B32"/>
      <c r="C32"/>
      <c r="D32"/>
      <c r="E32"/>
      <c r="F32"/>
      <c r="G32"/>
      <c r="H32"/>
      <c r="I32"/>
      <c r="J32"/>
      <c r="K32"/>
      <c r="L32"/>
      <c r="M32"/>
      <c r="N32"/>
      <c r="O32"/>
      <c r="P32" s="15"/>
      <c r="Q32" s="15"/>
      <c r="R32" s="15"/>
      <c r="S32" s="15"/>
      <c r="T32" s="15"/>
      <c r="U32" s="15"/>
      <c r="V32" s="15"/>
    </row>
    <row r="33" spans="1:22" s="21" customFormat="1" x14ac:dyDescent="0.55000000000000004">
      <c r="A33" s="17"/>
      <c r="B33"/>
      <c r="C33"/>
      <c r="D33"/>
      <c r="E33"/>
      <c r="F33"/>
      <c r="G33"/>
      <c r="H33"/>
      <c r="I33"/>
      <c r="J33"/>
      <c r="K33"/>
      <c r="L33"/>
      <c r="M33"/>
      <c r="N33"/>
      <c r="O33"/>
      <c r="P33" s="15"/>
      <c r="Q33" s="15"/>
      <c r="R33" s="15"/>
      <c r="S33" s="15"/>
      <c r="T33" s="15"/>
      <c r="U33" s="15"/>
      <c r="V33" s="15"/>
    </row>
    <row r="34" spans="1:22" s="21" customFormat="1" x14ac:dyDescent="0.55000000000000004">
      <c r="A34" s="17"/>
      <c r="B34"/>
      <c r="C34"/>
      <c r="D34"/>
      <c r="E34"/>
      <c r="F34"/>
      <c r="G34"/>
      <c r="H34"/>
      <c r="I34"/>
      <c r="J34"/>
      <c r="K34"/>
      <c r="L34"/>
      <c r="M34"/>
      <c r="N34"/>
      <c r="O34"/>
      <c r="P34" s="15"/>
      <c r="Q34" s="15"/>
      <c r="R34" s="15"/>
      <c r="S34" s="15"/>
      <c r="T34" s="15"/>
      <c r="U34" s="15"/>
      <c r="V34" s="15"/>
    </row>
  </sheetData>
  <pageMargins left="0.511811024" right="0.511811024" top="0.78740157499999996" bottom="0.78740157499999996" header="0.31496062000000002" footer="0.3149606200000000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4D0F9-0E85-41F3-AE18-AD1A182F8C02}">
  <sheetPr codeName="Planilha91">
    <tabColor theme="9" tint="0.59999389629810485"/>
  </sheetPr>
  <dimension ref="A1:P45"/>
  <sheetViews>
    <sheetView showGridLines="0" workbookViewId="0">
      <selection activeCell="O17" sqref="O17"/>
    </sheetView>
  </sheetViews>
  <sheetFormatPr defaultColWidth="8.796875" defaultRowHeight="18" x14ac:dyDescent="0.55000000000000004"/>
  <cols>
    <col min="1" max="1" width="12.6640625" style="17" customWidth="1"/>
    <col min="2" max="2" width="55" customWidth="1"/>
    <col min="5" max="6" width="12.33203125" bestFit="1" customWidth="1"/>
    <col min="9" max="9" width="6.1328125" customWidth="1"/>
    <col min="10" max="10" width="11.33203125" style="15" bestFit="1" customWidth="1"/>
    <col min="11" max="16" width="8.796875" style="15"/>
    <col min="17" max="17" width="12.33203125" bestFit="1" customWidth="1"/>
  </cols>
  <sheetData>
    <row r="1" spans="1:16" x14ac:dyDescent="0.55000000000000004">
      <c r="A1" s="83" t="s">
        <v>1234</v>
      </c>
      <c r="J1" s="14"/>
      <c r="K1" s="14"/>
      <c r="L1" s="14"/>
      <c r="M1" s="14"/>
      <c r="N1" s="14"/>
      <c r="O1" s="14"/>
      <c r="P1" s="14"/>
    </row>
    <row r="2" spans="1:16" x14ac:dyDescent="0.55000000000000004">
      <c r="A2" s="17" t="s">
        <v>1076</v>
      </c>
    </row>
    <row r="4" spans="1:16" ht="15.75" x14ac:dyDescent="0.5">
      <c r="A4" s="2" t="s">
        <v>15</v>
      </c>
      <c r="B4" s="2" t="s">
        <v>16</v>
      </c>
    </row>
    <row r="5" spans="1:16" ht="15.75" x14ac:dyDescent="0.45">
      <c r="A5" s="19" t="s">
        <v>22</v>
      </c>
      <c r="B5" s="26" t="s">
        <v>1078</v>
      </c>
    </row>
    <row r="6" spans="1:16" ht="15.75" x14ac:dyDescent="0.45">
      <c r="A6" s="23"/>
      <c r="B6" s="26"/>
    </row>
    <row r="7" spans="1:16" ht="15.75" x14ac:dyDescent="0.5">
      <c r="A7" s="19"/>
      <c r="B7" s="18"/>
    </row>
    <row r="8" spans="1:16" x14ac:dyDescent="0.55000000000000004">
      <c r="D8" s="1" t="s">
        <v>17</v>
      </c>
      <c r="E8" s="13" t="s">
        <v>22</v>
      </c>
      <c r="F8" s="12">
        <v>1</v>
      </c>
      <c r="G8" s="12">
        <v>3</v>
      </c>
      <c r="H8" s="12">
        <v>0</v>
      </c>
      <c r="J8" s="15" cm="1">
        <f t="array" ref="J8:L10">_xlfn.LAMBDA(_xlpm.matrix,
_xlfn.CHOOSECOLS(_xlpm.matrix, 2, 1, 3)
)($F$8:$H$10)</f>
        <v>3</v>
      </c>
      <c r="K8" s="15">
        <v>1</v>
      </c>
      <c r="L8" s="15">
        <v>0</v>
      </c>
    </row>
    <row r="9" spans="1:16" x14ac:dyDescent="0.55000000000000004">
      <c r="F9" s="12">
        <v>1</v>
      </c>
      <c r="G9" s="12">
        <v>1</v>
      </c>
      <c r="H9" s="12">
        <v>1</v>
      </c>
      <c r="J9" s="15">
        <v>1</v>
      </c>
      <c r="K9" s="15">
        <v>1</v>
      </c>
      <c r="L9" s="15">
        <v>1</v>
      </c>
    </row>
    <row r="10" spans="1:16" x14ac:dyDescent="0.55000000000000004">
      <c r="F10" s="12">
        <v>1</v>
      </c>
      <c r="G10" s="12">
        <v>3</v>
      </c>
      <c r="H10" s="12">
        <v>3</v>
      </c>
      <c r="J10" s="15">
        <v>3</v>
      </c>
      <c r="K10" s="15">
        <v>1</v>
      </c>
      <c r="L10" s="15">
        <v>3</v>
      </c>
    </row>
    <row r="13" spans="1:16" x14ac:dyDescent="0.55000000000000004">
      <c r="D13" s="1" t="s">
        <v>17</v>
      </c>
      <c r="E13" s="13" t="s">
        <v>22</v>
      </c>
      <c r="F13" s="12">
        <v>3</v>
      </c>
      <c r="G13" s="12">
        <v>3</v>
      </c>
      <c r="H13" s="12">
        <v>0</v>
      </c>
      <c r="J13" s="15" cm="1">
        <f t="array" ref="J13:L18">SPARSET($F$13:$H$18)</f>
        <v>3</v>
      </c>
      <c r="K13" s="15">
        <v>3</v>
      </c>
      <c r="L13" s="15">
        <v>0</v>
      </c>
    </row>
    <row r="14" spans="1:16" x14ac:dyDescent="0.55000000000000004">
      <c r="F14" s="12">
        <v>1</v>
      </c>
      <c r="G14" s="12">
        <v>1</v>
      </c>
      <c r="H14" s="12">
        <v>1</v>
      </c>
      <c r="J14" s="15">
        <v>1</v>
      </c>
      <c r="K14" s="15">
        <v>1</v>
      </c>
      <c r="L14" s="15">
        <v>1</v>
      </c>
    </row>
    <row r="15" spans="1:16" x14ac:dyDescent="0.55000000000000004">
      <c r="F15" s="12">
        <v>2</v>
      </c>
      <c r="G15" s="12">
        <v>1</v>
      </c>
      <c r="H15" s="12">
        <v>4</v>
      </c>
      <c r="J15" s="15">
        <v>1</v>
      </c>
      <c r="K15" s="15">
        <v>2</v>
      </c>
      <c r="L15" s="15">
        <v>4</v>
      </c>
    </row>
    <row r="16" spans="1:16" x14ac:dyDescent="0.55000000000000004">
      <c r="F16" s="12">
        <v>3</v>
      </c>
      <c r="G16" s="12">
        <v>1</v>
      </c>
      <c r="H16" s="12">
        <v>7</v>
      </c>
      <c r="J16" s="15">
        <v>1</v>
      </c>
      <c r="K16" s="15">
        <v>3</v>
      </c>
      <c r="L16" s="15">
        <v>7</v>
      </c>
    </row>
    <row r="17" spans="1:16" x14ac:dyDescent="0.55000000000000004">
      <c r="F17" s="12">
        <v>3</v>
      </c>
      <c r="G17" s="12">
        <v>2</v>
      </c>
      <c r="H17" s="12">
        <v>8</v>
      </c>
      <c r="J17" s="15">
        <v>2</v>
      </c>
      <c r="K17" s="15">
        <v>3</v>
      </c>
      <c r="L17" s="15">
        <v>8</v>
      </c>
    </row>
    <row r="18" spans="1:16" x14ac:dyDescent="0.55000000000000004">
      <c r="F18" s="12">
        <v>1</v>
      </c>
      <c r="G18" s="12">
        <v>3</v>
      </c>
      <c r="H18" s="12">
        <v>3</v>
      </c>
      <c r="J18" s="15">
        <v>3</v>
      </c>
      <c r="K18" s="15">
        <v>1</v>
      </c>
      <c r="L18" s="15">
        <v>3</v>
      </c>
    </row>
    <row r="21" spans="1:16" s="21" customFormat="1" x14ac:dyDescent="0.55000000000000004">
      <c r="A21" s="17"/>
      <c r="B21"/>
      <c r="C21"/>
      <c r="D21" s="1" t="s">
        <v>17</v>
      </c>
      <c r="E21" s="13" t="s">
        <v>22</v>
      </c>
      <c r="F21" s="12">
        <v>4</v>
      </c>
      <c r="G21" s="12">
        <v>6</v>
      </c>
      <c r="H21" s="12">
        <v>0</v>
      </c>
      <c r="I21"/>
      <c r="J21" s="15" cm="1">
        <f t="array" ref="J21:L45">SPARSET($F$21:$H$45)</f>
        <v>6</v>
      </c>
      <c r="K21" s="15">
        <v>4</v>
      </c>
      <c r="L21" s="15">
        <v>0</v>
      </c>
      <c r="M21" s="15"/>
      <c r="N21" s="15"/>
      <c r="O21" s="15"/>
      <c r="P21" s="15"/>
    </row>
    <row r="22" spans="1:16" s="21" customFormat="1" x14ac:dyDescent="0.55000000000000004">
      <c r="A22" s="17"/>
      <c r="B22"/>
      <c r="C22"/>
      <c r="D22"/>
      <c r="E22"/>
      <c r="F22" s="12">
        <v>1</v>
      </c>
      <c r="G22" s="12">
        <v>1</v>
      </c>
      <c r="H22" s="12">
        <v>1</v>
      </c>
      <c r="I22"/>
      <c r="J22" s="15">
        <v>1</v>
      </c>
      <c r="K22" s="15">
        <v>1</v>
      </c>
      <c r="L22" s="15">
        <v>1</v>
      </c>
      <c r="M22" s="15"/>
      <c r="N22" s="15"/>
      <c r="O22" s="15"/>
      <c r="P22" s="15"/>
    </row>
    <row r="23" spans="1:16" s="21" customFormat="1" x14ac:dyDescent="0.55000000000000004">
      <c r="A23" s="17"/>
      <c r="B23"/>
      <c r="C23"/>
      <c r="D23"/>
      <c r="E23"/>
      <c r="F23" s="12">
        <v>2</v>
      </c>
      <c r="G23" s="12">
        <v>1</v>
      </c>
      <c r="H23" s="12">
        <v>7</v>
      </c>
      <c r="I23"/>
      <c r="J23" s="15">
        <v>1</v>
      </c>
      <c r="K23" s="15">
        <v>2</v>
      </c>
      <c r="L23" s="15">
        <v>7</v>
      </c>
      <c r="M23" s="15"/>
      <c r="N23" s="15"/>
      <c r="O23" s="15"/>
      <c r="P23" s="15"/>
    </row>
    <row r="24" spans="1:16" s="21" customFormat="1" x14ac:dyDescent="0.55000000000000004">
      <c r="A24" s="17"/>
      <c r="B24"/>
      <c r="C24"/>
      <c r="D24"/>
      <c r="E24"/>
      <c r="F24" s="12">
        <v>3</v>
      </c>
      <c r="G24" s="12">
        <v>1</v>
      </c>
      <c r="H24" s="12">
        <v>13</v>
      </c>
      <c r="I24"/>
      <c r="J24" s="15">
        <v>1</v>
      </c>
      <c r="K24" s="15">
        <v>3</v>
      </c>
      <c r="L24" s="15">
        <v>13</v>
      </c>
      <c r="M24" s="15"/>
      <c r="N24" s="15"/>
      <c r="O24" s="15"/>
      <c r="P24" s="15"/>
    </row>
    <row r="25" spans="1:16" x14ac:dyDescent="0.55000000000000004">
      <c r="F25" s="12">
        <v>4</v>
      </c>
      <c r="G25" s="12">
        <v>1</v>
      </c>
      <c r="H25" s="12">
        <v>19</v>
      </c>
      <c r="J25" s="15">
        <v>1</v>
      </c>
      <c r="K25" s="15">
        <v>4</v>
      </c>
      <c r="L25" s="15">
        <v>19</v>
      </c>
    </row>
    <row r="26" spans="1:16" s="21" customFormat="1" x14ac:dyDescent="0.55000000000000004">
      <c r="A26" s="17"/>
      <c r="B26"/>
      <c r="C26"/>
      <c r="D26"/>
      <c r="E26"/>
      <c r="F26" s="12">
        <v>1</v>
      </c>
      <c r="G26" s="12">
        <v>2</v>
      </c>
      <c r="H26" s="12">
        <v>2</v>
      </c>
      <c r="I26"/>
      <c r="J26" s="15">
        <v>2</v>
      </c>
      <c r="K26" s="15">
        <v>1</v>
      </c>
      <c r="L26" s="15">
        <v>2</v>
      </c>
      <c r="M26" s="15"/>
      <c r="N26" s="15"/>
      <c r="O26" s="15"/>
      <c r="P26" s="15"/>
    </row>
    <row r="27" spans="1:16" x14ac:dyDescent="0.55000000000000004">
      <c r="F27" s="12">
        <v>2</v>
      </c>
      <c r="G27" s="12">
        <v>2</v>
      </c>
      <c r="H27" s="12">
        <v>8</v>
      </c>
      <c r="J27" s="15">
        <v>2</v>
      </c>
      <c r="K27" s="15">
        <v>2</v>
      </c>
      <c r="L27" s="15">
        <v>8</v>
      </c>
    </row>
    <row r="28" spans="1:16" x14ac:dyDescent="0.55000000000000004">
      <c r="F28" s="12">
        <v>3</v>
      </c>
      <c r="G28" s="12">
        <v>2</v>
      </c>
      <c r="H28" s="12">
        <v>14</v>
      </c>
      <c r="J28" s="15">
        <v>2</v>
      </c>
      <c r="K28" s="15">
        <v>3</v>
      </c>
      <c r="L28" s="15">
        <v>14</v>
      </c>
    </row>
    <row r="29" spans="1:16" x14ac:dyDescent="0.55000000000000004">
      <c r="F29" s="12">
        <v>4</v>
      </c>
      <c r="G29" s="12">
        <v>2</v>
      </c>
      <c r="H29" s="12">
        <v>20</v>
      </c>
      <c r="J29" s="15">
        <v>2</v>
      </c>
      <c r="K29" s="15">
        <v>4</v>
      </c>
      <c r="L29" s="15">
        <v>20</v>
      </c>
    </row>
    <row r="30" spans="1:16" x14ac:dyDescent="0.55000000000000004">
      <c r="F30" s="12">
        <v>1</v>
      </c>
      <c r="G30" s="12">
        <v>3</v>
      </c>
      <c r="H30" s="12">
        <v>3</v>
      </c>
      <c r="J30" s="15">
        <v>3</v>
      </c>
      <c r="K30" s="15">
        <v>1</v>
      </c>
      <c r="L30" s="15">
        <v>3</v>
      </c>
    </row>
    <row r="31" spans="1:16" x14ac:dyDescent="0.55000000000000004">
      <c r="F31" s="12">
        <v>2</v>
      </c>
      <c r="G31" s="12">
        <v>3</v>
      </c>
      <c r="H31" s="12">
        <v>9</v>
      </c>
      <c r="J31" s="15">
        <v>3</v>
      </c>
      <c r="K31" s="15">
        <v>2</v>
      </c>
      <c r="L31" s="15">
        <v>9</v>
      </c>
    </row>
    <row r="32" spans="1:16" x14ac:dyDescent="0.55000000000000004">
      <c r="F32" s="12">
        <v>3</v>
      </c>
      <c r="G32" s="12">
        <v>3</v>
      </c>
      <c r="H32" s="12">
        <v>15</v>
      </c>
      <c r="J32" s="15">
        <v>3</v>
      </c>
      <c r="K32" s="15">
        <v>3</v>
      </c>
      <c r="L32" s="15">
        <v>15</v>
      </c>
    </row>
    <row r="33" spans="6:12" x14ac:dyDescent="0.55000000000000004">
      <c r="F33" s="12">
        <v>4</v>
      </c>
      <c r="G33" s="12">
        <v>3</v>
      </c>
      <c r="H33" s="12">
        <v>21</v>
      </c>
      <c r="J33" s="15">
        <v>3</v>
      </c>
      <c r="K33" s="15">
        <v>4</v>
      </c>
      <c r="L33" s="15">
        <v>21</v>
      </c>
    </row>
    <row r="34" spans="6:12" x14ac:dyDescent="0.55000000000000004">
      <c r="F34" s="12">
        <v>1</v>
      </c>
      <c r="G34" s="12">
        <v>4</v>
      </c>
      <c r="H34" s="12">
        <v>4</v>
      </c>
      <c r="J34" s="15">
        <v>4</v>
      </c>
      <c r="K34" s="15">
        <v>1</v>
      </c>
      <c r="L34" s="15">
        <v>4</v>
      </c>
    </row>
    <row r="35" spans="6:12" x14ac:dyDescent="0.55000000000000004">
      <c r="F35" s="12">
        <v>2</v>
      </c>
      <c r="G35" s="12">
        <v>4</v>
      </c>
      <c r="H35" s="12">
        <v>10</v>
      </c>
      <c r="J35" s="15">
        <v>4</v>
      </c>
      <c r="K35" s="15">
        <v>2</v>
      </c>
      <c r="L35" s="15">
        <v>10</v>
      </c>
    </row>
    <row r="36" spans="6:12" x14ac:dyDescent="0.55000000000000004">
      <c r="F36" s="12">
        <v>3</v>
      </c>
      <c r="G36" s="12">
        <v>4</v>
      </c>
      <c r="H36" s="12">
        <v>16</v>
      </c>
      <c r="J36" s="15">
        <v>4</v>
      </c>
      <c r="K36" s="15">
        <v>3</v>
      </c>
      <c r="L36" s="15">
        <v>16</v>
      </c>
    </row>
    <row r="37" spans="6:12" x14ac:dyDescent="0.55000000000000004">
      <c r="F37" s="12">
        <v>4</v>
      </c>
      <c r="G37" s="12">
        <v>4</v>
      </c>
      <c r="H37" s="12">
        <v>22</v>
      </c>
      <c r="J37" s="15">
        <v>4</v>
      </c>
      <c r="K37" s="15">
        <v>4</v>
      </c>
      <c r="L37" s="15">
        <v>22</v>
      </c>
    </row>
    <row r="38" spans="6:12" x14ac:dyDescent="0.55000000000000004">
      <c r="F38" s="12">
        <v>1</v>
      </c>
      <c r="G38" s="12">
        <v>5</v>
      </c>
      <c r="H38" s="12">
        <v>5</v>
      </c>
      <c r="J38" s="15">
        <v>5</v>
      </c>
      <c r="K38" s="15">
        <v>1</v>
      </c>
      <c r="L38" s="15">
        <v>5</v>
      </c>
    </row>
    <row r="39" spans="6:12" x14ac:dyDescent="0.55000000000000004">
      <c r="F39" s="12">
        <v>2</v>
      </c>
      <c r="G39" s="12">
        <v>5</v>
      </c>
      <c r="H39" s="12">
        <v>11</v>
      </c>
      <c r="J39" s="15">
        <v>5</v>
      </c>
      <c r="K39" s="15">
        <v>2</v>
      </c>
      <c r="L39" s="15">
        <v>11</v>
      </c>
    </row>
    <row r="40" spans="6:12" x14ac:dyDescent="0.55000000000000004">
      <c r="F40" s="12">
        <v>3</v>
      </c>
      <c r="G40" s="12">
        <v>5</v>
      </c>
      <c r="H40" s="12">
        <v>17</v>
      </c>
      <c r="J40" s="15">
        <v>5</v>
      </c>
      <c r="K40" s="15">
        <v>3</v>
      </c>
      <c r="L40" s="15">
        <v>17</v>
      </c>
    </row>
    <row r="41" spans="6:12" x14ac:dyDescent="0.55000000000000004">
      <c r="F41" s="12">
        <v>4</v>
      </c>
      <c r="G41" s="12">
        <v>5</v>
      </c>
      <c r="H41" s="12">
        <v>23</v>
      </c>
      <c r="J41" s="15">
        <v>5</v>
      </c>
      <c r="K41" s="15">
        <v>4</v>
      </c>
      <c r="L41" s="15">
        <v>23</v>
      </c>
    </row>
    <row r="42" spans="6:12" x14ac:dyDescent="0.55000000000000004">
      <c r="F42" s="12">
        <v>1</v>
      </c>
      <c r="G42" s="12">
        <v>6</v>
      </c>
      <c r="H42" s="12">
        <v>6</v>
      </c>
      <c r="J42" s="15">
        <v>6</v>
      </c>
      <c r="K42" s="15">
        <v>1</v>
      </c>
      <c r="L42" s="15">
        <v>6</v>
      </c>
    </row>
    <row r="43" spans="6:12" x14ac:dyDescent="0.55000000000000004">
      <c r="F43" s="12">
        <v>2</v>
      </c>
      <c r="G43" s="12">
        <v>6</v>
      </c>
      <c r="H43" s="12">
        <v>12</v>
      </c>
      <c r="J43" s="15">
        <v>6</v>
      </c>
      <c r="K43" s="15">
        <v>2</v>
      </c>
      <c r="L43" s="15">
        <v>12</v>
      </c>
    </row>
    <row r="44" spans="6:12" x14ac:dyDescent="0.55000000000000004">
      <c r="F44" s="12">
        <v>3</v>
      </c>
      <c r="G44" s="12">
        <v>6</v>
      </c>
      <c r="H44" s="12">
        <v>18</v>
      </c>
      <c r="J44" s="15">
        <v>6</v>
      </c>
      <c r="K44" s="15">
        <v>3</v>
      </c>
      <c r="L44" s="15">
        <v>18</v>
      </c>
    </row>
    <row r="45" spans="6:12" x14ac:dyDescent="0.55000000000000004">
      <c r="F45" s="12">
        <v>4</v>
      </c>
      <c r="G45" s="12">
        <v>6</v>
      </c>
      <c r="H45" s="12">
        <v>24</v>
      </c>
      <c r="J45" s="15">
        <v>6</v>
      </c>
      <c r="K45" s="15">
        <v>4</v>
      </c>
      <c r="L45" s="15">
        <v>24</v>
      </c>
    </row>
  </sheetData>
  <pageMargins left="0.511811024" right="0.511811024" top="0.78740157499999996" bottom="0.78740157499999996" header="0.31496062000000002" footer="0.3149606200000000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2E3D3-C364-4981-A5F2-F47AB5C4EA29}">
  <sheetPr codeName="Planilha112">
    <tabColor theme="9" tint="0.59999389629810485"/>
  </sheetPr>
  <dimension ref="A1:S34"/>
  <sheetViews>
    <sheetView showGridLines="0" workbookViewId="0">
      <selection activeCell="N11" sqref="N11"/>
    </sheetView>
  </sheetViews>
  <sheetFormatPr defaultColWidth="8.796875" defaultRowHeight="18" x14ac:dyDescent="0.55000000000000004"/>
  <cols>
    <col min="1" max="1" width="22.33203125" style="17" customWidth="1"/>
    <col min="2" max="2" width="55" customWidth="1"/>
    <col min="5" max="5" width="3.796875" customWidth="1"/>
    <col min="6" max="7" width="6.6640625" customWidth="1"/>
    <col min="8" max="8" width="14.1328125" customWidth="1"/>
    <col min="9" max="9" width="4.796875" customWidth="1"/>
    <col min="10" max="10" width="11.33203125" style="15" bestFit="1" customWidth="1"/>
    <col min="11" max="16" width="8.796875" style="15"/>
    <col min="17" max="18" width="12.33203125" bestFit="1" customWidth="1"/>
  </cols>
  <sheetData>
    <row r="1" spans="1:19" x14ac:dyDescent="0.55000000000000004">
      <c r="A1" s="16" t="s">
        <v>1235</v>
      </c>
      <c r="J1" s="14"/>
      <c r="K1" s="14"/>
      <c r="L1" s="14"/>
      <c r="M1" s="14"/>
      <c r="N1" s="14"/>
      <c r="O1" s="14"/>
      <c r="P1" s="14"/>
    </row>
    <row r="2" spans="1:19" x14ac:dyDescent="0.55000000000000004">
      <c r="A2" s="17" t="s">
        <v>1236</v>
      </c>
      <c r="J2" s="14"/>
      <c r="K2" s="14"/>
      <c r="L2" s="14"/>
      <c r="M2" s="14"/>
      <c r="N2" s="14"/>
      <c r="O2" s="14"/>
      <c r="P2" s="14"/>
    </row>
    <row r="4" spans="1:19" ht="15.75" x14ac:dyDescent="0.5">
      <c r="A4" s="2" t="s">
        <v>15</v>
      </c>
      <c r="B4" s="2" t="s">
        <v>16</v>
      </c>
    </row>
    <row r="5" spans="1:19" ht="15.75" x14ac:dyDescent="0.5">
      <c r="A5" s="19" t="s">
        <v>35</v>
      </c>
      <c r="B5" s="24" t="s">
        <v>1237</v>
      </c>
    </row>
    <row r="6" spans="1:19" ht="31.5" x14ac:dyDescent="0.5">
      <c r="A6" s="19" t="s">
        <v>37</v>
      </c>
      <c r="B6" s="18" t="s">
        <v>38</v>
      </c>
      <c r="Q6" s="21"/>
      <c r="R6" s="21"/>
      <c r="S6" s="21"/>
    </row>
    <row r="7" spans="1:19" ht="15.75" x14ac:dyDescent="0.45">
      <c r="A7" s="23" t="s">
        <v>1062</v>
      </c>
      <c r="B7" s="26" t="s">
        <v>1063</v>
      </c>
      <c r="Q7" s="21"/>
      <c r="R7" s="21"/>
      <c r="S7" s="21"/>
    </row>
    <row r="8" spans="1:19" ht="15.75" x14ac:dyDescent="0.5">
      <c r="A8" s="19"/>
      <c r="B8" s="18"/>
    </row>
    <row r="9" spans="1:19" x14ac:dyDescent="0.55000000000000004">
      <c r="D9" s="1" t="s">
        <v>17</v>
      </c>
      <c r="F9" s="13" t="s">
        <v>35</v>
      </c>
      <c r="G9" s="13" t="s">
        <v>37</v>
      </c>
      <c r="H9" s="13" t="s">
        <v>1062</v>
      </c>
      <c r="J9" s="15" cm="1">
        <f t="array" ref="J9:L12">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_xlfn.HSTACK(_xlfn.SEQUENCE(_xlpm.nLins),_xlfn.SEQUENCE(_xlpm.nLins),ONES(_xlpm.nLins,1)), NA()),
_xlpm.final, IF(ISERROR(INDEX(_xlpm.A,1,1)), _xlpm.head, _xlfn.VSTACK(_xlpm.head, _xlpm.A)),
_xlpm.final
))($F$10, $G$10, $H$10)</f>
        <v>3</v>
      </c>
      <c r="K9" s="15">
        <v>4</v>
      </c>
      <c r="L9" s="15">
        <v>0</v>
      </c>
    </row>
    <row r="10" spans="1:19" x14ac:dyDescent="0.55000000000000004">
      <c r="F10" s="12">
        <v>3</v>
      </c>
      <c r="G10" s="12">
        <v>4</v>
      </c>
      <c r="H10" s="12">
        <v>0</v>
      </c>
      <c r="J10" s="15">
        <v>1</v>
      </c>
      <c r="K10" s="15">
        <v>1</v>
      </c>
      <c r="L10" s="15">
        <v>1</v>
      </c>
    </row>
    <row r="11" spans="1:19" s="21" customFormat="1" x14ac:dyDescent="0.55000000000000004">
      <c r="A11" s="17"/>
      <c r="B11"/>
      <c r="C11"/>
      <c r="D11"/>
      <c r="E11"/>
      <c r="F11"/>
      <c r="G11"/>
      <c r="H11"/>
      <c r="I11"/>
      <c r="J11" s="15">
        <v>2</v>
      </c>
      <c r="K11" s="15">
        <v>2</v>
      </c>
      <c r="L11" s="15">
        <v>1</v>
      </c>
      <c r="M11" s="15"/>
      <c r="N11" s="15"/>
      <c r="O11" s="15"/>
      <c r="P11" s="15"/>
    </row>
    <row r="12" spans="1:19" x14ac:dyDescent="0.55000000000000004">
      <c r="J12" s="15">
        <v>3</v>
      </c>
      <c r="K12" s="15">
        <v>3</v>
      </c>
      <c r="L12" s="15">
        <v>1</v>
      </c>
    </row>
    <row r="16" spans="1:19" s="21" customFormat="1" x14ac:dyDescent="0.55000000000000004">
      <c r="A16" s="17"/>
      <c r="B16"/>
      <c r="C16"/>
      <c r="D16"/>
      <c r="E16"/>
      <c r="F16"/>
      <c r="G16"/>
      <c r="H16"/>
      <c r="I16"/>
      <c r="J16" s="15"/>
      <c r="K16" s="15"/>
      <c r="L16" s="15"/>
      <c r="M16" s="15"/>
      <c r="N16" s="15"/>
      <c r="O16" s="15"/>
      <c r="P16" s="15"/>
    </row>
    <row r="17" spans="1:16" x14ac:dyDescent="0.55000000000000004">
      <c r="D17" s="1" t="s">
        <v>17</v>
      </c>
      <c r="F17" s="13" t="s">
        <v>35</v>
      </c>
      <c r="G17" s="13" t="s">
        <v>37</v>
      </c>
      <c r="H17" s="13" t="s">
        <v>1062</v>
      </c>
      <c r="J17" s="15" cm="1">
        <f t="array" ref="J17:L20">SPARSEEYE(F18,$G$18,$H$18)</f>
        <v>3</v>
      </c>
      <c r="K17" s="15">
        <v>4</v>
      </c>
      <c r="L17" s="15">
        <v>0</v>
      </c>
    </row>
    <row r="18" spans="1:16" x14ac:dyDescent="0.55000000000000004">
      <c r="F18" s="12">
        <v>3</v>
      </c>
      <c r="G18" s="12">
        <v>4</v>
      </c>
      <c r="H18" s="12">
        <v>0</v>
      </c>
      <c r="J18" s="15">
        <v>1</v>
      </c>
      <c r="K18" s="15">
        <v>1</v>
      </c>
      <c r="L18" s="15">
        <v>1</v>
      </c>
    </row>
    <row r="19" spans="1:16" x14ac:dyDescent="0.55000000000000004">
      <c r="J19" s="15">
        <v>2</v>
      </c>
      <c r="K19" s="15">
        <v>2</v>
      </c>
      <c r="L19" s="15">
        <v>1</v>
      </c>
    </row>
    <row r="20" spans="1:16" x14ac:dyDescent="0.55000000000000004">
      <c r="J20" s="15">
        <v>3</v>
      </c>
      <c r="K20" s="15">
        <v>3</v>
      </c>
      <c r="L20" s="15">
        <v>1</v>
      </c>
    </row>
    <row r="22" spans="1:16" s="21" customFormat="1" x14ac:dyDescent="0.55000000000000004">
      <c r="A22" s="17"/>
      <c r="B22"/>
      <c r="C22"/>
      <c r="D22"/>
      <c r="E22"/>
      <c r="F22"/>
      <c r="G22"/>
      <c r="H22"/>
      <c r="I22"/>
      <c r="J22" s="15"/>
      <c r="K22" s="15"/>
      <c r="L22" s="15"/>
      <c r="M22" s="15"/>
      <c r="N22" s="15"/>
      <c r="O22" s="15"/>
      <c r="P22" s="15"/>
    </row>
    <row r="23" spans="1:16" s="21" customFormat="1" x14ac:dyDescent="0.55000000000000004">
      <c r="A23" s="17"/>
      <c r="B23"/>
      <c r="C23"/>
      <c r="D23"/>
      <c r="E23"/>
      <c r="F23"/>
      <c r="G23"/>
      <c r="H23"/>
      <c r="I23"/>
      <c r="J23" s="15"/>
      <c r="K23" s="15"/>
      <c r="L23" s="15"/>
      <c r="M23" s="15"/>
      <c r="N23" s="15"/>
      <c r="O23" s="15"/>
      <c r="P23" s="15"/>
    </row>
    <row r="24" spans="1:16" s="21" customFormat="1" x14ac:dyDescent="0.55000000000000004">
      <c r="A24" s="17"/>
      <c r="B24"/>
      <c r="C24"/>
      <c r="D24"/>
      <c r="E24"/>
      <c r="F24"/>
      <c r="G24"/>
      <c r="H24"/>
      <c r="I24"/>
      <c r="J24" s="15"/>
      <c r="K24" s="15"/>
      <c r="L24" s="15"/>
      <c r="M24" s="15"/>
      <c r="N24" s="15"/>
      <c r="O24" s="15"/>
      <c r="P24" s="15"/>
    </row>
    <row r="25" spans="1:16" s="21" customFormat="1" x14ac:dyDescent="0.55000000000000004">
      <c r="A25" s="17"/>
      <c r="B25"/>
      <c r="C25"/>
      <c r="D25"/>
      <c r="E25"/>
      <c r="F25"/>
      <c r="G25"/>
      <c r="H25"/>
      <c r="I25"/>
      <c r="J25" s="15"/>
      <c r="K25" s="15"/>
      <c r="L25" s="15"/>
      <c r="M25" s="15"/>
      <c r="N25" s="15"/>
      <c r="O25" s="15"/>
      <c r="P25" s="15"/>
    </row>
    <row r="26" spans="1:16" s="21" customFormat="1" x14ac:dyDescent="0.55000000000000004">
      <c r="A26" s="17"/>
      <c r="B26"/>
      <c r="C26"/>
      <c r="D26"/>
      <c r="E26"/>
      <c r="F26"/>
      <c r="G26"/>
      <c r="H26"/>
      <c r="I26"/>
      <c r="J26" s="15"/>
      <c r="K26" s="15"/>
      <c r="L26" s="15"/>
      <c r="M26" s="15"/>
      <c r="N26" s="15"/>
      <c r="O26" s="15"/>
      <c r="P26" s="15"/>
    </row>
    <row r="27" spans="1:16" s="21" customFormat="1" x14ac:dyDescent="0.55000000000000004">
      <c r="A27" s="17"/>
      <c r="B27"/>
      <c r="C27"/>
      <c r="D27"/>
      <c r="E27"/>
      <c r="F27"/>
      <c r="G27"/>
      <c r="H27"/>
      <c r="I27"/>
      <c r="J27" s="15"/>
      <c r="K27" s="15"/>
      <c r="L27" s="15"/>
      <c r="M27" s="15"/>
      <c r="N27" s="15"/>
      <c r="O27" s="15"/>
      <c r="P27" s="15"/>
    </row>
    <row r="28" spans="1:16" s="21" customFormat="1" x14ac:dyDescent="0.55000000000000004">
      <c r="A28" s="17"/>
      <c r="B28"/>
      <c r="C28"/>
      <c r="D28"/>
      <c r="E28"/>
      <c r="F28"/>
      <c r="G28"/>
      <c r="H28"/>
      <c r="I28"/>
      <c r="J28" s="15"/>
      <c r="K28" s="15"/>
      <c r="L28" s="15"/>
      <c r="M28" s="15"/>
      <c r="N28" s="15"/>
      <c r="O28" s="15"/>
      <c r="P28" s="15"/>
    </row>
    <row r="29" spans="1:16" s="21" customFormat="1" x14ac:dyDescent="0.55000000000000004">
      <c r="A29" s="17"/>
      <c r="B29"/>
      <c r="C29"/>
      <c r="D29"/>
      <c r="E29"/>
      <c r="F29"/>
      <c r="G29"/>
      <c r="H29"/>
      <c r="I29"/>
      <c r="J29" s="15"/>
      <c r="K29" s="15"/>
      <c r="L29" s="15"/>
      <c r="M29" s="15"/>
      <c r="N29" s="15"/>
      <c r="O29" s="15"/>
      <c r="P29" s="15"/>
    </row>
    <row r="30" spans="1:16" s="21" customFormat="1" x14ac:dyDescent="0.55000000000000004">
      <c r="A30" s="17"/>
      <c r="B30"/>
      <c r="C30"/>
      <c r="D30"/>
      <c r="E30"/>
      <c r="F30"/>
      <c r="G30"/>
      <c r="H30"/>
      <c r="I30"/>
      <c r="J30" s="15"/>
      <c r="K30" s="15"/>
      <c r="L30" s="15"/>
      <c r="M30" s="15"/>
      <c r="N30" s="15"/>
      <c r="O30" s="15"/>
      <c r="P30" s="15"/>
    </row>
    <row r="31" spans="1:16" s="21" customFormat="1" x14ac:dyDescent="0.55000000000000004">
      <c r="A31" s="17"/>
      <c r="B31"/>
      <c r="C31"/>
      <c r="D31"/>
      <c r="E31"/>
      <c r="F31"/>
      <c r="G31"/>
      <c r="H31"/>
      <c r="I31"/>
      <c r="J31" s="15"/>
      <c r="K31" s="15"/>
      <c r="L31" s="15"/>
      <c r="M31" s="15"/>
      <c r="N31" s="15"/>
      <c r="O31" s="15"/>
      <c r="P31" s="15"/>
    </row>
    <row r="32" spans="1:16" s="21" customFormat="1" x14ac:dyDescent="0.55000000000000004">
      <c r="A32" s="17"/>
      <c r="B32"/>
      <c r="C32"/>
      <c r="D32"/>
      <c r="E32"/>
      <c r="F32"/>
      <c r="G32"/>
      <c r="H32"/>
      <c r="I32"/>
      <c r="J32" s="15"/>
      <c r="K32" s="15"/>
      <c r="L32" s="15"/>
      <c r="M32" s="15"/>
      <c r="N32" s="15"/>
      <c r="O32" s="15"/>
      <c r="P32" s="15"/>
    </row>
    <row r="33" spans="1:16" s="21" customFormat="1" x14ac:dyDescent="0.55000000000000004">
      <c r="A33" s="17"/>
      <c r="B33"/>
      <c r="C33"/>
      <c r="D33"/>
      <c r="E33"/>
      <c r="F33"/>
      <c r="G33"/>
      <c r="H33"/>
      <c r="I33"/>
      <c r="J33" s="15"/>
      <c r="K33" s="15"/>
      <c r="L33" s="15"/>
      <c r="M33" s="15"/>
      <c r="N33" s="15"/>
      <c r="O33" s="15"/>
      <c r="P33" s="15"/>
    </row>
    <row r="34" spans="1:16" s="21" customFormat="1" x14ac:dyDescent="0.55000000000000004">
      <c r="A34" s="17"/>
      <c r="B34"/>
      <c r="C34"/>
      <c r="D34"/>
      <c r="E34"/>
      <c r="F34"/>
      <c r="G34"/>
      <c r="H34"/>
      <c r="I34"/>
      <c r="J34" s="15"/>
      <c r="K34" s="15"/>
      <c r="L34" s="15"/>
      <c r="M34" s="15"/>
      <c r="N34" s="15"/>
      <c r="O34" s="15"/>
      <c r="P34" s="15"/>
    </row>
  </sheetData>
  <pageMargins left="0.511811024" right="0.511811024" top="0.78740157499999996" bottom="0.78740157499999996" header="0.31496062000000002" footer="0.3149606200000000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27B7E-1E67-4358-8621-1ACF2FC80201}">
  <sheetPr codeName="Planilha116">
    <tabColor theme="9" tint="0.59999389629810485"/>
  </sheetPr>
  <dimension ref="A1:S36"/>
  <sheetViews>
    <sheetView showGridLines="0" workbookViewId="0">
      <selection activeCell="J24" sqref="J24"/>
    </sheetView>
  </sheetViews>
  <sheetFormatPr defaultColWidth="8.796875" defaultRowHeight="18" x14ac:dyDescent="0.55000000000000004"/>
  <cols>
    <col min="1" max="1" width="22.33203125" style="17" customWidth="1"/>
    <col min="2" max="2" width="55" customWidth="1"/>
    <col min="5" max="5" width="3.796875" customWidth="1"/>
    <col min="6" max="7" width="6.6640625" customWidth="1"/>
    <col min="8" max="8" width="14.1328125" customWidth="1"/>
    <col min="9" max="9" width="4.796875" customWidth="1"/>
    <col min="10" max="10" width="11.33203125" style="15" bestFit="1" customWidth="1"/>
    <col min="11" max="16" width="8.796875" style="15"/>
    <col min="17" max="18" width="12.33203125" bestFit="1" customWidth="1"/>
  </cols>
  <sheetData>
    <row r="1" spans="1:19" x14ac:dyDescent="0.55000000000000004">
      <c r="A1" s="16" t="s">
        <v>1251</v>
      </c>
      <c r="J1" s="14"/>
      <c r="K1" s="14"/>
      <c r="L1" s="14"/>
      <c r="M1" s="14"/>
      <c r="N1" s="14"/>
      <c r="O1" s="14"/>
      <c r="P1" s="14"/>
    </row>
    <row r="2" spans="1:19" x14ac:dyDescent="0.55000000000000004">
      <c r="A2" s="17" t="s">
        <v>1252</v>
      </c>
      <c r="J2" s="14"/>
      <c r="K2" s="14"/>
      <c r="L2" s="14"/>
      <c r="M2" s="14"/>
      <c r="N2" s="14"/>
      <c r="O2" s="14"/>
      <c r="P2" s="14"/>
    </row>
    <row r="4" spans="1:19" ht="15.75" x14ac:dyDescent="0.5">
      <c r="A4" s="2" t="s">
        <v>15</v>
      </c>
      <c r="B4" s="2" t="s">
        <v>16</v>
      </c>
    </row>
    <row r="5" spans="1:19" ht="15.75" x14ac:dyDescent="0.45">
      <c r="A5" s="19" t="s">
        <v>35</v>
      </c>
      <c r="B5" s="26" t="s">
        <v>1253</v>
      </c>
    </row>
    <row r="6" spans="1:19" ht="31.5" x14ac:dyDescent="0.45">
      <c r="A6" s="19" t="s">
        <v>37</v>
      </c>
      <c r="B6" s="26" t="s">
        <v>1239</v>
      </c>
      <c r="Q6" s="21"/>
      <c r="R6" s="21"/>
      <c r="S6" s="21"/>
    </row>
    <row r="7" spans="1:19" ht="15.75" x14ac:dyDescent="0.45">
      <c r="A7" s="23" t="s">
        <v>1062</v>
      </c>
      <c r="B7" s="26" t="s">
        <v>1063</v>
      </c>
      <c r="Q7" s="21"/>
      <c r="R7" s="21"/>
      <c r="S7" s="21"/>
    </row>
    <row r="8" spans="1:19" ht="15.75" x14ac:dyDescent="0.5">
      <c r="A8" s="19"/>
      <c r="B8" s="18"/>
    </row>
    <row r="9" spans="1:19" x14ac:dyDescent="0.55000000000000004">
      <c r="D9" s="1" t="s">
        <v>17</v>
      </c>
      <c r="F9" s="13" t="s">
        <v>35</v>
      </c>
      <c r="G9" s="13" t="s">
        <v>37</v>
      </c>
      <c r="H9" s="13" t="s">
        <v>1062</v>
      </c>
      <c r="J9" s="15" cm="1">
        <f t="array" ref="J9:L21">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1, _xlfn.HSTACK(REPMAT(_xlfn.SEQUENCE(_xlpm.nLins),_xlpm.m,1,TRUE),REPMAT(_xlfn.SEQUENCE(_xlpm.m),_xlpm.nLins,1),ONES(_xlpm.nLins*_xlpm.m,1)), NA()),
_xlpm.final, IF(ISERROR(INDEX(_xlpm.A,1,1)), _xlpm.head, _xlfn.VSTACK(_xlpm.head, _xlpm.A)),
_xlpm.final
))($F$10, $G$10, $H$10)</f>
        <v>3</v>
      </c>
      <c r="K9" s="15">
        <v>4</v>
      </c>
      <c r="L9" s="15">
        <v>0</v>
      </c>
    </row>
    <row r="10" spans="1:19" x14ac:dyDescent="0.55000000000000004">
      <c r="F10" s="12">
        <v>3</v>
      </c>
      <c r="G10" s="12">
        <v>4</v>
      </c>
      <c r="H10" s="12">
        <v>0</v>
      </c>
      <c r="J10" s="15">
        <v>1</v>
      </c>
      <c r="K10" s="15">
        <v>1</v>
      </c>
      <c r="L10" s="15">
        <v>1</v>
      </c>
    </row>
    <row r="11" spans="1:19" s="21" customFormat="1" x14ac:dyDescent="0.55000000000000004">
      <c r="A11" s="17"/>
      <c r="B11"/>
      <c r="C11"/>
      <c r="D11"/>
      <c r="E11"/>
      <c r="F11"/>
      <c r="G11"/>
      <c r="H11"/>
      <c r="I11"/>
      <c r="J11" s="15">
        <v>1</v>
      </c>
      <c r="K11" s="15">
        <v>2</v>
      </c>
      <c r="L11" s="15">
        <v>1</v>
      </c>
      <c r="M11" s="15"/>
      <c r="N11" s="15"/>
      <c r="O11" s="15"/>
      <c r="P11" s="15"/>
    </row>
    <row r="12" spans="1:19" x14ac:dyDescent="0.55000000000000004">
      <c r="J12" s="15">
        <v>1</v>
      </c>
      <c r="K12" s="15">
        <v>3</v>
      </c>
      <c r="L12" s="15">
        <v>1</v>
      </c>
    </row>
    <row r="13" spans="1:19" x14ac:dyDescent="0.55000000000000004">
      <c r="J13" s="15">
        <v>1</v>
      </c>
      <c r="K13" s="15">
        <v>4</v>
      </c>
      <c r="L13" s="15">
        <v>1</v>
      </c>
    </row>
    <row r="14" spans="1:19" x14ac:dyDescent="0.55000000000000004">
      <c r="J14" s="15">
        <v>2</v>
      </c>
      <c r="K14" s="15">
        <v>1</v>
      </c>
      <c r="L14" s="15">
        <v>1</v>
      </c>
    </row>
    <row r="15" spans="1:19" x14ac:dyDescent="0.55000000000000004">
      <c r="J15" s="15">
        <v>2</v>
      </c>
      <c r="K15" s="15">
        <v>2</v>
      </c>
      <c r="L15" s="15">
        <v>1</v>
      </c>
    </row>
    <row r="16" spans="1:19" s="21" customFormat="1" x14ac:dyDescent="0.55000000000000004">
      <c r="A16" s="17"/>
      <c r="B16"/>
      <c r="C16"/>
      <c r="D16"/>
      <c r="E16"/>
      <c r="F16"/>
      <c r="G16"/>
      <c r="H16"/>
      <c r="I16"/>
      <c r="J16" s="15">
        <v>2</v>
      </c>
      <c r="K16" s="15">
        <v>3</v>
      </c>
      <c r="L16" s="15">
        <v>1</v>
      </c>
      <c r="M16" s="15"/>
      <c r="N16" s="15"/>
      <c r="O16" s="15"/>
      <c r="P16" s="15"/>
    </row>
    <row r="17" spans="1:16" x14ac:dyDescent="0.55000000000000004">
      <c r="J17" s="15">
        <v>2</v>
      </c>
      <c r="K17" s="15">
        <v>4</v>
      </c>
      <c r="L17" s="15">
        <v>1</v>
      </c>
    </row>
    <row r="18" spans="1:16" x14ac:dyDescent="0.55000000000000004">
      <c r="J18" s="15">
        <v>3</v>
      </c>
      <c r="K18" s="15">
        <v>1</v>
      </c>
      <c r="L18" s="15">
        <v>1</v>
      </c>
    </row>
    <row r="19" spans="1:16" x14ac:dyDescent="0.55000000000000004">
      <c r="J19" s="15">
        <v>3</v>
      </c>
      <c r="K19" s="15">
        <v>2</v>
      </c>
      <c r="L19" s="15">
        <v>1</v>
      </c>
    </row>
    <row r="20" spans="1:16" x14ac:dyDescent="0.55000000000000004">
      <c r="J20" s="15">
        <v>3</v>
      </c>
      <c r="K20" s="15">
        <v>3</v>
      </c>
      <c r="L20" s="15">
        <v>1</v>
      </c>
    </row>
    <row r="21" spans="1:16" x14ac:dyDescent="0.55000000000000004">
      <c r="J21" s="15">
        <v>3</v>
      </c>
      <c r="K21" s="15">
        <v>4</v>
      </c>
      <c r="L21" s="15">
        <v>1</v>
      </c>
    </row>
    <row r="22" spans="1:16" s="21" customFormat="1" x14ac:dyDescent="0.55000000000000004">
      <c r="A22" s="17"/>
      <c r="B22"/>
      <c r="C22"/>
      <c r="D22"/>
      <c r="E22"/>
      <c r="F22"/>
      <c r="G22"/>
      <c r="H22"/>
      <c r="I22"/>
      <c r="J22" s="15"/>
      <c r="K22" s="15"/>
      <c r="L22" s="15"/>
      <c r="M22" s="15"/>
      <c r="N22" s="15"/>
      <c r="O22" s="15"/>
      <c r="P22" s="15"/>
    </row>
    <row r="23" spans="1:16" s="21" customFormat="1" x14ac:dyDescent="0.55000000000000004">
      <c r="A23" s="17"/>
      <c r="B23"/>
      <c r="C23"/>
      <c r="D23"/>
      <c r="E23"/>
      <c r="F23"/>
      <c r="G23"/>
      <c r="H23"/>
      <c r="I23"/>
      <c r="J23" s="15"/>
      <c r="K23" s="15"/>
      <c r="L23" s="15"/>
      <c r="M23" s="15"/>
      <c r="N23" s="15"/>
      <c r="O23" s="15"/>
      <c r="P23" s="15"/>
    </row>
    <row r="24" spans="1:16" s="21" customFormat="1" x14ac:dyDescent="0.55000000000000004">
      <c r="A24" s="17"/>
      <c r="B24"/>
      <c r="C24"/>
      <c r="D24" s="1" t="s">
        <v>17</v>
      </c>
      <c r="E24"/>
      <c r="F24" s="13" t="s">
        <v>35</v>
      </c>
      <c r="G24" s="13" t="s">
        <v>37</v>
      </c>
      <c r="H24" s="13" t="s">
        <v>1062</v>
      </c>
      <c r="I24"/>
      <c r="J24" s="15" cm="1">
        <f t="array" ref="J24:L36">SPARSEONES(F25,$G$25,$H$25)</f>
        <v>3</v>
      </c>
      <c r="K24" s="15">
        <v>4</v>
      </c>
      <c r="L24" s="15">
        <v>0</v>
      </c>
      <c r="M24" s="15"/>
      <c r="N24" s="15"/>
      <c r="O24" s="15"/>
      <c r="P24" s="15"/>
    </row>
    <row r="25" spans="1:16" s="21" customFormat="1" x14ac:dyDescent="0.55000000000000004">
      <c r="A25" s="17"/>
      <c r="B25"/>
      <c r="C25"/>
      <c r="D25"/>
      <c r="E25"/>
      <c r="F25" s="12">
        <v>3</v>
      </c>
      <c r="G25" s="12">
        <v>4</v>
      </c>
      <c r="H25" s="12">
        <v>0</v>
      </c>
      <c r="I25"/>
      <c r="J25" s="15">
        <v>1</v>
      </c>
      <c r="K25" s="15">
        <v>1</v>
      </c>
      <c r="L25" s="15">
        <v>1</v>
      </c>
      <c r="M25" s="15"/>
      <c r="N25" s="15"/>
      <c r="O25" s="15"/>
      <c r="P25" s="15"/>
    </row>
    <row r="26" spans="1:16" s="21" customFormat="1" x14ac:dyDescent="0.55000000000000004">
      <c r="A26" s="17"/>
      <c r="B26"/>
      <c r="C26"/>
      <c r="D26"/>
      <c r="E26"/>
      <c r="F26"/>
      <c r="G26"/>
      <c r="H26"/>
      <c r="I26"/>
      <c r="J26" s="15">
        <v>1</v>
      </c>
      <c r="K26" s="15">
        <v>2</v>
      </c>
      <c r="L26" s="15">
        <v>1</v>
      </c>
      <c r="M26" s="15"/>
      <c r="N26" s="15"/>
      <c r="O26" s="15"/>
      <c r="P26" s="15"/>
    </row>
    <row r="27" spans="1:16" s="21" customFormat="1" x14ac:dyDescent="0.55000000000000004">
      <c r="A27" s="17"/>
      <c r="B27"/>
      <c r="C27"/>
      <c r="D27"/>
      <c r="E27"/>
      <c r="F27"/>
      <c r="G27"/>
      <c r="H27"/>
      <c r="I27"/>
      <c r="J27" s="15">
        <v>1</v>
      </c>
      <c r="K27" s="15">
        <v>3</v>
      </c>
      <c r="L27" s="15">
        <v>1</v>
      </c>
      <c r="M27" s="15"/>
      <c r="N27" s="15"/>
      <c r="O27" s="15"/>
      <c r="P27" s="15"/>
    </row>
    <row r="28" spans="1:16" s="21" customFormat="1" x14ac:dyDescent="0.55000000000000004">
      <c r="A28" s="17"/>
      <c r="B28"/>
      <c r="C28"/>
      <c r="D28"/>
      <c r="E28"/>
      <c r="F28"/>
      <c r="G28"/>
      <c r="H28"/>
      <c r="I28"/>
      <c r="J28" s="15">
        <v>1</v>
      </c>
      <c r="K28" s="15">
        <v>4</v>
      </c>
      <c r="L28" s="15">
        <v>1</v>
      </c>
      <c r="M28" s="15"/>
      <c r="N28" s="15"/>
      <c r="O28" s="15"/>
      <c r="P28" s="15"/>
    </row>
    <row r="29" spans="1:16" s="21" customFormat="1" x14ac:dyDescent="0.55000000000000004">
      <c r="A29" s="17"/>
      <c r="B29"/>
      <c r="C29"/>
      <c r="D29"/>
      <c r="E29"/>
      <c r="F29"/>
      <c r="G29"/>
      <c r="H29"/>
      <c r="I29"/>
      <c r="J29" s="15">
        <v>2</v>
      </c>
      <c r="K29" s="15">
        <v>1</v>
      </c>
      <c r="L29" s="15">
        <v>1</v>
      </c>
      <c r="M29" s="15"/>
      <c r="N29" s="15"/>
      <c r="O29" s="15"/>
      <c r="P29" s="15"/>
    </row>
    <row r="30" spans="1:16" s="21" customFormat="1" x14ac:dyDescent="0.55000000000000004">
      <c r="A30" s="17"/>
      <c r="B30"/>
      <c r="C30"/>
      <c r="D30"/>
      <c r="E30"/>
      <c r="F30"/>
      <c r="G30"/>
      <c r="H30"/>
      <c r="I30"/>
      <c r="J30" s="15">
        <v>2</v>
      </c>
      <c r="K30" s="15">
        <v>2</v>
      </c>
      <c r="L30" s="15">
        <v>1</v>
      </c>
      <c r="M30" s="15"/>
      <c r="N30" s="15"/>
      <c r="O30" s="15"/>
      <c r="P30" s="15"/>
    </row>
    <row r="31" spans="1:16" s="21" customFormat="1" x14ac:dyDescent="0.55000000000000004">
      <c r="A31" s="17"/>
      <c r="B31"/>
      <c r="C31"/>
      <c r="D31"/>
      <c r="E31"/>
      <c r="F31"/>
      <c r="G31"/>
      <c r="H31"/>
      <c r="I31"/>
      <c r="J31" s="15">
        <v>2</v>
      </c>
      <c r="K31" s="15">
        <v>3</v>
      </c>
      <c r="L31" s="15">
        <v>1</v>
      </c>
      <c r="M31" s="15"/>
      <c r="N31" s="15"/>
      <c r="O31" s="15"/>
      <c r="P31" s="15"/>
    </row>
    <row r="32" spans="1:16" s="21" customFormat="1" x14ac:dyDescent="0.55000000000000004">
      <c r="A32" s="17"/>
      <c r="B32"/>
      <c r="C32"/>
      <c r="D32"/>
      <c r="E32"/>
      <c r="F32"/>
      <c r="G32"/>
      <c r="H32"/>
      <c r="I32"/>
      <c r="J32" s="15">
        <v>2</v>
      </c>
      <c r="K32" s="15">
        <v>4</v>
      </c>
      <c r="L32" s="15">
        <v>1</v>
      </c>
      <c r="M32" s="15"/>
      <c r="N32" s="15"/>
      <c r="O32" s="15"/>
      <c r="P32" s="15"/>
    </row>
    <row r="33" spans="1:16" s="21" customFormat="1" x14ac:dyDescent="0.55000000000000004">
      <c r="A33" s="17"/>
      <c r="B33"/>
      <c r="C33"/>
      <c r="D33"/>
      <c r="E33"/>
      <c r="F33"/>
      <c r="G33"/>
      <c r="H33"/>
      <c r="I33"/>
      <c r="J33" s="15">
        <v>3</v>
      </c>
      <c r="K33" s="15">
        <v>1</v>
      </c>
      <c r="L33" s="15">
        <v>1</v>
      </c>
      <c r="M33" s="15"/>
      <c r="N33" s="15"/>
      <c r="O33" s="15"/>
      <c r="P33" s="15"/>
    </row>
    <row r="34" spans="1:16" s="21" customFormat="1" x14ac:dyDescent="0.55000000000000004">
      <c r="A34" s="17"/>
      <c r="B34"/>
      <c r="C34"/>
      <c r="D34"/>
      <c r="E34"/>
      <c r="F34"/>
      <c r="G34"/>
      <c r="H34"/>
      <c r="I34"/>
      <c r="J34" s="15">
        <v>3</v>
      </c>
      <c r="K34" s="15">
        <v>2</v>
      </c>
      <c r="L34" s="15">
        <v>1</v>
      </c>
      <c r="M34" s="15"/>
      <c r="N34" s="15"/>
      <c r="O34" s="15"/>
      <c r="P34" s="15"/>
    </row>
    <row r="35" spans="1:16" x14ac:dyDescent="0.55000000000000004">
      <c r="J35" s="15">
        <v>3</v>
      </c>
      <c r="K35" s="15">
        <v>3</v>
      </c>
      <c r="L35" s="15">
        <v>1</v>
      </c>
    </row>
    <row r="36" spans="1:16" x14ac:dyDescent="0.55000000000000004">
      <c r="J36" s="15">
        <v>3</v>
      </c>
      <c r="K36" s="15">
        <v>4</v>
      </c>
      <c r="L36" s="15">
        <v>1</v>
      </c>
    </row>
  </sheetData>
  <pageMargins left="0.511811024" right="0.511811024" top="0.78740157499999996" bottom="0.78740157499999996" header="0.31496062000000002" footer="0.31496062000000002"/>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F19F4-8B05-4A98-88EF-EF7CF0C84DF4}">
  <sheetPr codeName="Planilha115">
    <tabColor theme="9" tint="0.59999389629810485"/>
  </sheetPr>
  <dimension ref="A1:S34"/>
  <sheetViews>
    <sheetView showGridLines="0" topLeftCell="A4" workbookViewId="0">
      <selection activeCell="H10" sqref="H10"/>
    </sheetView>
  </sheetViews>
  <sheetFormatPr defaultColWidth="8.796875" defaultRowHeight="18" x14ac:dyDescent="0.55000000000000004"/>
  <cols>
    <col min="1" max="1" width="22.33203125" style="17" customWidth="1"/>
    <col min="2" max="2" width="55" customWidth="1"/>
    <col min="5" max="5" width="3.796875" customWidth="1"/>
    <col min="6" max="7" width="6.6640625" customWidth="1"/>
    <col min="8" max="8" width="14.1328125" customWidth="1"/>
    <col min="9" max="9" width="4.796875" customWidth="1"/>
    <col min="10" max="10" width="11.33203125" style="15" bestFit="1" customWidth="1"/>
    <col min="11" max="16" width="8.796875" style="15"/>
    <col min="17" max="18" width="12.33203125" bestFit="1" customWidth="1"/>
  </cols>
  <sheetData>
    <row r="1" spans="1:19" x14ac:dyDescent="0.55000000000000004">
      <c r="A1" s="16" t="s">
        <v>1250</v>
      </c>
      <c r="J1" s="14"/>
      <c r="K1" s="14"/>
      <c r="L1" s="14"/>
      <c r="M1" s="14"/>
      <c r="N1" s="14"/>
      <c r="O1" s="14"/>
      <c r="P1" s="14"/>
    </row>
    <row r="2" spans="1:19" x14ac:dyDescent="0.55000000000000004">
      <c r="A2" s="17" t="s">
        <v>1249</v>
      </c>
      <c r="J2" s="14"/>
      <c r="K2" s="14"/>
      <c r="L2" s="14"/>
      <c r="M2" s="14"/>
      <c r="N2" s="14"/>
      <c r="O2" s="14"/>
      <c r="P2" s="14"/>
    </row>
    <row r="4" spans="1:19" ht="15.75" x14ac:dyDescent="0.5">
      <c r="A4" s="2" t="s">
        <v>15</v>
      </c>
      <c r="B4" s="2" t="s">
        <v>16</v>
      </c>
    </row>
    <row r="5" spans="1:19" ht="15.75" x14ac:dyDescent="0.45">
      <c r="A5" s="19" t="s">
        <v>35</v>
      </c>
      <c r="B5" s="26" t="s">
        <v>1240</v>
      </c>
    </row>
    <row r="6" spans="1:19" ht="31.5" x14ac:dyDescent="0.45">
      <c r="A6" s="19" t="s">
        <v>37</v>
      </c>
      <c r="B6" s="26" t="s">
        <v>1239</v>
      </c>
      <c r="Q6" s="21"/>
      <c r="R6" s="21"/>
      <c r="S6" s="21"/>
    </row>
    <row r="7" spans="1:19" ht="15.75" x14ac:dyDescent="0.45">
      <c r="A7" s="23" t="s">
        <v>1062</v>
      </c>
      <c r="B7" s="26" t="s">
        <v>1063</v>
      </c>
      <c r="Q7" s="21"/>
      <c r="R7" s="21"/>
      <c r="S7" s="21"/>
    </row>
    <row r="8" spans="1:19" ht="15.75" x14ac:dyDescent="0.5">
      <c r="A8" s="19"/>
      <c r="B8" s="18"/>
    </row>
    <row r="9" spans="1:19" x14ac:dyDescent="0.55000000000000004">
      <c r="D9" s="1" t="s">
        <v>17</v>
      </c>
      <c r="F9" s="13" t="s">
        <v>35</v>
      </c>
      <c r="G9" s="13" t="s">
        <v>37</v>
      </c>
      <c r="H9" s="13" t="s">
        <v>1062</v>
      </c>
      <c r="J9" s="15" cm="1">
        <f t="array" ref="J9:L9">_xlfn.LAMBDA(_xlpm.n,_xlop.m,_xlop.default, _xlfn.LET(
_xlpm.default, IF(OR(_xlfn.ISOMITTED(_xlpm.default), ISBLANK(_xlpm.default)), 0, _xlpm.default),
_xlpm.m, IF(OR(_xlfn.ISOMITTED(_xlpm.m), ISBLANK(_xlpm.m)), _xlpm.n, _xlpm.m),
_xlpm.nLins, MIN(_xlpm.n,_xlpm.m),
_xlpm.head, _xlfn.HSTACK(_xlpm.n,_xlpm.m,_xlpm.default),
_xlpm.A, IF(_xlpm.default &lt;&gt; 0, _xlfn.HSTACK(REPMAT(_xlfn.SEQUENCE(_xlpm.nLins),_xlpm.m,1,TRUE),REPMAT(_xlfn.SEQUENCE(_xlpm.m),_xlpm.nLins,1),ZEROS(_xlpm.nLins*_xlpm.m,1)), NA()),
_xlpm.final, IF(ISERROR(INDEX(_xlpm.A,1,1)), _xlpm.head, _xlfn.VSTACK(_xlpm.head, _xlpm.A)),
_xlpm.final
))($F$10, $G$10, $H$10)</f>
        <v>3</v>
      </c>
      <c r="K9" s="15">
        <v>4</v>
      </c>
      <c r="L9" s="15">
        <v>0</v>
      </c>
    </row>
    <row r="10" spans="1:19" x14ac:dyDescent="0.55000000000000004">
      <c r="F10" s="12">
        <v>3</v>
      </c>
      <c r="G10" s="12">
        <v>4</v>
      </c>
      <c r="H10" s="12">
        <v>0</v>
      </c>
    </row>
    <row r="11" spans="1:19" s="21" customFormat="1" x14ac:dyDescent="0.55000000000000004">
      <c r="A11" s="17"/>
      <c r="B11"/>
      <c r="C11"/>
      <c r="D11"/>
      <c r="E11"/>
      <c r="F11"/>
      <c r="G11"/>
      <c r="H11"/>
      <c r="I11"/>
      <c r="J11" s="15"/>
      <c r="K11" s="15"/>
      <c r="L11" s="15"/>
      <c r="M11" s="15"/>
      <c r="N11" s="15"/>
      <c r="O11" s="15"/>
      <c r="P11" s="15"/>
    </row>
    <row r="16" spans="1:19" s="21" customFormat="1" x14ac:dyDescent="0.55000000000000004">
      <c r="A16" s="17"/>
      <c r="B16"/>
      <c r="C16"/>
      <c r="D16"/>
      <c r="E16"/>
      <c r="F16"/>
      <c r="G16"/>
      <c r="H16"/>
      <c r="I16"/>
      <c r="J16" s="15"/>
      <c r="K16" s="15"/>
      <c r="L16" s="15"/>
      <c r="M16" s="15"/>
      <c r="N16" s="15"/>
      <c r="O16" s="15"/>
      <c r="P16" s="15"/>
    </row>
    <row r="22" spans="1:16" s="21" customFormat="1" x14ac:dyDescent="0.55000000000000004">
      <c r="A22" s="17"/>
      <c r="B22"/>
      <c r="C22"/>
      <c r="D22"/>
      <c r="E22"/>
      <c r="F22"/>
      <c r="G22"/>
      <c r="H22"/>
      <c r="I22"/>
      <c r="J22" s="15"/>
      <c r="K22" s="15"/>
      <c r="L22" s="15"/>
      <c r="M22" s="15"/>
      <c r="N22" s="15"/>
      <c r="O22" s="15"/>
      <c r="P22" s="15"/>
    </row>
    <row r="23" spans="1:16" s="21" customFormat="1" x14ac:dyDescent="0.55000000000000004">
      <c r="A23" s="17"/>
      <c r="B23"/>
      <c r="C23"/>
      <c r="D23"/>
      <c r="E23"/>
      <c r="F23"/>
      <c r="G23"/>
      <c r="H23"/>
      <c r="I23"/>
      <c r="J23" s="15"/>
      <c r="K23" s="15"/>
      <c r="L23" s="15"/>
      <c r="M23" s="15"/>
      <c r="N23" s="15"/>
      <c r="O23" s="15"/>
      <c r="P23" s="15"/>
    </row>
    <row r="24" spans="1:16" s="21" customFormat="1" x14ac:dyDescent="0.55000000000000004">
      <c r="A24" s="17"/>
      <c r="B24"/>
      <c r="C24"/>
      <c r="D24" s="1" t="s">
        <v>17</v>
      </c>
      <c r="E24"/>
      <c r="F24" s="13" t="s">
        <v>35</v>
      </c>
      <c r="G24" s="13" t="s">
        <v>37</v>
      </c>
      <c r="H24" s="13" t="s">
        <v>1062</v>
      </c>
      <c r="I24"/>
      <c r="J24" s="15" cm="1">
        <f t="array" ref="J24:L24">SPARSEZEROS(F25,$G$25,$H$25)</f>
        <v>3</v>
      </c>
      <c r="K24" s="15">
        <v>4</v>
      </c>
      <c r="L24" s="15">
        <v>0</v>
      </c>
      <c r="M24" s="15"/>
      <c r="N24" s="15"/>
      <c r="O24" s="15"/>
      <c r="P24" s="15"/>
    </row>
    <row r="25" spans="1:16" s="21" customFormat="1" x14ac:dyDescent="0.55000000000000004">
      <c r="A25" s="17"/>
      <c r="B25"/>
      <c r="C25"/>
      <c r="D25"/>
      <c r="E25"/>
      <c r="F25" s="12">
        <v>3</v>
      </c>
      <c r="G25" s="12">
        <v>4</v>
      </c>
      <c r="H25" s="12">
        <v>0</v>
      </c>
      <c r="I25"/>
      <c r="J25" s="15"/>
      <c r="K25" s="15"/>
      <c r="L25" s="15"/>
      <c r="M25" s="15"/>
      <c r="N25" s="15"/>
      <c r="O25" s="15"/>
      <c r="P25" s="15"/>
    </row>
    <row r="26" spans="1:16" s="21" customFormat="1" x14ac:dyDescent="0.55000000000000004">
      <c r="A26" s="17"/>
      <c r="B26"/>
      <c r="C26"/>
      <c r="D26"/>
      <c r="E26"/>
      <c r="F26"/>
      <c r="G26"/>
      <c r="H26"/>
      <c r="I26"/>
      <c r="J26" s="15"/>
      <c r="K26" s="15"/>
      <c r="L26" s="15"/>
      <c r="M26" s="15"/>
      <c r="N26" s="15"/>
      <c r="O26" s="15"/>
      <c r="P26" s="15"/>
    </row>
    <row r="27" spans="1:16" s="21" customFormat="1" x14ac:dyDescent="0.55000000000000004">
      <c r="A27" s="17"/>
      <c r="B27"/>
      <c r="C27"/>
      <c r="D27"/>
      <c r="E27"/>
      <c r="F27"/>
      <c r="G27"/>
      <c r="H27"/>
      <c r="I27"/>
      <c r="J27" s="15"/>
      <c r="K27" s="15"/>
      <c r="L27" s="15"/>
      <c r="M27" s="15"/>
      <c r="N27" s="15"/>
      <c r="O27" s="15"/>
      <c r="P27" s="15"/>
    </row>
    <row r="28" spans="1:16" s="21" customFormat="1" x14ac:dyDescent="0.55000000000000004">
      <c r="A28" s="17"/>
      <c r="B28"/>
      <c r="C28"/>
      <c r="D28"/>
      <c r="E28"/>
      <c r="F28"/>
      <c r="G28"/>
      <c r="H28"/>
      <c r="I28"/>
      <c r="J28" s="15"/>
      <c r="K28" s="15"/>
      <c r="L28" s="15"/>
      <c r="M28" s="15"/>
      <c r="N28" s="15"/>
      <c r="O28" s="15"/>
      <c r="P28" s="15"/>
    </row>
    <row r="29" spans="1:16" s="21" customFormat="1" x14ac:dyDescent="0.55000000000000004">
      <c r="A29" s="17"/>
      <c r="B29"/>
      <c r="C29"/>
      <c r="D29"/>
      <c r="E29"/>
      <c r="F29"/>
      <c r="G29"/>
      <c r="H29"/>
      <c r="I29"/>
      <c r="J29" s="15"/>
      <c r="K29" s="15"/>
      <c r="L29" s="15"/>
      <c r="M29" s="15"/>
      <c r="N29" s="15"/>
      <c r="O29" s="15"/>
      <c r="P29" s="15"/>
    </row>
    <row r="30" spans="1:16" s="21" customFormat="1" x14ac:dyDescent="0.55000000000000004">
      <c r="A30" s="17"/>
      <c r="B30"/>
      <c r="C30"/>
      <c r="D30"/>
      <c r="E30"/>
      <c r="F30"/>
      <c r="G30"/>
      <c r="H30"/>
      <c r="I30"/>
      <c r="J30" s="15"/>
      <c r="K30" s="15"/>
      <c r="L30" s="15"/>
      <c r="M30" s="15"/>
      <c r="N30" s="15"/>
      <c r="O30" s="15"/>
      <c r="P30" s="15"/>
    </row>
    <row r="31" spans="1:16" s="21" customFormat="1" x14ac:dyDescent="0.55000000000000004">
      <c r="A31" s="17"/>
      <c r="B31"/>
      <c r="C31"/>
      <c r="D31"/>
      <c r="E31"/>
      <c r="F31"/>
      <c r="G31"/>
      <c r="H31"/>
      <c r="I31"/>
      <c r="J31" s="15"/>
      <c r="K31" s="15"/>
      <c r="L31" s="15"/>
      <c r="M31" s="15"/>
      <c r="N31" s="15"/>
      <c r="O31" s="15"/>
      <c r="P31" s="15"/>
    </row>
    <row r="32" spans="1:16" s="21" customFormat="1" x14ac:dyDescent="0.55000000000000004">
      <c r="A32" s="17"/>
      <c r="B32"/>
      <c r="C32"/>
      <c r="D32"/>
      <c r="E32"/>
      <c r="F32"/>
      <c r="G32"/>
      <c r="H32"/>
      <c r="I32"/>
      <c r="J32" s="15"/>
      <c r="K32" s="15"/>
      <c r="L32" s="15"/>
      <c r="M32" s="15"/>
      <c r="N32" s="15"/>
      <c r="O32" s="15"/>
      <c r="P32" s="15"/>
    </row>
    <row r="33" spans="1:16" s="21" customFormat="1" x14ac:dyDescent="0.55000000000000004">
      <c r="A33" s="17"/>
      <c r="B33"/>
      <c r="C33"/>
      <c r="D33"/>
      <c r="E33"/>
      <c r="F33"/>
      <c r="G33"/>
      <c r="H33"/>
      <c r="I33"/>
      <c r="J33" s="15"/>
      <c r="K33" s="15"/>
      <c r="L33" s="15"/>
      <c r="M33" s="15"/>
      <c r="N33" s="15"/>
      <c r="O33" s="15"/>
      <c r="P33" s="15"/>
    </row>
    <row r="34" spans="1:16" s="21" customFormat="1" x14ac:dyDescent="0.55000000000000004">
      <c r="A34" s="17"/>
      <c r="B34"/>
      <c r="C34"/>
      <c r="D34"/>
      <c r="E34"/>
      <c r="F34"/>
      <c r="G34"/>
      <c r="H34"/>
      <c r="I34"/>
      <c r="J34" s="15"/>
      <c r="K34" s="15"/>
      <c r="L34" s="15"/>
      <c r="M34" s="15"/>
      <c r="N34" s="15"/>
      <c r="O34" s="15"/>
      <c r="P34" s="15"/>
    </row>
  </sheetData>
  <pageMargins left="0.511811024" right="0.511811024" top="0.78740157499999996" bottom="0.78740157499999996" header="0.31496062000000002" footer="0.31496062000000002"/>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6CCC3-C439-402F-A7AB-A0B94EBCEA62}">
  <sheetPr codeName="Planilha90">
    <tabColor theme="9" tint="0.59999389629810485"/>
  </sheetPr>
  <dimension ref="A1:S27"/>
  <sheetViews>
    <sheetView showGridLines="0" workbookViewId="0">
      <selection activeCell="M9" sqref="M9"/>
    </sheetView>
  </sheetViews>
  <sheetFormatPr defaultColWidth="8.796875" defaultRowHeight="18" x14ac:dyDescent="0.55000000000000004"/>
  <cols>
    <col min="1" max="1" width="12.6640625" style="17" customWidth="1"/>
    <col min="2" max="2" width="55" customWidth="1"/>
    <col min="5" max="6" width="12.33203125" bestFit="1" customWidth="1"/>
    <col min="12" max="12" width="6.1328125" customWidth="1"/>
    <col min="13" max="13" width="11.33203125" style="15" bestFit="1" customWidth="1"/>
    <col min="14" max="19" width="8.796875" style="15"/>
    <col min="20" max="20" width="12.33203125" bestFit="1" customWidth="1"/>
  </cols>
  <sheetData>
    <row r="1" spans="1:19" x14ac:dyDescent="0.55000000000000004">
      <c r="A1" s="83" t="s">
        <v>1241</v>
      </c>
      <c r="M1" s="14"/>
      <c r="N1" s="14"/>
      <c r="O1" s="14"/>
      <c r="P1" s="14"/>
      <c r="Q1" s="14"/>
      <c r="R1" s="14"/>
      <c r="S1" s="14"/>
    </row>
    <row r="2" spans="1:19" x14ac:dyDescent="0.55000000000000004">
      <c r="A2" s="17" t="s">
        <v>1059</v>
      </c>
    </row>
    <row r="4" spans="1:19" ht="15.75" x14ac:dyDescent="0.5">
      <c r="A4" s="2" t="s">
        <v>15</v>
      </c>
      <c r="B4" s="2" t="s">
        <v>16</v>
      </c>
    </row>
    <row r="5" spans="1:19" ht="31.5" x14ac:dyDescent="0.45">
      <c r="A5" s="19" t="s">
        <v>22</v>
      </c>
      <c r="B5" s="26" t="s">
        <v>1077</v>
      </c>
    </row>
    <row r="6" spans="1:19" ht="31.5" x14ac:dyDescent="0.5">
      <c r="A6" s="19" t="s">
        <v>26</v>
      </c>
      <c r="B6" s="18" t="s">
        <v>27</v>
      </c>
    </row>
    <row r="7" spans="1:19" ht="15.75" x14ac:dyDescent="0.45">
      <c r="A7" s="23"/>
      <c r="B7" s="26"/>
    </row>
    <row r="8" spans="1:19" ht="15.75" x14ac:dyDescent="0.5">
      <c r="A8" s="19"/>
      <c r="B8" s="18"/>
    </row>
    <row r="9" spans="1:19" x14ac:dyDescent="0.55000000000000004">
      <c r="D9" s="1" t="s">
        <v>17</v>
      </c>
      <c r="E9" s="13" t="s">
        <v>22</v>
      </c>
      <c r="F9" s="12">
        <v>1</v>
      </c>
      <c r="G9" s="12">
        <v>3</v>
      </c>
      <c r="H9" s="12">
        <v>0</v>
      </c>
      <c r="J9" s="13" t="s">
        <v>1060</v>
      </c>
      <c r="K9" s="12">
        <v>0</v>
      </c>
      <c r="M9" s="15" cm="1">
        <f t="array" ref="M9:O11">_xlfn.LAMBDA(_xlpm.matrix,_xlop.k, _xlfn.LET(_xlpm.k, IF(OR(_xlfn.ISOMITTED(_xlpm.k), ISBLANK(_xlpm.k)), 0, _xlpm.k), _xlpm.N, INDEX(_xlpm.matrix, 1, 1), _xlpm.m, INDEX(_xlpm.matrix, 1, 2), _xlpm.default, INDEX(_xlpm.matrix, 1, 3), _xlpm.head, _xlfn.TAKE(_xlpm.matrix, 1), _xlpm.s, _xlfn.DROP(_xlpm.matrix, 1, 0), _xlpm.idxsLin, INDEX(_xlpm.s, 0, 1), _xlpm.idxsCol, INDEX(_xlpm.s, 0, 2), _xlpm.final, _xlfn._xlws.FILTER(_xlpm.s, _xlpm.idxsLin = (_xlpm.idxsCol - _xlpm.k), NA()), IF(ISERROR(INDEX(_xlpm.final, 1, 1)), _xlfn.HSTACK(0, 0, _xlpm.default), _xlfn.VSTACK(_xlpm.head, _xlpm.final))))($F$9:$H$11, $K$9)</f>
        <v>1</v>
      </c>
      <c r="N9" s="15">
        <v>3</v>
      </c>
      <c r="O9" s="15">
        <v>0</v>
      </c>
    </row>
    <row r="10" spans="1:19" x14ac:dyDescent="0.55000000000000004">
      <c r="F10" s="12">
        <v>1</v>
      </c>
      <c r="G10" s="12">
        <v>1</v>
      </c>
      <c r="H10" s="12">
        <v>1</v>
      </c>
      <c r="M10" s="15">
        <v>1</v>
      </c>
      <c r="N10" s="15">
        <v>1</v>
      </c>
      <c r="O10" s="15">
        <v>1</v>
      </c>
    </row>
    <row r="11" spans="1:19" x14ac:dyDescent="0.55000000000000004">
      <c r="F11" s="12">
        <v>2</v>
      </c>
      <c r="G11" s="12">
        <v>2</v>
      </c>
      <c r="H11" s="12">
        <v>3</v>
      </c>
      <c r="M11" s="15">
        <v>2</v>
      </c>
      <c r="N11" s="15">
        <v>2</v>
      </c>
      <c r="O11" s="15">
        <v>3</v>
      </c>
    </row>
    <row r="17" spans="1:19" x14ac:dyDescent="0.55000000000000004">
      <c r="D17" s="1" t="s">
        <v>17</v>
      </c>
      <c r="E17" s="13" t="s">
        <v>22</v>
      </c>
      <c r="F17" s="12">
        <v>1</v>
      </c>
      <c r="G17" s="12">
        <v>3</v>
      </c>
      <c r="H17" s="12">
        <v>0</v>
      </c>
      <c r="J17" s="13" t="s">
        <v>1060</v>
      </c>
      <c r="K17" s="12">
        <v>0</v>
      </c>
      <c r="M17" s="15" cm="1">
        <f t="array" ref="M17:O19">SPARSEDIAG($F$17:$H$19,$K$17)</f>
        <v>1</v>
      </c>
      <c r="N17" s="15">
        <v>3</v>
      </c>
      <c r="O17" s="15">
        <v>0</v>
      </c>
    </row>
    <row r="18" spans="1:19" x14ac:dyDescent="0.55000000000000004">
      <c r="F18" s="12">
        <v>1</v>
      </c>
      <c r="G18" s="12">
        <v>1</v>
      </c>
      <c r="H18" s="12">
        <v>1</v>
      </c>
      <c r="M18" s="15">
        <v>1</v>
      </c>
      <c r="N18" s="15">
        <v>1</v>
      </c>
      <c r="O18" s="15">
        <v>1</v>
      </c>
    </row>
    <row r="19" spans="1:19" x14ac:dyDescent="0.55000000000000004">
      <c r="F19" s="12">
        <v>2</v>
      </c>
      <c r="G19" s="12">
        <v>2</v>
      </c>
      <c r="H19" s="12">
        <v>3</v>
      </c>
      <c r="M19" s="15">
        <v>2</v>
      </c>
      <c r="N19" s="15">
        <v>2</v>
      </c>
      <c r="O19" s="15">
        <v>3</v>
      </c>
    </row>
    <row r="22" spans="1:19" s="21" customFormat="1" x14ac:dyDescent="0.55000000000000004">
      <c r="A22" s="17"/>
      <c r="B22"/>
      <c r="C22"/>
      <c r="D22"/>
      <c r="E22"/>
      <c r="F22"/>
      <c r="G22"/>
      <c r="H22"/>
      <c r="I22"/>
      <c r="J22"/>
      <c r="K22"/>
      <c r="L22"/>
      <c r="M22" s="15"/>
      <c r="N22" s="15"/>
      <c r="O22" s="15"/>
      <c r="P22" s="15"/>
      <c r="Q22" s="15"/>
      <c r="R22" s="15"/>
      <c r="S22" s="15"/>
    </row>
    <row r="23" spans="1:19" s="21" customFormat="1" x14ac:dyDescent="0.55000000000000004">
      <c r="A23" s="17"/>
      <c r="B23"/>
      <c r="C23"/>
      <c r="D23"/>
      <c r="E23"/>
      <c r="F23"/>
      <c r="G23"/>
      <c r="H23"/>
      <c r="I23"/>
      <c r="J23"/>
      <c r="K23"/>
      <c r="L23"/>
      <c r="M23" s="15"/>
      <c r="N23" s="15"/>
      <c r="O23" s="15"/>
      <c r="P23" s="15"/>
      <c r="Q23" s="15"/>
      <c r="R23" s="15"/>
      <c r="S23" s="15"/>
    </row>
    <row r="24" spans="1:19" s="21" customFormat="1" x14ac:dyDescent="0.55000000000000004">
      <c r="A24" s="17"/>
      <c r="B24"/>
      <c r="C24"/>
      <c r="D24"/>
      <c r="E24"/>
      <c r="F24"/>
      <c r="G24"/>
      <c r="H24"/>
      <c r="I24"/>
      <c r="J24"/>
      <c r="K24"/>
      <c r="L24"/>
      <c r="M24" s="15"/>
      <c r="N24" s="15"/>
      <c r="O24" s="15"/>
      <c r="P24" s="15"/>
      <c r="Q24" s="15"/>
      <c r="R24" s="15"/>
      <c r="S24" s="15"/>
    </row>
    <row r="25" spans="1:19" s="21" customFormat="1" x14ac:dyDescent="0.55000000000000004">
      <c r="A25" s="17"/>
      <c r="B25"/>
      <c r="C25"/>
      <c r="D25"/>
      <c r="E25"/>
      <c r="F25"/>
      <c r="G25"/>
      <c r="H25"/>
      <c r="I25"/>
      <c r="J25"/>
      <c r="K25"/>
      <c r="L25"/>
      <c r="M25" s="15"/>
      <c r="N25" s="15"/>
      <c r="O25" s="15"/>
      <c r="P25" s="15"/>
      <c r="Q25" s="15"/>
      <c r="R25" s="15"/>
      <c r="S25" s="15"/>
    </row>
    <row r="27" spans="1:19" s="21" customFormat="1" x14ac:dyDescent="0.55000000000000004">
      <c r="A27" s="17"/>
      <c r="B27"/>
      <c r="C27"/>
      <c r="D27"/>
      <c r="E27"/>
      <c r="F27"/>
      <c r="G27"/>
      <c r="H27"/>
      <c r="I27"/>
      <c r="J27"/>
      <c r="K27"/>
      <c r="L27"/>
      <c r="M27" s="15"/>
      <c r="N27" s="15"/>
      <c r="O27" s="15"/>
      <c r="P27" s="15"/>
      <c r="Q27" s="15"/>
      <c r="R27" s="15"/>
      <c r="S27" s="15"/>
    </row>
  </sheetData>
  <pageMargins left="0.511811024" right="0.511811024" top="0.78740157499999996" bottom="0.78740157499999996" header="0.31496062000000002" footer="0.31496062000000002"/>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8FA2E-5287-413A-9701-D8DBC15988D0}">
  <sheetPr codeName="Planilha113">
    <tabColor theme="9" tint="0.59999389629810485"/>
  </sheetPr>
  <dimension ref="A1:V42"/>
  <sheetViews>
    <sheetView showGridLines="0" workbookViewId="0">
      <selection activeCell="B6" sqref="B6"/>
    </sheetView>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22" x14ac:dyDescent="0.55000000000000004">
      <c r="A1" s="16" t="s">
        <v>1245</v>
      </c>
      <c r="M1" s="14"/>
      <c r="N1" s="14"/>
      <c r="O1" s="14"/>
      <c r="P1" s="14"/>
      <c r="Q1" s="14"/>
      <c r="R1" s="14"/>
      <c r="S1" s="14"/>
    </row>
    <row r="2" spans="1:22" x14ac:dyDescent="0.55000000000000004">
      <c r="A2" s="17" t="s">
        <v>1246</v>
      </c>
      <c r="M2" s="14"/>
      <c r="N2" s="14"/>
      <c r="O2" s="14"/>
      <c r="P2" s="14"/>
      <c r="Q2" s="14"/>
      <c r="R2" s="14"/>
      <c r="S2" s="14"/>
    </row>
    <row r="4" spans="1:22" ht="15.75" x14ac:dyDescent="0.5">
      <c r="A4" s="2" t="s">
        <v>15</v>
      </c>
      <c r="B4" s="2" t="s">
        <v>16</v>
      </c>
    </row>
    <row r="5" spans="1:22" ht="15.75" x14ac:dyDescent="0.45">
      <c r="A5" s="23" t="s">
        <v>244</v>
      </c>
      <c r="B5" s="26" t="s">
        <v>1212</v>
      </c>
    </row>
    <row r="6" spans="1:22" ht="15.75" x14ac:dyDescent="0.45">
      <c r="A6" s="23" t="s">
        <v>245</v>
      </c>
      <c r="B6" s="26" t="s">
        <v>1211</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1</v>
      </c>
      <c r="G9" s="12">
        <v>3</v>
      </c>
      <c r="H9" s="12">
        <v>0</v>
      </c>
      <c r="J9" s="13" t="s">
        <v>1062</v>
      </c>
      <c r="K9" s="12"/>
      <c r="M9" s="15" cm="1">
        <f t="array" ref="M9:O13">_xlfn.LAMBDA(_xlpm.A,_xlpm.B,_xlop.default, _xlfn.LET(_xlpm.default,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_xlfn.HSTACK(_xlpm.nA + _xlpm.nB, MAX(_xlpm.mA, _xlpm.mB), _xlpm.default), _xlpm.hA, _xlfn.DROP(_xlpm.A, 1), _xlpm.hB, _xlfn.DROP(_xlpm.B, 1), _xlpm.hBshift, _xlfn.HSTACK(_xlfn.CHOOSECOLS(_xlpm.hB, 1) + _xlpm.nA, _xlfn.CHOOSECOLS(_xlpm.hB, 2, 3)), _xlfn.VSTACK(_xlpm.headC, _xlpm.hA, _xlpm.hBshift)))($F$9:$H$11, $F$13:$H$15, $K$9)</f>
        <v>2</v>
      </c>
      <c r="N9" s="15">
        <v>3</v>
      </c>
      <c r="O9" s="15">
        <v>0</v>
      </c>
    </row>
    <row r="10" spans="1:22" x14ac:dyDescent="0.55000000000000004">
      <c r="F10" s="12">
        <v>1</v>
      </c>
      <c r="G10" s="12">
        <v>1</v>
      </c>
      <c r="H10" s="12">
        <v>1</v>
      </c>
      <c r="M10" s="15">
        <v>1</v>
      </c>
      <c r="N10" s="15">
        <v>1</v>
      </c>
      <c r="O10" s="15">
        <v>1</v>
      </c>
    </row>
    <row r="11" spans="1:22" x14ac:dyDescent="0.55000000000000004">
      <c r="F11" s="12">
        <v>1</v>
      </c>
      <c r="G11" s="12">
        <v>3</v>
      </c>
      <c r="H11" s="12">
        <v>3</v>
      </c>
      <c r="M11" s="15">
        <v>1</v>
      </c>
      <c r="N11" s="15">
        <v>3</v>
      </c>
      <c r="O11" s="15">
        <v>3</v>
      </c>
    </row>
    <row r="12" spans="1:22" x14ac:dyDescent="0.55000000000000004">
      <c r="M12" s="15">
        <v>2</v>
      </c>
      <c r="N12" s="15">
        <v>2</v>
      </c>
      <c r="O12" s="15">
        <v>2</v>
      </c>
    </row>
    <row r="13" spans="1:22" x14ac:dyDescent="0.55000000000000004">
      <c r="E13" s="13" t="s">
        <v>245</v>
      </c>
      <c r="F13" s="12">
        <v>1</v>
      </c>
      <c r="G13" s="12">
        <v>3</v>
      </c>
      <c r="H13" s="12">
        <v>0</v>
      </c>
      <c r="M13" s="15">
        <v>2</v>
      </c>
      <c r="N13" s="15">
        <v>3</v>
      </c>
      <c r="O13" s="15">
        <v>4</v>
      </c>
    </row>
    <row r="14" spans="1:22" x14ac:dyDescent="0.55000000000000004">
      <c r="F14" s="12">
        <v>1</v>
      </c>
      <c r="G14" s="12">
        <v>2</v>
      </c>
      <c r="H14" s="12">
        <v>2</v>
      </c>
    </row>
    <row r="15" spans="1:22" x14ac:dyDescent="0.55000000000000004">
      <c r="F15" s="12">
        <v>1</v>
      </c>
      <c r="G15" s="12">
        <v>3</v>
      </c>
      <c r="H15" s="12">
        <v>4</v>
      </c>
    </row>
    <row r="18" spans="1:19" x14ac:dyDescent="0.55000000000000004">
      <c r="D18" s="1" t="s">
        <v>17</v>
      </c>
      <c r="E18" s="13" t="s">
        <v>244</v>
      </c>
      <c r="F18" s="12">
        <v>1</v>
      </c>
      <c r="G18" s="12">
        <v>3</v>
      </c>
      <c r="H18" s="12">
        <v>0</v>
      </c>
      <c r="J18" s="13" t="s">
        <v>1062</v>
      </c>
      <c r="K18" s="12"/>
      <c r="M18" s="15" cm="1">
        <f t="array" ref="M18:O22">SPARSEVSTACK(F18:H20,$F$22:$H$24,$K$18)</f>
        <v>2</v>
      </c>
      <c r="N18" s="15">
        <v>3</v>
      </c>
      <c r="O18" s="15">
        <v>0</v>
      </c>
    </row>
    <row r="19" spans="1:19" x14ac:dyDescent="0.55000000000000004">
      <c r="F19" s="12">
        <v>1</v>
      </c>
      <c r="G19" s="12">
        <v>1</v>
      </c>
      <c r="H19" s="12">
        <v>1</v>
      </c>
      <c r="M19" s="15">
        <v>1</v>
      </c>
      <c r="N19" s="15">
        <v>1</v>
      </c>
      <c r="O19" s="15">
        <v>1</v>
      </c>
    </row>
    <row r="20" spans="1:19" s="21" customFormat="1" x14ac:dyDescent="0.55000000000000004">
      <c r="A20" s="17"/>
      <c r="B20"/>
      <c r="C20"/>
      <c r="D20"/>
      <c r="E20"/>
      <c r="F20" s="12">
        <v>1</v>
      </c>
      <c r="G20" s="12">
        <v>3</v>
      </c>
      <c r="H20" s="12">
        <v>3</v>
      </c>
      <c r="I20"/>
      <c r="J20"/>
      <c r="K20"/>
      <c r="L20"/>
      <c r="M20" s="15">
        <v>1</v>
      </c>
      <c r="N20" s="15">
        <v>3</v>
      </c>
      <c r="O20" s="15">
        <v>3</v>
      </c>
      <c r="P20" s="15"/>
      <c r="Q20" s="15"/>
      <c r="R20" s="15"/>
      <c r="S20" s="15"/>
    </row>
    <row r="21" spans="1:19" s="21" customFormat="1" x14ac:dyDescent="0.55000000000000004">
      <c r="A21" s="17"/>
      <c r="B21"/>
      <c r="C21"/>
      <c r="D21"/>
      <c r="E21"/>
      <c r="F21"/>
      <c r="G21"/>
      <c r="H21"/>
      <c r="I21"/>
      <c r="J21"/>
      <c r="K21"/>
      <c r="L21"/>
      <c r="M21" s="15">
        <v>2</v>
      </c>
      <c r="N21" s="15">
        <v>2</v>
      </c>
      <c r="O21" s="15">
        <v>2</v>
      </c>
      <c r="P21" s="15"/>
      <c r="Q21" s="15"/>
      <c r="R21" s="15"/>
      <c r="S21" s="15"/>
    </row>
    <row r="22" spans="1:19" s="21" customFormat="1" x14ac:dyDescent="0.55000000000000004">
      <c r="A22" s="17"/>
      <c r="B22"/>
      <c r="C22"/>
      <c r="D22"/>
      <c r="E22" s="13" t="s">
        <v>245</v>
      </c>
      <c r="F22" s="12">
        <v>1</v>
      </c>
      <c r="G22" s="12">
        <v>3</v>
      </c>
      <c r="H22" s="12">
        <v>0</v>
      </c>
      <c r="I22"/>
      <c r="J22"/>
      <c r="K22"/>
      <c r="L22"/>
      <c r="M22" s="15">
        <v>2</v>
      </c>
      <c r="N22" s="15">
        <v>3</v>
      </c>
      <c r="O22" s="15">
        <v>4</v>
      </c>
      <c r="P22" s="15"/>
      <c r="Q22" s="15"/>
      <c r="R22" s="15"/>
      <c r="S22" s="15"/>
    </row>
    <row r="23" spans="1:19" s="21" customFormat="1" x14ac:dyDescent="0.55000000000000004">
      <c r="A23" s="17"/>
      <c r="B23"/>
      <c r="C23"/>
      <c r="D23"/>
      <c r="E23"/>
      <c r="F23" s="12">
        <v>1</v>
      </c>
      <c r="G23" s="12">
        <v>2</v>
      </c>
      <c r="H23" s="12">
        <v>2</v>
      </c>
      <c r="I23"/>
      <c r="J23"/>
      <c r="K23"/>
      <c r="L23"/>
      <c r="M23" s="15"/>
      <c r="N23" s="15"/>
      <c r="O23" s="15"/>
      <c r="P23" s="15"/>
      <c r="Q23" s="15"/>
      <c r="R23" s="15"/>
      <c r="S23" s="15"/>
    </row>
    <row r="24" spans="1:19" x14ac:dyDescent="0.55000000000000004">
      <c r="F24" s="12">
        <v>1</v>
      </c>
      <c r="G24" s="12">
        <v>3</v>
      </c>
      <c r="H24" s="12">
        <v>4</v>
      </c>
    </row>
    <row r="30" spans="1:19" s="15" customFormat="1" x14ac:dyDescent="0.55000000000000004">
      <c r="A30" s="17"/>
      <c r="B30"/>
      <c r="C30"/>
      <c r="D30"/>
      <c r="E30"/>
      <c r="F30"/>
      <c r="G30"/>
      <c r="H30"/>
      <c r="I30"/>
      <c r="J30"/>
      <c r="K30"/>
      <c r="L30"/>
    </row>
    <row r="31" spans="1:19" s="15" customFormat="1" x14ac:dyDescent="0.55000000000000004">
      <c r="A31" s="17"/>
      <c r="B31"/>
      <c r="C31"/>
      <c r="D31"/>
      <c r="E31"/>
      <c r="F31"/>
      <c r="G31"/>
      <c r="H31"/>
      <c r="I31"/>
      <c r="J31"/>
      <c r="K31"/>
      <c r="L31"/>
    </row>
    <row r="32" spans="1:19" s="15" customFormat="1" x14ac:dyDescent="0.55000000000000004">
      <c r="A32" s="17"/>
      <c r="B32"/>
      <c r="C32"/>
      <c r="D32"/>
      <c r="E32"/>
      <c r="F32"/>
      <c r="G32"/>
      <c r="H32"/>
      <c r="I32"/>
      <c r="J32"/>
      <c r="K32"/>
      <c r="L32"/>
    </row>
    <row r="33" spans="1:12" s="15" customFormat="1" x14ac:dyDescent="0.55000000000000004">
      <c r="A33" s="17"/>
      <c r="B33"/>
      <c r="C33"/>
      <c r="D33"/>
      <c r="E33"/>
      <c r="F33"/>
      <c r="G33"/>
      <c r="H33"/>
      <c r="I33"/>
      <c r="J33"/>
      <c r="K33"/>
      <c r="L33"/>
    </row>
    <row r="34" spans="1:12" s="15" customFormat="1" x14ac:dyDescent="0.55000000000000004">
      <c r="A34" s="17"/>
      <c r="B34"/>
      <c r="C34"/>
      <c r="D34"/>
      <c r="E34"/>
      <c r="F34"/>
      <c r="G34"/>
      <c r="H34"/>
      <c r="I34"/>
      <c r="J34"/>
      <c r="K34"/>
      <c r="L34"/>
    </row>
    <row r="35" spans="1:12" s="15" customFormat="1" x14ac:dyDescent="0.55000000000000004">
      <c r="A35" s="17"/>
      <c r="B35"/>
      <c r="C35"/>
      <c r="D35"/>
      <c r="E35"/>
      <c r="F35"/>
      <c r="G35"/>
      <c r="H35"/>
      <c r="I35"/>
      <c r="J35"/>
      <c r="K35"/>
      <c r="L35"/>
    </row>
    <row r="36" spans="1:12" s="15" customFormat="1" x14ac:dyDescent="0.55000000000000004">
      <c r="A36" s="17"/>
      <c r="B36"/>
      <c r="C36"/>
      <c r="D36"/>
      <c r="E36"/>
      <c r="F36"/>
      <c r="G36"/>
      <c r="H36"/>
      <c r="I36"/>
      <c r="J36"/>
      <c r="K36"/>
      <c r="L36"/>
    </row>
    <row r="37" spans="1:12" s="15" customFormat="1" x14ac:dyDescent="0.55000000000000004">
      <c r="A37" s="17"/>
      <c r="B37"/>
      <c r="C37"/>
      <c r="D37"/>
      <c r="E37"/>
      <c r="F37"/>
      <c r="G37"/>
      <c r="H37"/>
      <c r="I37"/>
      <c r="J37"/>
      <c r="K37"/>
      <c r="L37"/>
    </row>
    <row r="38" spans="1:12" s="15" customFormat="1" x14ac:dyDescent="0.55000000000000004">
      <c r="A38" s="17"/>
      <c r="B38"/>
      <c r="C38"/>
      <c r="D38"/>
      <c r="E38"/>
      <c r="F38"/>
      <c r="G38"/>
      <c r="H38"/>
      <c r="I38"/>
      <c r="J38"/>
      <c r="K38"/>
      <c r="L38"/>
    </row>
    <row r="39" spans="1:12" s="15" customFormat="1" x14ac:dyDescent="0.55000000000000004">
      <c r="A39" s="17"/>
      <c r="B39"/>
      <c r="C39"/>
      <c r="D39"/>
      <c r="E39"/>
      <c r="F39"/>
      <c r="G39"/>
      <c r="H39"/>
      <c r="I39"/>
      <c r="J39"/>
      <c r="K39"/>
      <c r="L39"/>
    </row>
    <row r="40" spans="1:12" s="15" customFormat="1" x14ac:dyDescent="0.55000000000000004">
      <c r="A40" s="17"/>
      <c r="B40"/>
      <c r="C40"/>
      <c r="D40"/>
      <c r="E40"/>
      <c r="F40"/>
      <c r="G40"/>
      <c r="H40"/>
      <c r="I40"/>
      <c r="J40"/>
      <c r="K40"/>
      <c r="L40"/>
    </row>
    <row r="41" spans="1:12" s="15" customFormat="1" x14ac:dyDescent="0.55000000000000004">
      <c r="A41" s="17"/>
      <c r="B41"/>
      <c r="C41"/>
      <c r="D41"/>
      <c r="E41"/>
      <c r="F41"/>
      <c r="G41"/>
      <c r="H41"/>
      <c r="I41"/>
      <c r="J41"/>
      <c r="K41"/>
      <c r="L41"/>
    </row>
    <row r="42" spans="1:12" s="15" customFormat="1" x14ac:dyDescent="0.55000000000000004">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71D2B-D2F0-4A79-B24A-893D329DEACD}">
  <sheetPr codeName="Planilha114">
    <tabColor theme="9" tint="0.59999389629810485"/>
  </sheetPr>
  <dimension ref="A1:V42"/>
  <sheetViews>
    <sheetView showGridLines="0" workbookViewId="0"/>
  </sheetViews>
  <sheetFormatPr defaultColWidth="8.796875" defaultRowHeight="18" x14ac:dyDescent="0.55000000000000004"/>
  <cols>
    <col min="1" max="1" width="12.6640625" style="17" customWidth="1"/>
    <col min="2" max="2" width="55" customWidth="1"/>
    <col min="5" max="6" width="12.33203125" bestFit="1" customWidth="1"/>
    <col min="13" max="13" width="11.33203125" style="15" bestFit="1" customWidth="1"/>
    <col min="14" max="19" width="8.796875" style="15"/>
    <col min="20" max="21" width="12.33203125" bestFit="1" customWidth="1"/>
  </cols>
  <sheetData>
    <row r="1" spans="1:22" x14ac:dyDescent="0.55000000000000004">
      <c r="A1" s="16" t="s">
        <v>1247</v>
      </c>
      <c r="M1" s="14"/>
      <c r="N1" s="14"/>
      <c r="O1" s="14"/>
      <c r="P1" s="14"/>
      <c r="Q1" s="14"/>
      <c r="R1" s="14"/>
      <c r="S1" s="14"/>
    </row>
    <row r="2" spans="1:22" x14ac:dyDescent="0.55000000000000004">
      <c r="A2" s="17" t="s">
        <v>1248</v>
      </c>
      <c r="M2" s="14"/>
      <c r="N2" s="14"/>
      <c r="O2" s="14"/>
      <c r="P2" s="14"/>
      <c r="Q2" s="14"/>
      <c r="R2" s="14"/>
      <c r="S2" s="14"/>
    </row>
    <row r="4" spans="1:22" ht="15.75" x14ac:dyDescent="0.5">
      <c r="A4" s="2" t="s">
        <v>15</v>
      </c>
      <c r="B4" s="2" t="s">
        <v>16</v>
      </c>
    </row>
    <row r="5" spans="1:22" ht="15.75" x14ac:dyDescent="0.45">
      <c r="A5" s="23" t="s">
        <v>244</v>
      </c>
      <c r="B5" s="26" t="s">
        <v>1212</v>
      </c>
    </row>
    <row r="6" spans="1:22" ht="15.75" x14ac:dyDescent="0.45">
      <c r="A6" s="23" t="s">
        <v>245</v>
      </c>
      <c r="B6" s="26" t="s">
        <v>1211</v>
      </c>
    </row>
    <row r="7" spans="1:22" ht="31.5" x14ac:dyDescent="0.45">
      <c r="A7" s="23" t="s">
        <v>1062</v>
      </c>
      <c r="B7" s="26" t="s">
        <v>1213</v>
      </c>
      <c r="T7" s="21"/>
      <c r="U7" s="21"/>
      <c r="V7" s="21"/>
    </row>
    <row r="8" spans="1:22" ht="15.75" x14ac:dyDescent="0.5">
      <c r="A8" s="19"/>
      <c r="B8" s="18"/>
    </row>
    <row r="9" spans="1:22" x14ac:dyDescent="0.55000000000000004">
      <c r="D9" s="1" t="s">
        <v>17</v>
      </c>
      <c r="E9" s="13" t="s">
        <v>244</v>
      </c>
      <c r="F9" s="12">
        <v>1</v>
      </c>
      <c r="G9" s="12">
        <v>3</v>
      </c>
      <c r="H9" s="12">
        <v>0</v>
      </c>
      <c r="J9" s="13" t="s">
        <v>1062</v>
      </c>
      <c r="K9" s="12"/>
      <c r="M9" s="15" cm="1">
        <f t="array" ref="M9:O13">_xlfn.LAMBDA(_xlpm.A,_xlpm.B,_xlop.default, _xlfn.LET(_xlpm.default, IF(OR(_xlfn.ISOMITTED(_xlpm.default), ISBLANK(_xlpm.default)), INDEX(_xlpm.A, 1, 3), _xlpm.default), _xlpm.defaultA, INDEX(_xlpm.A, 1, 3), _xlpm.defaultB, INDEX(_xlpm.B, 1, 3), _xlpm.A, IF(_xlpm.defaultA = _xlpm.default, _xlpm.A, SPARSE(_xludf.FULL(_xlpm.A), _xlpm.default)), _xlpm.B, IF(_xlpm.defaultB = _xlpm.default, _xlpm.B, SPARSE(_xludf.FULL(_xlpm.B), _xlpm.default)), _xlpm.headA, _xlfn.TAKE(_xlpm.A, 1), _xlpm.headB, _xlfn.TAKE(_xlpm.B, 1), _xlpm.nA, INDEX(_xlpm.A, 1, 1), _xlpm.nB, INDEX(_xlpm.B, 1, 1), _xlpm.mA, INDEX(_xlpm.A, 1, 2), _xlpm.mB, INDEX(_xlpm.B, 1, 2), _xlpm.headC, _xlfn.HSTACK(MAX(_xlpm.nA, _xlpm.nB), _xlpm.mA + _xlpm.mB, _xlpm.default), _xlpm.hA, _xlfn.DROP(_xlpm.A, 1), _xlpm.hB, _xlfn.DROP(_xlpm.B, 1), _xlpm.hBshift, _xlfn.HSTACK(_xlfn.CHOOSECOLS(_xlpm.hB, 1), _xlfn.CHOOSECOLS(_xlpm.hB, 2) + _xlpm.mA, _xlfn.CHOOSECOLS(_xlpm.hB, 3)), _xlfn.VSTACK(_xlpm.headC, _xlpm.hA, _xlpm.hBshift)))($F$9:$H$11, $F$13:$H$15, $K$9)</f>
        <v>1</v>
      </c>
      <c r="N9" s="15">
        <v>6</v>
      </c>
      <c r="O9" s="15">
        <v>0</v>
      </c>
    </row>
    <row r="10" spans="1:22" x14ac:dyDescent="0.55000000000000004">
      <c r="F10" s="12">
        <v>1</v>
      </c>
      <c r="G10" s="12">
        <v>1</v>
      </c>
      <c r="H10" s="12">
        <v>1</v>
      </c>
      <c r="M10" s="15">
        <v>1</v>
      </c>
      <c r="N10" s="15">
        <v>1</v>
      </c>
      <c r="O10" s="15">
        <v>1</v>
      </c>
    </row>
    <row r="11" spans="1:22" x14ac:dyDescent="0.55000000000000004">
      <c r="F11" s="12">
        <v>1</v>
      </c>
      <c r="G11" s="12">
        <v>3</v>
      </c>
      <c r="H11" s="12">
        <v>3</v>
      </c>
      <c r="M11" s="15">
        <v>1</v>
      </c>
      <c r="N11" s="15">
        <v>3</v>
      </c>
      <c r="O11" s="15">
        <v>3</v>
      </c>
    </row>
    <row r="12" spans="1:22" x14ac:dyDescent="0.55000000000000004">
      <c r="M12" s="15">
        <v>1</v>
      </c>
      <c r="N12" s="15">
        <v>5</v>
      </c>
      <c r="O12" s="15">
        <v>2</v>
      </c>
    </row>
    <row r="13" spans="1:22" x14ac:dyDescent="0.55000000000000004">
      <c r="E13" s="13" t="s">
        <v>245</v>
      </c>
      <c r="F13" s="12">
        <v>1</v>
      </c>
      <c r="G13" s="12">
        <v>3</v>
      </c>
      <c r="H13" s="12">
        <v>0</v>
      </c>
      <c r="M13" s="15">
        <v>1</v>
      </c>
      <c r="N13" s="15">
        <v>6</v>
      </c>
      <c r="O13" s="15">
        <v>4</v>
      </c>
    </row>
    <row r="14" spans="1:22" x14ac:dyDescent="0.55000000000000004">
      <c r="F14" s="12">
        <v>1</v>
      </c>
      <c r="G14" s="12">
        <v>2</v>
      </c>
      <c r="H14" s="12">
        <v>2</v>
      </c>
    </row>
    <row r="15" spans="1:22" x14ac:dyDescent="0.55000000000000004">
      <c r="F15" s="12">
        <v>1</v>
      </c>
      <c r="G15" s="12">
        <v>3</v>
      </c>
      <c r="H15" s="12">
        <v>4</v>
      </c>
    </row>
    <row r="18" spans="1:19" x14ac:dyDescent="0.55000000000000004">
      <c r="D18" s="1" t="s">
        <v>17</v>
      </c>
      <c r="E18" s="13" t="s">
        <v>244</v>
      </c>
      <c r="F18" s="12">
        <v>1</v>
      </c>
      <c r="G18" s="12">
        <v>3</v>
      </c>
      <c r="H18" s="12">
        <v>0</v>
      </c>
      <c r="J18" s="13" t="s">
        <v>1062</v>
      </c>
      <c r="K18" s="12"/>
      <c r="M18" s="15" cm="1">
        <f t="array" ref="M18:O22">SPARSEHSTACK(F18:H20,$F$22:$H$24,$K$18)</f>
        <v>1</v>
      </c>
      <c r="N18" s="15">
        <v>6</v>
      </c>
      <c r="O18" s="15">
        <v>0</v>
      </c>
    </row>
    <row r="19" spans="1:19" x14ac:dyDescent="0.55000000000000004">
      <c r="F19" s="12">
        <v>1</v>
      </c>
      <c r="G19" s="12">
        <v>1</v>
      </c>
      <c r="H19" s="12">
        <v>1</v>
      </c>
      <c r="M19" s="15">
        <v>1</v>
      </c>
      <c r="N19" s="15">
        <v>1</v>
      </c>
      <c r="O19" s="15">
        <v>1</v>
      </c>
    </row>
    <row r="20" spans="1:19" s="21" customFormat="1" x14ac:dyDescent="0.55000000000000004">
      <c r="A20" s="17"/>
      <c r="B20"/>
      <c r="C20"/>
      <c r="D20"/>
      <c r="E20"/>
      <c r="F20" s="12">
        <v>1</v>
      </c>
      <c r="G20" s="12">
        <v>3</v>
      </c>
      <c r="H20" s="12">
        <v>3</v>
      </c>
      <c r="I20"/>
      <c r="J20"/>
      <c r="K20"/>
      <c r="L20"/>
      <c r="M20" s="15">
        <v>1</v>
      </c>
      <c r="N20" s="15">
        <v>3</v>
      </c>
      <c r="O20" s="15">
        <v>3</v>
      </c>
      <c r="P20" s="15"/>
      <c r="Q20" s="15"/>
      <c r="R20" s="15"/>
      <c r="S20" s="15"/>
    </row>
    <row r="21" spans="1:19" s="21" customFormat="1" x14ac:dyDescent="0.55000000000000004">
      <c r="A21" s="17"/>
      <c r="B21"/>
      <c r="C21"/>
      <c r="D21"/>
      <c r="E21"/>
      <c r="F21"/>
      <c r="G21"/>
      <c r="H21"/>
      <c r="I21"/>
      <c r="J21"/>
      <c r="K21"/>
      <c r="L21"/>
      <c r="M21" s="15">
        <v>1</v>
      </c>
      <c r="N21" s="15">
        <v>5</v>
      </c>
      <c r="O21" s="15">
        <v>2</v>
      </c>
      <c r="P21" s="15"/>
      <c r="Q21" s="15"/>
      <c r="R21" s="15"/>
      <c r="S21" s="15"/>
    </row>
    <row r="22" spans="1:19" s="21" customFormat="1" x14ac:dyDescent="0.55000000000000004">
      <c r="A22" s="17"/>
      <c r="B22"/>
      <c r="C22"/>
      <c r="D22"/>
      <c r="E22" s="13" t="s">
        <v>245</v>
      </c>
      <c r="F22" s="12">
        <v>1</v>
      </c>
      <c r="G22" s="12">
        <v>3</v>
      </c>
      <c r="H22" s="12">
        <v>0</v>
      </c>
      <c r="I22"/>
      <c r="J22"/>
      <c r="K22"/>
      <c r="L22"/>
      <c r="M22" s="15">
        <v>1</v>
      </c>
      <c r="N22" s="15">
        <v>6</v>
      </c>
      <c r="O22" s="15">
        <v>4</v>
      </c>
      <c r="P22" s="15"/>
      <c r="Q22" s="15"/>
      <c r="R22" s="15"/>
      <c r="S22" s="15"/>
    </row>
    <row r="23" spans="1:19" s="21" customFormat="1" x14ac:dyDescent="0.55000000000000004">
      <c r="A23" s="17"/>
      <c r="B23"/>
      <c r="C23"/>
      <c r="D23"/>
      <c r="E23"/>
      <c r="F23" s="12">
        <v>1</v>
      </c>
      <c r="G23" s="12">
        <v>2</v>
      </c>
      <c r="H23" s="12">
        <v>2</v>
      </c>
      <c r="I23"/>
      <c r="J23"/>
      <c r="K23"/>
      <c r="L23"/>
      <c r="M23" s="15"/>
      <c r="N23" s="15"/>
      <c r="O23" s="15"/>
      <c r="P23" s="15"/>
      <c r="Q23" s="15"/>
      <c r="R23" s="15"/>
      <c r="S23" s="15"/>
    </row>
    <row r="24" spans="1:19" x14ac:dyDescent="0.55000000000000004">
      <c r="F24" s="12">
        <v>1</v>
      </c>
      <c r="G24" s="12">
        <v>3</v>
      </c>
      <c r="H24" s="12">
        <v>4</v>
      </c>
    </row>
    <row r="30" spans="1:19" s="15" customFormat="1" x14ac:dyDescent="0.55000000000000004">
      <c r="A30" s="17"/>
      <c r="B30"/>
      <c r="C30"/>
      <c r="D30"/>
      <c r="E30"/>
      <c r="F30"/>
      <c r="G30"/>
      <c r="H30"/>
      <c r="I30"/>
      <c r="J30"/>
      <c r="K30"/>
      <c r="L30"/>
    </row>
    <row r="31" spans="1:19" s="15" customFormat="1" x14ac:dyDescent="0.55000000000000004">
      <c r="A31" s="17"/>
      <c r="B31"/>
      <c r="C31"/>
      <c r="D31"/>
      <c r="E31"/>
      <c r="F31"/>
      <c r="G31"/>
      <c r="H31"/>
      <c r="I31"/>
      <c r="J31"/>
      <c r="K31"/>
      <c r="L31"/>
    </row>
    <row r="32" spans="1:19" s="15" customFormat="1" x14ac:dyDescent="0.55000000000000004">
      <c r="A32" s="17"/>
      <c r="B32"/>
      <c r="C32"/>
      <c r="D32"/>
      <c r="E32"/>
      <c r="F32"/>
      <c r="G32"/>
      <c r="H32"/>
      <c r="I32"/>
      <c r="J32"/>
      <c r="K32"/>
      <c r="L32"/>
    </row>
    <row r="33" spans="1:12" s="15" customFormat="1" x14ac:dyDescent="0.55000000000000004">
      <c r="A33" s="17"/>
      <c r="B33"/>
      <c r="C33"/>
      <c r="D33"/>
      <c r="E33"/>
      <c r="F33"/>
      <c r="G33"/>
      <c r="H33"/>
      <c r="I33"/>
      <c r="J33"/>
      <c r="K33"/>
      <c r="L33"/>
    </row>
    <row r="34" spans="1:12" s="15" customFormat="1" x14ac:dyDescent="0.55000000000000004">
      <c r="A34" s="17"/>
      <c r="B34"/>
      <c r="C34"/>
      <c r="D34"/>
      <c r="E34"/>
      <c r="F34"/>
      <c r="G34"/>
      <c r="H34"/>
      <c r="I34"/>
      <c r="J34"/>
      <c r="K34"/>
      <c r="L34"/>
    </row>
    <row r="35" spans="1:12" s="15" customFormat="1" x14ac:dyDescent="0.55000000000000004">
      <c r="A35" s="17"/>
      <c r="B35"/>
      <c r="C35"/>
      <c r="D35"/>
      <c r="E35"/>
      <c r="F35"/>
      <c r="G35"/>
      <c r="H35"/>
      <c r="I35"/>
      <c r="J35"/>
      <c r="K35"/>
      <c r="L35"/>
    </row>
    <row r="36" spans="1:12" s="15" customFormat="1" x14ac:dyDescent="0.55000000000000004">
      <c r="A36" s="17"/>
      <c r="B36"/>
      <c r="C36"/>
      <c r="D36"/>
      <c r="E36"/>
      <c r="F36"/>
      <c r="G36"/>
      <c r="H36"/>
      <c r="I36"/>
      <c r="J36"/>
      <c r="K36"/>
      <c r="L36"/>
    </row>
    <row r="37" spans="1:12" s="15" customFormat="1" x14ac:dyDescent="0.55000000000000004">
      <c r="A37" s="17"/>
      <c r="B37"/>
      <c r="C37"/>
      <c r="D37"/>
      <c r="E37"/>
      <c r="F37"/>
      <c r="G37"/>
      <c r="H37"/>
      <c r="I37"/>
      <c r="J37"/>
      <c r="K37"/>
      <c r="L37"/>
    </row>
    <row r="38" spans="1:12" s="15" customFormat="1" x14ac:dyDescent="0.55000000000000004">
      <c r="A38" s="17"/>
      <c r="B38"/>
      <c r="C38"/>
      <c r="D38"/>
      <c r="E38"/>
      <c r="F38"/>
      <c r="G38"/>
      <c r="H38"/>
      <c r="I38"/>
      <c r="J38"/>
      <c r="K38"/>
      <c r="L38"/>
    </row>
    <row r="39" spans="1:12" s="15" customFormat="1" x14ac:dyDescent="0.55000000000000004">
      <c r="A39" s="17"/>
      <c r="B39"/>
      <c r="C39"/>
      <c r="D39"/>
      <c r="E39"/>
      <c r="F39"/>
      <c r="G39"/>
      <c r="H39"/>
      <c r="I39"/>
      <c r="J39"/>
      <c r="K39"/>
      <c r="L39"/>
    </row>
    <row r="40" spans="1:12" s="15" customFormat="1" x14ac:dyDescent="0.55000000000000004">
      <c r="A40" s="17"/>
      <c r="B40"/>
      <c r="C40"/>
      <c r="D40"/>
      <c r="E40"/>
      <c r="F40"/>
      <c r="G40"/>
      <c r="H40"/>
      <c r="I40"/>
      <c r="J40"/>
      <c r="K40"/>
      <c r="L40"/>
    </row>
    <row r="41" spans="1:12" s="15" customFormat="1" x14ac:dyDescent="0.55000000000000004">
      <c r="A41" s="17"/>
      <c r="B41"/>
      <c r="C41"/>
      <c r="D41"/>
      <c r="E41"/>
      <c r="F41"/>
      <c r="G41"/>
      <c r="H41"/>
      <c r="I41"/>
      <c r="J41"/>
      <c r="K41"/>
      <c r="L41"/>
    </row>
    <row r="42" spans="1:12" s="15" customFormat="1" x14ac:dyDescent="0.55000000000000004">
      <c r="A42" s="17"/>
      <c r="B42"/>
      <c r="C42"/>
      <c r="D42"/>
      <c r="E42"/>
      <c r="F42"/>
      <c r="G42"/>
      <c r="H42"/>
      <c r="I42"/>
      <c r="J42"/>
      <c r="K42"/>
      <c r="L42"/>
    </row>
  </sheetData>
  <pageMargins left="0.511811024" right="0.511811024" top="0.78740157499999996" bottom="0.78740157499999996" header="0.31496062000000002" footer="0.31496062000000002"/>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01750-F5FD-4FEA-9537-053875A15705}">
  <sheetPr codeName="Planilha117">
    <tabColor theme="9" tint="0.59999389629810485"/>
  </sheetPr>
  <dimension ref="A1:U45"/>
  <sheetViews>
    <sheetView showGridLines="0" workbookViewId="0">
      <selection activeCell="O12" sqref="O12"/>
    </sheetView>
  </sheetViews>
  <sheetFormatPr defaultColWidth="8.796875" defaultRowHeight="18" x14ac:dyDescent="0.55000000000000004"/>
  <cols>
    <col min="1" max="1" width="12.6640625" style="17" customWidth="1"/>
    <col min="2" max="2" width="55" customWidth="1"/>
    <col min="5" max="6" width="12.33203125" bestFit="1" customWidth="1"/>
    <col min="15" max="15" width="11.33203125" style="15" bestFit="1" customWidth="1"/>
    <col min="16" max="21" width="8.796875" style="15"/>
    <col min="22" max="23" width="12.33203125" bestFit="1" customWidth="1"/>
  </cols>
  <sheetData>
    <row r="1" spans="1:21" x14ac:dyDescent="0.55000000000000004">
      <c r="A1" s="16" t="s">
        <v>1254</v>
      </c>
      <c r="O1" s="14"/>
      <c r="P1" s="14"/>
      <c r="Q1" s="14"/>
      <c r="R1" s="14"/>
      <c r="S1" s="14"/>
      <c r="T1" s="14"/>
      <c r="U1" s="14"/>
    </row>
    <row r="2" spans="1:21" x14ac:dyDescent="0.55000000000000004">
      <c r="A2" s="17" t="s">
        <v>1255</v>
      </c>
      <c r="O2" s="14"/>
      <c r="P2" s="14"/>
      <c r="Q2" s="14"/>
      <c r="R2" s="14"/>
      <c r="S2" s="14"/>
      <c r="T2" s="14"/>
      <c r="U2" s="14"/>
    </row>
    <row r="4" spans="1:21" ht="15.75" x14ac:dyDescent="0.5">
      <c r="A4" s="2" t="s">
        <v>15</v>
      </c>
      <c r="B4" s="2" t="s">
        <v>16</v>
      </c>
    </row>
    <row r="5" spans="1:21" ht="15.75" x14ac:dyDescent="0.45">
      <c r="A5" s="23" t="s">
        <v>22</v>
      </c>
      <c r="B5" s="26" t="s">
        <v>1260</v>
      </c>
    </row>
    <row r="6" spans="1:21" ht="15.75" x14ac:dyDescent="0.45">
      <c r="A6" s="23" t="s">
        <v>1261</v>
      </c>
      <c r="B6" s="26" t="s">
        <v>1263</v>
      </c>
    </row>
    <row r="7" spans="1:21" ht="15.75" x14ac:dyDescent="0.45">
      <c r="A7" s="23" t="s">
        <v>1262</v>
      </c>
      <c r="B7" s="26" t="s">
        <v>1264</v>
      </c>
    </row>
    <row r="8" spans="1:21" ht="15.75" x14ac:dyDescent="0.45">
      <c r="A8" s="23" t="s">
        <v>1265</v>
      </c>
      <c r="B8" s="26" t="s">
        <v>1267</v>
      </c>
    </row>
    <row r="9" spans="1:21" ht="15.75" x14ac:dyDescent="0.45">
      <c r="A9" s="23" t="s">
        <v>1266</v>
      </c>
      <c r="B9" s="26" t="s">
        <v>1268</v>
      </c>
    </row>
    <row r="10" spans="1:21" ht="15.75" x14ac:dyDescent="0.45">
      <c r="A10" s="23"/>
      <c r="B10" s="26"/>
    </row>
    <row r="11" spans="1:21" ht="15.75" x14ac:dyDescent="0.5">
      <c r="A11" s="19"/>
      <c r="B11" s="18"/>
      <c r="J11" s="13" t="s">
        <v>1256</v>
      </c>
      <c r="K11" s="13" t="s">
        <v>1257</v>
      </c>
      <c r="L11" s="13" t="s">
        <v>1258</v>
      </c>
      <c r="M11" s="13" t="s">
        <v>1259</v>
      </c>
    </row>
    <row r="12" spans="1:21" x14ac:dyDescent="0.55000000000000004">
      <c r="D12" s="1" t="s">
        <v>17</v>
      </c>
      <c r="E12" s="13" t="s">
        <v>244</v>
      </c>
      <c r="F12" s="12">
        <v>1</v>
      </c>
      <c r="G12" s="12">
        <v>3</v>
      </c>
      <c r="H12" s="12">
        <v>0</v>
      </c>
      <c r="J12" s="12">
        <v>1</v>
      </c>
      <c r="K12" s="12">
        <v>1</v>
      </c>
      <c r="L12" s="12">
        <v>1</v>
      </c>
      <c r="M12" s="12">
        <v>2</v>
      </c>
      <c r="O12" s="15" cm="1">
        <f t="array" ref="O12:Q13">_xlfn.LAMBDA(_xlpm.matrix,_xlop.lin_start,_xlop.lin_end,_xlop.col_start,_xlop.col_end, _xlfn.LET(_xlpm.lin_start, IF(OR(_xlfn.ISOMITTED(_xlpm.lin_start), _xlpm.lin_start = 0), 1, IF(ISTEXT(_xlpm.lin_start), MATCH(_xlpm.lin_start, INDEX(_xlpm.matrix, 0, 1), 0), _xlpm.lin_start)), _xlpm.lin_end, IF(OR(_xlfn.ISOMITTED(_xlpm.lin_end), _xlpm.lin_end = 0), ROWS(_xlpm.matrix), IF(ISTEXT(_xlpm.lin_end), MATCH(_xlpm.lin_end, INDEX(_xlpm.matrix, 0, 1), 0), _xlpm.lin_end)), _xlpm.col_start, IF(OR(_xlfn.ISOMITTED(_xlpm.col_start), _xlpm.col_start = 0), 1, IF(ISTEXT(_xlpm.col_start), MATCH(_xlpm.col_start, INDEX(_xlpm.matrix, 1, 0), 0), _xlpm.col_start)), _xlpm.col_end, IF(OR(_xlfn.ISOMITTED(_xlpm.col_end), _xlpm.col_end = 0), COLUMNS(_xlpm.matrix), IF(ISTEXT(_xlpm.col_end), MATCH(_xlpm.col_end, INDEX(_xlpm.matrix, 1, 0), 0), _xlpm.col_end)), _xlpm.head, _xlfn.TAKE(_xlpm.matrix, 1), _xlpm.hMatrix, _xlfn.DROP(_xlpm.matrix, 1), _xlpm.rows, _xlfn.CHOOSECOLS(_xlpm.hMatrix, 1), _xlpm.cols, _xlfn.CHOOSECOLS(_xlpm.hMatrix, 2), _xlpm.vals, _xlfn.CHOOSECOLS(_xlpm.hMatrix, 3), _xlpm.filtered, _xlfn._xlws.FILTER(_xlpm.hMatrix, (_xlpm.rows &gt;= _xlpm.lin_start) * (_xlpm.rows &lt;= _xlpm.lin_end) * (_xlpm.cols &gt;= _xlpm.col_start) * (_xlpm.cols &lt;= _xlpm.col_end), NA()), _xlpm.newRows, _xlfn.CHOOSECOLS(_xlpm.filtered, 1), _xlpm.newCols, _xlfn.CHOOSECOLS(_xlpm.filtered, 2), _xlpm.newVals, _xlfn.CHOOSECOLS(_xlpm.filtered, 3), _xlpm.newHead, _xlfn.HSTACK(_xlpm.lin_end - _xlpm.lin_start + 1, _xlpm.col_end - _xlpm.col_start + 1, INDEX(_xlpm.head, 1, 3)), _xlpm.resized, _xlfn.HSTACK(_xlpm.newRows - MIN(_xlpm.newRows) + 1, _xlpm.newCols - MIN(_xlpm.newCols) + 1, _xlpm.newVals), IF(ISERROR(INDEX(_xlpm.filtered, 1, 1)), _xlpm.newHead, _xlfn.VSTACK(_xlpm.newHead, _xlpm.resized))))($F$12:$H$14, $J$12, $K$12, $L$12, $M$12)</f>
        <v>1</v>
      </c>
      <c r="P12" s="15">
        <v>2</v>
      </c>
      <c r="Q12" s="15">
        <v>0</v>
      </c>
    </row>
    <row r="13" spans="1:21" x14ac:dyDescent="0.55000000000000004">
      <c r="F13" s="12">
        <v>1</v>
      </c>
      <c r="G13" s="12">
        <v>1</v>
      </c>
      <c r="H13" s="12">
        <v>1</v>
      </c>
      <c r="O13" s="15">
        <v>1</v>
      </c>
      <c r="P13" s="15">
        <v>1</v>
      </c>
      <c r="Q13" s="15">
        <v>1</v>
      </c>
    </row>
    <row r="14" spans="1:21" x14ac:dyDescent="0.55000000000000004">
      <c r="F14" s="12">
        <v>1</v>
      </c>
      <c r="G14" s="12">
        <v>3</v>
      </c>
      <c r="H14" s="12">
        <v>3</v>
      </c>
    </row>
    <row r="21" spans="1:21" x14ac:dyDescent="0.55000000000000004">
      <c r="D21" s="1" t="s">
        <v>17</v>
      </c>
      <c r="E21" s="13" t="s">
        <v>244</v>
      </c>
      <c r="F21" s="12">
        <v>1</v>
      </c>
      <c r="G21" s="12">
        <v>3</v>
      </c>
      <c r="H21" s="12">
        <v>0</v>
      </c>
      <c r="J21" s="13" t="s">
        <v>1256</v>
      </c>
      <c r="K21" s="13" t="s">
        <v>1257</v>
      </c>
      <c r="L21" s="13" t="s">
        <v>1258</v>
      </c>
      <c r="M21" s="13" t="s">
        <v>1259</v>
      </c>
      <c r="O21" s="15" cm="1">
        <f t="array" ref="O21:Q22">SPARSESLICE($F$21:$H$23,$J$22,$K$22,$L$22,$M$22)</f>
        <v>1</v>
      </c>
      <c r="P21" s="15">
        <v>2</v>
      </c>
      <c r="Q21" s="15">
        <v>0</v>
      </c>
    </row>
    <row r="22" spans="1:21" x14ac:dyDescent="0.55000000000000004">
      <c r="F22" s="12">
        <v>1</v>
      </c>
      <c r="G22" s="12">
        <v>1</v>
      </c>
      <c r="H22" s="12">
        <v>1</v>
      </c>
      <c r="J22" s="12">
        <v>1</v>
      </c>
      <c r="K22" s="12">
        <v>1</v>
      </c>
      <c r="L22" s="12">
        <v>1</v>
      </c>
      <c r="M22" s="12">
        <v>2</v>
      </c>
      <c r="O22" s="15">
        <v>1</v>
      </c>
      <c r="P22" s="15">
        <v>1</v>
      </c>
      <c r="Q22" s="15">
        <v>1</v>
      </c>
    </row>
    <row r="23" spans="1:21" s="21" customFormat="1" x14ac:dyDescent="0.55000000000000004">
      <c r="A23" s="17"/>
      <c r="B23"/>
      <c r="C23"/>
      <c r="D23"/>
      <c r="E23"/>
      <c r="F23" s="12">
        <v>1</v>
      </c>
      <c r="G23" s="12">
        <v>3</v>
      </c>
      <c r="H23" s="12">
        <v>3</v>
      </c>
      <c r="I23"/>
      <c r="J23"/>
      <c r="K23"/>
      <c r="L23"/>
      <c r="M23"/>
      <c r="N23"/>
      <c r="O23" s="15"/>
      <c r="P23" s="15"/>
      <c r="Q23" s="15"/>
      <c r="R23" s="15"/>
      <c r="S23" s="15"/>
      <c r="T23" s="15"/>
      <c r="U23" s="15"/>
    </row>
    <row r="24" spans="1:21" s="21" customFormat="1" x14ac:dyDescent="0.55000000000000004">
      <c r="A24" s="17"/>
      <c r="B24"/>
      <c r="C24"/>
      <c r="D24"/>
      <c r="E24"/>
      <c r="F24"/>
      <c r="G24"/>
      <c r="H24"/>
      <c r="I24"/>
      <c r="J24"/>
      <c r="K24"/>
      <c r="L24"/>
      <c r="M24"/>
      <c r="N24"/>
      <c r="O24" s="15"/>
      <c r="P24" s="15"/>
      <c r="Q24" s="15"/>
      <c r="R24" s="15"/>
      <c r="S24" s="15"/>
      <c r="T24" s="15"/>
      <c r="U24" s="15"/>
    </row>
    <row r="25" spans="1:21" s="21" customFormat="1" x14ac:dyDescent="0.55000000000000004">
      <c r="A25" s="17"/>
      <c r="B25"/>
      <c r="C25"/>
      <c r="D25"/>
      <c r="E25"/>
      <c r="F25"/>
      <c r="G25"/>
      <c r="H25"/>
      <c r="I25"/>
      <c r="J25"/>
      <c r="K25"/>
      <c r="L25"/>
      <c r="M25"/>
      <c r="N25"/>
      <c r="O25" s="15"/>
      <c r="P25" s="15"/>
      <c r="Q25" s="15"/>
      <c r="R25" s="15"/>
      <c r="S25" s="15"/>
      <c r="T25" s="15"/>
      <c r="U25" s="15"/>
    </row>
    <row r="26" spans="1:21" s="21" customFormat="1" x14ac:dyDescent="0.55000000000000004">
      <c r="A26" s="17"/>
      <c r="B26"/>
      <c r="C26"/>
      <c r="D26"/>
      <c r="E26"/>
      <c r="F26"/>
      <c r="G26"/>
      <c r="H26"/>
      <c r="I26"/>
      <c r="J26"/>
      <c r="K26"/>
      <c r="L26"/>
      <c r="M26"/>
      <c r="N26"/>
      <c r="O26" s="15"/>
      <c r="P26" s="15"/>
      <c r="Q26" s="15"/>
      <c r="R26" s="15"/>
      <c r="S26" s="15"/>
      <c r="T26" s="15"/>
      <c r="U26" s="15"/>
    </row>
    <row r="33" spans="1:14" s="15" customFormat="1" x14ac:dyDescent="0.55000000000000004">
      <c r="A33" s="17"/>
      <c r="B33"/>
      <c r="C33"/>
      <c r="D33"/>
      <c r="E33"/>
      <c r="F33"/>
      <c r="G33"/>
      <c r="H33"/>
      <c r="I33"/>
      <c r="J33"/>
      <c r="K33"/>
      <c r="L33"/>
      <c r="M33"/>
      <c r="N33"/>
    </row>
    <row r="34" spans="1:14" s="15" customFormat="1" x14ac:dyDescent="0.55000000000000004">
      <c r="A34" s="17"/>
      <c r="B34"/>
      <c r="C34"/>
      <c r="D34"/>
      <c r="E34"/>
      <c r="F34"/>
      <c r="G34"/>
      <c r="H34"/>
      <c r="I34"/>
      <c r="J34"/>
      <c r="K34"/>
      <c r="L34"/>
      <c r="M34"/>
      <c r="N34"/>
    </row>
    <row r="35" spans="1:14" s="15" customFormat="1" x14ac:dyDescent="0.55000000000000004">
      <c r="A35" s="17"/>
      <c r="B35"/>
      <c r="C35"/>
      <c r="D35"/>
      <c r="E35"/>
      <c r="F35"/>
      <c r="G35"/>
      <c r="H35"/>
      <c r="I35"/>
      <c r="J35"/>
      <c r="K35"/>
      <c r="L35"/>
      <c r="M35"/>
      <c r="N35"/>
    </row>
    <row r="36" spans="1:14" s="15" customFormat="1" x14ac:dyDescent="0.55000000000000004">
      <c r="A36" s="17"/>
      <c r="B36"/>
      <c r="C36"/>
      <c r="D36"/>
      <c r="E36"/>
      <c r="F36"/>
      <c r="G36"/>
      <c r="H36"/>
      <c r="I36"/>
      <c r="J36"/>
      <c r="K36"/>
      <c r="L36"/>
      <c r="M36"/>
      <c r="N36"/>
    </row>
    <row r="37" spans="1:14" s="15" customFormat="1" x14ac:dyDescent="0.55000000000000004">
      <c r="A37" s="17"/>
      <c r="B37"/>
      <c r="C37"/>
      <c r="D37"/>
      <c r="E37"/>
      <c r="F37"/>
      <c r="G37"/>
      <c r="H37"/>
      <c r="I37"/>
      <c r="J37"/>
      <c r="K37"/>
      <c r="L37"/>
      <c r="M37"/>
      <c r="N37"/>
    </row>
    <row r="38" spans="1:14" s="15" customFormat="1" x14ac:dyDescent="0.55000000000000004">
      <c r="A38" s="17"/>
      <c r="B38"/>
      <c r="C38"/>
      <c r="D38"/>
      <c r="E38"/>
      <c r="F38"/>
      <c r="G38"/>
      <c r="H38"/>
      <c r="I38"/>
      <c r="J38"/>
      <c r="K38"/>
      <c r="L38"/>
      <c r="M38"/>
      <c r="N38"/>
    </row>
    <row r="39" spans="1:14" s="15" customFormat="1" x14ac:dyDescent="0.55000000000000004">
      <c r="A39" s="17"/>
      <c r="B39"/>
      <c r="C39"/>
      <c r="D39"/>
      <c r="E39"/>
      <c r="F39"/>
      <c r="G39"/>
      <c r="H39"/>
      <c r="I39"/>
      <c r="J39"/>
      <c r="K39"/>
      <c r="L39"/>
      <c r="M39"/>
      <c r="N39"/>
    </row>
    <row r="40" spans="1:14" s="15" customFormat="1" x14ac:dyDescent="0.55000000000000004">
      <c r="A40" s="17"/>
      <c r="B40"/>
      <c r="C40"/>
      <c r="D40"/>
      <c r="E40"/>
      <c r="F40"/>
      <c r="G40"/>
      <c r="H40"/>
      <c r="I40"/>
      <c r="J40"/>
      <c r="K40"/>
      <c r="L40"/>
      <c r="M40"/>
      <c r="N40"/>
    </row>
    <row r="41" spans="1:14" s="15" customFormat="1" x14ac:dyDescent="0.55000000000000004">
      <c r="A41" s="17"/>
      <c r="B41"/>
      <c r="C41"/>
      <c r="D41"/>
      <c r="E41"/>
      <c r="F41"/>
      <c r="G41"/>
      <c r="H41"/>
      <c r="I41"/>
      <c r="J41"/>
      <c r="K41"/>
      <c r="L41"/>
      <c r="M41"/>
      <c r="N41"/>
    </row>
    <row r="42" spans="1:14" s="15" customFormat="1" x14ac:dyDescent="0.55000000000000004">
      <c r="A42" s="17"/>
      <c r="B42"/>
      <c r="C42"/>
      <c r="D42"/>
      <c r="E42"/>
      <c r="F42"/>
      <c r="G42"/>
      <c r="H42"/>
      <c r="I42"/>
      <c r="J42"/>
      <c r="K42"/>
      <c r="L42"/>
      <c r="M42"/>
      <c r="N42"/>
    </row>
    <row r="43" spans="1:14" s="15" customFormat="1" x14ac:dyDescent="0.55000000000000004">
      <c r="A43" s="17"/>
      <c r="B43"/>
      <c r="C43"/>
      <c r="D43"/>
      <c r="E43"/>
      <c r="F43"/>
      <c r="G43"/>
      <c r="H43"/>
      <c r="I43"/>
      <c r="J43"/>
      <c r="K43"/>
      <c r="L43"/>
      <c r="M43"/>
      <c r="N43"/>
    </row>
    <row r="44" spans="1:14" s="15" customFormat="1" x14ac:dyDescent="0.55000000000000004">
      <c r="A44" s="17"/>
      <c r="B44"/>
      <c r="C44"/>
      <c r="D44"/>
      <c r="E44"/>
      <c r="F44"/>
      <c r="G44"/>
      <c r="H44"/>
      <c r="I44"/>
      <c r="J44"/>
      <c r="K44"/>
      <c r="L44"/>
      <c r="M44"/>
      <c r="N44"/>
    </row>
    <row r="45" spans="1:14" s="15" customFormat="1" x14ac:dyDescent="0.55000000000000004">
      <c r="A45" s="17"/>
      <c r="B45"/>
      <c r="C45"/>
      <c r="D45"/>
      <c r="E45"/>
      <c r="F45"/>
      <c r="G45"/>
      <c r="H45"/>
      <c r="I45"/>
      <c r="J45"/>
      <c r="K45"/>
      <c r="L45"/>
      <c r="M45"/>
      <c r="N45"/>
    </row>
  </sheetData>
  <pageMargins left="0.511811024" right="0.511811024" top="0.78740157499999996" bottom="0.78740157499999996" header="0.31496062000000002" footer="0.31496062000000002"/>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14586-CBC3-4B25-A0E7-24EF46DA000E}">
  <sheetPr codeName="Planilha119">
    <tabColor theme="9" tint="0.59999389629810485"/>
  </sheetPr>
  <dimension ref="A1:P65"/>
  <sheetViews>
    <sheetView showGridLines="0" topLeftCell="A4" workbookViewId="0">
      <selection activeCell="J12" sqref="J12"/>
    </sheetView>
  </sheetViews>
  <sheetFormatPr defaultColWidth="8.796875" defaultRowHeight="18" x14ac:dyDescent="0.55000000000000004"/>
  <cols>
    <col min="1" max="1" width="15.796875" style="17" customWidth="1"/>
    <col min="2" max="2" width="55" customWidth="1"/>
    <col min="5" max="5" width="15.1328125" customWidth="1"/>
    <col min="6" max="6" width="12.33203125" bestFit="1" customWidth="1"/>
    <col min="10" max="10" width="11.33203125" style="15" bestFit="1" customWidth="1"/>
    <col min="11" max="16" width="8.796875" style="15"/>
    <col min="17" max="18" width="12.33203125" bestFit="1" customWidth="1"/>
  </cols>
  <sheetData>
    <row r="1" spans="1:16" x14ac:dyDescent="0.55000000000000004">
      <c r="A1" s="16" t="s">
        <v>1290</v>
      </c>
      <c r="J1" s="14"/>
      <c r="K1" s="14"/>
      <c r="L1" s="14"/>
      <c r="M1" s="14"/>
      <c r="N1" s="14"/>
      <c r="O1" s="14"/>
      <c r="P1" s="14"/>
    </row>
    <row r="2" spans="1:16" x14ac:dyDescent="0.55000000000000004">
      <c r="A2" s="17" t="s">
        <v>1291</v>
      </c>
      <c r="J2" s="14"/>
      <c r="K2" s="14"/>
      <c r="L2" s="14"/>
      <c r="M2" s="14"/>
      <c r="N2" s="14"/>
      <c r="O2" s="14"/>
      <c r="P2" s="14"/>
    </row>
    <row r="4" spans="1:16" ht="15.75" x14ac:dyDescent="0.5">
      <c r="A4" s="2" t="s">
        <v>15</v>
      </c>
      <c r="B4" s="2" t="s">
        <v>16</v>
      </c>
    </row>
    <row r="5" spans="1:16" ht="15.75" x14ac:dyDescent="0.45">
      <c r="A5" s="23" t="s">
        <v>1299</v>
      </c>
      <c r="B5" s="26" t="s">
        <v>1300</v>
      </c>
    </row>
    <row r="6" spans="1:16" ht="15.75" x14ac:dyDescent="0.45">
      <c r="A6" s="23" t="s">
        <v>1294</v>
      </c>
      <c r="B6" s="26" t="s">
        <v>1292</v>
      </c>
    </row>
    <row r="7" spans="1:16" ht="15.75" x14ac:dyDescent="0.45">
      <c r="A7" s="23" t="s">
        <v>1295</v>
      </c>
      <c r="B7" s="26" t="s">
        <v>1293</v>
      </c>
    </row>
    <row r="8" spans="1:16" ht="15.75" x14ac:dyDescent="0.45">
      <c r="A8" s="23" t="s">
        <v>1296</v>
      </c>
      <c r="B8" s="26" t="s">
        <v>1301</v>
      </c>
    </row>
    <row r="9" spans="1:16" ht="15.75" x14ac:dyDescent="0.45">
      <c r="A9" s="23" t="s">
        <v>1297</v>
      </c>
      <c r="B9" s="26" t="s">
        <v>1302</v>
      </c>
    </row>
    <row r="10" spans="1:16" ht="15.75" x14ac:dyDescent="0.45">
      <c r="A10" s="23" t="s">
        <v>1298</v>
      </c>
      <c r="B10" s="26" t="s">
        <v>1303</v>
      </c>
    </row>
    <row r="11" spans="1:16" ht="15.75" x14ac:dyDescent="0.45">
      <c r="A11" s="23"/>
      <c r="B11" s="26"/>
    </row>
    <row r="12" spans="1:16" ht="15.75" x14ac:dyDescent="0.5">
      <c r="A12" s="19"/>
      <c r="B12" s="18"/>
      <c r="J12" s="15" cm="1">
        <f t="array" ref="J12:L32">_xlfn.LAMBDA(_xlpm.matrix_names,_xlpm.matrix_1,_xlop.matrix_2,_xlop.matrix_3,_xlop.matrix_4,_xlop.matrix_5, _xlfn.LET(_xlpm.matrix_names, VEC(_xlpm.matrix_names), _xlpm.nElements, ROWS(_xlpm.matrix_names), _xlpm.matrix_1, IF(_xlpm.nElements &gt;= 1, _xlpm.matrix_1, NA()), _xlpm.matrix_2, IF(_xlpm.nElements &gt;= 2, _xlpm.matrix_2, NA()), _xlpm.matrix_3, IF(_xlpm.nElements &gt;= 3, _xlpm.matrix_3, NA()), _xlpm.matrix_4, IF(_xlpm.nElements &gt;= 4, _xlpm.matrix_4, NA()), _xlpm.matrix_5, IF(_xlpm.nElements &gt;= 5, _xlpm.matrix_5, NA()), _xlpm.rows, _xlfn.VSTACK(IFERROR(ROWS(_xlpm.matrix_1), 0), IFERROR(ROWS(_xlpm.matrix_2), 0), IFERROR(ROWS(_xlpm.matrix_3), 0), IFERROR(ROWS(_xlpm.matrix_4), 0), IFERROR(ROWS(_xlpm.matrix_5), 0)), _xlpm.cols, _xlfn.VSTACK(IFERROR(COLUMNS(_xlpm.matrix_1), 0), IFERROR(COLUMNS(_xlpm.matrix_2), 0), IFERROR(COLUMNS(_xlpm.matrix_3), 0), IFERROR(COLUMNS(_xlpm.matrix_4), 0), IFERROR(COLUMNS(_xlpm.matrix_5), 0)), _xlpm.header, _xlfn.VSTACK(_xlpm.nElements, _xlfn.HSTACK(_xlpm.matrix_names, _xlpm.rows, _xlpm.cols)), _xlfn.REDUCE(_xlpm.header, _xlfn.SEQUENCE(_xlpm.nElements), _xlfn.LAMBDA(_xlpm.accum,_xlpm.idx, _xlfn.VSTACK(_xlpm.accum, CHOOSE(_xlpm.idx, _xlpm.matrix_1, _xlpm.matrix_2, _xlpm.matrix_3, _xlpm.matrix_4, _xlpm.matrix_5))))))($F$13:$F$17, $F$19:$H$21, $F$23:$H$25, $F$27:$H$29, $F$31:$H$33, F35:H37)</f>
        <v>5</v>
      </c>
      <c r="K12" s="15" t="e">
        <v>#N/A</v>
      </c>
      <c r="L12" s="15" t="e">
        <v>#N/A</v>
      </c>
    </row>
    <row r="13" spans="1:16" ht="15.75" x14ac:dyDescent="0.5">
      <c r="A13" s="19"/>
      <c r="B13" s="18"/>
      <c r="D13" s="1" t="s">
        <v>17</v>
      </c>
      <c r="E13" s="13" t="s">
        <v>1299</v>
      </c>
      <c r="F13" s="12" t="s">
        <v>244</v>
      </c>
      <c r="J13" s="15" t="str">
        <v>A</v>
      </c>
      <c r="K13" s="15">
        <v>3</v>
      </c>
      <c r="L13" s="15">
        <v>3</v>
      </c>
    </row>
    <row r="14" spans="1:16" ht="14.25" x14ac:dyDescent="0.45">
      <c r="A14"/>
      <c r="F14" s="12" t="s">
        <v>245</v>
      </c>
      <c r="J14" s="15" t="str">
        <v>B</v>
      </c>
      <c r="K14" s="15">
        <v>3</v>
      </c>
      <c r="L14" s="15">
        <v>3</v>
      </c>
    </row>
    <row r="15" spans="1:16" ht="14.25" x14ac:dyDescent="0.45">
      <c r="A15"/>
      <c r="F15" s="12" t="s">
        <v>246</v>
      </c>
      <c r="J15" s="15" t="str">
        <v>C</v>
      </c>
      <c r="K15" s="15">
        <v>3</v>
      </c>
      <c r="L15" s="15">
        <v>3</v>
      </c>
    </row>
    <row r="16" spans="1:16" ht="14.25" x14ac:dyDescent="0.45">
      <c r="A16"/>
      <c r="F16" s="12" t="s">
        <v>247</v>
      </c>
      <c r="J16" s="15" t="str">
        <v>D</v>
      </c>
      <c r="K16" s="15">
        <v>3</v>
      </c>
      <c r="L16" s="15">
        <v>3</v>
      </c>
    </row>
    <row r="17" spans="1:16" ht="14.25" x14ac:dyDescent="0.45">
      <c r="A17"/>
      <c r="F17" s="12" t="s">
        <v>248</v>
      </c>
      <c r="J17" s="15" t="str">
        <v>E</v>
      </c>
      <c r="K17" s="15">
        <v>3</v>
      </c>
      <c r="L17" s="15">
        <v>3</v>
      </c>
    </row>
    <row r="18" spans="1:16" ht="15.75" x14ac:dyDescent="0.5">
      <c r="A18" s="19"/>
      <c r="B18" s="18"/>
      <c r="J18" s="15">
        <v>1</v>
      </c>
      <c r="K18" s="15">
        <v>3</v>
      </c>
      <c r="L18" s="15">
        <v>0</v>
      </c>
    </row>
    <row r="19" spans="1:16" x14ac:dyDescent="0.55000000000000004">
      <c r="E19" s="13" t="s">
        <v>1294</v>
      </c>
      <c r="F19" s="12">
        <v>1</v>
      </c>
      <c r="G19" s="12">
        <v>3</v>
      </c>
      <c r="H19" s="12">
        <v>0</v>
      </c>
      <c r="J19" s="15">
        <v>1</v>
      </c>
      <c r="K19" s="15">
        <v>1</v>
      </c>
      <c r="L19" s="15">
        <v>1</v>
      </c>
    </row>
    <row r="20" spans="1:16" x14ac:dyDescent="0.55000000000000004">
      <c r="F20" s="12">
        <v>1</v>
      </c>
      <c r="G20" s="12">
        <v>1</v>
      </c>
      <c r="H20" s="12">
        <v>1</v>
      </c>
      <c r="J20" s="15">
        <v>1</v>
      </c>
      <c r="K20" s="15">
        <v>3</v>
      </c>
      <c r="L20" s="15">
        <v>3</v>
      </c>
    </row>
    <row r="21" spans="1:16" x14ac:dyDescent="0.55000000000000004">
      <c r="F21" s="12">
        <v>1</v>
      </c>
      <c r="G21" s="12">
        <v>3</v>
      </c>
      <c r="H21" s="12">
        <v>3</v>
      </c>
      <c r="J21" s="15">
        <v>1</v>
      </c>
      <c r="K21" s="15">
        <v>3</v>
      </c>
      <c r="L21" s="15">
        <v>0</v>
      </c>
    </row>
    <row r="22" spans="1:16" x14ac:dyDescent="0.55000000000000004">
      <c r="J22" s="15">
        <v>1</v>
      </c>
      <c r="K22" s="15">
        <v>1</v>
      </c>
      <c r="L22" s="15">
        <v>1</v>
      </c>
    </row>
    <row r="23" spans="1:16" x14ac:dyDescent="0.55000000000000004">
      <c r="E23" s="13" t="s">
        <v>1295</v>
      </c>
      <c r="F23" s="12">
        <v>1</v>
      </c>
      <c r="G23" s="12">
        <v>3</v>
      </c>
      <c r="H23" s="12">
        <v>0</v>
      </c>
      <c r="J23" s="15">
        <v>1</v>
      </c>
      <c r="K23" s="15">
        <v>3</v>
      </c>
      <c r="L23" s="15">
        <v>3</v>
      </c>
    </row>
    <row r="24" spans="1:16" x14ac:dyDescent="0.55000000000000004">
      <c r="F24" s="12">
        <v>1</v>
      </c>
      <c r="G24" s="12">
        <v>1</v>
      </c>
      <c r="H24" s="12">
        <v>1</v>
      </c>
      <c r="J24" s="15">
        <v>1</v>
      </c>
      <c r="K24" s="15">
        <v>3</v>
      </c>
      <c r="L24" s="15">
        <v>0</v>
      </c>
    </row>
    <row r="25" spans="1:16" x14ac:dyDescent="0.55000000000000004">
      <c r="F25" s="12">
        <v>1</v>
      </c>
      <c r="G25" s="12">
        <v>3</v>
      </c>
      <c r="H25" s="12">
        <v>3</v>
      </c>
      <c r="J25" s="15">
        <v>1</v>
      </c>
      <c r="K25" s="15">
        <v>1</v>
      </c>
      <c r="L25" s="15">
        <v>1</v>
      </c>
    </row>
    <row r="26" spans="1:16" x14ac:dyDescent="0.55000000000000004">
      <c r="J26" s="15">
        <v>1</v>
      </c>
      <c r="K26" s="15">
        <v>3</v>
      </c>
      <c r="L26" s="15">
        <v>3</v>
      </c>
    </row>
    <row r="27" spans="1:16" x14ac:dyDescent="0.55000000000000004">
      <c r="E27" s="13" t="s">
        <v>1296</v>
      </c>
      <c r="F27" s="12">
        <v>1</v>
      </c>
      <c r="G27" s="12">
        <v>3</v>
      </c>
      <c r="H27" s="12">
        <v>0</v>
      </c>
      <c r="J27" s="15">
        <v>1</v>
      </c>
      <c r="K27" s="15">
        <v>3</v>
      </c>
      <c r="L27" s="15">
        <v>0</v>
      </c>
    </row>
    <row r="28" spans="1:16" x14ac:dyDescent="0.55000000000000004">
      <c r="F28" s="12">
        <v>1</v>
      </c>
      <c r="G28" s="12">
        <v>1</v>
      </c>
      <c r="H28" s="12">
        <v>1</v>
      </c>
      <c r="J28" s="15">
        <v>1</v>
      </c>
      <c r="K28" s="15">
        <v>1</v>
      </c>
      <c r="L28" s="15">
        <v>1</v>
      </c>
    </row>
    <row r="29" spans="1:16" x14ac:dyDescent="0.55000000000000004">
      <c r="F29" s="12">
        <v>1</v>
      </c>
      <c r="G29" s="12">
        <v>3</v>
      </c>
      <c r="H29" s="12">
        <v>3</v>
      </c>
      <c r="J29" s="15">
        <v>1</v>
      </c>
      <c r="K29" s="15">
        <v>3</v>
      </c>
      <c r="L29" s="15">
        <v>3</v>
      </c>
    </row>
    <row r="30" spans="1:16" s="21" customFormat="1" x14ac:dyDescent="0.55000000000000004">
      <c r="A30" s="17"/>
      <c r="B30"/>
      <c r="C30"/>
      <c r="D30"/>
      <c r="E30"/>
      <c r="F30"/>
      <c r="G30"/>
      <c r="H30"/>
      <c r="I30"/>
      <c r="J30" s="15">
        <v>1</v>
      </c>
      <c r="K30" s="15">
        <v>3</v>
      </c>
      <c r="L30" s="15">
        <v>0</v>
      </c>
      <c r="M30" s="15"/>
      <c r="N30" s="15"/>
      <c r="O30" s="15"/>
      <c r="P30" s="15"/>
    </row>
    <row r="31" spans="1:16" s="21" customFormat="1" x14ac:dyDescent="0.55000000000000004">
      <c r="A31" s="17"/>
      <c r="B31"/>
      <c r="C31"/>
      <c r="D31"/>
      <c r="E31" s="13" t="s">
        <v>1297</v>
      </c>
      <c r="F31" s="12">
        <v>1</v>
      </c>
      <c r="G31" s="12">
        <v>3</v>
      </c>
      <c r="H31" s="12">
        <v>0</v>
      </c>
      <c r="I31"/>
      <c r="J31" s="15">
        <v>1</v>
      </c>
      <c r="K31" s="15">
        <v>1</v>
      </c>
      <c r="L31" s="15">
        <v>1</v>
      </c>
      <c r="M31" s="15"/>
      <c r="N31" s="15"/>
      <c r="O31" s="15"/>
      <c r="P31" s="15"/>
    </row>
    <row r="32" spans="1:16" s="21" customFormat="1" x14ac:dyDescent="0.55000000000000004">
      <c r="A32" s="17"/>
      <c r="B32"/>
      <c r="C32"/>
      <c r="D32"/>
      <c r="E32"/>
      <c r="F32" s="12">
        <v>1</v>
      </c>
      <c r="G32" s="12">
        <v>1</v>
      </c>
      <c r="H32" s="12">
        <v>1</v>
      </c>
      <c r="I32"/>
      <c r="J32" s="15">
        <v>1</v>
      </c>
      <c r="K32" s="15">
        <v>3</v>
      </c>
      <c r="L32" s="15">
        <v>3</v>
      </c>
      <c r="M32" s="15"/>
      <c r="N32" s="15"/>
      <c r="O32" s="15"/>
      <c r="P32" s="15"/>
    </row>
    <row r="33" spans="1:16" s="21" customFormat="1" x14ac:dyDescent="0.55000000000000004">
      <c r="A33" s="17"/>
      <c r="B33"/>
      <c r="C33"/>
      <c r="D33"/>
      <c r="E33"/>
      <c r="F33" s="12">
        <v>1</v>
      </c>
      <c r="G33" s="12">
        <v>3</v>
      </c>
      <c r="H33" s="12">
        <v>3</v>
      </c>
      <c r="I33"/>
      <c r="J33" s="15"/>
      <c r="K33" s="15"/>
      <c r="L33" s="15"/>
      <c r="M33" s="15"/>
      <c r="N33" s="15"/>
      <c r="O33" s="15"/>
      <c r="P33" s="15"/>
    </row>
    <row r="35" spans="1:16" x14ac:dyDescent="0.55000000000000004">
      <c r="E35" s="13" t="s">
        <v>1298</v>
      </c>
      <c r="F35" s="12">
        <v>1</v>
      </c>
      <c r="G35" s="12">
        <v>3</v>
      </c>
      <c r="H35" s="12">
        <v>0</v>
      </c>
    </row>
    <row r="36" spans="1:16" x14ac:dyDescent="0.55000000000000004">
      <c r="F36" s="12">
        <v>1</v>
      </c>
      <c r="G36" s="12">
        <v>1</v>
      </c>
      <c r="H36" s="12">
        <v>1</v>
      </c>
    </row>
    <row r="37" spans="1:16" x14ac:dyDescent="0.55000000000000004">
      <c r="F37" s="12">
        <v>1</v>
      </c>
      <c r="G37" s="12">
        <v>3</v>
      </c>
      <c r="H37" s="12">
        <v>3</v>
      </c>
    </row>
    <row r="40" spans="1:16" s="21" customFormat="1" x14ac:dyDescent="0.55000000000000004">
      <c r="A40" s="17"/>
      <c r="B40"/>
      <c r="C40"/>
      <c r="D40"/>
      <c r="E40"/>
      <c r="F40"/>
      <c r="G40"/>
      <c r="H40"/>
      <c r="I40"/>
      <c r="J40" s="15"/>
      <c r="K40" s="15"/>
      <c r="L40" s="15"/>
      <c r="M40" s="15"/>
      <c r="N40" s="15"/>
      <c r="O40" s="15"/>
      <c r="P40" s="15"/>
    </row>
    <row r="41" spans="1:16" s="21" customFormat="1" x14ac:dyDescent="0.55000000000000004">
      <c r="A41" s="17"/>
      <c r="B41"/>
      <c r="C41"/>
      <c r="D41" s="1" t="s">
        <v>17</v>
      </c>
      <c r="E41" s="13" t="s">
        <v>1299</v>
      </c>
      <c r="F41" s="12" t="s">
        <v>244</v>
      </c>
      <c r="G41"/>
      <c r="H41"/>
      <c r="I41"/>
      <c r="J41" s="15" cm="1">
        <f t="array" ref="J41:L61">FLATTEN($F$41:$F$45, $F$47:$H$49, $F$51:$H$53, $F$55:$H$57, $F$59:$H$61, F63:H65)</f>
        <v>5</v>
      </c>
      <c r="K41" s="15" t="e">
        <v>#N/A</v>
      </c>
      <c r="L41" s="15" t="e">
        <v>#N/A</v>
      </c>
      <c r="M41" s="15"/>
      <c r="N41" s="15"/>
      <c r="O41" s="15"/>
      <c r="P41" s="15"/>
    </row>
    <row r="42" spans="1:16" s="21" customFormat="1" x14ac:dyDescent="0.55000000000000004">
      <c r="A42" s="17"/>
      <c r="B42"/>
      <c r="C42"/>
      <c r="D42"/>
      <c r="E42"/>
      <c r="F42" s="12" t="s">
        <v>245</v>
      </c>
      <c r="G42"/>
      <c r="H42"/>
      <c r="I42"/>
      <c r="J42" s="15" t="str">
        <v>A</v>
      </c>
      <c r="K42" s="15">
        <v>3</v>
      </c>
      <c r="L42" s="15">
        <v>3</v>
      </c>
      <c r="M42" s="15"/>
      <c r="N42" s="15"/>
      <c r="O42" s="15"/>
      <c r="P42" s="15"/>
    </row>
    <row r="43" spans="1:16" s="21" customFormat="1" x14ac:dyDescent="0.55000000000000004">
      <c r="A43" s="17"/>
      <c r="B43"/>
      <c r="C43"/>
      <c r="D43"/>
      <c r="E43"/>
      <c r="F43" s="12" t="s">
        <v>246</v>
      </c>
      <c r="G43"/>
      <c r="H43"/>
      <c r="I43"/>
      <c r="J43" s="15" t="str">
        <v>B</v>
      </c>
      <c r="K43" s="15">
        <v>3</v>
      </c>
      <c r="L43" s="15">
        <v>3</v>
      </c>
      <c r="M43" s="15"/>
      <c r="N43" s="15"/>
      <c r="O43" s="15"/>
      <c r="P43" s="15"/>
    </row>
    <row r="44" spans="1:16" s="21" customFormat="1" x14ac:dyDescent="0.55000000000000004">
      <c r="A44" s="17"/>
      <c r="B44"/>
      <c r="C44"/>
      <c r="D44"/>
      <c r="E44"/>
      <c r="F44" s="12" t="s">
        <v>247</v>
      </c>
      <c r="G44"/>
      <c r="H44"/>
      <c r="I44"/>
      <c r="J44" s="15" t="str">
        <v>C</v>
      </c>
      <c r="K44" s="15">
        <v>3</v>
      </c>
      <c r="L44" s="15">
        <v>3</v>
      </c>
      <c r="M44" s="15"/>
      <c r="N44" s="15"/>
      <c r="O44" s="15"/>
      <c r="P44" s="15"/>
    </row>
    <row r="45" spans="1:16" s="21" customFormat="1" x14ac:dyDescent="0.55000000000000004">
      <c r="A45" s="17"/>
      <c r="B45"/>
      <c r="C45"/>
      <c r="D45"/>
      <c r="E45"/>
      <c r="F45" s="12" t="s">
        <v>248</v>
      </c>
      <c r="G45"/>
      <c r="H45"/>
      <c r="I45"/>
      <c r="J45" s="15" t="str">
        <v>D</v>
      </c>
      <c r="K45" s="15">
        <v>3</v>
      </c>
      <c r="L45" s="15">
        <v>3</v>
      </c>
      <c r="M45" s="15"/>
      <c r="N45" s="15"/>
      <c r="O45" s="15"/>
      <c r="P45" s="15"/>
    </row>
    <row r="46" spans="1:16" s="21" customFormat="1" x14ac:dyDescent="0.55000000000000004">
      <c r="A46" s="17"/>
      <c r="B46"/>
      <c r="C46"/>
      <c r="D46"/>
      <c r="E46"/>
      <c r="F46"/>
      <c r="G46"/>
      <c r="H46"/>
      <c r="I46"/>
      <c r="J46" s="15" t="str">
        <v>E</v>
      </c>
      <c r="K46" s="15">
        <v>3</v>
      </c>
      <c r="L46" s="15">
        <v>3</v>
      </c>
      <c r="M46" s="15"/>
      <c r="N46" s="15"/>
      <c r="O46" s="15"/>
      <c r="P46" s="15"/>
    </row>
    <row r="47" spans="1:16" s="21" customFormat="1" x14ac:dyDescent="0.55000000000000004">
      <c r="A47" s="17"/>
      <c r="B47"/>
      <c r="C47"/>
      <c r="D47"/>
      <c r="E47" s="13" t="s">
        <v>1294</v>
      </c>
      <c r="F47" s="12">
        <v>1</v>
      </c>
      <c r="G47" s="12">
        <v>3</v>
      </c>
      <c r="H47" s="12">
        <v>0</v>
      </c>
      <c r="I47"/>
      <c r="J47" s="15">
        <v>1</v>
      </c>
      <c r="K47" s="15">
        <v>3</v>
      </c>
      <c r="L47" s="15">
        <v>0</v>
      </c>
      <c r="M47" s="15"/>
      <c r="N47" s="15"/>
      <c r="O47" s="15"/>
      <c r="P47" s="15"/>
    </row>
    <row r="48" spans="1:16" s="21" customFormat="1" x14ac:dyDescent="0.55000000000000004">
      <c r="A48" s="17"/>
      <c r="B48"/>
      <c r="C48"/>
      <c r="D48"/>
      <c r="E48"/>
      <c r="F48" s="12">
        <v>1</v>
      </c>
      <c r="G48" s="12">
        <v>1</v>
      </c>
      <c r="H48" s="12">
        <v>1</v>
      </c>
      <c r="I48"/>
      <c r="J48" s="15">
        <v>1</v>
      </c>
      <c r="K48" s="15">
        <v>1</v>
      </c>
      <c r="L48" s="15">
        <v>1</v>
      </c>
      <c r="M48" s="15"/>
      <c r="N48" s="15"/>
      <c r="O48" s="15"/>
      <c r="P48" s="15"/>
    </row>
    <row r="49" spans="1:16" s="21" customFormat="1" x14ac:dyDescent="0.55000000000000004">
      <c r="A49" s="17"/>
      <c r="B49"/>
      <c r="C49"/>
      <c r="D49"/>
      <c r="E49"/>
      <c r="F49" s="12">
        <v>1</v>
      </c>
      <c r="G49" s="12">
        <v>3</v>
      </c>
      <c r="H49" s="12">
        <v>3</v>
      </c>
      <c r="I49"/>
      <c r="J49" s="15">
        <v>1</v>
      </c>
      <c r="K49" s="15">
        <v>3</v>
      </c>
      <c r="L49" s="15">
        <v>3</v>
      </c>
      <c r="M49" s="15"/>
      <c r="N49" s="15"/>
      <c r="O49" s="15"/>
      <c r="P49" s="15"/>
    </row>
    <row r="50" spans="1:16" s="21" customFormat="1" x14ac:dyDescent="0.55000000000000004">
      <c r="A50" s="17"/>
      <c r="B50"/>
      <c r="C50"/>
      <c r="D50"/>
      <c r="E50"/>
      <c r="F50"/>
      <c r="G50"/>
      <c r="H50"/>
      <c r="I50"/>
      <c r="J50" s="15">
        <v>1</v>
      </c>
      <c r="K50" s="15">
        <v>3</v>
      </c>
      <c r="L50" s="15">
        <v>0</v>
      </c>
      <c r="M50" s="15"/>
      <c r="N50" s="15"/>
      <c r="O50" s="15"/>
      <c r="P50" s="15"/>
    </row>
    <row r="51" spans="1:16" s="21" customFormat="1" x14ac:dyDescent="0.55000000000000004">
      <c r="A51" s="17"/>
      <c r="B51"/>
      <c r="C51"/>
      <c r="D51"/>
      <c r="E51" s="13" t="s">
        <v>1295</v>
      </c>
      <c r="F51" s="12">
        <v>1</v>
      </c>
      <c r="G51" s="12">
        <v>3</v>
      </c>
      <c r="H51" s="12">
        <v>0</v>
      </c>
      <c r="I51"/>
      <c r="J51" s="15">
        <v>1</v>
      </c>
      <c r="K51" s="15">
        <v>1</v>
      </c>
      <c r="L51" s="15">
        <v>1</v>
      </c>
      <c r="M51" s="15"/>
      <c r="N51" s="15"/>
      <c r="O51" s="15"/>
      <c r="P51" s="15"/>
    </row>
    <row r="52" spans="1:16" s="21" customFormat="1" x14ac:dyDescent="0.55000000000000004">
      <c r="A52" s="17"/>
      <c r="B52"/>
      <c r="C52"/>
      <c r="D52"/>
      <c r="E52"/>
      <c r="F52" s="12">
        <v>1</v>
      </c>
      <c r="G52" s="12">
        <v>1</v>
      </c>
      <c r="H52" s="12">
        <v>1</v>
      </c>
      <c r="I52"/>
      <c r="J52" s="15">
        <v>1</v>
      </c>
      <c r="K52" s="15">
        <v>3</v>
      </c>
      <c r="L52" s="15">
        <v>3</v>
      </c>
      <c r="M52" s="15"/>
      <c r="N52" s="15"/>
      <c r="O52" s="15"/>
      <c r="P52" s="15"/>
    </row>
    <row r="53" spans="1:16" x14ac:dyDescent="0.55000000000000004">
      <c r="F53" s="12">
        <v>1</v>
      </c>
      <c r="G53" s="12">
        <v>3</v>
      </c>
      <c r="H53" s="12">
        <v>3</v>
      </c>
      <c r="J53" s="15">
        <v>1</v>
      </c>
      <c r="K53" s="15">
        <v>3</v>
      </c>
      <c r="L53" s="15">
        <v>0</v>
      </c>
    </row>
    <row r="54" spans="1:16" x14ac:dyDescent="0.55000000000000004">
      <c r="J54" s="15">
        <v>1</v>
      </c>
      <c r="K54" s="15">
        <v>1</v>
      </c>
      <c r="L54" s="15">
        <v>1</v>
      </c>
    </row>
    <row r="55" spans="1:16" x14ac:dyDescent="0.55000000000000004">
      <c r="E55" s="13" t="s">
        <v>1296</v>
      </c>
      <c r="F55" s="12">
        <v>1</v>
      </c>
      <c r="G55" s="12">
        <v>3</v>
      </c>
      <c r="H55" s="12">
        <v>0</v>
      </c>
      <c r="J55" s="15">
        <v>1</v>
      </c>
      <c r="K55" s="15">
        <v>3</v>
      </c>
      <c r="L55" s="15">
        <v>3</v>
      </c>
    </row>
    <row r="56" spans="1:16" x14ac:dyDescent="0.55000000000000004">
      <c r="F56" s="12">
        <v>1</v>
      </c>
      <c r="G56" s="12">
        <v>1</v>
      </c>
      <c r="H56" s="12">
        <v>1</v>
      </c>
      <c r="J56" s="15">
        <v>1</v>
      </c>
      <c r="K56" s="15">
        <v>3</v>
      </c>
      <c r="L56" s="15">
        <v>0</v>
      </c>
    </row>
    <row r="57" spans="1:16" x14ac:dyDescent="0.55000000000000004">
      <c r="F57" s="12">
        <v>1</v>
      </c>
      <c r="G57" s="12">
        <v>3</v>
      </c>
      <c r="H57" s="12">
        <v>3</v>
      </c>
      <c r="J57" s="15">
        <v>1</v>
      </c>
      <c r="K57" s="15">
        <v>1</v>
      </c>
      <c r="L57" s="15">
        <v>1</v>
      </c>
    </row>
    <row r="58" spans="1:16" x14ac:dyDescent="0.55000000000000004">
      <c r="J58" s="15">
        <v>1</v>
      </c>
      <c r="K58" s="15">
        <v>3</v>
      </c>
      <c r="L58" s="15">
        <v>3</v>
      </c>
    </row>
    <row r="59" spans="1:16" x14ac:dyDescent="0.55000000000000004">
      <c r="E59" s="13" t="s">
        <v>1297</v>
      </c>
      <c r="F59" s="12">
        <v>1</v>
      </c>
      <c r="G59" s="12">
        <v>3</v>
      </c>
      <c r="H59" s="12">
        <v>0</v>
      </c>
      <c r="J59" s="15">
        <v>1</v>
      </c>
      <c r="K59" s="15">
        <v>3</v>
      </c>
      <c r="L59" s="15">
        <v>0</v>
      </c>
    </row>
    <row r="60" spans="1:16" x14ac:dyDescent="0.55000000000000004">
      <c r="F60" s="12">
        <v>1</v>
      </c>
      <c r="G60" s="12">
        <v>1</v>
      </c>
      <c r="H60" s="12">
        <v>1</v>
      </c>
      <c r="J60" s="15">
        <v>1</v>
      </c>
      <c r="K60" s="15">
        <v>1</v>
      </c>
      <c r="L60" s="15">
        <v>1</v>
      </c>
    </row>
    <row r="61" spans="1:16" x14ac:dyDescent="0.55000000000000004">
      <c r="F61" s="12">
        <v>1</v>
      </c>
      <c r="G61" s="12">
        <v>3</v>
      </c>
      <c r="H61" s="12">
        <v>3</v>
      </c>
      <c r="J61" s="15">
        <v>1</v>
      </c>
      <c r="K61" s="15">
        <v>3</v>
      </c>
      <c r="L61" s="15">
        <v>3</v>
      </c>
    </row>
    <row r="63" spans="1:16" x14ac:dyDescent="0.55000000000000004">
      <c r="E63" s="13" t="s">
        <v>1298</v>
      </c>
      <c r="F63" s="12">
        <v>1</v>
      </c>
      <c r="G63" s="12">
        <v>3</v>
      </c>
      <c r="H63" s="12">
        <v>0</v>
      </c>
    </row>
    <row r="64" spans="1:16" x14ac:dyDescent="0.55000000000000004">
      <c r="F64" s="12">
        <v>1</v>
      </c>
      <c r="G64" s="12">
        <v>1</v>
      </c>
      <c r="H64" s="12">
        <v>1</v>
      </c>
    </row>
    <row r="65" spans="6:8" x14ac:dyDescent="0.55000000000000004">
      <c r="F65" s="12">
        <v>1</v>
      </c>
      <c r="G65" s="12">
        <v>3</v>
      </c>
      <c r="H65" s="12">
        <v>3</v>
      </c>
    </row>
  </sheetData>
  <pageMargins left="0.511811024" right="0.511811024" top="0.78740157499999996" bottom="0.78740157499999996" header="0.31496062000000002" footer="0.31496062000000002"/>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98686-068D-451C-A50C-332531C97ACF}">
  <sheetPr codeName="Planilha120">
    <tabColor theme="9" tint="0.59999389629810485"/>
  </sheetPr>
  <dimension ref="A1:P58"/>
  <sheetViews>
    <sheetView showGridLines="0" zoomScale="85" zoomScaleNormal="85" workbookViewId="0"/>
  </sheetViews>
  <sheetFormatPr defaultColWidth="8.796875" defaultRowHeight="18" x14ac:dyDescent="0.55000000000000004"/>
  <cols>
    <col min="1" max="1" width="17.1328125" style="17" customWidth="1"/>
    <col min="2" max="2" width="55" customWidth="1"/>
    <col min="5" max="5" width="15.1328125" customWidth="1"/>
    <col min="6" max="6" width="12.33203125" bestFit="1" customWidth="1"/>
    <col min="10" max="10" width="11.33203125" style="15" bestFit="1" customWidth="1"/>
    <col min="11" max="16" width="8.796875" style="15"/>
    <col min="17" max="18" width="12.33203125" bestFit="1" customWidth="1"/>
  </cols>
  <sheetData>
    <row r="1" spans="1:16" x14ac:dyDescent="0.55000000000000004">
      <c r="A1" s="16" t="s">
        <v>1304</v>
      </c>
      <c r="J1" s="14"/>
      <c r="K1" s="14"/>
      <c r="L1" s="14"/>
      <c r="M1" s="14"/>
      <c r="N1" s="14"/>
      <c r="O1" s="14"/>
      <c r="P1" s="14"/>
    </row>
    <row r="2" spans="1:16" x14ac:dyDescent="0.55000000000000004">
      <c r="A2" s="17" t="s">
        <v>1305</v>
      </c>
      <c r="J2" s="14"/>
      <c r="K2" s="14"/>
      <c r="L2" s="14"/>
      <c r="M2" s="14"/>
      <c r="N2" s="14"/>
      <c r="O2" s="14"/>
      <c r="P2" s="14"/>
    </row>
    <row r="4" spans="1:16" ht="15.75" x14ac:dyDescent="0.5">
      <c r="A4" s="2" t="s">
        <v>15</v>
      </c>
      <c r="B4" s="2" t="s">
        <v>16</v>
      </c>
    </row>
    <row r="5" spans="1:16" ht="15.75" x14ac:dyDescent="0.45">
      <c r="A5" s="23" t="s">
        <v>1306</v>
      </c>
      <c r="B5" s="26" t="s">
        <v>1309</v>
      </c>
    </row>
    <row r="6" spans="1:16" ht="16.5" customHeight="1" x14ac:dyDescent="0.45">
      <c r="A6" s="23" t="s">
        <v>1307</v>
      </c>
      <c r="B6" s="26" t="s">
        <v>1308</v>
      </c>
    </row>
    <row r="7" spans="1:16" ht="15.75" x14ac:dyDescent="0.45">
      <c r="A7" s="23"/>
      <c r="B7" s="26"/>
    </row>
    <row r="8" spans="1:16" ht="15.75" x14ac:dyDescent="0.5">
      <c r="A8" s="19"/>
      <c r="B8" s="18"/>
      <c r="J8" s="15" cm="1">
        <f t="array" ref="J8:L10">_xlfn.LAMBDA(_xlpm.flattenedMatrix,_xlpm.component, _xlfn.LET(_xlpm.nElements, INDEX(_xlpm.flattenedMatrix, 1, 1), _xlpm.setUp, _xlfn.DROP(_xlfn.TAKE(_xlpm.flattenedMatrix, _xlpm.nElements + 1, 3), 1), _xlpm.data, _xlfn.DROP(_xlpm.flattenedMatrix, _xlpm.nElements + 1, 0), _xlpm.component, IF(ISNUMBER(_xlpm.component), _xlpm.component, MATCH(_xlpm.component, _xlfn.TAKE(_xlpm.setUp, , 1), 0)), _xlpm.rowStart, IF(_xlpm.component = 1, 1, 1 + SUM(_xlfn.CHOOSECOLS(_xlfn.TAKE(_xlpm.setUp, _xlpm.component - 1), 2))), _xlpm.rowEnd, SUM(_xlfn.CHOOSECOLS(_xlfn.TAKE(_xlpm.setUp, _xlpm.component), 2)), _xlpm.colStart, 1, _xlpm.colEnd, INDEX(_xlpm.setUp, _xlpm.component, 3), SLICE(_xlpm.data, _xlpm.rowStart, _xlpm.rowEnd, _xlpm.colStart, _xlpm.colEnd)))($F$9:$H$29, $F$32)</f>
        <v>6</v>
      </c>
      <c r="K8" s="15">
        <v>3</v>
      </c>
      <c r="L8" s="15">
        <v>0</v>
      </c>
    </row>
    <row r="9" spans="1:16" ht="15.75" x14ac:dyDescent="0.5">
      <c r="A9" s="19"/>
      <c r="B9" s="18"/>
      <c r="D9" s="1" t="s">
        <v>17</v>
      </c>
      <c r="E9" s="13" t="s">
        <v>1306</v>
      </c>
      <c r="F9" s="12">
        <v>5</v>
      </c>
      <c r="G9" s="12" t="e">
        <v>#N/A</v>
      </c>
      <c r="H9" s="12" t="e">
        <v>#N/A</v>
      </c>
      <c r="J9" s="15">
        <v>1</v>
      </c>
      <c r="K9" s="15">
        <v>1</v>
      </c>
      <c r="L9" s="15">
        <v>1</v>
      </c>
    </row>
    <row r="10" spans="1:16" ht="14.25" x14ac:dyDescent="0.45">
      <c r="A10"/>
      <c r="F10" s="12" t="s">
        <v>244</v>
      </c>
      <c r="G10" s="12">
        <v>3</v>
      </c>
      <c r="H10" s="12">
        <v>3</v>
      </c>
      <c r="J10" s="15">
        <v>4</v>
      </c>
      <c r="K10" s="15">
        <v>4</v>
      </c>
      <c r="L10" s="15">
        <v>3</v>
      </c>
    </row>
    <row r="11" spans="1:16" ht="14.25" x14ac:dyDescent="0.45">
      <c r="A11"/>
      <c r="F11" s="12" t="s">
        <v>245</v>
      </c>
      <c r="G11" s="12">
        <v>3</v>
      </c>
      <c r="H11" s="12">
        <v>3</v>
      </c>
    </row>
    <row r="12" spans="1:16" ht="14.25" x14ac:dyDescent="0.45">
      <c r="A12"/>
      <c r="F12" s="12" t="s">
        <v>246</v>
      </c>
      <c r="G12" s="12">
        <v>3</v>
      </c>
      <c r="H12" s="12">
        <v>3</v>
      </c>
    </row>
    <row r="13" spans="1:16" ht="14.25" x14ac:dyDescent="0.45">
      <c r="A13"/>
      <c r="F13" s="12" t="s">
        <v>247</v>
      </c>
      <c r="G13" s="12">
        <v>3</v>
      </c>
      <c r="H13" s="12">
        <v>3</v>
      </c>
    </row>
    <row r="14" spans="1:16" ht="15.75" x14ac:dyDescent="0.5">
      <c r="A14" s="19"/>
      <c r="B14" s="18"/>
      <c r="F14" s="12" t="s">
        <v>248</v>
      </c>
      <c r="G14" s="12">
        <v>3</v>
      </c>
      <c r="H14" s="12">
        <v>3</v>
      </c>
    </row>
    <row r="15" spans="1:16" x14ac:dyDescent="0.55000000000000004">
      <c r="F15" s="12">
        <v>1</v>
      </c>
      <c r="G15" s="12">
        <v>3</v>
      </c>
      <c r="H15" s="12">
        <v>0</v>
      </c>
    </row>
    <row r="16" spans="1:16" x14ac:dyDescent="0.55000000000000004">
      <c r="F16" s="12">
        <v>1</v>
      </c>
      <c r="G16" s="12">
        <v>2</v>
      </c>
      <c r="H16" s="12">
        <v>1</v>
      </c>
    </row>
    <row r="17" spans="1:16" x14ac:dyDescent="0.55000000000000004">
      <c r="F17" s="12">
        <v>1</v>
      </c>
      <c r="G17" s="12">
        <v>3</v>
      </c>
      <c r="H17" s="12">
        <v>3</v>
      </c>
    </row>
    <row r="18" spans="1:16" x14ac:dyDescent="0.55000000000000004">
      <c r="F18" s="12">
        <v>6</v>
      </c>
      <c r="G18" s="12">
        <v>3</v>
      </c>
      <c r="H18" s="12">
        <v>0</v>
      </c>
    </row>
    <row r="19" spans="1:16" x14ac:dyDescent="0.55000000000000004">
      <c r="F19" s="12">
        <v>1</v>
      </c>
      <c r="G19" s="12">
        <v>1</v>
      </c>
      <c r="H19" s="12">
        <v>1</v>
      </c>
    </row>
    <row r="20" spans="1:16" x14ac:dyDescent="0.55000000000000004">
      <c r="F20" s="12">
        <v>4</v>
      </c>
      <c r="G20" s="12">
        <v>4</v>
      </c>
      <c r="H20" s="12">
        <v>3</v>
      </c>
    </row>
    <row r="21" spans="1:16" x14ac:dyDescent="0.55000000000000004">
      <c r="F21" s="12">
        <v>3</v>
      </c>
      <c r="G21" s="12">
        <v>3</v>
      </c>
      <c r="H21" s="12">
        <v>0</v>
      </c>
    </row>
    <row r="22" spans="1:16" x14ac:dyDescent="0.55000000000000004">
      <c r="F22" s="12">
        <v>1</v>
      </c>
      <c r="G22" s="12">
        <v>1</v>
      </c>
      <c r="H22" s="12">
        <v>6</v>
      </c>
    </row>
    <row r="23" spans="1:16" x14ac:dyDescent="0.55000000000000004">
      <c r="F23" s="12">
        <v>1</v>
      </c>
      <c r="G23" s="12">
        <v>3</v>
      </c>
      <c r="H23" s="12">
        <v>3</v>
      </c>
    </row>
    <row r="24" spans="1:16" x14ac:dyDescent="0.55000000000000004">
      <c r="F24" s="12">
        <v>1</v>
      </c>
      <c r="G24" s="12">
        <v>3</v>
      </c>
      <c r="H24" s="12">
        <v>0</v>
      </c>
    </row>
    <row r="25" spans="1:16" x14ac:dyDescent="0.55000000000000004">
      <c r="F25" s="12">
        <v>5</v>
      </c>
      <c r="G25" s="12">
        <v>1</v>
      </c>
      <c r="H25" s="12">
        <v>9</v>
      </c>
    </row>
    <row r="26" spans="1:16" s="21" customFormat="1" x14ac:dyDescent="0.55000000000000004">
      <c r="A26" s="17"/>
      <c r="B26"/>
      <c r="C26"/>
      <c r="D26"/>
      <c r="E26"/>
      <c r="F26" s="12">
        <v>1</v>
      </c>
      <c r="G26" s="12">
        <v>3</v>
      </c>
      <c r="H26" s="12">
        <v>3</v>
      </c>
      <c r="I26"/>
      <c r="J26" s="15"/>
      <c r="K26" s="15"/>
      <c r="L26" s="15"/>
      <c r="M26" s="15"/>
      <c r="N26" s="15"/>
      <c r="O26" s="15"/>
      <c r="P26" s="15"/>
    </row>
    <row r="27" spans="1:16" s="21" customFormat="1" x14ac:dyDescent="0.55000000000000004">
      <c r="A27" s="17"/>
      <c r="B27"/>
      <c r="C27"/>
      <c r="D27"/>
      <c r="E27"/>
      <c r="F27" s="12">
        <v>1</v>
      </c>
      <c r="G27" s="12">
        <v>8</v>
      </c>
      <c r="H27" s="12">
        <v>0</v>
      </c>
      <c r="I27"/>
      <c r="J27" s="15"/>
      <c r="K27" s="15"/>
      <c r="L27" s="15"/>
      <c r="M27" s="15"/>
      <c r="N27" s="15"/>
      <c r="O27" s="15"/>
      <c r="P27" s="15"/>
    </row>
    <row r="28" spans="1:16" s="21" customFormat="1" x14ac:dyDescent="0.55000000000000004">
      <c r="A28" s="17"/>
      <c r="B28"/>
      <c r="C28"/>
      <c r="D28"/>
      <c r="E28"/>
      <c r="F28" s="12">
        <v>1</v>
      </c>
      <c r="G28" s="12">
        <v>6</v>
      </c>
      <c r="H28" s="12">
        <v>1</v>
      </c>
      <c r="I28"/>
      <c r="J28" s="15"/>
      <c r="K28" s="15"/>
      <c r="L28" s="15"/>
      <c r="M28" s="15"/>
      <c r="N28" s="15"/>
      <c r="O28" s="15"/>
      <c r="P28" s="15"/>
    </row>
    <row r="29" spans="1:16" s="21" customFormat="1" x14ac:dyDescent="0.55000000000000004">
      <c r="A29" s="17"/>
      <c r="B29"/>
      <c r="C29"/>
      <c r="D29"/>
      <c r="E29"/>
      <c r="F29" s="12">
        <v>1</v>
      </c>
      <c r="G29" s="12">
        <v>3</v>
      </c>
      <c r="H29" s="12">
        <v>3</v>
      </c>
      <c r="I29"/>
      <c r="J29" s="15"/>
      <c r="K29" s="15"/>
      <c r="L29" s="15"/>
      <c r="M29" s="15"/>
      <c r="N29" s="15"/>
      <c r="O29" s="15"/>
      <c r="P29" s="15"/>
    </row>
    <row r="32" spans="1:16" x14ac:dyDescent="0.55000000000000004">
      <c r="E32" s="13" t="s">
        <v>1307</v>
      </c>
      <c r="F32" s="12" t="s">
        <v>245</v>
      </c>
    </row>
    <row r="35" spans="1:16" x14ac:dyDescent="0.55000000000000004">
      <c r="E35" s="13" t="s">
        <v>1306</v>
      </c>
      <c r="F35" s="12">
        <v>5</v>
      </c>
      <c r="G35" s="12" t="e">
        <v>#N/A</v>
      </c>
      <c r="H35" s="12" t="e">
        <v>#N/A</v>
      </c>
      <c r="J35" s="15" cm="1">
        <f t="array" ref="J35:L37">UNFLATTEN($F$35:$H$55, $F$58)</f>
        <v>6</v>
      </c>
      <c r="K35" s="15">
        <v>3</v>
      </c>
      <c r="L35" s="15">
        <v>0</v>
      </c>
    </row>
    <row r="36" spans="1:16" s="21" customFormat="1" x14ac:dyDescent="0.55000000000000004">
      <c r="A36" s="17"/>
      <c r="B36"/>
      <c r="C36"/>
      <c r="D36"/>
      <c r="E36"/>
      <c r="F36" s="12" t="s">
        <v>244</v>
      </c>
      <c r="G36" s="12">
        <v>3</v>
      </c>
      <c r="H36" s="12">
        <v>3</v>
      </c>
      <c r="I36"/>
      <c r="J36" s="15">
        <v>1</v>
      </c>
      <c r="K36" s="15">
        <v>1</v>
      </c>
      <c r="L36" s="15">
        <v>1</v>
      </c>
      <c r="M36" s="15"/>
      <c r="N36" s="15"/>
      <c r="O36" s="15"/>
      <c r="P36" s="15"/>
    </row>
    <row r="37" spans="1:16" s="21" customFormat="1" x14ac:dyDescent="0.55000000000000004">
      <c r="A37" s="17"/>
      <c r="B37"/>
      <c r="C37"/>
      <c r="D37"/>
      <c r="E37"/>
      <c r="F37" s="12" t="s">
        <v>245</v>
      </c>
      <c r="G37" s="12">
        <v>3</v>
      </c>
      <c r="H37" s="12">
        <v>3</v>
      </c>
      <c r="I37"/>
      <c r="J37" s="15">
        <v>4</v>
      </c>
      <c r="K37" s="15">
        <v>4</v>
      </c>
      <c r="L37" s="15">
        <v>3</v>
      </c>
      <c r="M37" s="15"/>
      <c r="N37" s="15"/>
      <c r="O37" s="15"/>
      <c r="P37" s="15"/>
    </row>
    <row r="38" spans="1:16" s="21" customFormat="1" x14ac:dyDescent="0.55000000000000004">
      <c r="A38" s="17"/>
      <c r="B38"/>
      <c r="C38"/>
      <c r="D38"/>
      <c r="E38"/>
      <c r="F38" s="12" t="s">
        <v>246</v>
      </c>
      <c r="G38" s="12">
        <v>3</v>
      </c>
      <c r="H38" s="12">
        <v>3</v>
      </c>
      <c r="I38"/>
      <c r="J38" s="15"/>
      <c r="K38" s="15"/>
      <c r="L38" s="15"/>
      <c r="M38" s="15"/>
      <c r="N38" s="15"/>
      <c r="O38" s="15"/>
      <c r="P38" s="15"/>
    </row>
    <row r="39" spans="1:16" s="21" customFormat="1" x14ac:dyDescent="0.55000000000000004">
      <c r="A39" s="17"/>
      <c r="B39"/>
      <c r="C39"/>
      <c r="D39"/>
      <c r="E39"/>
      <c r="F39" s="12" t="s">
        <v>247</v>
      </c>
      <c r="G39" s="12">
        <v>3</v>
      </c>
      <c r="H39" s="12">
        <v>3</v>
      </c>
      <c r="I39"/>
      <c r="J39" s="15"/>
      <c r="K39" s="15"/>
      <c r="L39" s="15"/>
      <c r="M39" s="15"/>
      <c r="N39" s="15"/>
      <c r="O39" s="15"/>
      <c r="P39" s="15"/>
    </row>
    <row r="40" spans="1:16" s="21" customFormat="1" x14ac:dyDescent="0.55000000000000004">
      <c r="A40" s="17"/>
      <c r="B40"/>
      <c r="C40"/>
      <c r="D40"/>
      <c r="E40"/>
      <c r="F40" s="12" t="s">
        <v>248</v>
      </c>
      <c r="G40" s="12">
        <v>3</v>
      </c>
      <c r="H40" s="12">
        <v>3</v>
      </c>
      <c r="I40"/>
      <c r="J40" s="15"/>
      <c r="K40" s="15"/>
      <c r="L40" s="15"/>
      <c r="M40" s="15"/>
      <c r="N40" s="15"/>
      <c r="O40" s="15"/>
      <c r="P40" s="15"/>
    </row>
    <row r="41" spans="1:16" s="21" customFormat="1" x14ac:dyDescent="0.55000000000000004">
      <c r="A41" s="17"/>
      <c r="B41"/>
      <c r="C41"/>
      <c r="D41"/>
      <c r="E41"/>
      <c r="F41" s="12">
        <v>1</v>
      </c>
      <c r="G41" s="12">
        <v>3</v>
      </c>
      <c r="H41" s="12">
        <v>0</v>
      </c>
      <c r="I41"/>
      <c r="J41" s="15"/>
      <c r="K41" s="15"/>
      <c r="L41" s="15"/>
      <c r="M41" s="15"/>
      <c r="N41" s="15"/>
      <c r="O41" s="15"/>
      <c r="P41" s="15"/>
    </row>
    <row r="42" spans="1:16" s="21" customFormat="1" x14ac:dyDescent="0.55000000000000004">
      <c r="A42" s="17"/>
      <c r="B42"/>
      <c r="C42"/>
      <c r="D42"/>
      <c r="E42"/>
      <c r="F42" s="12">
        <v>1</v>
      </c>
      <c r="G42" s="12">
        <v>2</v>
      </c>
      <c r="H42" s="12">
        <v>1</v>
      </c>
      <c r="I42"/>
      <c r="J42" s="15"/>
      <c r="K42" s="15"/>
      <c r="L42" s="15"/>
      <c r="M42" s="15"/>
      <c r="N42" s="15"/>
      <c r="O42" s="15"/>
      <c r="P42" s="15"/>
    </row>
    <row r="43" spans="1:16" s="21" customFormat="1" x14ac:dyDescent="0.55000000000000004">
      <c r="A43" s="17"/>
      <c r="B43"/>
      <c r="C43"/>
      <c r="D43"/>
      <c r="E43"/>
      <c r="F43" s="12">
        <v>1</v>
      </c>
      <c r="G43" s="12">
        <v>3</v>
      </c>
      <c r="H43" s="12">
        <v>3</v>
      </c>
      <c r="I43"/>
      <c r="J43" s="15"/>
      <c r="K43" s="15"/>
      <c r="L43" s="15"/>
      <c r="M43" s="15"/>
      <c r="N43" s="15"/>
      <c r="O43" s="15"/>
      <c r="P43" s="15"/>
    </row>
    <row r="44" spans="1:16" s="21" customFormat="1" x14ac:dyDescent="0.55000000000000004">
      <c r="A44" s="17"/>
      <c r="B44"/>
      <c r="C44"/>
      <c r="D44"/>
      <c r="E44"/>
      <c r="F44" s="12">
        <v>6</v>
      </c>
      <c r="G44" s="12">
        <v>3</v>
      </c>
      <c r="H44" s="12">
        <v>0</v>
      </c>
      <c r="I44"/>
      <c r="J44" s="15"/>
      <c r="K44" s="15"/>
      <c r="L44" s="15"/>
      <c r="M44" s="15"/>
      <c r="N44" s="15"/>
      <c r="O44" s="15"/>
      <c r="P44" s="15"/>
    </row>
    <row r="45" spans="1:16" s="21" customFormat="1" x14ac:dyDescent="0.55000000000000004">
      <c r="A45" s="17"/>
      <c r="B45"/>
      <c r="C45"/>
      <c r="D45"/>
      <c r="E45"/>
      <c r="F45" s="12">
        <v>1</v>
      </c>
      <c r="G45" s="12">
        <v>1</v>
      </c>
      <c r="H45" s="12">
        <v>1</v>
      </c>
      <c r="I45"/>
      <c r="J45" s="15"/>
      <c r="K45" s="15"/>
      <c r="L45" s="15"/>
      <c r="M45" s="15"/>
      <c r="N45" s="15"/>
      <c r="O45" s="15"/>
      <c r="P45" s="15"/>
    </row>
    <row r="46" spans="1:16" s="21" customFormat="1" x14ac:dyDescent="0.55000000000000004">
      <c r="A46" s="17"/>
      <c r="B46"/>
      <c r="C46"/>
      <c r="D46"/>
      <c r="E46"/>
      <c r="F46" s="12">
        <v>4</v>
      </c>
      <c r="G46" s="12">
        <v>4</v>
      </c>
      <c r="H46" s="12">
        <v>3</v>
      </c>
      <c r="I46"/>
      <c r="J46" s="15"/>
      <c r="K46" s="15"/>
      <c r="L46" s="15"/>
      <c r="M46" s="15"/>
      <c r="N46" s="15"/>
      <c r="O46" s="15"/>
      <c r="P46" s="15"/>
    </row>
    <row r="47" spans="1:16" s="21" customFormat="1" x14ac:dyDescent="0.55000000000000004">
      <c r="A47" s="17"/>
      <c r="B47"/>
      <c r="C47"/>
      <c r="D47"/>
      <c r="E47"/>
      <c r="F47" s="12">
        <v>3</v>
      </c>
      <c r="G47" s="12">
        <v>3</v>
      </c>
      <c r="H47" s="12">
        <v>0</v>
      </c>
      <c r="I47"/>
      <c r="J47" s="15"/>
      <c r="K47" s="15"/>
      <c r="L47" s="15"/>
      <c r="M47" s="15"/>
      <c r="N47" s="15"/>
      <c r="O47" s="15"/>
      <c r="P47" s="15"/>
    </row>
    <row r="48" spans="1:16" s="21" customFormat="1" x14ac:dyDescent="0.55000000000000004">
      <c r="A48" s="17"/>
      <c r="B48"/>
      <c r="C48"/>
      <c r="D48"/>
      <c r="E48"/>
      <c r="F48" s="12">
        <v>1</v>
      </c>
      <c r="G48" s="12">
        <v>1</v>
      </c>
      <c r="H48" s="12">
        <v>6</v>
      </c>
      <c r="I48"/>
      <c r="J48" s="15"/>
      <c r="K48" s="15"/>
      <c r="L48" s="15"/>
      <c r="M48" s="15"/>
      <c r="N48" s="15"/>
      <c r="O48" s="15"/>
      <c r="P48" s="15"/>
    </row>
    <row r="49" spans="5:8" x14ac:dyDescent="0.55000000000000004">
      <c r="F49" s="12">
        <v>1</v>
      </c>
      <c r="G49" s="12">
        <v>3</v>
      </c>
      <c r="H49" s="12">
        <v>3</v>
      </c>
    </row>
    <row r="50" spans="5:8" x14ac:dyDescent="0.55000000000000004">
      <c r="F50" s="12">
        <v>1</v>
      </c>
      <c r="G50" s="12">
        <v>3</v>
      </c>
      <c r="H50" s="12">
        <v>0</v>
      </c>
    </row>
    <row r="51" spans="5:8" x14ac:dyDescent="0.55000000000000004">
      <c r="F51" s="12">
        <v>5</v>
      </c>
      <c r="G51" s="12">
        <v>1</v>
      </c>
      <c r="H51" s="12">
        <v>9</v>
      </c>
    </row>
    <row r="52" spans="5:8" x14ac:dyDescent="0.55000000000000004">
      <c r="F52" s="12">
        <v>1</v>
      </c>
      <c r="G52" s="12">
        <v>3</v>
      </c>
      <c r="H52" s="12">
        <v>3</v>
      </c>
    </row>
    <row r="53" spans="5:8" x14ac:dyDescent="0.55000000000000004">
      <c r="F53" s="12">
        <v>1</v>
      </c>
      <c r="G53" s="12">
        <v>8</v>
      </c>
      <c r="H53" s="12">
        <v>0</v>
      </c>
    </row>
    <row r="54" spans="5:8" x14ac:dyDescent="0.55000000000000004">
      <c r="F54" s="12">
        <v>1</v>
      </c>
      <c r="G54" s="12">
        <v>6</v>
      </c>
      <c r="H54" s="12">
        <v>1</v>
      </c>
    </row>
    <row r="55" spans="5:8" x14ac:dyDescent="0.55000000000000004">
      <c r="F55" s="12">
        <v>1</v>
      </c>
      <c r="G55" s="12">
        <v>3</v>
      </c>
      <c r="H55" s="12">
        <v>3</v>
      </c>
    </row>
    <row r="58" spans="5:8" x14ac:dyDescent="0.55000000000000004">
      <c r="E58" s="13" t="s">
        <v>1307</v>
      </c>
      <c r="F58" s="12" t="s">
        <v>245</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CIAfQBdACwAIgBwAHIAbwBqAGUAYwB0AE4AYQBtAGUAcwAiADoAWwBdACwAIgBsAG8AYwBhAGwAZQAiADoAewAiAGwAaQBzAHQAUwBlAHAAYQByAGEAdABvAHIAIgA6ACIAOwAiACwAIgByAG8AdwBTAGUAcABhAHIAYQB0AG8AcgAiADoAIgA7ACIALAAiAGMAbwBsAHUAbQBuAFMAZQBwAGEAcgBhAHQAbwByACIAOgAiAFwAXAAiACwAIgB0AGgAbwB1AHMAYQBuAGQAcwBTAGUAcABhAHIAYQB0AG8AcgAiADoAIgAuACIALAAiAHQAaABvAHUAcwBhAG4AZABzAFAAbwBzAGkAdABpAG8AbgBzACIAOgBbADMAXQAsACIAZABlAGMAaQBtAGEAbABTAGUAcABhAHIAYQB0AG8AcgAiADoAIgAsACIALAAiAGQAYQB0AGUATwByAGQAZQByACIAOgAiAEQATQBZACIALAAiAGMAdQByAHIAZQBuAGMAeQBTAHkAbQBiAG8AbAAiADoAIgBSACQAIgAsACIAaQBzAEMAdQByAHIAZQBuAGMAeQBTAHkAbQBiAG8AbABMAGUAYQBkACIAOgB0AHIAdQBlACwAIgBpAHMAQwB1AHIAcgBlAG4AYwB5AFMAZQBwAEIAeQBTAHAAYQBjAGUAIgA6AHQAcgB1AGUALAAiAHIAbwB3AEwAZQB0AHQAZQByACIAOgAiAEwAIgAsACIAYwBvAGwAdQBtAG4ATABlAHQAdABlAHIAIgA6ACIAQwAiACwAIgByAGMATABlAGYAdABCAHIAYQBjAGsAZQB0ACIAOgAiAFsAIgAsACIAcgBjAFIAaQBnAGgAdABCAHIAYQBjAGsAZQB0ACIAOgAiAF0AIgAsACIAcwB0AGEAdABlAG0AZQBuAHQAUwBlAHAAYQByAGEAdABvAHIAIgA6ACIAOwA7ACIALAAiAGwAbwBjAGEAbABlAE4AYQBtAGUAIgA6ACIAcAB0AC0AYgByACIAfQB9AA==</AFEJSONBlob>
</file>

<file path=customXml/itemProps1.xml><?xml version="1.0" encoding="utf-8"?>
<ds:datastoreItem xmlns:ds="http://schemas.openxmlformats.org/officeDocument/2006/customXml" ds:itemID="{86D63367-6E00-4284-8E3B-867B08054859}">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122</vt:i4>
      </vt:variant>
    </vt:vector>
  </HeadingPairs>
  <TitlesOfParts>
    <vt:vector size="122" baseType="lpstr">
      <vt:lpstr>Function List</vt:lpstr>
      <vt:lpstr>Main Functions</vt:lpstr>
      <vt:lpstr>Complex Functions</vt:lpstr>
      <vt:lpstr>OLS Functions</vt:lpstr>
      <vt:lpstr>STATIONARIZE</vt:lpstr>
      <vt:lpstr>ISSTATIONARY</vt:lpstr>
      <vt:lpstr>CHOWTEST</vt:lpstr>
      <vt:lpstr>IORDER</vt:lpstr>
      <vt:lpstr>ISCOINTEGRATED</vt:lpstr>
      <vt:lpstr>DFTABLE</vt:lpstr>
      <vt:lpstr>GRANGER</vt:lpstr>
      <vt:lpstr>ANOVA</vt:lpstr>
      <vt:lpstr>LAG</vt:lpstr>
      <vt:lpstr>LEAD</vt:lpstr>
      <vt:lpstr>HPFILTER</vt:lpstr>
      <vt:lpstr>HFILTER</vt:lpstr>
      <vt:lpstr>MHFILTER</vt:lpstr>
      <vt:lpstr>HENDFILTER</vt:lpstr>
      <vt:lpstr>HENDFILTER_WEIGHTS</vt:lpstr>
      <vt:lpstr>BKFILTER</vt:lpstr>
      <vt:lpstr>CFFILTER</vt:lpstr>
      <vt:lpstr>RWFILTER</vt:lpstr>
      <vt:lpstr>MAFILTER</vt:lpstr>
      <vt:lpstr>KFILTER</vt:lpstr>
      <vt:lpstr>KFILTER_UPDATE</vt:lpstr>
      <vt:lpstr>CIRCSHIFT</vt:lpstr>
      <vt:lpstr>SHIFT</vt:lpstr>
      <vt:lpstr>DIFF</vt:lpstr>
      <vt:lpstr>MOVAVG</vt:lpstr>
      <vt:lpstr>MOVSUM</vt:lpstr>
      <vt:lpstr>MOVPROD</vt:lpstr>
      <vt:lpstr>DETREND</vt:lpstr>
      <vt:lpstr>TSTREND</vt:lpstr>
      <vt:lpstr>SEASADJ</vt:lpstr>
      <vt:lpstr>SEASFACTOR</vt:lpstr>
      <vt:lpstr>DUMMYVAR</vt:lpstr>
      <vt:lpstr>ADDCONST</vt:lpstr>
      <vt:lpstr>ADDTREND</vt:lpstr>
      <vt:lpstr>HASCONST</vt:lpstr>
      <vt:lpstr>TSOPER</vt:lpstr>
      <vt:lpstr>APPLYCOLS</vt:lpstr>
      <vt:lpstr>APPLYROWS</vt:lpstr>
      <vt:lpstr>EYE</vt:lpstr>
      <vt:lpstr>ZEROS</vt:lpstr>
      <vt:lpstr>ONES</vt:lpstr>
      <vt:lpstr>DIAG</vt:lpstr>
      <vt:lpstr>TRIL</vt:lpstr>
      <vt:lpstr>TRIU</vt:lpstr>
      <vt:lpstr>VEC</vt:lpstr>
      <vt:lpstr>RESHAPE</vt:lpstr>
      <vt:lpstr>FLIPLR</vt:lpstr>
      <vt:lpstr>FLIPUD</vt:lpstr>
      <vt:lpstr>REPMAT</vt:lpstr>
      <vt:lpstr>NOZERO (FIND)</vt:lpstr>
      <vt:lpstr>BLKDIAG</vt:lpstr>
      <vt:lpstr>ALL</vt:lpstr>
      <vt:lpstr>ANY</vt:lpstr>
      <vt:lpstr>NNZ</vt:lpstr>
      <vt:lpstr>LINSPACE</vt:lpstr>
      <vt:lpstr>LENGTH</vt:lpstr>
      <vt:lpstr>DIM</vt:lpstr>
      <vt:lpstr>NUMEL</vt:lpstr>
      <vt:lpstr>RMMISSING</vt:lpstr>
      <vt:lpstr>ISOUTLIER</vt:lpstr>
      <vt:lpstr>RMOUTLIERS</vt:lpstr>
      <vt:lpstr>MULTIFILTER</vt:lpstr>
      <vt:lpstr>TEXTTOARRAY</vt:lpstr>
      <vt:lpstr>STARTSWITH</vt:lpstr>
      <vt:lpstr>ENDSWITH</vt:lpstr>
      <vt:lpstr>CONTAINS</vt:lpstr>
      <vt:lpstr>ISMEMBER</vt:lpstr>
      <vt:lpstr>COMPLEMENT</vt:lpstr>
      <vt:lpstr>SORTRANGE</vt:lpstr>
      <vt:lpstr>RANKRANGE</vt:lpstr>
      <vt:lpstr>ISUNIQUE</vt:lpstr>
      <vt:lpstr>AGGREGBYDATE</vt:lpstr>
      <vt:lpstr>MNORM</vt:lpstr>
      <vt:lpstr>EVALS</vt:lpstr>
      <vt:lpstr>SUBS</vt:lpstr>
      <vt:lpstr>FZERO</vt:lpstr>
      <vt:lpstr>CONTAGION_FORBESRIGOBON</vt:lpstr>
      <vt:lpstr>CONTAGION_COVOLATILITY</vt:lpstr>
      <vt:lpstr>CONTAGION_COKURTOSIS</vt:lpstr>
      <vt:lpstr>CONTAGION_COSKEWNESS</vt:lpstr>
      <vt:lpstr>CORRCOEF</vt:lpstr>
      <vt:lpstr>COV</vt:lpstr>
      <vt:lpstr>ISMULTICOLLINEAR</vt:lpstr>
      <vt:lpstr>VARINFLATIONFACTOR</vt:lpstr>
      <vt:lpstr>FACTORIZE_QR</vt:lpstr>
      <vt:lpstr>FACTORIZE_CHOL</vt:lpstr>
      <vt:lpstr>EIGENVALUES</vt:lpstr>
      <vt:lpstr>EIGENVECTORS</vt:lpstr>
      <vt:lpstr>LINSOLVE</vt:lpstr>
      <vt:lpstr>BOOTSTRP</vt:lpstr>
      <vt:lpstr>JACKKNIFE</vt:lpstr>
      <vt:lpstr>CORREL_DIFF_TEST</vt:lpstr>
      <vt:lpstr>PCA</vt:lpstr>
      <vt:lpstr>MAHAL</vt:lpstr>
      <vt:lpstr>FINANCE_VAR</vt:lpstr>
      <vt:lpstr>DRAWDOWN</vt:lpstr>
      <vt:lpstr>SPARSE</vt:lpstr>
      <vt:lpstr>FULL</vt:lpstr>
      <vt:lpstr>EVERY</vt:lpstr>
      <vt:lpstr>CONV</vt:lpstr>
      <vt:lpstr>COMBINATIONS</vt:lpstr>
      <vt:lpstr>SPARSEWISE</vt:lpstr>
      <vt:lpstr>SPARSEPLUS</vt:lpstr>
      <vt:lpstr>SPARSEMINUS</vt:lpstr>
      <vt:lpstr>SPARSEMULT</vt:lpstr>
      <vt:lpstr>SPARSEDIV</vt:lpstr>
      <vt:lpstr>SPARSEDOT</vt:lpstr>
      <vt:lpstr>SPARSEPOWER</vt:lpstr>
      <vt:lpstr>SPARSET</vt:lpstr>
      <vt:lpstr>SPARSEEYE</vt:lpstr>
      <vt:lpstr>SPARSEONES</vt:lpstr>
      <vt:lpstr>SPARSEZEROS</vt:lpstr>
      <vt:lpstr>SPARSEDIAG</vt:lpstr>
      <vt:lpstr>SPARSEVSTACK</vt:lpstr>
      <vt:lpstr>SPARSEHSTACK</vt:lpstr>
      <vt:lpstr>SPARSESLICE</vt:lpstr>
      <vt:lpstr>FLATTEN</vt:lpstr>
      <vt:lpstr>UNFLATTEN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2022-02-28T15:33:27Z</dcterms:created>
  <dcterms:modified xsi:type="dcterms:W3CDTF">2025-05-26T02:29:12Z</dcterms:modified>
</cp:coreProperties>
</file>